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omments1.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omments2.xml" ContentType="application/vnd.openxmlformats-officedocument.spreadsheetml.comments+xml"/>
  <Override PartName="/xl/comments3.xml" ContentType="application/vnd.openxmlformats-officedocument.spreadsheetml.comments+xml"/>
  <Override PartName="/xl/drawings/drawing2.xml" ContentType="application/vnd.openxmlformats-officedocument.drawing+xml"/>
  <Override PartName="/xl/ctrlProps/ctrlProp10.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JHAVLI~1\AppData\Local\Temp\"/>
    </mc:Choice>
  </mc:AlternateContent>
  <bookViews>
    <workbookView xWindow="-12" yWindow="-12" windowWidth="15336" windowHeight="10200" activeTab="3"/>
  </bookViews>
  <sheets>
    <sheet name="Front" sheetId="1" r:id="rId1"/>
    <sheet name="G.data" sheetId="3" r:id="rId2"/>
    <sheet name="calcs" sheetId="2" r:id="rId3"/>
    <sheet name="Title" sheetId="5" r:id="rId4"/>
  </sheets>
  <definedNames>
    <definedName name="a.1">calcs!$L1</definedName>
    <definedName name="a.3">calcs!$AI$29</definedName>
    <definedName name="alph">calcs!$C$11</definedName>
    <definedName name="AvailableCapacity">G.data!$T$6</definedName>
    <definedName name="b.1">calcs!$M1</definedName>
    <definedName name="b.2">calcs!$Q1</definedName>
    <definedName name="b.3">calcs!$AI1</definedName>
    <definedName name="BEDur">G.data!$X$14</definedName>
    <definedName name="beta">calcs!$C$14</definedName>
    <definedName name="c.1">calcs!$N1</definedName>
    <definedName name="c.2">calcs!$R1</definedName>
    <definedName name="c.3">calcs!$AJ1</definedName>
    <definedName name="CapacityOfBaseLoad">G.data!$T$5</definedName>
    <definedName name="CU">calcs!$C$24</definedName>
    <definedName name="CUopt">calcs!$C$28</definedName>
    <definedName name="D0" localSheetId="2">calcs!$C$22</definedName>
    <definedName name="D0.3">calcs!$AK1</definedName>
    <definedName name="D0g">calcs!$C$23</definedName>
    <definedName name="D0opt">calcs!$C$27</definedName>
    <definedName name="DDc">calcs!$S1</definedName>
    <definedName name="DDg">calcs!$O1</definedName>
    <definedName name="Example1">G.data!$U$29</definedName>
    <definedName name="Example2">G.data!$V$29</definedName>
    <definedName name="Example3">G.data!$W$29</definedName>
    <definedName name="Example4">G.data!$X$29</definedName>
    <definedName name="Example5">G.data!$Y$29</definedName>
    <definedName name="ExTitle1">G.data!$U$22</definedName>
    <definedName name="ExTitle2">G.data!$U$23</definedName>
    <definedName name="ExTitle3">G.data!$U$24</definedName>
    <definedName name="ExTitle4">G.data!$U$25</definedName>
    <definedName name="ExTitle5">G.data!$U$26</definedName>
    <definedName name="F">calcs!$C$6</definedName>
    <definedName name="f.3">calcs!$AL1</definedName>
    <definedName name="FCPopt">calcs!$C$29</definedName>
    <definedName name="FF">calcs!$T5</definedName>
    <definedName name="FixedCostofPeaker">G.data!$T$9</definedName>
    <definedName name="g">calcs!$C$17</definedName>
    <definedName name="g.3">calcs!$AL$29</definedName>
    <definedName name="GovCap">Front!$E$28</definedName>
    <definedName name="GovPrice">Front!$E$27</definedName>
    <definedName name="GovRR">Front!$E$26</definedName>
    <definedName name="h.3">calcs!$AM$29</definedName>
    <definedName name="helpText">G.data!$X$3</definedName>
    <definedName name="j.3">calcs!$AM1</definedName>
    <definedName name="K">calcs!$C$19</definedName>
    <definedName name="k.3">calcs!$AN$29</definedName>
    <definedName name="KK">calcs!$J1</definedName>
    <definedName name="KK.3">calcs!$AG1</definedName>
    <definedName name="KofBaseLoad">G.data!$T$5</definedName>
    <definedName name="Kopt">calcs!$C$26</definedName>
    <definedName name="l.3">calcs!$AO$29</definedName>
    <definedName name="L0">calcs!$C$7</definedName>
    <definedName name="Ldif">calcs!$C$10</definedName>
    <definedName name="LoadMax">Front!$B$29</definedName>
    <definedName name="LoadShape">Front!$B$30</definedName>
    <definedName name="m.3">calcs!$AN1</definedName>
    <definedName name="M0">calcs!$C$12</definedName>
    <definedName name="n.3">calcs!$AO1</definedName>
    <definedName name="p.3">calcs!$AP1</definedName>
    <definedName name="P0">calcs!$C$15</definedName>
    <definedName name="Pcap">calcs!$C$18</definedName>
    <definedName name="PeakLoad">G.data!$T$8</definedName>
    <definedName name="_xlnm.Print_Area" localSheetId="0">Front!$A$1:$J$30</definedName>
    <definedName name="q.3">calcs!$AQ1</definedName>
    <definedName name="r.1">calcs!$Z1</definedName>
    <definedName name="r.3">calcs!$AR1</definedName>
    <definedName name="R0">calcs!$C$13</definedName>
    <definedName name="R0g">calcs!$C$16</definedName>
    <definedName name="ResPrcnt">Front!$B$26</definedName>
    <definedName name="ResShape">Front!$B$28</definedName>
    <definedName name="ResValue">Front!$B$27</definedName>
    <definedName name="ropt">calcs!$AC1</definedName>
    <definedName name="S.1">calcs!$K1</definedName>
    <definedName name="S.2">calcs!$P1</definedName>
    <definedName name="S.3">calcs!$AH1</definedName>
    <definedName name="TCU">calcs!$C$30</definedName>
    <definedName name="Title">Front!$B$24</definedName>
    <definedName name="TotalPeakerFixedCost">Front!$H$29</definedName>
    <definedName name="UnReliabilityLoss">Front!$H$28</definedName>
  </definedNames>
  <calcPr calcId="92512"/>
</workbook>
</file>

<file path=xl/calcChain.xml><?xml version="1.0" encoding="utf-8"?>
<calcChain xmlns="http://schemas.openxmlformats.org/spreadsheetml/2006/main">
  <c r="C7" i="2" l="1"/>
  <c r="C9" i="2"/>
  <c r="C10" i="2"/>
  <c r="C11" i="2"/>
  <c r="C12" i="2"/>
  <c r="C13" i="2"/>
  <c r="C14" i="2"/>
  <c r="X14" i="2"/>
  <c r="Y14" i="2"/>
  <c r="Z14" i="2"/>
  <c r="AD14" i="2"/>
  <c r="C15" i="2"/>
  <c r="AB15" i="2"/>
  <c r="C16" i="2"/>
  <c r="Y16" i="2"/>
  <c r="AA16" i="2"/>
  <c r="AD16" i="2"/>
  <c r="C17" i="2"/>
  <c r="Y17" i="2"/>
  <c r="AB17" i="2"/>
  <c r="C18" i="2"/>
  <c r="N18" i="2"/>
  <c r="C19" i="2"/>
  <c r="U19" i="2"/>
  <c r="V19" i="2"/>
  <c r="Z19" i="2"/>
  <c r="AA19" i="2"/>
  <c r="AC19" i="2"/>
  <c r="AD19" i="2"/>
  <c r="C20" i="2"/>
  <c r="J20" i="2"/>
  <c r="K20" i="2"/>
  <c r="L20" i="2"/>
  <c r="M20" i="2"/>
  <c r="N20" i="2"/>
  <c r="O20" i="2"/>
  <c r="P20" i="2"/>
  <c r="Q20" i="2"/>
  <c r="R20" i="2"/>
  <c r="S20" i="2"/>
  <c r="T20" i="2"/>
  <c r="V20" i="2"/>
  <c r="Y20" i="2"/>
  <c r="Z20" i="2"/>
  <c r="AA20" i="2"/>
  <c r="AB20" i="2"/>
  <c r="AC20" i="2"/>
  <c r="AD20" i="2"/>
  <c r="C21" i="2"/>
  <c r="J21" i="2"/>
  <c r="K21" i="2"/>
  <c r="L21" i="2"/>
  <c r="M21" i="2"/>
  <c r="N21" i="2"/>
  <c r="O21" i="2"/>
  <c r="P21" i="2"/>
  <c r="Q21" i="2"/>
  <c r="R21" i="2"/>
  <c r="S21" i="2"/>
  <c r="T21" i="2"/>
  <c r="U21" i="2"/>
  <c r="V21" i="2"/>
  <c r="Y21" i="2"/>
  <c r="Z21" i="2"/>
  <c r="AA21" i="2"/>
  <c r="AB21" i="2"/>
  <c r="AC21" i="2"/>
  <c r="AD21" i="2"/>
  <c r="C22" i="2"/>
  <c r="J22" i="2"/>
  <c r="K22" i="2"/>
  <c r="L22" i="2"/>
  <c r="M22" i="2"/>
  <c r="N22" i="2"/>
  <c r="O22" i="2"/>
  <c r="P22" i="2"/>
  <c r="Q22" i="2"/>
  <c r="R22" i="2"/>
  <c r="S22" i="2"/>
  <c r="T22" i="2"/>
  <c r="U22" i="2"/>
  <c r="V22" i="2"/>
  <c r="Y22" i="2"/>
  <c r="Z22" i="2"/>
  <c r="AA22" i="2"/>
  <c r="AB22" i="2"/>
  <c r="AC22" i="2"/>
  <c r="AD22" i="2"/>
  <c r="C23" i="2"/>
  <c r="J23" i="2"/>
  <c r="K23" i="2"/>
  <c r="L23" i="2"/>
  <c r="M23" i="2"/>
  <c r="N23" i="2"/>
  <c r="O23" i="2"/>
  <c r="P23" i="2"/>
  <c r="Q23" i="2"/>
  <c r="R23" i="2"/>
  <c r="S23" i="2"/>
  <c r="T23" i="2"/>
  <c r="U23" i="2"/>
  <c r="V23" i="2"/>
  <c r="Y23" i="2"/>
  <c r="Z23" i="2"/>
  <c r="AA23" i="2"/>
  <c r="AB23" i="2"/>
  <c r="AC23" i="2"/>
  <c r="AD23" i="2"/>
  <c r="C24" i="2"/>
  <c r="J24" i="2"/>
  <c r="K24" i="2"/>
  <c r="L24" i="2"/>
  <c r="M24" i="2"/>
  <c r="N24" i="2"/>
  <c r="O24" i="2"/>
  <c r="P24" i="2"/>
  <c r="Q24" i="2"/>
  <c r="R24" i="2"/>
  <c r="S24" i="2"/>
  <c r="T24" i="2"/>
  <c r="U24" i="2"/>
  <c r="V24" i="2"/>
  <c r="Y24" i="2"/>
  <c r="Z24" i="2"/>
  <c r="AA24" i="2"/>
  <c r="AB24" i="2"/>
  <c r="AC24" i="2"/>
  <c r="AD24" i="2"/>
  <c r="C25" i="2"/>
  <c r="J25" i="2"/>
  <c r="K25" i="2"/>
  <c r="L25" i="2"/>
  <c r="M25" i="2"/>
  <c r="N25" i="2"/>
  <c r="O25" i="2"/>
  <c r="P25" i="2"/>
  <c r="Q25" i="2"/>
  <c r="R25" i="2"/>
  <c r="S25" i="2"/>
  <c r="T25" i="2"/>
  <c r="U25" i="2"/>
  <c r="V25" i="2"/>
  <c r="Y25" i="2"/>
  <c r="Z25" i="2"/>
  <c r="AA25" i="2"/>
  <c r="AB25" i="2"/>
  <c r="AC25" i="2"/>
  <c r="AD25" i="2"/>
  <c r="C26" i="2"/>
  <c r="J26" i="2"/>
  <c r="K26" i="2"/>
  <c r="L26" i="2"/>
  <c r="M26" i="2"/>
  <c r="N26" i="2"/>
  <c r="O26" i="2"/>
  <c r="P26" i="2"/>
  <c r="Q26" i="2"/>
  <c r="R26" i="2"/>
  <c r="S26" i="2"/>
  <c r="T26" i="2"/>
  <c r="U26" i="2"/>
  <c r="V26" i="2"/>
  <c r="Y26" i="2"/>
  <c r="Z26" i="2"/>
  <c r="AA26" i="2"/>
  <c r="AB26" i="2"/>
  <c r="AC26" i="2"/>
  <c r="AD26" i="2"/>
  <c r="C27" i="2"/>
  <c r="J27" i="2"/>
  <c r="K27" i="2"/>
  <c r="L27" i="2"/>
  <c r="M27" i="2"/>
  <c r="N27" i="2"/>
  <c r="O27" i="2"/>
  <c r="P27" i="2"/>
  <c r="Q27" i="2"/>
  <c r="R27" i="2"/>
  <c r="S27" i="2"/>
  <c r="T27" i="2"/>
  <c r="U27" i="2"/>
  <c r="V27" i="2"/>
  <c r="Y27" i="2"/>
  <c r="Z27" i="2"/>
  <c r="AA27" i="2"/>
  <c r="AB27" i="2"/>
  <c r="AC27" i="2"/>
  <c r="AD27" i="2"/>
  <c r="AG27" i="2"/>
  <c r="C28" i="2"/>
  <c r="J28" i="2"/>
  <c r="K28" i="2"/>
  <c r="L28" i="2"/>
  <c r="M28" i="2"/>
  <c r="N28" i="2"/>
  <c r="O28" i="2"/>
  <c r="P28" i="2"/>
  <c r="Q28" i="2"/>
  <c r="R28" i="2"/>
  <c r="S28" i="2"/>
  <c r="T28" i="2"/>
  <c r="U28" i="2"/>
  <c r="V28" i="2"/>
  <c r="Y28" i="2"/>
  <c r="Z28" i="2"/>
  <c r="AA28" i="2"/>
  <c r="AB28" i="2"/>
  <c r="AC28" i="2"/>
  <c r="AD28" i="2"/>
  <c r="C29" i="2"/>
  <c r="J29" i="2"/>
  <c r="K29" i="2"/>
  <c r="L29" i="2"/>
  <c r="M29" i="2"/>
  <c r="N29" i="2"/>
  <c r="O29" i="2"/>
  <c r="P29" i="2"/>
  <c r="Q29" i="2"/>
  <c r="R29" i="2"/>
  <c r="S29" i="2"/>
  <c r="T29" i="2"/>
  <c r="U29" i="2"/>
  <c r="V29" i="2"/>
  <c r="Y29" i="2"/>
  <c r="Z29" i="2"/>
  <c r="AA29" i="2"/>
  <c r="AB29" i="2"/>
  <c r="AC29" i="2"/>
  <c r="AD29" i="2"/>
  <c r="AI29" i="2"/>
  <c r="AL29" i="2"/>
  <c r="AM29" i="2"/>
  <c r="AN29" i="2"/>
  <c r="AO29" i="2"/>
  <c r="C30" i="2"/>
  <c r="J30" i="2"/>
  <c r="K30" i="2"/>
  <c r="L30" i="2"/>
  <c r="M30" i="2"/>
  <c r="N30" i="2"/>
  <c r="O30" i="2"/>
  <c r="P30" i="2"/>
  <c r="Q30" i="2"/>
  <c r="R30" i="2"/>
  <c r="S30" i="2"/>
  <c r="T30" i="2"/>
  <c r="U30" i="2"/>
  <c r="Y30" i="2"/>
  <c r="Z30" i="2"/>
  <c r="AA30" i="2"/>
  <c r="AB30" i="2"/>
  <c r="AC30" i="2"/>
  <c r="AD30" i="2"/>
  <c r="AT30" i="2"/>
  <c r="AU30" i="2"/>
  <c r="Y31" i="2"/>
  <c r="Z31" i="2"/>
  <c r="AA31" i="2"/>
  <c r="AB31" i="2"/>
  <c r="AC31" i="2"/>
  <c r="AD31" i="2"/>
  <c r="AG31" i="2"/>
  <c r="AH31" i="2"/>
  <c r="AI31" i="2"/>
  <c r="AJ31" i="2"/>
  <c r="AK31" i="2"/>
  <c r="AL31" i="2"/>
  <c r="AM31" i="2"/>
  <c r="AN31" i="2"/>
  <c r="AO31" i="2"/>
  <c r="AP31" i="2"/>
  <c r="AQ31" i="2"/>
  <c r="AR31" i="2"/>
  <c r="AS31" i="2"/>
  <c r="AT31" i="2"/>
  <c r="U32" i="2"/>
  <c r="V32" i="2"/>
  <c r="Y32" i="2"/>
  <c r="Z32" i="2"/>
  <c r="AA32" i="2"/>
  <c r="AB32" i="2"/>
  <c r="AC32" i="2"/>
  <c r="AD32" i="2"/>
  <c r="AG32" i="2"/>
  <c r="AH32" i="2"/>
  <c r="AI32" i="2"/>
  <c r="AJ32" i="2"/>
  <c r="AK32" i="2"/>
  <c r="AL32" i="2"/>
  <c r="AM32" i="2"/>
  <c r="AN32" i="2"/>
  <c r="AO32" i="2"/>
  <c r="AP32" i="2"/>
  <c r="AQ32" i="2"/>
  <c r="AR32" i="2"/>
  <c r="AS32" i="2"/>
  <c r="AT32" i="2"/>
  <c r="AU32" i="2"/>
  <c r="J33" i="2"/>
  <c r="K33" i="2"/>
  <c r="L33" i="2"/>
  <c r="M33" i="2"/>
  <c r="N33" i="2"/>
  <c r="O33" i="2"/>
  <c r="P33" i="2"/>
  <c r="Q33" i="2"/>
  <c r="R33" i="2"/>
  <c r="S33" i="2"/>
  <c r="T33" i="2"/>
  <c r="V33" i="2"/>
  <c r="Y33" i="2"/>
  <c r="Z33" i="2"/>
  <c r="AA33" i="2"/>
  <c r="AB33" i="2"/>
  <c r="AC33" i="2"/>
  <c r="AD33" i="2"/>
  <c r="AG33" i="2"/>
  <c r="AH33" i="2"/>
  <c r="AI33" i="2"/>
  <c r="AJ33" i="2"/>
  <c r="AK33" i="2"/>
  <c r="AL33" i="2"/>
  <c r="AM33" i="2"/>
  <c r="AN33" i="2"/>
  <c r="AO33" i="2"/>
  <c r="AP33" i="2"/>
  <c r="AQ33" i="2"/>
  <c r="AR33" i="2"/>
  <c r="AS33" i="2"/>
  <c r="AT33" i="2"/>
  <c r="AU33" i="2"/>
  <c r="J34" i="2"/>
  <c r="K34" i="2"/>
  <c r="L34" i="2"/>
  <c r="M34" i="2"/>
  <c r="N34" i="2"/>
  <c r="O34" i="2"/>
  <c r="P34" i="2"/>
  <c r="Q34" i="2"/>
  <c r="R34" i="2"/>
  <c r="S34" i="2"/>
  <c r="T34" i="2"/>
  <c r="U34" i="2"/>
  <c r="V34" i="2"/>
  <c r="Y34" i="2"/>
  <c r="Z34" i="2"/>
  <c r="AA34" i="2"/>
  <c r="AB34" i="2"/>
  <c r="AC34" i="2"/>
  <c r="AD34" i="2"/>
  <c r="AG34" i="2"/>
  <c r="AH34" i="2"/>
  <c r="AI34" i="2"/>
  <c r="AJ34" i="2"/>
  <c r="AK34" i="2"/>
  <c r="AL34" i="2"/>
  <c r="AM34" i="2"/>
  <c r="AN34" i="2"/>
  <c r="AO34" i="2"/>
  <c r="AP34" i="2"/>
  <c r="AQ34" i="2"/>
  <c r="AR34" i="2"/>
  <c r="AS34" i="2"/>
  <c r="AT34" i="2"/>
  <c r="AU34" i="2"/>
  <c r="J35" i="2"/>
  <c r="K35" i="2"/>
  <c r="L35" i="2"/>
  <c r="M35" i="2"/>
  <c r="N35" i="2"/>
  <c r="O35" i="2"/>
  <c r="P35" i="2"/>
  <c r="Q35" i="2"/>
  <c r="R35" i="2"/>
  <c r="S35" i="2"/>
  <c r="T35" i="2"/>
  <c r="U35" i="2"/>
  <c r="V35" i="2"/>
  <c r="Y35" i="2"/>
  <c r="Z35" i="2"/>
  <c r="AA35" i="2"/>
  <c r="AB35" i="2"/>
  <c r="AC35" i="2"/>
  <c r="AD35" i="2"/>
  <c r="AG35" i="2"/>
  <c r="AH35" i="2"/>
  <c r="AI35" i="2"/>
  <c r="AJ35" i="2"/>
  <c r="AK35" i="2"/>
  <c r="AL35" i="2"/>
  <c r="AM35" i="2"/>
  <c r="AN35" i="2"/>
  <c r="AO35" i="2"/>
  <c r="AP35" i="2"/>
  <c r="AQ35" i="2"/>
  <c r="AR35" i="2"/>
  <c r="AS35" i="2"/>
  <c r="AT35" i="2"/>
  <c r="AU35" i="2"/>
  <c r="J36" i="2"/>
  <c r="K36" i="2"/>
  <c r="L36" i="2"/>
  <c r="M36" i="2"/>
  <c r="N36" i="2"/>
  <c r="O36" i="2"/>
  <c r="P36" i="2"/>
  <c r="Q36" i="2"/>
  <c r="R36" i="2"/>
  <c r="S36" i="2"/>
  <c r="T36" i="2"/>
  <c r="U36" i="2"/>
  <c r="V36" i="2"/>
  <c r="Y36" i="2"/>
  <c r="Z36" i="2"/>
  <c r="AA36" i="2"/>
  <c r="AB36" i="2"/>
  <c r="AC36" i="2"/>
  <c r="AD36" i="2"/>
  <c r="AG36" i="2"/>
  <c r="AH36" i="2"/>
  <c r="AI36" i="2"/>
  <c r="AJ36" i="2"/>
  <c r="AK36" i="2"/>
  <c r="AL36" i="2"/>
  <c r="AM36" i="2"/>
  <c r="AN36" i="2"/>
  <c r="AO36" i="2"/>
  <c r="AP36" i="2"/>
  <c r="AQ36" i="2"/>
  <c r="AR36" i="2"/>
  <c r="AS36" i="2"/>
  <c r="AT36" i="2"/>
  <c r="AU36" i="2"/>
  <c r="J37" i="2"/>
  <c r="K37" i="2"/>
  <c r="L37" i="2"/>
  <c r="M37" i="2"/>
  <c r="N37" i="2"/>
  <c r="O37" i="2"/>
  <c r="P37" i="2"/>
  <c r="Q37" i="2"/>
  <c r="R37" i="2"/>
  <c r="S37" i="2"/>
  <c r="T37" i="2"/>
  <c r="U37" i="2"/>
  <c r="V37" i="2"/>
  <c r="Y37" i="2"/>
  <c r="Z37" i="2"/>
  <c r="AA37" i="2"/>
  <c r="AB37" i="2"/>
  <c r="AC37" i="2"/>
  <c r="AD37" i="2"/>
  <c r="AG37" i="2"/>
  <c r="AH37" i="2"/>
  <c r="AI37" i="2"/>
  <c r="AJ37" i="2"/>
  <c r="AK37" i="2"/>
  <c r="AL37" i="2"/>
  <c r="AM37" i="2"/>
  <c r="AN37" i="2"/>
  <c r="AO37" i="2"/>
  <c r="AP37" i="2"/>
  <c r="AQ37" i="2"/>
  <c r="AR37" i="2"/>
  <c r="AS37" i="2"/>
  <c r="AT37" i="2"/>
  <c r="AU37" i="2"/>
  <c r="J38" i="2"/>
  <c r="K38" i="2"/>
  <c r="L38" i="2"/>
  <c r="M38" i="2"/>
  <c r="N38" i="2"/>
  <c r="O38" i="2"/>
  <c r="P38" i="2"/>
  <c r="Q38" i="2"/>
  <c r="R38" i="2"/>
  <c r="S38" i="2"/>
  <c r="T38" i="2"/>
  <c r="U38" i="2"/>
  <c r="V38" i="2"/>
  <c r="Y38" i="2"/>
  <c r="Z38" i="2"/>
  <c r="AA38" i="2"/>
  <c r="AB38" i="2"/>
  <c r="AC38" i="2"/>
  <c r="AD38" i="2"/>
  <c r="AG38" i="2"/>
  <c r="AH38" i="2"/>
  <c r="AI38" i="2"/>
  <c r="AJ38" i="2"/>
  <c r="AK38" i="2"/>
  <c r="AL38" i="2"/>
  <c r="AM38" i="2"/>
  <c r="AN38" i="2"/>
  <c r="AO38" i="2"/>
  <c r="AP38" i="2"/>
  <c r="AQ38" i="2"/>
  <c r="AR38" i="2"/>
  <c r="AS38" i="2"/>
  <c r="AT38" i="2"/>
  <c r="AU38" i="2"/>
  <c r="J39" i="2"/>
  <c r="K39" i="2"/>
  <c r="L39" i="2"/>
  <c r="M39" i="2"/>
  <c r="N39" i="2"/>
  <c r="O39" i="2"/>
  <c r="P39" i="2"/>
  <c r="Q39" i="2"/>
  <c r="R39" i="2"/>
  <c r="S39" i="2"/>
  <c r="T39" i="2"/>
  <c r="U39" i="2"/>
  <c r="V39" i="2"/>
  <c r="Y39" i="2"/>
  <c r="Z39" i="2"/>
  <c r="AA39" i="2"/>
  <c r="AB39" i="2"/>
  <c r="AC39" i="2"/>
  <c r="AD39" i="2"/>
  <c r="AG39" i="2"/>
  <c r="AH39" i="2"/>
  <c r="AI39" i="2"/>
  <c r="AJ39" i="2"/>
  <c r="AK39" i="2"/>
  <c r="AL39" i="2"/>
  <c r="AM39" i="2"/>
  <c r="AN39" i="2"/>
  <c r="AO39" i="2"/>
  <c r="AP39" i="2"/>
  <c r="AQ39" i="2"/>
  <c r="AR39" i="2"/>
  <c r="AS39" i="2"/>
  <c r="AT39" i="2"/>
  <c r="AU39" i="2"/>
  <c r="J40" i="2"/>
  <c r="K40" i="2"/>
  <c r="L40" i="2"/>
  <c r="M40" i="2"/>
  <c r="N40" i="2"/>
  <c r="O40" i="2"/>
  <c r="P40" i="2"/>
  <c r="Q40" i="2"/>
  <c r="R40" i="2"/>
  <c r="S40" i="2"/>
  <c r="T40" i="2"/>
  <c r="U40" i="2"/>
  <c r="V40" i="2"/>
  <c r="Y40" i="2"/>
  <c r="Z40" i="2"/>
  <c r="AA40" i="2"/>
  <c r="AB40" i="2"/>
  <c r="AC40" i="2"/>
  <c r="AD40" i="2"/>
  <c r="AG40" i="2"/>
  <c r="AH40" i="2"/>
  <c r="AI40" i="2"/>
  <c r="AJ40" i="2"/>
  <c r="AK40" i="2"/>
  <c r="AL40" i="2"/>
  <c r="AM40" i="2"/>
  <c r="AN40" i="2"/>
  <c r="AO40" i="2"/>
  <c r="AP40" i="2"/>
  <c r="AQ40" i="2"/>
  <c r="AR40" i="2"/>
  <c r="AS40" i="2"/>
  <c r="AT40" i="2"/>
  <c r="AU40" i="2"/>
  <c r="J41" i="2"/>
  <c r="K41" i="2"/>
  <c r="L41" i="2"/>
  <c r="M41" i="2"/>
  <c r="N41" i="2"/>
  <c r="O41" i="2"/>
  <c r="P41" i="2"/>
  <c r="Q41" i="2"/>
  <c r="R41" i="2"/>
  <c r="S41" i="2"/>
  <c r="T41" i="2"/>
  <c r="U41" i="2"/>
  <c r="V41" i="2"/>
  <c r="Y41" i="2"/>
  <c r="Z41" i="2"/>
  <c r="AA41" i="2"/>
  <c r="AB41" i="2"/>
  <c r="AC41" i="2"/>
  <c r="AD41" i="2"/>
  <c r="AG41" i="2"/>
  <c r="AH41" i="2"/>
  <c r="AI41" i="2"/>
  <c r="AJ41" i="2"/>
  <c r="AK41" i="2"/>
  <c r="AL41" i="2"/>
  <c r="AM41" i="2"/>
  <c r="AN41" i="2"/>
  <c r="AO41" i="2"/>
  <c r="AP41" i="2"/>
  <c r="AQ41" i="2"/>
  <c r="AR41" i="2"/>
  <c r="AS41" i="2"/>
  <c r="AU41" i="2"/>
  <c r="J42" i="2"/>
  <c r="K42" i="2"/>
  <c r="L42" i="2"/>
  <c r="M42" i="2"/>
  <c r="N42" i="2"/>
  <c r="O42" i="2"/>
  <c r="P42" i="2"/>
  <c r="Q42" i="2"/>
  <c r="R42" i="2"/>
  <c r="S42" i="2"/>
  <c r="T42" i="2"/>
  <c r="U42" i="2"/>
  <c r="V42" i="2"/>
  <c r="Y42" i="2"/>
  <c r="Z42" i="2"/>
  <c r="AA42" i="2"/>
  <c r="AB42" i="2"/>
  <c r="AC42" i="2"/>
  <c r="AD42" i="2"/>
  <c r="J43" i="2"/>
  <c r="K43" i="2"/>
  <c r="L43" i="2"/>
  <c r="M43" i="2"/>
  <c r="N43" i="2"/>
  <c r="O43" i="2"/>
  <c r="P43" i="2"/>
  <c r="Q43" i="2"/>
  <c r="R43" i="2"/>
  <c r="S43" i="2"/>
  <c r="T43" i="2"/>
  <c r="U43" i="2"/>
  <c r="Y43" i="2"/>
  <c r="Z43" i="2"/>
  <c r="AA43" i="2"/>
  <c r="AB43" i="2"/>
  <c r="AC43" i="2"/>
  <c r="AD43" i="2"/>
  <c r="AT43" i="2"/>
  <c r="AU43" i="2"/>
  <c r="Y44" i="2"/>
  <c r="Z44" i="2"/>
  <c r="AA44" i="2"/>
  <c r="AB44" i="2"/>
  <c r="AC44" i="2"/>
  <c r="AD44" i="2"/>
  <c r="AG44" i="2"/>
  <c r="AH44" i="2"/>
  <c r="AI44" i="2"/>
  <c r="AJ44" i="2"/>
  <c r="AK44" i="2"/>
  <c r="AL44" i="2"/>
  <c r="AM44" i="2"/>
  <c r="AN44" i="2"/>
  <c r="AO44" i="2"/>
  <c r="AP44" i="2"/>
  <c r="AQ44" i="2"/>
  <c r="AR44" i="2"/>
  <c r="AS44" i="2"/>
  <c r="AT44" i="2"/>
  <c r="U45" i="2"/>
  <c r="V45" i="2"/>
  <c r="Y45" i="2"/>
  <c r="Z45" i="2"/>
  <c r="AA45" i="2"/>
  <c r="AB45" i="2"/>
  <c r="AC45" i="2"/>
  <c r="AD45" i="2"/>
  <c r="AG45" i="2"/>
  <c r="AH45" i="2"/>
  <c r="AI45" i="2"/>
  <c r="AJ45" i="2"/>
  <c r="AK45" i="2"/>
  <c r="AL45" i="2"/>
  <c r="AM45" i="2"/>
  <c r="AN45" i="2"/>
  <c r="AO45" i="2"/>
  <c r="AP45" i="2"/>
  <c r="AQ45" i="2"/>
  <c r="AR45" i="2"/>
  <c r="AS45" i="2"/>
  <c r="AT45" i="2"/>
  <c r="AU45" i="2"/>
  <c r="J46" i="2"/>
  <c r="K46" i="2"/>
  <c r="L46" i="2"/>
  <c r="M46" i="2"/>
  <c r="N46" i="2"/>
  <c r="O46" i="2"/>
  <c r="P46" i="2"/>
  <c r="Q46" i="2"/>
  <c r="R46" i="2"/>
  <c r="S46" i="2"/>
  <c r="T46" i="2"/>
  <c r="V46" i="2"/>
  <c r="Y46" i="2"/>
  <c r="Z46" i="2"/>
  <c r="AA46" i="2"/>
  <c r="AB46" i="2"/>
  <c r="AC46" i="2"/>
  <c r="AD46" i="2"/>
  <c r="AG46" i="2"/>
  <c r="AH46" i="2"/>
  <c r="AI46" i="2"/>
  <c r="AJ46" i="2"/>
  <c r="AK46" i="2"/>
  <c r="AL46" i="2"/>
  <c r="AM46" i="2"/>
  <c r="AN46" i="2"/>
  <c r="AO46" i="2"/>
  <c r="AP46" i="2"/>
  <c r="AQ46" i="2"/>
  <c r="AR46" i="2"/>
  <c r="AS46" i="2"/>
  <c r="AT46" i="2"/>
  <c r="AU46" i="2"/>
  <c r="J47" i="2"/>
  <c r="K47" i="2"/>
  <c r="L47" i="2"/>
  <c r="M47" i="2"/>
  <c r="N47" i="2"/>
  <c r="O47" i="2"/>
  <c r="P47" i="2"/>
  <c r="Q47" i="2"/>
  <c r="R47" i="2"/>
  <c r="S47" i="2"/>
  <c r="T47" i="2"/>
  <c r="U47" i="2"/>
  <c r="V47" i="2"/>
  <c r="Y47" i="2"/>
  <c r="Z47" i="2"/>
  <c r="AA47" i="2"/>
  <c r="AB47" i="2"/>
  <c r="AC47" i="2"/>
  <c r="AD47" i="2"/>
  <c r="AG47" i="2"/>
  <c r="AH47" i="2"/>
  <c r="AI47" i="2"/>
  <c r="AJ47" i="2"/>
  <c r="AK47" i="2"/>
  <c r="AL47" i="2"/>
  <c r="AM47" i="2"/>
  <c r="AN47" i="2"/>
  <c r="AO47" i="2"/>
  <c r="AP47" i="2"/>
  <c r="AQ47" i="2"/>
  <c r="AR47" i="2"/>
  <c r="AS47" i="2"/>
  <c r="AT47" i="2"/>
  <c r="AU47" i="2"/>
  <c r="J48" i="2"/>
  <c r="K48" i="2"/>
  <c r="L48" i="2"/>
  <c r="M48" i="2"/>
  <c r="N48" i="2"/>
  <c r="O48" i="2"/>
  <c r="P48" i="2"/>
  <c r="Q48" i="2"/>
  <c r="R48" i="2"/>
  <c r="S48" i="2"/>
  <c r="T48" i="2"/>
  <c r="U48" i="2"/>
  <c r="V48" i="2"/>
  <c r="Y48" i="2"/>
  <c r="Z48" i="2"/>
  <c r="AA48" i="2"/>
  <c r="AB48" i="2"/>
  <c r="AC48" i="2"/>
  <c r="AD48" i="2"/>
  <c r="AG48" i="2"/>
  <c r="AH48" i="2"/>
  <c r="AI48" i="2"/>
  <c r="AJ48" i="2"/>
  <c r="AK48" i="2"/>
  <c r="AL48" i="2"/>
  <c r="AM48" i="2"/>
  <c r="AN48" i="2"/>
  <c r="AO48" i="2"/>
  <c r="AP48" i="2"/>
  <c r="AQ48" i="2"/>
  <c r="AR48" i="2"/>
  <c r="AS48" i="2"/>
  <c r="AT48" i="2"/>
  <c r="AU48" i="2"/>
  <c r="J49" i="2"/>
  <c r="K49" i="2"/>
  <c r="L49" i="2"/>
  <c r="M49" i="2"/>
  <c r="N49" i="2"/>
  <c r="O49" i="2"/>
  <c r="P49" i="2"/>
  <c r="Q49" i="2"/>
  <c r="R49" i="2"/>
  <c r="S49" i="2"/>
  <c r="T49" i="2"/>
  <c r="U49" i="2"/>
  <c r="V49" i="2"/>
  <c r="Y49" i="2"/>
  <c r="Z49" i="2"/>
  <c r="AA49" i="2"/>
  <c r="AB49" i="2"/>
  <c r="AC49" i="2"/>
  <c r="AD49" i="2"/>
  <c r="AG49" i="2"/>
  <c r="AH49" i="2"/>
  <c r="AI49" i="2"/>
  <c r="AJ49" i="2"/>
  <c r="AK49" i="2"/>
  <c r="AL49" i="2"/>
  <c r="AM49" i="2"/>
  <c r="AN49" i="2"/>
  <c r="AO49" i="2"/>
  <c r="AP49" i="2"/>
  <c r="AQ49" i="2"/>
  <c r="AR49" i="2"/>
  <c r="AS49" i="2"/>
  <c r="AT49" i="2"/>
  <c r="AU49" i="2"/>
  <c r="J50" i="2"/>
  <c r="K50" i="2"/>
  <c r="L50" i="2"/>
  <c r="M50" i="2"/>
  <c r="N50" i="2"/>
  <c r="O50" i="2"/>
  <c r="P50" i="2"/>
  <c r="Q50" i="2"/>
  <c r="R50" i="2"/>
  <c r="S50" i="2"/>
  <c r="T50" i="2"/>
  <c r="U50" i="2"/>
  <c r="V50" i="2"/>
  <c r="Y50" i="2"/>
  <c r="Z50" i="2"/>
  <c r="AA50" i="2"/>
  <c r="AB50" i="2"/>
  <c r="AC50" i="2"/>
  <c r="AD50" i="2"/>
  <c r="AG50" i="2"/>
  <c r="AH50" i="2"/>
  <c r="AI50" i="2"/>
  <c r="AJ50" i="2"/>
  <c r="AK50" i="2"/>
  <c r="AL50" i="2"/>
  <c r="AM50" i="2"/>
  <c r="AN50" i="2"/>
  <c r="AO50" i="2"/>
  <c r="AP50" i="2"/>
  <c r="AQ50" i="2"/>
  <c r="AR50" i="2"/>
  <c r="AS50" i="2"/>
  <c r="AT50" i="2"/>
  <c r="AU50" i="2"/>
  <c r="J51" i="2"/>
  <c r="K51" i="2"/>
  <c r="L51" i="2"/>
  <c r="M51" i="2"/>
  <c r="N51" i="2"/>
  <c r="O51" i="2"/>
  <c r="P51" i="2"/>
  <c r="Q51" i="2"/>
  <c r="R51" i="2"/>
  <c r="S51" i="2"/>
  <c r="T51" i="2"/>
  <c r="U51" i="2"/>
  <c r="V51" i="2"/>
  <c r="Y51" i="2"/>
  <c r="Z51" i="2"/>
  <c r="AA51" i="2"/>
  <c r="AB51" i="2"/>
  <c r="AC51" i="2"/>
  <c r="AD51" i="2"/>
  <c r="AG51" i="2"/>
  <c r="AH51" i="2"/>
  <c r="AI51" i="2"/>
  <c r="AJ51" i="2"/>
  <c r="AK51" i="2"/>
  <c r="AL51" i="2"/>
  <c r="AM51" i="2"/>
  <c r="AN51" i="2"/>
  <c r="AO51" i="2"/>
  <c r="AP51" i="2"/>
  <c r="AQ51" i="2"/>
  <c r="AR51" i="2"/>
  <c r="AS51" i="2"/>
  <c r="AT51" i="2"/>
  <c r="AU51" i="2"/>
  <c r="J52" i="2"/>
  <c r="K52" i="2"/>
  <c r="L52" i="2"/>
  <c r="M52" i="2"/>
  <c r="N52" i="2"/>
  <c r="O52" i="2"/>
  <c r="P52" i="2"/>
  <c r="Q52" i="2"/>
  <c r="R52" i="2"/>
  <c r="S52" i="2"/>
  <c r="T52" i="2"/>
  <c r="U52" i="2"/>
  <c r="V52" i="2"/>
  <c r="Y52" i="2"/>
  <c r="Z52" i="2"/>
  <c r="AA52" i="2"/>
  <c r="AB52" i="2"/>
  <c r="AC52" i="2"/>
  <c r="AD52" i="2"/>
  <c r="AG52" i="2"/>
  <c r="AH52" i="2"/>
  <c r="AI52" i="2"/>
  <c r="AJ52" i="2"/>
  <c r="AK52" i="2"/>
  <c r="AL52" i="2"/>
  <c r="AM52" i="2"/>
  <c r="AN52" i="2"/>
  <c r="AO52" i="2"/>
  <c r="AP52" i="2"/>
  <c r="AQ52" i="2"/>
  <c r="AR52" i="2"/>
  <c r="AS52" i="2"/>
  <c r="AT52" i="2"/>
  <c r="AU52" i="2"/>
  <c r="J53" i="2"/>
  <c r="K53" i="2"/>
  <c r="L53" i="2"/>
  <c r="M53" i="2"/>
  <c r="N53" i="2"/>
  <c r="O53" i="2"/>
  <c r="P53" i="2"/>
  <c r="Q53" i="2"/>
  <c r="R53" i="2"/>
  <c r="S53" i="2"/>
  <c r="T53" i="2"/>
  <c r="U53" i="2"/>
  <c r="V53" i="2"/>
  <c r="Y53" i="2"/>
  <c r="Z53" i="2"/>
  <c r="AA53" i="2"/>
  <c r="AB53" i="2"/>
  <c r="AC53" i="2"/>
  <c r="AD53" i="2"/>
  <c r="AG53" i="2"/>
  <c r="AH53" i="2"/>
  <c r="AI53" i="2"/>
  <c r="AJ53" i="2"/>
  <c r="AK53" i="2"/>
  <c r="AL53" i="2"/>
  <c r="AM53" i="2"/>
  <c r="AN53" i="2"/>
  <c r="AO53" i="2"/>
  <c r="AP53" i="2"/>
  <c r="AQ53" i="2"/>
  <c r="AR53" i="2"/>
  <c r="AS53" i="2"/>
  <c r="AT53" i="2"/>
  <c r="AU53" i="2"/>
  <c r="J54" i="2"/>
  <c r="K54" i="2"/>
  <c r="L54" i="2"/>
  <c r="M54" i="2"/>
  <c r="N54" i="2"/>
  <c r="O54" i="2"/>
  <c r="P54" i="2"/>
  <c r="Q54" i="2"/>
  <c r="R54" i="2"/>
  <c r="S54" i="2"/>
  <c r="T54" i="2"/>
  <c r="U54" i="2"/>
  <c r="V54" i="2"/>
  <c r="Y54" i="2"/>
  <c r="Z54" i="2"/>
  <c r="AA54" i="2"/>
  <c r="AB54" i="2"/>
  <c r="AC54" i="2"/>
  <c r="AD54" i="2"/>
  <c r="AG54" i="2"/>
  <c r="AH54" i="2"/>
  <c r="AI54" i="2"/>
  <c r="AJ54" i="2"/>
  <c r="AK54" i="2"/>
  <c r="AL54" i="2"/>
  <c r="AM54" i="2"/>
  <c r="AN54" i="2"/>
  <c r="AO54" i="2"/>
  <c r="AP54" i="2"/>
  <c r="AQ54" i="2"/>
  <c r="AR54" i="2"/>
  <c r="AS54" i="2"/>
  <c r="AU54" i="2"/>
  <c r="J55" i="2"/>
  <c r="K55" i="2"/>
  <c r="L55" i="2"/>
  <c r="M55" i="2"/>
  <c r="N55" i="2"/>
  <c r="O55" i="2"/>
  <c r="P55" i="2"/>
  <c r="Q55" i="2"/>
  <c r="R55" i="2"/>
  <c r="S55" i="2"/>
  <c r="T55" i="2"/>
  <c r="U55" i="2"/>
  <c r="V55" i="2"/>
  <c r="Y55" i="2"/>
  <c r="Z55" i="2"/>
  <c r="AA55" i="2"/>
  <c r="AB55" i="2"/>
  <c r="AC55" i="2"/>
  <c r="AD55" i="2"/>
  <c r="J56" i="2"/>
  <c r="K56" i="2"/>
  <c r="L56" i="2"/>
  <c r="M56" i="2"/>
  <c r="N56" i="2"/>
  <c r="O56" i="2"/>
  <c r="P56" i="2"/>
  <c r="Q56" i="2"/>
  <c r="R56" i="2"/>
  <c r="S56" i="2"/>
  <c r="T56" i="2"/>
  <c r="U56" i="2"/>
  <c r="Y56" i="2"/>
  <c r="Z56" i="2"/>
  <c r="AA56" i="2"/>
  <c r="AB56" i="2"/>
  <c r="AC56" i="2"/>
  <c r="AD56" i="2"/>
  <c r="AT56" i="2"/>
  <c r="AU56" i="2"/>
  <c r="Y57" i="2"/>
  <c r="Z57" i="2"/>
  <c r="AA57" i="2"/>
  <c r="AB57" i="2"/>
  <c r="AC57" i="2"/>
  <c r="AD57" i="2"/>
  <c r="AG57" i="2"/>
  <c r="AH57" i="2"/>
  <c r="AI57" i="2"/>
  <c r="AJ57" i="2"/>
  <c r="AK57" i="2"/>
  <c r="AL57" i="2"/>
  <c r="AM57" i="2"/>
  <c r="AN57" i="2"/>
  <c r="AO57" i="2"/>
  <c r="AP57" i="2"/>
  <c r="AQ57" i="2"/>
  <c r="AR57" i="2"/>
  <c r="AS57" i="2"/>
  <c r="AT57" i="2"/>
  <c r="U58" i="2"/>
  <c r="V58" i="2"/>
  <c r="Y58" i="2"/>
  <c r="Z58" i="2"/>
  <c r="AA58" i="2"/>
  <c r="AB58" i="2"/>
  <c r="AC58" i="2"/>
  <c r="AD58" i="2"/>
  <c r="AG58" i="2"/>
  <c r="AH58" i="2"/>
  <c r="AI58" i="2"/>
  <c r="AJ58" i="2"/>
  <c r="AK58" i="2"/>
  <c r="AL58" i="2"/>
  <c r="AM58" i="2"/>
  <c r="AN58" i="2"/>
  <c r="AO58" i="2"/>
  <c r="AP58" i="2"/>
  <c r="AQ58" i="2"/>
  <c r="AR58" i="2"/>
  <c r="AS58" i="2"/>
  <c r="AT58" i="2"/>
  <c r="AU58" i="2"/>
  <c r="J59" i="2"/>
  <c r="K59" i="2"/>
  <c r="L59" i="2"/>
  <c r="M59" i="2"/>
  <c r="N59" i="2"/>
  <c r="O59" i="2"/>
  <c r="P59" i="2"/>
  <c r="Q59" i="2"/>
  <c r="R59" i="2"/>
  <c r="S59" i="2"/>
  <c r="T59" i="2"/>
  <c r="V59" i="2"/>
  <c r="Y59" i="2"/>
  <c r="Z59" i="2"/>
  <c r="AA59" i="2"/>
  <c r="AB59" i="2"/>
  <c r="AC59" i="2"/>
  <c r="AD59" i="2"/>
  <c r="AG59" i="2"/>
  <c r="AH59" i="2"/>
  <c r="AI59" i="2"/>
  <c r="AJ59" i="2"/>
  <c r="AK59" i="2"/>
  <c r="AL59" i="2"/>
  <c r="AM59" i="2"/>
  <c r="AN59" i="2"/>
  <c r="AO59" i="2"/>
  <c r="AP59" i="2"/>
  <c r="AQ59" i="2"/>
  <c r="AR59" i="2"/>
  <c r="AS59" i="2"/>
  <c r="AT59" i="2"/>
  <c r="AU59" i="2"/>
  <c r="J60" i="2"/>
  <c r="K60" i="2"/>
  <c r="L60" i="2"/>
  <c r="M60" i="2"/>
  <c r="N60" i="2"/>
  <c r="O60" i="2"/>
  <c r="P60" i="2"/>
  <c r="Q60" i="2"/>
  <c r="R60" i="2"/>
  <c r="S60" i="2"/>
  <c r="T60" i="2"/>
  <c r="U60" i="2"/>
  <c r="V60" i="2"/>
  <c r="Y60" i="2"/>
  <c r="Z60" i="2"/>
  <c r="AA60" i="2"/>
  <c r="AB60" i="2"/>
  <c r="AC60" i="2"/>
  <c r="AD60" i="2"/>
  <c r="AG60" i="2"/>
  <c r="AH60" i="2"/>
  <c r="AI60" i="2"/>
  <c r="AJ60" i="2"/>
  <c r="AK60" i="2"/>
  <c r="AL60" i="2"/>
  <c r="AM60" i="2"/>
  <c r="AN60" i="2"/>
  <c r="AO60" i="2"/>
  <c r="AP60" i="2"/>
  <c r="AQ60" i="2"/>
  <c r="AR60" i="2"/>
  <c r="AS60" i="2"/>
  <c r="AT60" i="2"/>
  <c r="AU60" i="2"/>
  <c r="J61" i="2"/>
  <c r="K61" i="2"/>
  <c r="L61" i="2"/>
  <c r="M61" i="2"/>
  <c r="N61" i="2"/>
  <c r="O61" i="2"/>
  <c r="P61" i="2"/>
  <c r="Q61" i="2"/>
  <c r="R61" i="2"/>
  <c r="S61" i="2"/>
  <c r="T61" i="2"/>
  <c r="U61" i="2"/>
  <c r="V61" i="2"/>
  <c r="Y61" i="2"/>
  <c r="Z61" i="2"/>
  <c r="AA61" i="2"/>
  <c r="AB61" i="2"/>
  <c r="AC61" i="2"/>
  <c r="AD61" i="2"/>
  <c r="AG61" i="2"/>
  <c r="AH61" i="2"/>
  <c r="AI61" i="2"/>
  <c r="AJ61" i="2"/>
  <c r="AK61" i="2"/>
  <c r="AL61" i="2"/>
  <c r="AM61" i="2"/>
  <c r="AN61" i="2"/>
  <c r="AO61" i="2"/>
  <c r="AP61" i="2"/>
  <c r="AQ61" i="2"/>
  <c r="AR61" i="2"/>
  <c r="AS61" i="2"/>
  <c r="AT61" i="2"/>
  <c r="AU61" i="2"/>
  <c r="J62" i="2"/>
  <c r="K62" i="2"/>
  <c r="L62" i="2"/>
  <c r="M62" i="2"/>
  <c r="N62" i="2"/>
  <c r="O62" i="2"/>
  <c r="P62" i="2"/>
  <c r="Q62" i="2"/>
  <c r="R62" i="2"/>
  <c r="S62" i="2"/>
  <c r="T62" i="2"/>
  <c r="U62" i="2"/>
  <c r="V62" i="2"/>
  <c r="Y62" i="2"/>
  <c r="Z62" i="2"/>
  <c r="AA62" i="2"/>
  <c r="AB62" i="2"/>
  <c r="AC62" i="2"/>
  <c r="AD62" i="2"/>
  <c r="AG62" i="2"/>
  <c r="AH62" i="2"/>
  <c r="AI62" i="2"/>
  <c r="AJ62" i="2"/>
  <c r="AK62" i="2"/>
  <c r="AL62" i="2"/>
  <c r="AM62" i="2"/>
  <c r="AN62" i="2"/>
  <c r="AO62" i="2"/>
  <c r="AP62" i="2"/>
  <c r="AQ62" i="2"/>
  <c r="AR62" i="2"/>
  <c r="AS62" i="2"/>
  <c r="AT62" i="2"/>
  <c r="AU62" i="2"/>
  <c r="J63" i="2"/>
  <c r="K63" i="2"/>
  <c r="L63" i="2"/>
  <c r="M63" i="2"/>
  <c r="N63" i="2"/>
  <c r="O63" i="2"/>
  <c r="P63" i="2"/>
  <c r="Q63" i="2"/>
  <c r="R63" i="2"/>
  <c r="S63" i="2"/>
  <c r="T63" i="2"/>
  <c r="U63" i="2"/>
  <c r="V63" i="2"/>
  <c r="Y63" i="2"/>
  <c r="Z63" i="2"/>
  <c r="AA63" i="2"/>
  <c r="AB63" i="2"/>
  <c r="AC63" i="2"/>
  <c r="AD63" i="2"/>
  <c r="AG63" i="2"/>
  <c r="AH63" i="2"/>
  <c r="AI63" i="2"/>
  <c r="AJ63" i="2"/>
  <c r="AK63" i="2"/>
  <c r="AL63" i="2"/>
  <c r="AM63" i="2"/>
  <c r="AN63" i="2"/>
  <c r="AO63" i="2"/>
  <c r="AP63" i="2"/>
  <c r="AQ63" i="2"/>
  <c r="AR63" i="2"/>
  <c r="AS63" i="2"/>
  <c r="AT63" i="2"/>
  <c r="AU63" i="2"/>
  <c r="J64" i="2"/>
  <c r="K64" i="2"/>
  <c r="L64" i="2"/>
  <c r="M64" i="2"/>
  <c r="N64" i="2"/>
  <c r="O64" i="2"/>
  <c r="P64" i="2"/>
  <c r="Q64" i="2"/>
  <c r="R64" i="2"/>
  <c r="S64" i="2"/>
  <c r="T64" i="2"/>
  <c r="U64" i="2"/>
  <c r="V64" i="2"/>
  <c r="Y64" i="2"/>
  <c r="Z64" i="2"/>
  <c r="AA64" i="2"/>
  <c r="AB64" i="2"/>
  <c r="AC64" i="2"/>
  <c r="AD64" i="2"/>
  <c r="AG64" i="2"/>
  <c r="AH64" i="2"/>
  <c r="AI64" i="2"/>
  <c r="AJ64" i="2"/>
  <c r="AK64" i="2"/>
  <c r="AL64" i="2"/>
  <c r="AM64" i="2"/>
  <c r="AN64" i="2"/>
  <c r="AO64" i="2"/>
  <c r="AP64" i="2"/>
  <c r="AQ64" i="2"/>
  <c r="AR64" i="2"/>
  <c r="AS64" i="2"/>
  <c r="AT64" i="2"/>
  <c r="AU64" i="2"/>
  <c r="J65" i="2"/>
  <c r="K65" i="2"/>
  <c r="L65" i="2"/>
  <c r="M65" i="2"/>
  <c r="N65" i="2"/>
  <c r="O65" i="2"/>
  <c r="P65" i="2"/>
  <c r="Q65" i="2"/>
  <c r="R65" i="2"/>
  <c r="S65" i="2"/>
  <c r="T65" i="2"/>
  <c r="U65" i="2"/>
  <c r="V65" i="2"/>
  <c r="Y65" i="2"/>
  <c r="Z65" i="2"/>
  <c r="AA65" i="2"/>
  <c r="AB65" i="2"/>
  <c r="AC65" i="2"/>
  <c r="AD65" i="2"/>
  <c r="AG65" i="2"/>
  <c r="AH65" i="2"/>
  <c r="AI65" i="2"/>
  <c r="AJ65" i="2"/>
  <c r="AK65" i="2"/>
  <c r="AL65" i="2"/>
  <c r="AM65" i="2"/>
  <c r="AN65" i="2"/>
  <c r="AO65" i="2"/>
  <c r="AP65" i="2"/>
  <c r="AQ65" i="2"/>
  <c r="AR65" i="2"/>
  <c r="AS65" i="2"/>
  <c r="AT65" i="2"/>
  <c r="AU65" i="2"/>
  <c r="J66" i="2"/>
  <c r="K66" i="2"/>
  <c r="L66" i="2"/>
  <c r="M66" i="2"/>
  <c r="N66" i="2"/>
  <c r="O66" i="2"/>
  <c r="P66" i="2"/>
  <c r="Q66" i="2"/>
  <c r="R66" i="2"/>
  <c r="S66" i="2"/>
  <c r="T66" i="2"/>
  <c r="U66" i="2"/>
  <c r="V66" i="2"/>
  <c r="Y66" i="2"/>
  <c r="Z66" i="2"/>
  <c r="AA66" i="2"/>
  <c r="AB66" i="2"/>
  <c r="AC66" i="2"/>
  <c r="AD66" i="2"/>
  <c r="AG66" i="2"/>
  <c r="AH66" i="2"/>
  <c r="AI66" i="2"/>
  <c r="AJ66" i="2"/>
  <c r="AK66" i="2"/>
  <c r="AL66" i="2"/>
  <c r="AM66" i="2"/>
  <c r="AN66" i="2"/>
  <c r="AO66" i="2"/>
  <c r="AP66" i="2"/>
  <c r="AQ66" i="2"/>
  <c r="AR66" i="2"/>
  <c r="AS66" i="2"/>
  <c r="AT66" i="2"/>
  <c r="AU66" i="2"/>
  <c r="J67" i="2"/>
  <c r="K67" i="2"/>
  <c r="L67" i="2"/>
  <c r="M67" i="2"/>
  <c r="N67" i="2"/>
  <c r="O67" i="2"/>
  <c r="P67" i="2"/>
  <c r="Q67" i="2"/>
  <c r="R67" i="2"/>
  <c r="S67" i="2"/>
  <c r="T67" i="2"/>
  <c r="U67" i="2"/>
  <c r="V67" i="2"/>
  <c r="Y67" i="2"/>
  <c r="Z67" i="2"/>
  <c r="AA67" i="2"/>
  <c r="AB67" i="2"/>
  <c r="AC67" i="2"/>
  <c r="AD67" i="2"/>
  <c r="AG67" i="2"/>
  <c r="AH67" i="2"/>
  <c r="AI67" i="2"/>
  <c r="AJ67" i="2"/>
  <c r="AK67" i="2"/>
  <c r="AL67" i="2"/>
  <c r="AM67" i="2"/>
  <c r="AN67" i="2"/>
  <c r="AO67" i="2"/>
  <c r="AP67" i="2"/>
  <c r="AQ67" i="2"/>
  <c r="AR67" i="2"/>
  <c r="AS67" i="2"/>
  <c r="AU67" i="2"/>
  <c r="J68" i="2"/>
  <c r="K68" i="2"/>
  <c r="L68" i="2"/>
  <c r="M68" i="2"/>
  <c r="N68" i="2"/>
  <c r="O68" i="2"/>
  <c r="P68" i="2"/>
  <c r="Q68" i="2"/>
  <c r="R68" i="2"/>
  <c r="S68" i="2"/>
  <c r="T68" i="2"/>
  <c r="U68" i="2"/>
  <c r="V68" i="2"/>
  <c r="Y68" i="2"/>
  <c r="Z68" i="2"/>
  <c r="AA68" i="2"/>
  <c r="AB68" i="2"/>
  <c r="AC68" i="2"/>
  <c r="AD68" i="2"/>
  <c r="J69" i="2"/>
  <c r="K69" i="2"/>
  <c r="L69" i="2"/>
  <c r="M69" i="2"/>
  <c r="N69" i="2"/>
  <c r="O69" i="2"/>
  <c r="P69" i="2"/>
  <c r="Q69" i="2"/>
  <c r="R69" i="2"/>
  <c r="S69" i="2"/>
  <c r="T69" i="2"/>
  <c r="U69" i="2"/>
  <c r="Y69" i="2"/>
  <c r="Z69" i="2"/>
  <c r="AA69" i="2"/>
  <c r="AB69" i="2"/>
  <c r="AC69" i="2"/>
  <c r="AD69" i="2"/>
  <c r="AT69" i="2"/>
  <c r="AU69" i="2"/>
  <c r="Y70" i="2"/>
  <c r="Z70" i="2"/>
  <c r="AA70" i="2"/>
  <c r="AB70" i="2"/>
  <c r="AC70" i="2"/>
  <c r="AD70" i="2"/>
  <c r="AG70" i="2"/>
  <c r="AH70" i="2"/>
  <c r="AI70" i="2"/>
  <c r="AJ70" i="2"/>
  <c r="AK70" i="2"/>
  <c r="AL70" i="2"/>
  <c r="AM70" i="2"/>
  <c r="AN70" i="2"/>
  <c r="AO70" i="2"/>
  <c r="AP70" i="2"/>
  <c r="AQ70" i="2"/>
  <c r="AR70" i="2"/>
  <c r="AS70" i="2"/>
  <c r="AT70" i="2"/>
  <c r="J71" i="2"/>
  <c r="K71" i="2"/>
  <c r="L71" i="2"/>
  <c r="M71" i="2"/>
  <c r="N71" i="2"/>
  <c r="O71" i="2"/>
  <c r="P71" i="2"/>
  <c r="Q71" i="2"/>
  <c r="R71" i="2"/>
  <c r="S71" i="2"/>
  <c r="T71" i="2"/>
  <c r="Y71" i="2"/>
  <c r="Z71" i="2"/>
  <c r="AA71" i="2"/>
  <c r="AB71" i="2"/>
  <c r="AC71" i="2"/>
  <c r="AD71" i="2"/>
  <c r="AG71" i="2"/>
  <c r="AH71" i="2"/>
  <c r="AI71" i="2"/>
  <c r="AJ71" i="2"/>
  <c r="AK71" i="2"/>
  <c r="AL71" i="2"/>
  <c r="AM71" i="2"/>
  <c r="AN71" i="2"/>
  <c r="AO71" i="2"/>
  <c r="AP71" i="2"/>
  <c r="AQ71" i="2"/>
  <c r="AR71" i="2"/>
  <c r="AS71" i="2"/>
  <c r="AT71" i="2"/>
  <c r="AU71" i="2"/>
  <c r="J72" i="2"/>
  <c r="K72" i="2"/>
  <c r="L72" i="2"/>
  <c r="M72" i="2"/>
  <c r="N72" i="2"/>
  <c r="O72" i="2"/>
  <c r="P72" i="2"/>
  <c r="Q72" i="2"/>
  <c r="R72" i="2"/>
  <c r="S72" i="2"/>
  <c r="T72" i="2"/>
  <c r="U72" i="2"/>
  <c r="Y72" i="2"/>
  <c r="Z72" i="2"/>
  <c r="AA72" i="2"/>
  <c r="AB72" i="2"/>
  <c r="AC72" i="2"/>
  <c r="AD72" i="2"/>
  <c r="AG72" i="2"/>
  <c r="AH72" i="2"/>
  <c r="AI72" i="2"/>
  <c r="AJ72" i="2"/>
  <c r="AK72" i="2"/>
  <c r="AL72" i="2"/>
  <c r="AM72" i="2"/>
  <c r="AN72" i="2"/>
  <c r="AO72" i="2"/>
  <c r="AP72" i="2"/>
  <c r="AQ72" i="2"/>
  <c r="AR72" i="2"/>
  <c r="AS72" i="2"/>
  <c r="AT72" i="2"/>
  <c r="AU72" i="2"/>
  <c r="J73" i="2"/>
  <c r="K73" i="2"/>
  <c r="L73" i="2"/>
  <c r="M73" i="2"/>
  <c r="N73" i="2"/>
  <c r="O73" i="2"/>
  <c r="P73" i="2"/>
  <c r="Q73" i="2"/>
  <c r="R73" i="2"/>
  <c r="S73" i="2"/>
  <c r="T73" i="2"/>
  <c r="U73" i="2"/>
  <c r="Y73" i="2"/>
  <c r="Z73" i="2"/>
  <c r="AA73" i="2"/>
  <c r="AB73" i="2"/>
  <c r="AC73" i="2"/>
  <c r="AD73" i="2"/>
  <c r="AG73" i="2"/>
  <c r="AH73" i="2"/>
  <c r="AI73" i="2"/>
  <c r="AJ73" i="2"/>
  <c r="AK73" i="2"/>
  <c r="AL73" i="2"/>
  <c r="AM73" i="2"/>
  <c r="AN73" i="2"/>
  <c r="AO73" i="2"/>
  <c r="AP73" i="2"/>
  <c r="AQ73" i="2"/>
  <c r="AR73" i="2"/>
  <c r="AS73" i="2"/>
  <c r="AT73" i="2"/>
  <c r="AU73" i="2"/>
  <c r="J74" i="2"/>
  <c r="K74" i="2"/>
  <c r="L74" i="2"/>
  <c r="M74" i="2"/>
  <c r="N74" i="2"/>
  <c r="O74" i="2"/>
  <c r="P74" i="2"/>
  <c r="Q74" i="2"/>
  <c r="R74" i="2"/>
  <c r="S74" i="2"/>
  <c r="T74" i="2"/>
  <c r="U74" i="2"/>
  <c r="Y74" i="2"/>
  <c r="Z74" i="2"/>
  <c r="AA74" i="2"/>
  <c r="AB74" i="2"/>
  <c r="AC74" i="2"/>
  <c r="AD74" i="2"/>
  <c r="AG74" i="2"/>
  <c r="AH74" i="2"/>
  <c r="AI74" i="2"/>
  <c r="AJ74" i="2"/>
  <c r="AK74" i="2"/>
  <c r="AL74" i="2"/>
  <c r="AM74" i="2"/>
  <c r="AN74" i="2"/>
  <c r="AO74" i="2"/>
  <c r="AP74" i="2"/>
  <c r="AQ74" i="2"/>
  <c r="AR74" i="2"/>
  <c r="AS74" i="2"/>
  <c r="AT74" i="2"/>
  <c r="AU74" i="2"/>
  <c r="J75" i="2"/>
  <c r="K75" i="2"/>
  <c r="L75" i="2"/>
  <c r="M75" i="2"/>
  <c r="N75" i="2"/>
  <c r="O75" i="2"/>
  <c r="P75" i="2"/>
  <c r="Q75" i="2"/>
  <c r="R75" i="2"/>
  <c r="S75" i="2"/>
  <c r="T75" i="2"/>
  <c r="U75" i="2"/>
  <c r="Y75" i="2"/>
  <c r="Z75" i="2"/>
  <c r="AA75" i="2"/>
  <c r="AB75" i="2"/>
  <c r="AC75" i="2"/>
  <c r="AD75" i="2"/>
  <c r="AG75" i="2"/>
  <c r="AH75" i="2"/>
  <c r="AI75" i="2"/>
  <c r="AJ75" i="2"/>
  <c r="AK75" i="2"/>
  <c r="AL75" i="2"/>
  <c r="AM75" i="2"/>
  <c r="AN75" i="2"/>
  <c r="AO75" i="2"/>
  <c r="AP75" i="2"/>
  <c r="AQ75" i="2"/>
  <c r="AR75" i="2"/>
  <c r="AS75" i="2"/>
  <c r="AT75" i="2"/>
  <c r="AU75" i="2"/>
  <c r="J76" i="2"/>
  <c r="K76" i="2"/>
  <c r="L76" i="2"/>
  <c r="M76" i="2"/>
  <c r="N76" i="2"/>
  <c r="O76" i="2"/>
  <c r="P76" i="2"/>
  <c r="Q76" i="2"/>
  <c r="R76" i="2"/>
  <c r="S76" i="2"/>
  <c r="T76" i="2"/>
  <c r="U76" i="2"/>
  <c r="Y76" i="2"/>
  <c r="Z76" i="2"/>
  <c r="AA76" i="2"/>
  <c r="AB76" i="2"/>
  <c r="AC76" i="2"/>
  <c r="AD76" i="2"/>
  <c r="AG76" i="2"/>
  <c r="AH76" i="2"/>
  <c r="AI76" i="2"/>
  <c r="AJ76" i="2"/>
  <c r="AK76" i="2"/>
  <c r="AL76" i="2"/>
  <c r="AM76" i="2"/>
  <c r="AN76" i="2"/>
  <c r="AO76" i="2"/>
  <c r="AP76" i="2"/>
  <c r="AQ76" i="2"/>
  <c r="AR76" i="2"/>
  <c r="AS76" i="2"/>
  <c r="AT76" i="2"/>
  <c r="AU76" i="2"/>
  <c r="J77" i="2"/>
  <c r="K77" i="2"/>
  <c r="L77" i="2"/>
  <c r="M77" i="2"/>
  <c r="N77" i="2"/>
  <c r="O77" i="2"/>
  <c r="P77" i="2"/>
  <c r="Q77" i="2"/>
  <c r="R77" i="2"/>
  <c r="S77" i="2"/>
  <c r="T77" i="2"/>
  <c r="U77" i="2"/>
  <c r="Y77" i="2"/>
  <c r="Z77" i="2"/>
  <c r="AA77" i="2"/>
  <c r="AB77" i="2"/>
  <c r="AC77" i="2"/>
  <c r="AD77" i="2"/>
  <c r="AG77" i="2"/>
  <c r="AH77" i="2"/>
  <c r="AI77" i="2"/>
  <c r="AJ77" i="2"/>
  <c r="AK77" i="2"/>
  <c r="AL77" i="2"/>
  <c r="AM77" i="2"/>
  <c r="AN77" i="2"/>
  <c r="AO77" i="2"/>
  <c r="AP77" i="2"/>
  <c r="AQ77" i="2"/>
  <c r="AR77" i="2"/>
  <c r="AS77" i="2"/>
  <c r="AT77" i="2"/>
  <c r="AU77" i="2"/>
  <c r="J78" i="2"/>
  <c r="K78" i="2"/>
  <c r="L78" i="2"/>
  <c r="M78" i="2"/>
  <c r="N78" i="2"/>
  <c r="O78" i="2"/>
  <c r="P78" i="2"/>
  <c r="Q78" i="2"/>
  <c r="R78" i="2"/>
  <c r="S78" i="2"/>
  <c r="T78" i="2"/>
  <c r="U78" i="2"/>
  <c r="Y78" i="2"/>
  <c r="Z78" i="2"/>
  <c r="AA78" i="2"/>
  <c r="AB78" i="2"/>
  <c r="AC78" i="2"/>
  <c r="AD78" i="2"/>
  <c r="AG78" i="2"/>
  <c r="AH78" i="2"/>
  <c r="AI78" i="2"/>
  <c r="AJ78" i="2"/>
  <c r="AK78" i="2"/>
  <c r="AL78" i="2"/>
  <c r="AM78" i="2"/>
  <c r="AN78" i="2"/>
  <c r="AO78" i="2"/>
  <c r="AP78" i="2"/>
  <c r="AQ78" i="2"/>
  <c r="AR78" i="2"/>
  <c r="AS78" i="2"/>
  <c r="AT78" i="2"/>
  <c r="AU78" i="2"/>
  <c r="J79" i="2"/>
  <c r="K79" i="2"/>
  <c r="L79" i="2"/>
  <c r="M79" i="2"/>
  <c r="N79" i="2"/>
  <c r="O79" i="2"/>
  <c r="P79" i="2"/>
  <c r="Q79" i="2"/>
  <c r="R79" i="2"/>
  <c r="S79" i="2"/>
  <c r="T79" i="2"/>
  <c r="U79" i="2"/>
  <c r="Y79" i="2"/>
  <c r="Z79" i="2"/>
  <c r="AA79" i="2"/>
  <c r="AB79" i="2"/>
  <c r="AC79" i="2"/>
  <c r="AD79" i="2"/>
  <c r="AG79" i="2"/>
  <c r="AH79" i="2"/>
  <c r="AI79" i="2"/>
  <c r="AJ79" i="2"/>
  <c r="AK79" i="2"/>
  <c r="AL79" i="2"/>
  <c r="AM79" i="2"/>
  <c r="AN79" i="2"/>
  <c r="AO79" i="2"/>
  <c r="AP79" i="2"/>
  <c r="AQ79" i="2"/>
  <c r="AR79" i="2"/>
  <c r="AS79" i="2"/>
  <c r="AT79" i="2"/>
  <c r="AU79" i="2"/>
  <c r="J80" i="2"/>
  <c r="K80" i="2"/>
  <c r="L80" i="2"/>
  <c r="M80" i="2"/>
  <c r="N80" i="2"/>
  <c r="O80" i="2"/>
  <c r="P80" i="2"/>
  <c r="Q80" i="2"/>
  <c r="R80" i="2"/>
  <c r="S80" i="2"/>
  <c r="T80" i="2"/>
  <c r="U80" i="2"/>
  <c r="Y80" i="2"/>
  <c r="Z80" i="2"/>
  <c r="AA80" i="2"/>
  <c r="AB80" i="2"/>
  <c r="AC80" i="2"/>
  <c r="AD80" i="2"/>
  <c r="AG80" i="2"/>
  <c r="AH80" i="2"/>
  <c r="AI80" i="2"/>
  <c r="AJ80" i="2"/>
  <c r="AK80" i="2"/>
  <c r="AL80" i="2"/>
  <c r="AM80" i="2"/>
  <c r="AN80" i="2"/>
  <c r="AO80" i="2"/>
  <c r="AP80" i="2"/>
  <c r="AQ80" i="2"/>
  <c r="AR80" i="2"/>
  <c r="AS80" i="2"/>
  <c r="AU80" i="2"/>
  <c r="J81" i="2"/>
  <c r="K81" i="2"/>
  <c r="L81" i="2"/>
  <c r="M81" i="2"/>
  <c r="N81" i="2"/>
  <c r="O81" i="2"/>
  <c r="P81" i="2"/>
  <c r="Q81" i="2"/>
  <c r="R81" i="2"/>
  <c r="S81" i="2"/>
  <c r="T81" i="2"/>
  <c r="U81" i="2"/>
  <c r="Y81" i="2"/>
  <c r="Z81" i="2"/>
  <c r="AA81" i="2"/>
  <c r="AB81" i="2"/>
  <c r="AC81" i="2"/>
  <c r="AD81" i="2"/>
  <c r="Y82" i="2"/>
  <c r="Z82" i="2"/>
  <c r="AA82" i="2"/>
  <c r="AB82" i="2"/>
  <c r="AC82" i="2"/>
  <c r="AD82" i="2"/>
  <c r="AT82" i="2"/>
  <c r="Y83" i="2"/>
  <c r="Z83" i="2"/>
  <c r="AA83" i="2"/>
  <c r="AB83" i="2"/>
  <c r="AC83" i="2"/>
  <c r="AD83" i="2"/>
  <c r="AG83" i="2"/>
  <c r="AH83" i="2"/>
  <c r="AI83" i="2"/>
  <c r="AJ83" i="2"/>
  <c r="AK83" i="2"/>
  <c r="AL83" i="2"/>
  <c r="AM83" i="2"/>
  <c r="AN83" i="2"/>
  <c r="AO83" i="2"/>
  <c r="AP83" i="2"/>
  <c r="AQ83" i="2"/>
  <c r="AR83" i="2"/>
  <c r="AS83" i="2"/>
  <c r="J84" i="2"/>
  <c r="K84" i="2"/>
  <c r="L84" i="2"/>
  <c r="M84" i="2"/>
  <c r="N84" i="2"/>
  <c r="O84" i="2"/>
  <c r="P84" i="2"/>
  <c r="Q84" i="2"/>
  <c r="R84" i="2"/>
  <c r="S84" i="2"/>
  <c r="T84" i="2"/>
  <c r="Y84" i="2"/>
  <c r="Z84" i="2"/>
  <c r="AA84" i="2"/>
  <c r="AB84" i="2"/>
  <c r="AC84" i="2"/>
  <c r="AD84" i="2"/>
  <c r="AG84" i="2"/>
  <c r="AH84" i="2"/>
  <c r="AI84" i="2"/>
  <c r="AJ84" i="2"/>
  <c r="AK84" i="2"/>
  <c r="AL84" i="2"/>
  <c r="AM84" i="2"/>
  <c r="AN84" i="2"/>
  <c r="AO84" i="2"/>
  <c r="AP84" i="2"/>
  <c r="AQ84" i="2"/>
  <c r="AR84" i="2"/>
  <c r="AS84" i="2"/>
  <c r="AT84" i="2"/>
  <c r="T85" i="2"/>
  <c r="Y85" i="2"/>
  <c r="Z85" i="2"/>
  <c r="AA85" i="2"/>
  <c r="AB85" i="2"/>
  <c r="AC85" i="2"/>
  <c r="AD85" i="2"/>
  <c r="AG85" i="2"/>
  <c r="AH85" i="2"/>
  <c r="AI85" i="2"/>
  <c r="AJ85" i="2"/>
  <c r="AK85" i="2"/>
  <c r="AL85" i="2"/>
  <c r="AM85" i="2"/>
  <c r="AN85" i="2"/>
  <c r="AO85" i="2"/>
  <c r="AP85" i="2"/>
  <c r="AQ85" i="2"/>
  <c r="AR85" i="2"/>
  <c r="AS85" i="2"/>
  <c r="AT85" i="2"/>
  <c r="Y86" i="2"/>
  <c r="Z86" i="2"/>
  <c r="AA86" i="2"/>
  <c r="AB86" i="2"/>
  <c r="AC86" i="2"/>
  <c r="AD86" i="2"/>
  <c r="AG86" i="2"/>
  <c r="AH86" i="2"/>
  <c r="AI86" i="2"/>
  <c r="AJ86" i="2"/>
  <c r="AK86" i="2"/>
  <c r="AL86" i="2"/>
  <c r="AM86" i="2"/>
  <c r="AN86" i="2"/>
  <c r="AO86" i="2"/>
  <c r="AP86" i="2"/>
  <c r="AQ86" i="2"/>
  <c r="AR86" i="2"/>
  <c r="AS86" i="2"/>
  <c r="AT86" i="2"/>
  <c r="Y87" i="2"/>
  <c r="Z87" i="2"/>
  <c r="AA87" i="2"/>
  <c r="AB87" i="2"/>
  <c r="AC87" i="2"/>
  <c r="AD87" i="2"/>
  <c r="AG87" i="2"/>
  <c r="AH87" i="2"/>
  <c r="AI87" i="2"/>
  <c r="AJ87" i="2"/>
  <c r="AK87" i="2"/>
  <c r="AL87" i="2"/>
  <c r="AM87" i="2"/>
  <c r="AN87" i="2"/>
  <c r="AO87" i="2"/>
  <c r="AP87" i="2"/>
  <c r="AQ87" i="2"/>
  <c r="AR87" i="2"/>
  <c r="AS87" i="2"/>
  <c r="AT87" i="2"/>
  <c r="J88" i="2"/>
  <c r="K88" i="2"/>
  <c r="L88" i="2"/>
  <c r="M88" i="2"/>
  <c r="N88" i="2"/>
  <c r="O88" i="2"/>
  <c r="P88" i="2"/>
  <c r="Q88" i="2"/>
  <c r="R88" i="2"/>
  <c r="S88" i="2"/>
  <c r="T88" i="2"/>
  <c r="Y88" i="2"/>
  <c r="Z88" i="2"/>
  <c r="AA88" i="2"/>
  <c r="AB88" i="2"/>
  <c r="AC88" i="2"/>
  <c r="AD88" i="2"/>
  <c r="AG88" i="2"/>
  <c r="AH88" i="2"/>
  <c r="AI88" i="2"/>
  <c r="AJ88" i="2"/>
  <c r="AK88" i="2"/>
  <c r="AL88" i="2"/>
  <c r="AM88" i="2"/>
  <c r="AN88" i="2"/>
  <c r="AO88" i="2"/>
  <c r="AP88" i="2"/>
  <c r="AQ88" i="2"/>
  <c r="AR88" i="2"/>
  <c r="AS88" i="2"/>
  <c r="AT88" i="2"/>
  <c r="Y89" i="2"/>
  <c r="Z89" i="2"/>
  <c r="AA89" i="2"/>
  <c r="AB89" i="2"/>
  <c r="AC89" i="2"/>
  <c r="AD89" i="2"/>
  <c r="AG89" i="2"/>
  <c r="AH89" i="2"/>
  <c r="AI89" i="2"/>
  <c r="AJ89" i="2"/>
  <c r="AK89" i="2"/>
  <c r="AL89" i="2"/>
  <c r="AM89" i="2"/>
  <c r="AN89" i="2"/>
  <c r="AO89" i="2"/>
  <c r="AP89" i="2"/>
  <c r="AQ89" i="2"/>
  <c r="AR89" i="2"/>
  <c r="AS89" i="2"/>
  <c r="AT89" i="2"/>
  <c r="Y90" i="2"/>
  <c r="Z90" i="2"/>
  <c r="AA90" i="2"/>
  <c r="AB90" i="2"/>
  <c r="AC90" i="2"/>
  <c r="AD90" i="2"/>
  <c r="AG90" i="2"/>
  <c r="AH90" i="2"/>
  <c r="AI90" i="2"/>
  <c r="AJ90" i="2"/>
  <c r="AK90" i="2"/>
  <c r="AL90" i="2"/>
  <c r="AM90" i="2"/>
  <c r="AN90" i="2"/>
  <c r="AO90" i="2"/>
  <c r="AP90" i="2"/>
  <c r="AQ90" i="2"/>
  <c r="AR90" i="2"/>
  <c r="AS90" i="2"/>
  <c r="AT90" i="2"/>
  <c r="Y91" i="2"/>
  <c r="Z91" i="2"/>
  <c r="AA91" i="2"/>
  <c r="AB91" i="2"/>
  <c r="AC91" i="2"/>
  <c r="AD91" i="2"/>
  <c r="AG91" i="2"/>
  <c r="AH91" i="2"/>
  <c r="AI91" i="2"/>
  <c r="AJ91" i="2"/>
  <c r="AK91" i="2"/>
  <c r="AL91" i="2"/>
  <c r="AM91" i="2"/>
  <c r="AN91" i="2"/>
  <c r="AO91" i="2"/>
  <c r="AP91" i="2"/>
  <c r="AQ91" i="2"/>
  <c r="AR91" i="2"/>
  <c r="AS91" i="2"/>
  <c r="AT91" i="2"/>
  <c r="Y92" i="2"/>
  <c r="Z92" i="2"/>
  <c r="AA92" i="2"/>
  <c r="AB92" i="2"/>
  <c r="AC92" i="2"/>
  <c r="AD92" i="2"/>
  <c r="AG92" i="2"/>
  <c r="AH92" i="2"/>
  <c r="AI92" i="2"/>
  <c r="AJ92" i="2"/>
  <c r="AK92" i="2"/>
  <c r="AL92" i="2"/>
  <c r="AM92" i="2"/>
  <c r="AN92" i="2"/>
  <c r="AO92" i="2"/>
  <c r="AP92" i="2"/>
  <c r="AQ92" i="2"/>
  <c r="AR92" i="2"/>
  <c r="AS92" i="2"/>
  <c r="AT92" i="2"/>
  <c r="Y93" i="2"/>
  <c r="Z93" i="2"/>
  <c r="AA93" i="2"/>
  <c r="AB93" i="2"/>
  <c r="AC93" i="2"/>
  <c r="AD93" i="2"/>
  <c r="AG93" i="2"/>
  <c r="AH93" i="2"/>
  <c r="AI93" i="2"/>
  <c r="AJ93" i="2"/>
  <c r="AK93" i="2"/>
  <c r="AL93" i="2"/>
  <c r="AM93" i="2"/>
  <c r="AN93" i="2"/>
  <c r="AO93" i="2"/>
  <c r="AP93" i="2"/>
  <c r="AQ93" i="2"/>
  <c r="AR93" i="2"/>
  <c r="AS93" i="2"/>
  <c r="AT93" i="2"/>
  <c r="Y94" i="2"/>
  <c r="Z94" i="2"/>
  <c r="AA94" i="2"/>
  <c r="AB94" i="2"/>
  <c r="AC94" i="2"/>
  <c r="AD94" i="2"/>
  <c r="Y95" i="2"/>
  <c r="Z95" i="2"/>
  <c r="AA95" i="2"/>
  <c r="AB95" i="2"/>
  <c r="AC95" i="2"/>
  <c r="AD95" i="2"/>
  <c r="Y96" i="2"/>
  <c r="Z96" i="2"/>
  <c r="AA96" i="2"/>
  <c r="AB96" i="2"/>
  <c r="AC96" i="2"/>
  <c r="AD96" i="2"/>
  <c r="AG96" i="2"/>
  <c r="AH96" i="2"/>
  <c r="AI96" i="2"/>
  <c r="AJ96" i="2"/>
  <c r="AK96" i="2"/>
  <c r="AL96" i="2"/>
  <c r="AM96" i="2"/>
  <c r="AN96" i="2"/>
  <c r="AO96" i="2"/>
  <c r="AP96" i="2"/>
  <c r="AQ96" i="2"/>
  <c r="AR96" i="2"/>
  <c r="AS96" i="2"/>
  <c r="Y97" i="2"/>
  <c r="Z97" i="2"/>
  <c r="AA97" i="2"/>
  <c r="AB97" i="2"/>
  <c r="AC97" i="2"/>
  <c r="AD97" i="2"/>
  <c r="Y98" i="2"/>
  <c r="Z98" i="2"/>
  <c r="AA98" i="2"/>
  <c r="AB98" i="2"/>
  <c r="AC98" i="2"/>
  <c r="AD98" i="2"/>
  <c r="Y99" i="2"/>
  <c r="Z99" i="2"/>
  <c r="AA99" i="2"/>
  <c r="AB99" i="2"/>
  <c r="AC99" i="2"/>
  <c r="AD99" i="2"/>
  <c r="Y100" i="2"/>
  <c r="Z100" i="2"/>
  <c r="AA100" i="2"/>
  <c r="AB100" i="2"/>
  <c r="AC100" i="2"/>
  <c r="AD100" i="2"/>
  <c r="Y101" i="2"/>
  <c r="Z101" i="2"/>
  <c r="AA101" i="2"/>
  <c r="AB101" i="2"/>
  <c r="AC101" i="2"/>
  <c r="AD101" i="2"/>
  <c r="Y102" i="2"/>
  <c r="Z102" i="2"/>
  <c r="AA102" i="2"/>
  <c r="AB102" i="2"/>
  <c r="AC102" i="2"/>
  <c r="AD102" i="2"/>
  <c r="Y103" i="2"/>
  <c r="Z103" i="2"/>
  <c r="AA103" i="2"/>
  <c r="AB103" i="2"/>
  <c r="AC103" i="2"/>
  <c r="AD103" i="2"/>
  <c r="Y104" i="2"/>
  <c r="Z104" i="2"/>
  <c r="AA104" i="2"/>
  <c r="AB104" i="2"/>
  <c r="AC104" i="2"/>
  <c r="AD104" i="2"/>
  <c r="Y105" i="2"/>
  <c r="Z105" i="2"/>
  <c r="AA105" i="2"/>
  <c r="AB105" i="2"/>
  <c r="AC105" i="2"/>
  <c r="AD105" i="2"/>
  <c r="Y106" i="2"/>
  <c r="Z106" i="2"/>
  <c r="AA106" i="2"/>
  <c r="AB106" i="2"/>
  <c r="AC106" i="2"/>
  <c r="AD106" i="2"/>
  <c r="Y107" i="2"/>
  <c r="Z107" i="2"/>
  <c r="AA107" i="2"/>
  <c r="AB107" i="2"/>
  <c r="AC107" i="2"/>
  <c r="AD107" i="2"/>
  <c r="Y108" i="2"/>
  <c r="Z108" i="2"/>
  <c r="AA108" i="2"/>
  <c r="AB108" i="2"/>
  <c r="AC108" i="2"/>
  <c r="AD108" i="2"/>
  <c r="Y109" i="2"/>
  <c r="Z109" i="2"/>
  <c r="AA109" i="2"/>
  <c r="AB109" i="2"/>
  <c r="AC109" i="2"/>
  <c r="AD109" i="2"/>
  <c r="Y110" i="2"/>
  <c r="Z110" i="2"/>
  <c r="AA110" i="2"/>
  <c r="AB110" i="2"/>
  <c r="AC110" i="2"/>
  <c r="AD110" i="2"/>
  <c r="Y111" i="2"/>
  <c r="Z111" i="2"/>
  <c r="AA111" i="2"/>
  <c r="AB111" i="2"/>
  <c r="AC111" i="2"/>
  <c r="AD111" i="2"/>
  <c r="Y112" i="2"/>
  <c r="Z112" i="2"/>
  <c r="AA112" i="2"/>
  <c r="AB112" i="2"/>
  <c r="AC112" i="2"/>
  <c r="AD112" i="2"/>
  <c r="Y113" i="2"/>
  <c r="Z113" i="2"/>
  <c r="AA113" i="2"/>
  <c r="AB113" i="2"/>
  <c r="AC113" i="2"/>
  <c r="AD113" i="2"/>
  <c r="Y114" i="2"/>
  <c r="Z114" i="2"/>
  <c r="AA114" i="2"/>
  <c r="AB114" i="2"/>
  <c r="AC114" i="2"/>
  <c r="AD114" i="2"/>
  <c r="Y115" i="2"/>
  <c r="Z115" i="2"/>
  <c r="AA115" i="2"/>
  <c r="AB115" i="2"/>
  <c r="AC115" i="2"/>
  <c r="AD115" i="2"/>
  <c r="Y116" i="2"/>
  <c r="Z116" i="2"/>
  <c r="AA116" i="2"/>
  <c r="AB116" i="2"/>
  <c r="AC116" i="2"/>
  <c r="AD116" i="2"/>
  <c r="Y117" i="2"/>
  <c r="Z117" i="2"/>
  <c r="AA117" i="2"/>
  <c r="AB117" i="2"/>
  <c r="AC117" i="2"/>
  <c r="AD117" i="2"/>
  <c r="Y118" i="2"/>
  <c r="Z118" i="2"/>
  <c r="AA118" i="2"/>
  <c r="AB118" i="2"/>
  <c r="AC118" i="2"/>
  <c r="AD118" i="2"/>
  <c r="Y119" i="2"/>
  <c r="Z119" i="2"/>
  <c r="AA119" i="2"/>
  <c r="AB119" i="2"/>
  <c r="AC119" i="2"/>
  <c r="AD119" i="2"/>
  <c r="Y120" i="2"/>
  <c r="Z120" i="2"/>
  <c r="AA120" i="2"/>
  <c r="AB120" i="2"/>
  <c r="AC120" i="2"/>
  <c r="AD120" i="2"/>
  <c r="Y121" i="2"/>
  <c r="Z121" i="2"/>
  <c r="AA121" i="2"/>
  <c r="AB121" i="2"/>
  <c r="AC121" i="2"/>
  <c r="AD121" i="2"/>
  <c r="Y122" i="2"/>
  <c r="Z122" i="2"/>
  <c r="AA122" i="2"/>
  <c r="AB122" i="2"/>
  <c r="AC122" i="2"/>
  <c r="AD122" i="2"/>
  <c r="Y123" i="2"/>
  <c r="Z123" i="2"/>
  <c r="AA123" i="2"/>
  <c r="AB123" i="2"/>
  <c r="AC123" i="2"/>
  <c r="AD123" i="2"/>
  <c r="Y124" i="2"/>
  <c r="Z124" i="2"/>
  <c r="AA124" i="2"/>
  <c r="AB124" i="2"/>
  <c r="AC124" i="2"/>
  <c r="AD124" i="2"/>
  <c r="Y125" i="2"/>
  <c r="Z125" i="2"/>
  <c r="AA125" i="2"/>
  <c r="AB125" i="2"/>
  <c r="AC125" i="2"/>
  <c r="AD125" i="2"/>
  <c r="Y126" i="2"/>
  <c r="Z126" i="2"/>
  <c r="AA126" i="2"/>
  <c r="AB126" i="2"/>
  <c r="AC126" i="2"/>
  <c r="AD126" i="2"/>
  <c r="Y127" i="2"/>
  <c r="Z127" i="2"/>
  <c r="AA127" i="2"/>
  <c r="AB127" i="2"/>
  <c r="AC127" i="2"/>
  <c r="AD127" i="2"/>
  <c r="Y128" i="2"/>
  <c r="Z128" i="2"/>
  <c r="AA128" i="2"/>
  <c r="AB128" i="2"/>
  <c r="AC128" i="2"/>
  <c r="AD128" i="2"/>
  <c r="Y129" i="2"/>
  <c r="Z129" i="2"/>
  <c r="AA129" i="2"/>
  <c r="AB129" i="2"/>
  <c r="AC129" i="2"/>
  <c r="AD129" i="2"/>
  <c r="Y130" i="2"/>
  <c r="Z130" i="2"/>
  <c r="AA130" i="2"/>
  <c r="AB130" i="2"/>
  <c r="AC130" i="2"/>
  <c r="AD130" i="2"/>
  <c r="Y131" i="2"/>
  <c r="Z131" i="2"/>
  <c r="AA131" i="2"/>
  <c r="AB131" i="2"/>
  <c r="AC131" i="2"/>
  <c r="AD131" i="2"/>
  <c r="Y132" i="2"/>
  <c r="Z132" i="2"/>
  <c r="AA132" i="2"/>
  <c r="AB132" i="2"/>
  <c r="AC132" i="2"/>
  <c r="AD132" i="2"/>
  <c r="Y133" i="2"/>
  <c r="Z133" i="2"/>
  <c r="AA133" i="2"/>
  <c r="AB133" i="2"/>
  <c r="AC133" i="2"/>
  <c r="AD133" i="2"/>
  <c r="Y134" i="2"/>
  <c r="Z134" i="2"/>
  <c r="AA134" i="2"/>
  <c r="AB134" i="2"/>
  <c r="AC134" i="2"/>
  <c r="AD134" i="2"/>
  <c r="Y135" i="2"/>
  <c r="Z135" i="2"/>
  <c r="AA135" i="2"/>
  <c r="AB135" i="2"/>
  <c r="AC135" i="2"/>
  <c r="AD135" i="2"/>
  <c r="Y136" i="2"/>
  <c r="Z136" i="2"/>
  <c r="AA136" i="2"/>
  <c r="AB136" i="2"/>
  <c r="AC136" i="2"/>
  <c r="AD136" i="2"/>
  <c r="Y137" i="2"/>
  <c r="Z137" i="2"/>
  <c r="AA137" i="2"/>
  <c r="AB137" i="2"/>
  <c r="AC137" i="2"/>
  <c r="AD137" i="2"/>
  <c r="Y138" i="2"/>
  <c r="Z138" i="2"/>
  <c r="AA138" i="2"/>
  <c r="AB138" i="2"/>
  <c r="AC138" i="2"/>
  <c r="AD138" i="2"/>
  <c r="Y139" i="2"/>
  <c r="Z139" i="2"/>
  <c r="AA139" i="2"/>
  <c r="AB139" i="2"/>
  <c r="AC139" i="2"/>
  <c r="AD139" i="2"/>
  <c r="Y140" i="2"/>
  <c r="Z140" i="2"/>
  <c r="AA140" i="2"/>
  <c r="AB140" i="2"/>
  <c r="AC140" i="2"/>
  <c r="AD140" i="2"/>
  <c r="Y141" i="2"/>
  <c r="Z141" i="2"/>
  <c r="AA141" i="2"/>
  <c r="AB141" i="2"/>
  <c r="AC141" i="2"/>
  <c r="AD141" i="2"/>
  <c r="Y142" i="2"/>
  <c r="Z142" i="2"/>
  <c r="AA142" i="2"/>
  <c r="AB142" i="2"/>
  <c r="AC142" i="2"/>
  <c r="AD142" i="2"/>
  <c r="Y143" i="2"/>
  <c r="Z143" i="2"/>
  <c r="AA143" i="2"/>
  <c r="AB143" i="2"/>
  <c r="AC143" i="2"/>
  <c r="AD143" i="2"/>
  <c r="Y144" i="2"/>
  <c r="Z144" i="2"/>
  <c r="AA144" i="2"/>
  <c r="AB144" i="2"/>
  <c r="AC144" i="2"/>
  <c r="AD144" i="2"/>
  <c r="Y145" i="2"/>
  <c r="Z145" i="2"/>
  <c r="AA145" i="2"/>
  <c r="AB145" i="2"/>
  <c r="AC145" i="2"/>
  <c r="AD145" i="2"/>
  <c r="Y146" i="2"/>
  <c r="Z146" i="2"/>
  <c r="AA146" i="2"/>
  <c r="AB146" i="2"/>
  <c r="AC146" i="2"/>
  <c r="AD146" i="2"/>
  <c r="Y147" i="2"/>
  <c r="Z147" i="2"/>
  <c r="AA147" i="2"/>
  <c r="AB147" i="2"/>
  <c r="AC147" i="2"/>
  <c r="AD147" i="2"/>
  <c r="Y148" i="2"/>
  <c r="Z148" i="2"/>
  <c r="AA148" i="2"/>
  <c r="AB148" i="2"/>
  <c r="AC148" i="2"/>
  <c r="AD148" i="2"/>
  <c r="Y149" i="2"/>
  <c r="Z149" i="2"/>
  <c r="AA149" i="2"/>
  <c r="AB149" i="2"/>
  <c r="AC149" i="2"/>
  <c r="AD149" i="2"/>
  <c r="Y150" i="2"/>
  <c r="Z150" i="2"/>
  <c r="AA150" i="2"/>
  <c r="AB150" i="2"/>
  <c r="AC150" i="2"/>
  <c r="AD150" i="2"/>
  <c r="Y151" i="2"/>
  <c r="Z151" i="2"/>
  <c r="AA151" i="2"/>
  <c r="AB151" i="2"/>
  <c r="AC151" i="2"/>
  <c r="AD151" i="2"/>
  <c r="Y152" i="2"/>
  <c r="Z152" i="2"/>
  <c r="AA152" i="2"/>
  <c r="AB152" i="2"/>
  <c r="AC152" i="2"/>
  <c r="AD152" i="2"/>
  <c r="Y153" i="2"/>
  <c r="Z153" i="2"/>
  <c r="AA153" i="2"/>
  <c r="AB153" i="2"/>
  <c r="AC153" i="2"/>
  <c r="AD153" i="2"/>
  <c r="Y154" i="2"/>
  <c r="Z154" i="2"/>
  <c r="AA154" i="2"/>
  <c r="AB154" i="2"/>
  <c r="AC154" i="2"/>
  <c r="AD154" i="2"/>
  <c r="Y155" i="2"/>
  <c r="Z155" i="2"/>
  <c r="AA155" i="2"/>
  <c r="AB155" i="2"/>
  <c r="AC155" i="2"/>
  <c r="AD155" i="2"/>
  <c r="Y156" i="2"/>
  <c r="Z156" i="2"/>
  <c r="AA156" i="2"/>
  <c r="AB156" i="2"/>
  <c r="AC156" i="2"/>
  <c r="AD156" i="2"/>
  <c r="Y157" i="2"/>
  <c r="Z157" i="2"/>
  <c r="AA157" i="2"/>
  <c r="AB157" i="2"/>
  <c r="AC157" i="2"/>
  <c r="AD157" i="2"/>
  <c r="Y158" i="2"/>
  <c r="Z158" i="2"/>
  <c r="AA158" i="2"/>
  <c r="AB158" i="2"/>
  <c r="AC158" i="2"/>
  <c r="AD158" i="2"/>
  <c r="Y159" i="2"/>
  <c r="Z159" i="2"/>
  <c r="AA159" i="2"/>
  <c r="AB159" i="2"/>
  <c r="AC159" i="2"/>
  <c r="AD159" i="2"/>
  <c r="Y160" i="2"/>
  <c r="Z160" i="2"/>
  <c r="AA160" i="2"/>
  <c r="AB160" i="2"/>
  <c r="AC160" i="2"/>
  <c r="AD160" i="2"/>
  <c r="Y161" i="2"/>
  <c r="Z161" i="2"/>
  <c r="AA161" i="2"/>
  <c r="AB161" i="2"/>
  <c r="AC161" i="2"/>
  <c r="AD161" i="2"/>
  <c r="Y162" i="2"/>
  <c r="Z162" i="2"/>
  <c r="AA162" i="2"/>
  <c r="AB162" i="2"/>
  <c r="AC162" i="2"/>
  <c r="AD162" i="2"/>
  <c r="Y163" i="2"/>
  <c r="Z163" i="2"/>
  <c r="AA163" i="2"/>
  <c r="AB163" i="2"/>
  <c r="AC163" i="2"/>
  <c r="AD163" i="2"/>
  <c r="Y164" i="2"/>
  <c r="Z164" i="2"/>
  <c r="AA164" i="2"/>
  <c r="AB164" i="2"/>
  <c r="AC164" i="2"/>
  <c r="AD164" i="2"/>
  <c r="Y165" i="2"/>
  <c r="Z165" i="2"/>
  <c r="AA165" i="2"/>
  <c r="AB165" i="2"/>
  <c r="AC165" i="2"/>
  <c r="AD165" i="2"/>
  <c r="Y166" i="2"/>
  <c r="Z166" i="2"/>
  <c r="AA166" i="2"/>
  <c r="AB166" i="2"/>
  <c r="AC166" i="2"/>
  <c r="AD166" i="2"/>
  <c r="Y167" i="2"/>
  <c r="Z167" i="2"/>
  <c r="AA167" i="2"/>
  <c r="AB167" i="2"/>
  <c r="AC167" i="2"/>
  <c r="AD167" i="2"/>
  <c r="Y168" i="2"/>
  <c r="Z168" i="2"/>
  <c r="AA168" i="2"/>
  <c r="AB168" i="2"/>
  <c r="AC168" i="2"/>
  <c r="AD168" i="2"/>
  <c r="Y169" i="2"/>
  <c r="Z169" i="2"/>
  <c r="AA169" i="2"/>
  <c r="AB169" i="2"/>
  <c r="AC169" i="2"/>
  <c r="AD169" i="2"/>
  <c r="Y170" i="2"/>
  <c r="Z170" i="2"/>
  <c r="AA170" i="2"/>
  <c r="AB170" i="2"/>
  <c r="AC170" i="2"/>
  <c r="AD170" i="2"/>
  <c r="Y171" i="2"/>
  <c r="Z171" i="2"/>
  <c r="AA171" i="2"/>
  <c r="AB171" i="2"/>
  <c r="AC171" i="2"/>
  <c r="AD171" i="2"/>
  <c r="Y172" i="2"/>
  <c r="Z172" i="2"/>
  <c r="AA172" i="2"/>
  <c r="AB172" i="2"/>
  <c r="AC172" i="2"/>
  <c r="AD172" i="2"/>
  <c r="Y173" i="2"/>
  <c r="Z173" i="2"/>
  <c r="AA173" i="2"/>
  <c r="AB173" i="2"/>
  <c r="AC173" i="2"/>
  <c r="AD173" i="2"/>
  <c r="Y174" i="2"/>
  <c r="Z174" i="2"/>
  <c r="AA174" i="2"/>
  <c r="AB174" i="2"/>
  <c r="AC174" i="2"/>
  <c r="AD174" i="2"/>
  <c r="Y175" i="2"/>
  <c r="Z175" i="2"/>
  <c r="AA175" i="2"/>
  <c r="AB175" i="2"/>
  <c r="AC175" i="2"/>
  <c r="AD175" i="2"/>
  <c r="Y176" i="2"/>
  <c r="Z176" i="2"/>
  <c r="AA176" i="2"/>
  <c r="AB176" i="2"/>
  <c r="AC176" i="2"/>
  <c r="AD176" i="2"/>
  <c r="Y177" i="2"/>
  <c r="Z177" i="2"/>
  <c r="AA177" i="2"/>
  <c r="AB177" i="2"/>
  <c r="AC177" i="2"/>
  <c r="AD177" i="2"/>
  <c r="Y178" i="2"/>
  <c r="Z178" i="2"/>
  <c r="AA178" i="2"/>
  <c r="AB178" i="2"/>
  <c r="AC178" i="2"/>
  <c r="AD178" i="2"/>
  <c r="Y179" i="2"/>
  <c r="Z179" i="2"/>
  <c r="AA179" i="2"/>
  <c r="AB179" i="2"/>
  <c r="AC179" i="2"/>
  <c r="AD179" i="2"/>
  <c r="Y180" i="2"/>
  <c r="Z180" i="2"/>
  <c r="AA180" i="2"/>
  <c r="AB180" i="2"/>
  <c r="AC180" i="2"/>
  <c r="AD180" i="2"/>
  <c r="Y181" i="2"/>
  <c r="Z181" i="2"/>
  <c r="AA181" i="2"/>
  <c r="AB181" i="2"/>
  <c r="AC181" i="2"/>
  <c r="AD181" i="2"/>
  <c r="Y182" i="2"/>
  <c r="Z182" i="2"/>
  <c r="AA182" i="2"/>
  <c r="AB182" i="2"/>
  <c r="AC182" i="2"/>
  <c r="AD182" i="2"/>
  <c r="Y183" i="2"/>
  <c r="Z183" i="2"/>
  <c r="AA183" i="2"/>
  <c r="AB183" i="2"/>
  <c r="AC183" i="2"/>
  <c r="AD183" i="2"/>
  <c r="Y184" i="2"/>
  <c r="Z184" i="2"/>
  <c r="AA184" i="2"/>
  <c r="AB184" i="2"/>
  <c r="AC184" i="2"/>
  <c r="AD184" i="2"/>
  <c r="Y185" i="2"/>
  <c r="Z185" i="2"/>
  <c r="AA185" i="2"/>
  <c r="AB185" i="2"/>
  <c r="AC185" i="2"/>
  <c r="AD185" i="2"/>
  <c r="Y186" i="2"/>
  <c r="Z186" i="2"/>
  <c r="AA186" i="2"/>
  <c r="AB186" i="2"/>
  <c r="AC186" i="2"/>
  <c r="AD186" i="2"/>
  <c r="Y187" i="2"/>
  <c r="Z187" i="2"/>
  <c r="AA187" i="2"/>
  <c r="AB187" i="2"/>
  <c r="AC187" i="2"/>
  <c r="AD187" i="2"/>
  <c r="Y188" i="2"/>
  <c r="Z188" i="2"/>
  <c r="AA188" i="2"/>
  <c r="AB188" i="2"/>
  <c r="AC188" i="2"/>
  <c r="AD188" i="2"/>
  <c r="Y189" i="2"/>
  <c r="Z189" i="2"/>
  <c r="AA189" i="2"/>
  <c r="AB189" i="2"/>
  <c r="AC189" i="2"/>
  <c r="AD189" i="2"/>
  <c r="Y190" i="2"/>
  <c r="Z190" i="2"/>
  <c r="AA190" i="2"/>
  <c r="AB190" i="2"/>
  <c r="AC190" i="2"/>
  <c r="AD190" i="2"/>
  <c r="Y191" i="2"/>
  <c r="Z191" i="2"/>
  <c r="AA191" i="2"/>
  <c r="AB191" i="2"/>
  <c r="AC191" i="2"/>
  <c r="AD191" i="2"/>
  <c r="Y192" i="2"/>
  <c r="Z192" i="2"/>
  <c r="AA192" i="2"/>
  <c r="AB192" i="2"/>
  <c r="AC192" i="2"/>
  <c r="AD192" i="2"/>
  <c r="Y193" i="2"/>
  <c r="Z193" i="2"/>
  <c r="AA193" i="2"/>
  <c r="AB193" i="2"/>
  <c r="AC193" i="2"/>
  <c r="AD193" i="2"/>
  <c r="Y194" i="2"/>
  <c r="Z194" i="2"/>
  <c r="AA194" i="2"/>
  <c r="AB194" i="2"/>
  <c r="AC194" i="2"/>
  <c r="AD194" i="2"/>
  <c r="Y195" i="2"/>
  <c r="Z195" i="2"/>
  <c r="AA195" i="2"/>
  <c r="AB195" i="2"/>
  <c r="AC195" i="2"/>
  <c r="AD195" i="2"/>
  <c r="Y196" i="2"/>
  <c r="Z196" i="2"/>
  <c r="AA196" i="2"/>
  <c r="AB196" i="2"/>
  <c r="AC196" i="2"/>
  <c r="AD196" i="2"/>
  <c r="Y197" i="2"/>
  <c r="Z197" i="2"/>
  <c r="AA197" i="2"/>
  <c r="AB197" i="2"/>
  <c r="AC197" i="2"/>
  <c r="AD197" i="2"/>
  <c r="Y198" i="2"/>
  <c r="Z198" i="2"/>
  <c r="AA198" i="2"/>
  <c r="AB198" i="2"/>
  <c r="AC198" i="2"/>
  <c r="AD198" i="2"/>
  <c r="Y199" i="2"/>
  <c r="Z199" i="2"/>
  <c r="AA199" i="2"/>
  <c r="AB199" i="2"/>
  <c r="AC199" i="2"/>
  <c r="AD199" i="2"/>
  <c r="Y200" i="2"/>
  <c r="Z200" i="2"/>
  <c r="AA200" i="2"/>
  <c r="AB200" i="2"/>
  <c r="AC200" i="2"/>
  <c r="AD200" i="2"/>
  <c r="Y201" i="2"/>
  <c r="Z201" i="2"/>
  <c r="AA201" i="2"/>
  <c r="AB201" i="2"/>
  <c r="AC201" i="2"/>
  <c r="AD201" i="2"/>
  <c r="Y202" i="2"/>
  <c r="Z202" i="2"/>
  <c r="AA202" i="2"/>
  <c r="AB202" i="2"/>
  <c r="AC202" i="2"/>
  <c r="AD202" i="2"/>
  <c r="Y203" i="2"/>
  <c r="Z203" i="2"/>
  <c r="AA203" i="2"/>
  <c r="AB203" i="2"/>
  <c r="AC203" i="2"/>
  <c r="AD203" i="2"/>
  <c r="Y204" i="2"/>
  <c r="Z204" i="2"/>
  <c r="AA204" i="2"/>
  <c r="AB204" i="2"/>
  <c r="AC204" i="2"/>
  <c r="AD204" i="2"/>
  <c r="Y205" i="2"/>
  <c r="Z205" i="2"/>
  <c r="AA205" i="2"/>
  <c r="AB205" i="2"/>
  <c r="AC205" i="2"/>
  <c r="AD205" i="2"/>
  <c r="Y206" i="2"/>
  <c r="Z206" i="2"/>
  <c r="AA206" i="2"/>
  <c r="AB206" i="2"/>
  <c r="AC206" i="2"/>
  <c r="AD206" i="2"/>
  <c r="Y207" i="2"/>
  <c r="Z207" i="2"/>
  <c r="AA207" i="2"/>
  <c r="AB207" i="2"/>
  <c r="AC207" i="2"/>
  <c r="AD207" i="2"/>
  <c r="Y208" i="2"/>
  <c r="Z208" i="2"/>
  <c r="AA208" i="2"/>
  <c r="AB208" i="2"/>
  <c r="AC208" i="2"/>
  <c r="AD208" i="2"/>
  <c r="Y209" i="2"/>
  <c r="Z209" i="2"/>
  <c r="AA209" i="2"/>
  <c r="AB209" i="2"/>
  <c r="AC209" i="2"/>
  <c r="AD209" i="2"/>
  <c r="Y210" i="2"/>
  <c r="Z210" i="2"/>
  <c r="AA210" i="2"/>
  <c r="AB210" i="2"/>
  <c r="AC210" i="2"/>
  <c r="AD210" i="2"/>
  <c r="Y211" i="2"/>
  <c r="Z211" i="2"/>
  <c r="AA211" i="2"/>
  <c r="AB211" i="2"/>
  <c r="AC211" i="2"/>
  <c r="AD211" i="2"/>
  <c r="Y212" i="2"/>
  <c r="Z212" i="2"/>
  <c r="AA212" i="2"/>
  <c r="AB212" i="2"/>
  <c r="AC212" i="2"/>
  <c r="AD212" i="2"/>
  <c r="Y213" i="2"/>
  <c r="Z213" i="2"/>
  <c r="AA213" i="2"/>
  <c r="AB213" i="2"/>
  <c r="AC213" i="2"/>
  <c r="AD213" i="2"/>
  <c r="Y214" i="2"/>
  <c r="Z214" i="2"/>
  <c r="AA214" i="2"/>
  <c r="AB214" i="2"/>
  <c r="AC214" i="2"/>
  <c r="AD214" i="2"/>
  <c r="Y215" i="2"/>
  <c r="Z215" i="2"/>
  <c r="AA215" i="2"/>
  <c r="AB215" i="2"/>
  <c r="AC215" i="2"/>
  <c r="AD215" i="2"/>
  <c r="Y216" i="2"/>
  <c r="Z216" i="2"/>
  <c r="AA216" i="2"/>
  <c r="AB216" i="2"/>
  <c r="AC216" i="2"/>
  <c r="AD216" i="2"/>
  <c r="Y217" i="2"/>
  <c r="Z217" i="2"/>
  <c r="AA217" i="2"/>
  <c r="AB217" i="2"/>
  <c r="AC217" i="2"/>
  <c r="AD217" i="2"/>
  <c r="Y218" i="2"/>
  <c r="Z218" i="2"/>
  <c r="AA218" i="2"/>
  <c r="AB218" i="2"/>
  <c r="AC218" i="2"/>
  <c r="AD218" i="2"/>
  <c r="Y219" i="2"/>
  <c r="Z219" i="2"/>
  <c r="AA219" i="2"/>
  <c r="AB219" i="2"/>
  <c r="AC219" i="2"/>
  <c r="AD219" i="2"/>
  <c r="Y220" i="2"/>
  <c r="Z220" i="2"/>
  <c r="AA220" i="2"/>
  <c r="AB220" i="2"/>
  <c r="AC220" i="2"/>
  <c r="AD220" i="2"/>
  <c r="Y221" i="2"/>
  <c r="Z221" i="2"/>
  <c r="AA221" i="2"/>
  <c r="AB221" i="2"/>
  <c r="AC221" i="2"/>
  <c r="AD221" i="2"/>
  <c r="Y222" i="2"/>
  <c r="Z222" i="2"/>
  <c r="AA222" i="2"/>
  <c r="AB222" i="2"/>
  <c r="AC222" i="2"/>
  <c r="AD222" i="2"/>
  <c r="Y223" i="2"/>
  <c r="Z223" i="2"/>
  <c r="AA223" i="2"/>
  <c r="AB223" i="2"/>
  <c r="AC223" i="2"/>
  <c r="AD223" i="2"/>
  <c r="Y224" i="2"/>
  <c r="Z224" i="2"/>
  <c r="AA224" i="2"/>
  <c r="AB224" i="2"/>
  <c r="AC224" i="2"/>
  <c r="AD224" i="2"/>
  <c r="Y225" i="2"/>
  <c r="Z225" i="2"/>
  <c r="AA225" i="2"/>
  <c r="AB225" i="2"/>
  <c r="AC225" i="2"/>
  <c r="AD225" i="2"/>
  <c r="Y226" i="2"/>
  <c r="Z226" i="2"/>
  <c r="AA226" i="2"/>
  <c r="AB226" i="2"/>
  <c r="AC226" i="2"/>
  <c r="AD226" i="2"/>
  <c r="Y227" i="2"/>
  <c r="Z227" i="2"/>
  <c r="AA227" i="2"/>
  <c r="AB227" i="2"/>
  <c r="AC227" i="2"/>
  <c r="AD227" i="2"/>
  <c r="Y228" i="2"/>
  <c r="Z228" i="2"/>
  <c r="AA228" i="2"/>
  <c r="AB228" i="2"/>
  <c r="AC228" i="2"/>
  <c r="AD228" i="2"/>
  <c r="Y229" i="2"/>
  <c r="Z229" i="2"/>
  <c r="AA229" i="2"/>
  <c r="AB229" i="2"/>
  <c r="AC229" i="2"/>
  <c r="AD229" i="2"/>
  <c r="Y230" i="2"/>
  <c r="Z230" i="2"/>
  <c r="AA230" i="2"/>
  <c r="AB230" i="2"/>
  <c r="AC230" i="2"/>
  <c r="AD230" i="2"/>
  <c r="Y231" i="2"/>
  <c r="Z231" i="2"/>
  <c r="AA231" i="2"/>
  <c r="AB231" i="2"/>
  <c r="AC231" i="2"/>
  <c r="AD231" i="2"/>
  <c r="Y232" i="2"/>
  <c r="Z232" i="2"/>
  <c r="AA232" i="2"/>
  <c r="AB232" i="2"/>
  <c r="AC232" i="2"/>
  <c r="AD232" i="2"/>
  <c r="Y233" i="2"/>
  <c r="Z233" i="2"/>
  <c r="AA233" i="2"/>
  <c r="AB233" i="2"/>
  <c r="AC233" i="2"/>
  <c r="AD233" i="2"/>
  <c r="Y234" i="2"/>
  <c r="Z234" i="2"/>
  <c r="AA234" i="2"/>
  <c r="AB234" i="2"/>
  <c r="AC234" i="2"/>
  <c r="AD234" i="2"/>
  <c r="Y235" i="2"/>
  <c r="Z235" i="2"/>
  <c r="AA235" i="2"/>
  <c r="AB235" i="2"/>
  <c r="AC235" i="2"/>
  <c r="AD235" i="2"/>
  <c r="Y236" i="2"/>
  <c r="Z236" i="2"/>
  <c r="AA236" i="2"/>
  <c r="AB236" i="2"/>
  <c r="AC236" i="2"/>
  <c r="AD236" i="2"/>
  <c r="Y237" i="2"/>
  <c r="Z237" i="2"/>
  <c r="AA237" i="2"/>
  <c r="AB237" i="2"/>
  <c r="AC237" i="2"/>
  <c r="AD237" i="2"/>
  <c r="Y238" i="2"/>
  <c r="Z238" i="2"/>
  <c r="AA238" i="2"/>
  <c r="AB238" i="2"/>
  <c r="AC238" i="2"/>
  <c r="AD238" i="2"/>
  <c r="Y239" i="2"/>
  <c r="Z239" i="2"/>
  <c r="AA239" i="2"/>
  <c r="AB239" i="2"/>
  <c r="AC239" i="2"/>
  <c r="AD239" i="2"/>
  <c r="Y240" i="2"/>
  <c r="Z240" i="2"/>
  <c r="AA240" i="2"/>
  <c r="AB240" i="2"/>
  <c r="AC240" i="2"/>
  <c r="AD240" i="2"/>
  <c r="Y241" i="2"/>
  <c r="Z241" i="2"/>
  <c r="AA241" i="2"/>
  <c r="AB241" i="2"/>
  <c r="AC241" i="2"/>
  <c r="AD241" i="2"/>
  <c r="Y242" i="2"/>
  <c r="Z242" i="2"/>
  <c r="AA242" i="2"/>
  <c r="AB242" i="2"/>
  <c r="AC242" i="2"/>
  <c r="AD242" i="2"/>
  <c r="Y243" i="2"/>
  <c r="Z243" i="2"/>
  <c r="AA243" i="2"/>
  <c r="AB243" i="2"/>
  <c r="AC243" i="2"/>
  <c r="AD243" i="2"/>
  <c r="Y244" i="2"/>
  <c r="Z244" i="2"/>
  <c r="AA244" i="2"/>
  <c r="AB244" i="2"/>
  <c r="AC244" i="2"/>
  <c r="AD244" i="2"/>
  <c r="Y245" i="2"/>
  <c r="Z245" i="2"/>
  <c r="AA245" i="2"/>
  <c r="AB245" i="2"/>
  <c r="AC245" i="2"/>
  <c r="AD245" i="2"/>
  <c r="Y246" i="2"/>
  <c r="Z246" i="2"/>
  <c r="AA246" i="2"/>
  <c r="AB246" i="2"/>
  <c r="AC246" i="2"/>
  <c r="AD246" i="2"/>
  <c r="Y247" i="2"/>
  <c r="Z247" i="2"/>
  <c r="AA247" i="2"/>
  <c r="AB247" i="2"/>
  <c r="AC247" i="2"/>
  <c r="AD247" i="2"/>
  <c r="Y248" i="2"/>
  <c r="Z248" i="2"/>
  <c r="AA248" i="2"/>
  <c r="AB248" i="2"/>
  <c r="AC248" i="2"/>
  <c r="AD248" i="2"/>
  <c r="Y249" i="2"/>
  <c r="Z249" i="2"/>
  <c r="AA249" i="2"/>
  <c r="AB249" i="2"/>
  <c r="AC249" i="2"/>
  <c r="AD249" i="2"/>
  <c r="Y250" i="2"/>
  <c r="Z250" i="2"/>
  <c r="AA250" i="2"/>
  <c r="AB250" i="2"/>
  <c r="AC250" i="2"/>
  <c r="AD250" i="2"/>
  <c r="Y251" i="2"/>
  <c r="Z251" i="2"/>
  <c r="AA251" i="2"/>
  <c r="AB251" i="2"/>
  <c r="AC251" i="2"/>
  <c r="AD251" i="2"/>
  <c r="Y252" i="2"/>
  <c r="Z252" i="2"/>
  <c r="AA252" i="2"/>
  <c r="AB252" i="2"/>
  <c r="AC252" i="2"/>
  <c r="AD252" i="2"/>
  <c r="Y253" i="2"/>
  <c r="Z253" i="2"/>
  <c r="AA253" i="2"/>
  <c r="AB253" i="2"/>
  <c r="AC253" i="2"/>
  <c r="AD253" i="2"/>
  <c r="Y254" i="2"/>
  <c r="Z254" i="2"/>
  <c r="AA254" i="2"/>
  <c r="AB254" i="2"/>
  <c r="AC254" i="2"/>
  <c r="AD254" i="2"/>
  <c r="Y255" i="2"/>
  <c r="Z255" i="2"/>
  <c r="AA255" i="2"/>
  <c r="AB255" i="2"/>
  <c r="AC255" i="2"/>
  <c r="AD255" i="2"/>
  <c r="Y256" i="2"/>
  <c r="Z256" i="2"/>
  <c r="AA256" i="2"/>
  <c r="AB256" i="2"/>
  <c r="AC256" i="2"/>
  <c r="AD256" i="2"/>
  <c r="Y257" i="2"/>
  <c r="Z257" i="2"/>
  <c r="AA257" i="2"/>
  <c r="AB257" i="2"/>
  <c r="AC257" i="2"/>
  <c r="AD257" i="2"/>
  <c r="Y258" i="2"/>
  <c r="Z258" i="2"/>
  <c r="AA258" i="2"/>
  <c r="AB258" i="2"/>
  <c r="AC258" i="2"/>
  <c r="AD258" i="2"/>
  <c r="Y259" i="2"/>
  <c r="Z259" i="2"/>
  <c r="AA259" i="2"/>
  <c r="AB259" i="2"/>
  <c r="AC259" i="2"/>
  <c r="AD259" i="2"/>
  <c r="Y260" i="2"/>
  <c r="Z260" i="2"/>
  <c r="AA260" i="2"/>
  <c r="AB260" i="2"/>
  <c r="AC260" i="2"/>
  <c r="AD260" i="2"/>
  <c r="Y261" i="2"/>
  <c r="Z261" i="2"/>
  <c r="AA261" i="2"/>
  <c r="AB261" i="2"/>
  <c r="AC261" i="2"/>
  <c r="AD261" i="2"/>
  <c r="Y262" i="2"/>
  <c r="Z262" i="2"/>
  <c r="AA262" i="2"/>
  <c r="AB262" i="2"/>
  <c r="AC262" i="2"/>
  <c r="AD262" i="2"/>
  <c r="Y263" i="2"/>
  <c r="Z263" i="2"/>
  <c r="AA263" i="2"/>
  <c r="AB263" i="2"/>
  <c r="AC263" i="2"/>
  <c r="AD263" i="2"/>
  <c r="Y264" i="2"/>
  <c r="Z264" i="2"/>
  <c r="AA264" i="2"/>
  <c r="AB264" i="2"/>
  <c r="AC264" i="2"/>
  <c r="AD264" i="2"/>
  <c r="Y265" i="2"/>
  <c r="Z265" i="2"/>
  <c r="AA265" i="2"/>
  <c r="AB265" i="2"/>
  <c r="AC265" i="2"/>
  <c r="AD265" i="2"/>
  <c r="Y266" i="2"/>
  <c r="Z266" i="2"/>
  <c r="AA266" i="2"/>
  <c r="AB266" i="2"/>
  <c r="AC266" i="2"/>
  <c r="AD266" i="2"/>
  <c r="Y267" i="2"/>
  <c r="Z267" i="2"/>
  <c r="AA267" i="2"/>
  <c r="AB267" i="2"/>
  <c r="AC267" i="2"/>
  <c r="AD267" i="2"/>
  <c r="Y268" i="2"/>
  <c r="Z268" i="2"/>
  <c r="AA268" i="2"/>
  <c r="AB268" i="2"/>
  <c r="AC268" i="2"/>
  <c r="AD268" i="2"/>
  <c r="Y269" i="2"/>
  <c r="Z269" i="2"/>
  <c r="AA269" i="2"/>
  <c r="AB269" i="2"/>
  <c r="AC269" i="2"/>
  <c r="AD269" i="2"/>
  <c r="Y270" i="2"/>
  <c r="Z270" i="2"/>
  <c r="AA270" i="2"/>
  <c r="AB270" i="2"/>
  <c r="AC270" i="2"/>
  <c r="AD270" i="2"/>
  <c r="Y271" i="2"/>
  <c r="Z271" i="2"/>
  <c r="AA271" i="2"/>
  <c r="AB271" i="2"/>
  <c r="AC271" i="2"/>
  <c r="AD271" i="2"/>
  <c r="Y272" i="2"/>
  <c r="Z272" i="2"/>
  <c r="AA272" i="2"/>
  <c r="AB272" i="2"/>
  <c r="AC272" i="2"/>
  <c r="AD272" i="2"/>
  <c r="Y273" i="2"/>
  <c r="Z273" i="2"/>
  <c r="AA273" i="2"/>
  <c r="AB273" i="2"/>
  <c r="AC273" i="2"/>
  <c r="AD273" i="2"/>
  <c r="Y274" i="2"/>
  <c r="Z274" i="2"/>
  <c r="AA274" i="2"/>
  <c r="AB274" i="2"/>
  <c r="AC274" i="2"/>
  <c r="AD274" i="2"/>
  <c r="Y275" i="2"/>
  <c r="Z275" i="2"/>
  <c r="AA275" i="2"/>
  <c r="AB275" i="2"/>
  <c r="AC275" i="2"/>
  <c r="AD275" i="2"/>
  <c r="Y276" i="2"/>
  <c r="Z276" i="2"/>
  <c r="AA276" i="2"/>
  <c r="AB276" i="2"/>
  <c r="AC276" i="2"/>
  <c r="AD276" i="2"/>
  <c r="Y277" i="2"/>
  <c r="Z277" i="2"/>
  <c r="AA277" i="2"/>
  <c r="AB277" i="2"/>
  <c r="AC277" i="2"/>
  <c r="AD277" i="2"/>
  <c r="Y278" i="2"/>
  <c r="Z278" i="2"/>
  <c r="AA278" i="2"/>
  <c r="AB278" i="2"/>
  <c r="AC278" i="2"/>
  <c r="AD278" i="2"/>
  <c r="Y279" i="2"/>
  <c r="Z279" i="2"/>
  <c r="AA279" i="2"/>
  <c r="AB279" i="2"/>
  <c r="AC279" i="2"/>
  <c r="AD279" i="2"/>
  <c r="Y280" i="2"/>
  <c r="Z280" i="2"/>
  <c r="AA280" i="2"/>
  <c r="AB280" i="2"/>
  <c r="AC280" i="2"/>
  <c r="AD280" i="2"/>
  <c r="Y281" i="2"/>
  <c r="Z281" i="2"/>
  <c r="AA281" i="2"/>
  <c r="AB281" i="2"/>
  <c r="AC281" i="2"/>
  <c r="AD281" i="2"/>
  <c r="Y282" i="2"/>
  <c r="Z282" i="2"/>
  <c r="AA282" i="2"/>
  <c r="AB282" i="2"/>
  <c r="AC282" i="2"/>
  <c r="AD282" i="2"/>
  <c r="Y283" i="2"/>
  <c r="Z283" i="2"/>
  <c r="AA283" i="2"/>
  <c r="AB283" i="2"/>
  <c r="AC283" i="2"/>
  <c r="AD283" i="2"/>
  <c r="Y284" i="2"/>
  <c r="Z284" i="2"/>
  <c r="AA284" i="2"/>
  <c r="AB284" i="2"/>
  <c r="AC284" i="2"/>
  <c r="AD284" i="2"/>
  <c r="Y285" i="2"/>
  <c r="Z285" i="2"/>
  <c r="AA285" i="2"/>
  <c r="AB285" i="2"/>
  <c r="AC285" i="2"/>
  <c r="AD285" i="2"/>
  <c r="Y286" i="2"/>
  <c r="Z286" i="2"/>
  <c r="AA286" i="2"/>
  <c r="AB286" i="2"/>
  <c r="AC286" i="2"/>
  <c r="AD286" i="2"/>
  <c r="Y287" i="2"/>
  <c r="Z287" i="2"/>
  <c r="AA287" i="2"/>
  <c r="AB287" i="2"/>
  <c r="AC287" i="2"/>
  <c r="AD287" i="2"/>
  <c r="Y288" i="2"/>
  <c r="Z288" i="2"/>
  <c r="AA288" i="2"/>
  <c r="AB288" i="2"/>
  <c r="AC288" i="2"/>
  <c r="AD288" i="2"/>
  <c r="Y289" i="2"/>
  <c r="Z289" i="2"/>
  <c r="AA289" i="2"/>
  <c r="AB289" i="2"/>
  <c r="AC289" i="2"/>
  <c r="AD289" i="2"/>
  <c r="Y290" i="2"/>
  <c r="Z290" i="2"/>
  <c r="AA290" i="2"/>
  <c r="AB290" i="2"/>
  <c r="AC290" i="2"/>
  <c r="AD290" i="2"/>
  <c r="Y291" i="2"/>
  <c r="Z291" i="2"/>
  <c r="AA291" i="2"/>
  <c r="AB291" i="2"/>
  <c r="AC291" i="2"/>
  <c r="AD291" i="2"/>
  <c r="Y292" i="2"/>
  <c r="Z292" i="2"/>
  <c r="AA292" i="2"/>
  <c r="AB292" i="2"/>
  <c r="AC292" i="2"/>
  <c r="AD292" i="2"/>
  <c r="Y293" i="2"/>
  <c r="Z293" i="2"/>
  <c r="AA293" i="2"/>
  <c r="AB293" i="2"/>
  <c r="AC293" i="2"/>
  <c r="AD293" i="2"/>
  <c r="Y294" i="2"/>
  <c r="Z294" i="2"/>
  <c r="AA294" i="2"/>
  <c r="AB294" i="2"/>
  <c r="AC294" i="2"/>
  <c r="AD294" i="2"/>
  <c r="Y295" i="2"/>
  <c r="Z295" i="2"/>
  <c r="AA295" i="2"/>
  <c r="AB295" i="2"/>
  <c r="AC295" i="2"/>
  <c r="AD295" i="2"/>
  <c r="Y296" i="2"/>
  <c r="Z296" i="2"/>
  <c r="AA296" i="2"/>
  <c r="AB296" i="2"/>
  <c r="AC296" i="2"/>
  <c r="AD296" i="2"/>
  <c r="Y297" i="2"/>
  <c r="Z297" i="2"/>
  <c r="AA297" i="2"/>
  <c r="AB297" i="2"/>
  <c r="AC297" i="2"/>
  <c r="AD297" i="2"/>
  <c r="Y298" i="2"/>
  <c r="Z298" i="2"/>
  <c r="AA298" i="2"/>
  <c r="AB298" i="2"/>
  <c r="AC298" i="2"/>
  <c r="AD298" i="2"/>
  <c r="Y299" i="2"/>
  <c r="Z299" i="2"/>
  <c r="AA299" i="2"/>
  <c r="AB299" i="2"/>
  <c r="AC299" i="2"/>
  <c r="AD299" i="2"/>
  <c r="Y300" i="2"/>
  <c r="Z300" i="2"/>
  <c r="AA300" i="2"/>
  <c r="AB300" i="2"/>
  <c r="AC300" i="2"/>
  <c r="AD300" i="2"/>
  <c r="Y301" i="2"/>
  <c r="Z301" i="2"/>
  <c r="AA301" i="2"/>
  <c r="AB301" i="2"/>
  <c r="AC301" i="2"/>
  <c r="AD301" i="2"/>
  <c r="Y302" i="2"/>
  <c r="Z302" i="2"/>
  <c r="AA302" i="2"/>
  <c r="AB302" i="2"/>
  <c r="AC302" i="2"/>
  <c r="AD302" i="2"/>
  <c r="Y303" i="2"/>
  <c r="Z303" i="2"/>
  <c r="AA303" i="2"/>
  <c r="AB303" i="2"/>
  <c r="AC303" i="2"/>
  <c r="AD303" i="2"/>
  <c r="Y304" i="2"/>
  <c r="Z304" i="2"/>
  <c r="AA304" i="2"/>
  <c r="AB304" i="2"/>
  <c r="AC304" i="2"/>
  <c r="AD304" i="2"/>
  <c r="Y305" i="2"/>
  <c r="Z305" i="2"/>
  <c r="AA305" i="2"/>
  <c r="AB305" i="2"/>
  <c r="AC305" i="2"/>
  <c r="AD305" i="2"/>
  <c r="Y306" i="2"/>
  <c r="Z306" i="2"/>
  <c r="AA306" i="2"/>
  <c r="AB306" i="2"/>
  <c r="AC306" i="2"/>
  <c r="AD306" i="2"/>
  <c r="Y307" i="2"/>
  <c r="Z307" i="2"/>
  <c r="AA307" i="2"/>
  <c r="AB307" i="2"/>
  <c r="AC307" i="2"/>
  <c r="AD307" i="2"/>
  <c r="Y308" i="2"/>
  <c r="Z308" i="2"/>
  <c r="AA308" i="2"/>
  <c r="AB308" i="2"/>
  <c r="AC308" i="2"/>
  <c r="AD308" i="2"/>
  <c r="Y309" i="2"/>
  <c r="Z309" i="2"/>
  <c r="AA309" i="2"/>
  <c r="AB309" i="2"/>
  <c r="AC309" i="2"/>
  <c r="AD309" i="2"/>
  <c r="Y310" i="2"/>
  <c r="Z310" i="2"/>
  <c r="AA310" i="2"/>
  <c r="AB310" i="2"/>
  <c r="AC310" i="2"/>
  <c r="AD310" i="2"/>
  <c r="Y311" i="2"/>
  <c r="Z311" i="2"/>
  <c r="AA311" i="2"/>
  <c r="AB311" i="2"/>
  <c r="AC311" i="2"/>
  <c r="AD311" i="2"/>
  <c r="Y312" i="2"/>
  <c r="Z312" i="2"/>
  <c r="AA312" i="2"/>
  <c r="AB312" i="2"/>
  <c r="AC312" i="2"/>
  <c r="AD312" i="2"/>
  <c r="Y313" i="2"/>
  <c r="Z313" i="2"/>
  <c r="AA313" i="2"/>
  <c r="AB313" i="2"/>
  <c r="AC313" i="2"/>
  <c r="AD313" i="2"/>
  <c r="Y314" i="2"/>
  <c r="Z314" i="2"/>
  <c r="AA314" i="2"/>
  <c r="AB314" i="2"/>
  <c r="AC314" i="2"/>
  <c r="AD314" i="2"/>
  <c r="Y315" i="2"/>
  <c r="Z315" i="2"/>
  <c r="AA315" i="2"/>
  <c r="AB315" i="2"/>
  <c r="AC315" i="2"/>
  <c r="AD315" i="2"/>
  <c r="Y316" i="2"/>
  <c r="Z316" i="2"/>
  <c r="AA316" i="2"/>
  <c r="AB316" i="2"/>
  <c r="AC316" i="2"/>
  <c r="AD316" i="2"/>
  <c r="Y317" i="2"/>
  <c r="Z317" i="2"/>
  <c r="AA317" i="2"/>
  <c r="AB317" i="2"/>
  <c r="AC317" i="2"/>
  <c r="AD317" i="2"/>
  <c r="Y318" i="2"/>
  <c r="Z318" i="2"/>
  <c r="AA318" i="2"/>
  <c r="AB318" i="2"/>
  <c r="AC318" i="2"/>
  <c r="AD318" i="2"/>
  <c r="Y319" i="2"/>
  <c r="Z319" i="2"/>
  <c r="AA319" i="2"/>
  <c r="AB319" i="2"/>
  <c r="AC319" i="2"/>
  <c r="AD319" i="2"/>
  <c r="Y320" i="2"/>
  <c r="Z320" i="2"/>
  <c r="AA320" i="2"/>
  <c r="AB320" i="2"/>
  <c r="AC320" i="2"/>
  <c r="AD320" i="2"/>
  <c r="Y321" i="2"/>
  <c r="Z321" i="2"/>
  <c r="AA321" i="2"/>
  <c r="AB321" i="2"/>
  <c r="AC321" i="2"/>
  <c r="AD321" i="2"/>
  <c r="Y322" i="2"/>
  <c r="Z322" i="2"/>
  <c r="AA322" i="2"/>
  <c r="AB322" i="2"/>
  <c r="AC322" i="2"/>
  <c r="AD322" i="2"/>
  <c r="Y323" i="2"/>
  <c r="Z323" i="2"/>
  <c r="AA323" i="2"/>
  <c r="AB323" i="2"/>
  <c r="AC323" i="2"/>
  <c r="AD323" i="2"/>
  <c r="Y324" i="2"/>
  <c r="Z324" i="2"/>
  <c r="AA324" i="2"/>
  <c r="AB324" i="2"/>
  <c r="AC324" i="2"/>
  <c r="AD324" i="2"/>
  <c r="Y325" i="2"/>
  <c r="Z325" i="2"/>
  <c r="AA325" i="2"/>
  <c r="AB325" i="2"/>
  <c r="AC325" i="2"/>
  <c r="AD325" i="2"/>
  <c r="Y326" i="2"/>
  <c r="Z326" i="2"/>
  <c r="AA326" i="2"/>
  <c r="AB326" i="2"/>
  <c r="AC326" i="2"/>
  <c r="AD326" i="2"/>
  <c r="Y327" i="2"/>
  <c r="Z327" i="2"/>
  <c r="AA327" i="2"/>
  <c r="AB327" i="2"/>
  <c r="AC327" i="2"/>
  <c r="AD327" i="2"/>
  <c r="Y328" i="2"/>
  <c r="Z328" i="2"/>
  <c r="AA328" i="2"/>
  <c r="AB328" i="2"/>
  <c r="AC328" i="2"/>
  <c r="AD328" i="2"/>
  <c r="Y329" i="2"/>
  <c r="Z329" i="2"/>
  <c r="AA329" i="2"/>
  <c r="AB329" i="2"/>
  <c r="AC329" i="2"/>
  <c r="AD329" i="2"/>
  <c r="Y330" i="2"/>
  <c r="Z330" i="2"/>
  <c r="AA330" i="2"/>
  <c r="AB330" i="2"/>
  <c r="AC330" i="2"/>
  <c r="AD330" i="2"/>
  <c r="Y331" i="2"/>
  <c r="Z331" i="2"/>
  <c r="AA331" i="2"/>
  <c r="AB331" i="2"/>
  <c r="AC331" i="2"/>
  <c r="AD331" i="2"/>
  <c r="Y332" i="2"/>
  <c r="Z332" i="2"/>
  <c r="AA332" i="2"/>
  <c r="AB332" i="2"/>
  <c r="AC332" i="2"/>
  <c r="AD332" i="2"/>
  <c r="Y333" i="2"/>
  <c r="Z333" i="2"/>
  <c r="AA333" i="2"/>
  <c r="AB333" i="2"/>
  <c r="AC333" i="2"/>
  <c r="AD333" i="2"/>
  <c r="Y334" i="2"/>
  <c r="Z334" i="2"/>
  <c r="AA334" i="2"/>
  <c r="AB334" i="2"/>
  <c r="AC334" i="2"/>
  <c r="AD334" i="2"/>
  <c r="Y335" i="2"/>
  <c r="Z335" i="2"/>
  <c r="AA335" i="2"/>
  <c r="AB335" i="2"/>
  <c r="AC335" i="2"/>
  <c r="AD335" i="2"/>
  <c r="Y336" i="2"/>
  <c r="Z336" i="2"/>
  <c r="AA336" i="2"/>
  <c r="AB336" i="2"/>
  <c r="AC336" i="2"/>
  <c r="AD336" i="2"/>
  <c r="Y337" i="2"/>
  <c r="Z337" i="2"/>
  <c r="AA337" i="2"/>
  <c r="AB337" i="2"/>
  <c r="AC337" i="2"/>
  <c r="AD337" i="2"/>
  <c r="Y338" i="2"/>
  <c r="Z338" i="2"/>
  <c r="AA338" i="2"/>
  <c r="AB338" i="2"/>
  <c r="AC338" i="2"/>
  <c r="AD338" i="2"/>
  <c r="Y339" i="2"/>
  <c r="Z339" i="2"/>
  <c r="AA339" i="2"/>
  <c r="AB339" i="2"/>
  <c r="AC339" i="2"/>
  <c r="AD339" i="2"/>
  <c r="Y340" i="2"/>
  <c r="Z340" i="2"/>
  <c r="AA340" i="2"/>
  <c r="AB340" i="2"/>
  <c r="AC340" i="2"/>
  <c r="AD340" i="2"/>
  <c r="Y341" i="2"/>
  <c r="Z341" i="2"/>
  <c r="AA341" i="2"/>
  <c r="AB341" i="2"/>
  <c r="AC341" i="2"/>
  <c r="AD341" i="2"/>
  <c r="Y342" i="2"/>
  <c r="Z342" i="2"/>
  <c r="AA342" i="2"/>
  <c r="AB342" i="2"/>
  <c r="AC342" i="2"/>
  <c r="AD342" i="2"/>
  <c r="Y343" i="2"/>
  <c r="Z343" i="2"/>
  <c r="AA343" i="2"/>
  <c r="AB343" i="2"/>
  <c r="AC343" i="2"/>
  <c r="AD343" i="2"/>
  <c r="Y344" i="2"/>
  <c r="Z344" i="2"/>
  <c r="AA344" i="2"/>
  <c r="AB344" i="2"/>
  <c r="AC344" i="2"/>
  <c r="AD344" i="2"/>
  <c r="Y345" i="2"/>
  <c r="Z345" i="2"/>
  <c r="AA345" i="2"/>
  <c r="AB345" i="2"/>
  <c r="AC345" i="2"/>
  <c r="AD345" i="2"/>
  <c r="Y346" i="2"/>
  <c r="Z346" i="2"/>
  <c r="AA346" i="2"/>
  <c r="AB346" i="2"/>
  <c r="AC346" i="2"/>
  <c r="AD346" i="2"/>
  <c r="Y347" i="2"/>
  <c r="Z347" i="2"/>
  <c r="AA347" i="2"/>
  <c r="AB347" i="2"/>
  <c r="AC347" i="2"/>
  <c r="AD347" i="2"/>
  <c r="Y348" i="2"/>
  <c r="Z348" i="2"/>
  <c r="AA348" i="2"/>
  <c r="AB348" i="2"/>
  <c r="AC348" i="2"/>
  <c r="AD348" i="2"/>
  <c r="Y349" i="2"/>
  <c r="Z349" i="2"/>
  <c r="AA349" i="2"/>
  <c r="AB349" i="2"/>
  <c r="AC349" i="2"/>
  <c r="AD349" i="2"/>
  <c r="Y350" i="2"/>
  <c r="Z350" i="2"/>
  <c r="AA350" i="2"/>
  <c r="AB350" i="2"/>
  <c r="AC350" i="2"/>
  <c r="AD350" i="2"/>
  <c r="Y351" i="2"/>
  <c r="Z351" i="2"/>
  <c r="AA351" i="2"/>
  <c r="AB351" i="2"/>
  <c r="AC351" i="2"/>
  <c r="AD351" i="2"/>
  <c r="Y352" i="2"/>
  <c r="Z352" i="2"/>
  <c r="AA352" i="2"/>
  <c r="AB352" i="2"/>
  <c r="AC352" i="2"/>
  <c r="AD352" i="2"/>
  <c r="Y353" i="2"/>
  <c r="Z353" i="2"/>
  <c r="AA353" i="2"/>
  <c r="AB353" i="2"/>
  <c r="AC353" i="2"/>
  <c r="AD353" i="2"/>
  <c r="Y354" i="2"/>
  <c r="Z354" i="2"/>
  <c r="AA354" i="2"/>
  <c r="AB354" i="2"/>
  <c r="AC354" i="2"/>
  <c r="AD354" i="2"/>
  <c r="Y355" i="2"/>
  <c r="Z355" i="2"/>
  <c r="AA355" i="2"/>
  <c r="AB355" i="2"/>
  <c r="AC355" i="2"/>
  <c r="AD355" i="2"/>
  <c r="Y356" i="2"/>
  <c r="Z356" i="2"/>
  <c r="AA356" i="2"/>
  <c r="AB356" i="2"/>
  <c r="AC356" i="2"/>
  <c r="AD356" i="2"/>
  <c r="Y357" i="2"/>
  <c r="Z357" i="2"/>
  <c r="AA357" i="2"/>
  <c r="AB357" i="2"/>
  <c r="AC357" i="2"/>
  <c r="AD357" i="2"/>
  <c r="Y358" i="2"/>
  <c r="Z358" i="2"/>
  <c r="AA358" i="2"/>
  <c r="AB358" i="2"/>
  <c r="AC358" i="2"/>
  <c r="AD358" i="2"/>
  <c r="Y359" i="2"/>
  <c r="Z359" i="2"/>
  <c r="AA359" i="2"/>
  <c r="AB359" i="2"/>
  <c r="AC359" i="2"/>
  <c r="AD359" i="2"/>
  <c r="Y360" i="2"/>
  <c r="Z360" i="2"/>
  <c r="AA360" i="2"/>
  <c r="AB360" i="2"/>
  <c r="AC360" i="2"/>
  <c r="AD360" i="2"/>
  <c r="Y361" i="2"/>
  <c r="Z361" i="2"/>
  <c r="AA361" i="2"/>
  <c r="AB361" i="2"/>
  <c r="AC361" i="2"/>
  <c r="AD361" i="2"/>
  <c r="Y362" i="2"/>
  <c r="Z362" i="2"/>
  <c r="AA362" i="2"/>
  <c r="AB362" i="2"/>
  <c r="AC362" i="2"/>
  <c r="AD362" i="2"/>
  <c r="Y363" i="2"/>
  <c r="Z363" i="2"/>
  <c r="AA363" i="2"/>
  <c r="AB363" i="2"/>
  <c r="AC363" i="2"/>
  <c r="AD363" i="2"/>
  <c r="Y364" i="2"/>
  <c r="Z364" i="2"/>
  <c r="AA364" i="2"/>
  <c r="AB364" i="2"/>
  <c r="AC364" i="2"/>
  <c r="AD364" i="2"/>
  <c r="Y365" i="2"/>
  <c r="Z365" i="2"/>
  <c r="AA365" i="2"/>
  <c r="AB365" i="2"/>
  <c r="AC365" i="2"/>
  <c r="AD365" i="2"/>
  <c r="Y366" i="2"/>
  <c r="Z366" i="2"/>
  <c r="AA366" i="2"/>
  <c r="AB366" i="2"/>
  <c r="AC366" i="2"/>
  <c r="AD366" i="2"/>
  <c r="Y367" i="2"/>
  <c r="Z367" i="2"/>
  <c r="AA367" i="2"/>
  <c r="AB367" i="2"/>
  <c r="AC367" i="2"/>
  <c r="AD367" i="2"/>
  <c r="Y368" i="2"/>
  <c r="Z368" i="2"/>
  <c r="AA368" i="2"/>
  <c r="AB368" i="2"/>
  <c r="AC368" i="2"/>
  <c r="AD368" i="2"/>
  <c r="Y369" i="2"/>
  <c r="Z369" i="2"/>
  <c r="AA369" i="2"/>
  <c r="AB369" i="2"/>
  <c r="AC369" i="2"/>
  <c r="AD369" i="2"/>
  <c r="Y370" i="2"/>
  <c r="Z370" i="2"/>
  <c r="AA370" i="2"/>
  <c r="AB370" i="2"/>
  <c r="AC370" i="2"/>
  <c r="AD370" i="2"/>
  <c r="Y371" i="2"/>
  <c r="Z371" i="2"/>
  <c r="AA371" i="2"/>
  <c r="AB371" i="2"/>
  <c r="AC371" i="2"/>
  <c r="AD371" i="2"/>
  <c r="Y372" i="2"/>
  <c r="Z372" i="2"/>
  <c r="AA372" i="2"/>
  <c r="AB372" i="2"/>
  <c r="AC372" i="2"/>
  <c r="AD372" i="2"/>
  <c r="Y373" i="2"/>
  <c r="Z373" i="2"/>
  <c r="AA373" i="2"/>
  <c r="AB373" i="2"/>
  <c r="AC373" i="2"/>
  <c r="AD373" i="2"/>
  <c r="Y374" i="2"/>
  <c r="Z374" i="2"/>
  <c r="AA374" i="2"/>
  <c r="AB374" i="2"/>
  <c r="AC374" i="2"/>
  <c r="AD374" i="2"/>
  <c r="Y375" i="2"/>
  <c r="Z375" i="2"/>
  <c r="AA375" i="2"/>
  <c r="AB375" i="2"/>
  <c r="AC375" i="2"/>
  <c r="AD375" i="2"/>
  <c r="Y376" i="2"/>
  <c r="Z376" i="2"/>
  <c r="AA376" i="2"/>
  <c r="AB376" i="2"/>
  <c r="AC376" i="2"/>
  <c r="AD376" i="2"/>
  <c r="Y377" i="2"/>
  <c r="Z377" i="2"/>
  <c r="AA377" i="2"/>
  <c r="AB377" i="2"/>
  <c r="AC377" i="2"/>
  <c r="AD377" i="2"/>
  <c r="Y378" i="2"/>
  <c r="Z378" i="2"/>
  <c r="AA378" i="2"/>
  <c r="AB378" i="2"/>
  <c r="AC378" i="2"/>
  <c r="AD378" i="2"/>
  <c r="Y379" i="2"/>
  <c r="Z379" i="2"/>
  <c r="AA379" i="2"/>
  <c r="AB379" i="2"/>
  <c r="AC379" i="2"/>
  <c r="AD379" i="2"/>
  <c r="Y380" i="2"/>
  <c r="Z380" i="2"/>
  <c r="AA380" i="2"/>
  <c r="AB380" i="2"/>
  <c r="AC380" i="2"/>
  <c r="AD380" i="2"/>
  <c r="Y381" i="2"/>
  <c r="Z381" i="2"/>
  <c r="AA381" i="2"/>
  <c r="AB381" i="2"/>
  <c r="AC381" i="2"/>
  <c r="AD381" i="2"/>
  <c r="Y382" i="2"/>
  <c r="Z382" i="2"/>
  <c r="AA382" i="2"/>
  <c r="AB382" i="2"/>
  <c r="AC382" i="2"/>
  <c r="AD382" i="2"/>
  <c r="Y383" i="2"/>
  <c r="Z383" i="2"/>
  <c r="AA383" i="2"/>
  <c r="AB383" i="2"/>
  <c r="AC383" i="2"/>
  <c r="AD383" i="2"/>
  <c r="Y384" i="2"/>
  <c r="Z384" i="2"/>
  <c r="AA384" i="2"/>
  <c r="AB384" i="2"/>
  <c r="AC384" i="2"/>
  <c r="AD384" i="2"/>
  <c r="Y385" i="2"/>
  <c r="Z385" i="2"/>
  <c r="AA385" i="2"/>
  <c r="AB385" i="2"/>
  <c r="AC385" i="2"/>
  <c r="AD385" i="2"/>
  <c r="Y386" i="2"/>
  <c r="Z386" i="2"/>
  <c r="AA386" i="2"/>
  <c r="AB386" i="2"/>
  <c r="AC386" i="2"/>
  <c r="AD386" i="2"/>
  <c r="Y387" i="2"/>
  <c r="Z387" i="2"/>
  <c r="AA387" i="2"/>
  <c r="AB387" i="2"/>
  <c r="AC387" i="2"/>
  <c r="AD387" i="2"/>
  <c r="Y388" i="2"/>
  <c r="Z388" i="2"/>
  <c r="AA388" i="2"/>
  <c r="AB388" i="2"/>
  <c r="AC388" i="2"/>
  <c r="AD388" i="2"/>
  <c r="Y389" i="2"/>
  <c r="Z389" i="2"/>
  <c r="AA389" i="2"/>
  <c r="AB389" i="2"/>
  <c r="AC389" i="2"/>
  <c r="AD389" i="2"/>
  <c r="Y390" i="2"/>
  <c r="Z390" i="2"/>
  <c r="AA390" i="2"/>
  <c r="AB390" i="2"/>
  <c r="AC390" i="2"/>
  <c r="AD390" i="2"/>
  <c r="Y391" i="2"/>
  <c r="Z391" i="2"/>
  <c r="AA391" i="2"/>
  <c r="AB391" i="2"/>
  <c r="AC391" i="2"/>
  <c r="AD391" i="2"/>
  <c r="Y392" i="2"/>
  <c r="Z392" i="2"/>
  <c r="AA392" i="2"/>
  <c r="AB392" i="2"/>
  <c r="AC392" i="2"/>
  <c r="AD392" i="2"/>
  <c r="Y393" i="2"/>
  <c r="Z393" i="2"/>
  <c r="AA393" i="2"/>
  <c r="AB393" i="2"/>
  <c r="AC393" i="2"/>
  <c r="AD393" i="2"/>
  <c r="Y394" i="2"/>
  <c r="Z394" i="2"/>
  <c r="AA394" i="2"/>
  <c r="AB394" i="2"/>
  <c r="AC394" i="2"/>
  <c r="AD394" i="2"/>
  <c r="Y395" i="2"/>
  <c r="Z395" i="2"/>
  <c r="AA395" i="2"/>
  <c r="AB395" i="2"/>
  <c r="AC395" i="2"/>
  <c r="AD395" i="2"/>
  <c r="Y396" i="2"/>
  <c r="Z396" i="2"/>
  <c r="AA396" i="2"/>
  <c r="AB396" i="2"/>
  <c r="AC396" i="2"/>
  <c r="AD396" i="2"/>
  <c r="Y397" i="2"/>
  <c r="Z397" i="2"/>
  <c r="AA397" i="2"/>
  <c r="AB397" i="2"/>
  <c r="AC397" i="2"/>
  <c r="AD397" i="2"/>
  <c r="Y398" i="2"/>
  <c r="Z398" i="2"/>
  <c r="AA398" i="2"/>
  <c r="AB398" i="2"/>
  <c r="AC398" i="2"/>
  <c r="AD398" i="2"/>
  <c r="Y399" i="2"/>
  <c r="Z399" i="2"/>
  <c r="AA399" i="2"/>
  <c r="AB399" i="2"/>
  <c r="AC399" i="2"/>
  <c r="AD399" i="2"/>
  <c r="Y400" i="2"/>
  <c r="Z400" i="2"/>
  <c r="AA400" i="2"/>
  <c r="AB400" i="2"/>
  <c r="AC400" i="2"/>
  <c r="AD400" i="2"/>
  <c r="Y401" i="2"/>
  <c r="Z401" i="2"/>
  <c r="AA401" i="2"/>
  <c r="AB401" i="2"/>
  <c r="AC401" i="2"/>
  <c r="AD401" i="2"/>
  <c r="Y402" i="2"/>
  <c r="Z402" i="2"/>
  <c r="AA402" i="2"/>
  <c r="AB402" i="2"/>
  <c r="AC402" i="2"/>
  <c r="AD402" i="2"/>
  <c r="Y403" i="2"/>
  <c r="Z403" i="2"/>
  <c r="AA403" i="2"/>
  <c r="AB403" i="2"/>
  <c r="AC403" i="2"/>
  <c r="AD403" i="2"/>
  <c r="Y404" i="2"/>
  <c r="Z404" i="2"/>
  <c r="AA404" i="2"/>
  <c r="AB404" i="2"/>
  <c r="AC404" i="2"/>
  <c r="AD404" i="2"/>
  <c r="Y405" i="2"/>
  <c r="Z405" i="2"/>
  <c r="AA405" i="2"/>
  <c r="AB405" i="2"/>
  <c r="AC405" i="2"/>
  <c r="AD405" i="2"/>
  <c r="Y406" i="2"/>
  <c r="Z406" i="2"/>
  <c r="AA406" i="2"/>
  <c r="AB406" i="2"/>
  <c r="AC406" i="2"/>
  <c r="AD406" i="2"/>
  <c r="Y407" i="2"/>
  <c r="Z407" i="2"/>
  <c r="AA407" i="2"/>
  <c r="AB407" i="2"/>
  <c r="AC407" i="2"/>
  <c r="AD407" i="2"/>
  <c r="Y408" i="2"/>
  <c r="Z408" i="2"/>
  <c r="AA408" i="2"/>
  <c r="AB408" i="2"/>
  <c r="AC408" i="2"/>
  <c r="AD408" i="2"/>
  <c r="Y409" i="2"/>
  <c r="Z409" i="2"/>
  <c r="AA409" i="2"/>
  <c r="AB409" i="2"/>
  <c r="AC409" i="2"/>
  <c r="AD409" i="2"/>
  <c r="Y410" i="2"/>
  <c r="Z410" i="2"/>
  <c r="AA410" i="2"/>
  <c r="AB410" i="2"/>
  <c r="AC410" i="2"/>
  <c r="AD410" i="2"/>
  <c r="Y411" i="2"/>
  <c r="Z411" i="2"/>
  <c r="AA411" i="2"/>
  <c r="AB411" i="2"/>
  <c r="AC411" i="2"/>
  <c r="AD411" i="2"/>
  <c r="Y412" i="2"/>
  <c r="Z412" i="2"/>
  <c r="AA412" i="2"/>
  <c r="AB412" i="2"/>
  <c r="AC412" i="2"/>
  <c r="AD412" i="2"/>
  <c r="Y413" i="2"/>
  <c r="Z413" i="2"/>
  <c r="AA413" i="2"/>
  <c r="AB413" i="2"/>
  <c r="AC413" i="2"/>
  <c r="AD413" i="2"/>
  <c r="Y414" i="2"/>
  <c r="Z414" i="2"/>
  <c r="AA414" i="2"/>
  <c r="AB414" i="2"/>
  <c r="AC414" i="2"/>
  <c r="AD414" i="2"/>
  <c r="Y415" i="2"/>
  <c r="Z415" i="2"/>
  <c r="AA415" i="2"/>
  <c r="AB415" i="2"/>
  <c r="AC415" i="2"/>
  <c r="AD415" i="2"/>
  <c r="Y416" i="2"/>
  <c r="Z416" i="2"/>
  <c r="AA416" i="2"/>
  <c r="AB416" i="2"/>
  <c r="AC416" i="2"/>
  <c r="AD416" i="2"/>
  <c r="Y417" i="2"/>
  <c r="Z417" i="2"/>
  <c r="AA417" i="2"/>
  <c r="AB417" i="2"/>
  <c r="AC417" i="2"/>
  <c r="AD417" i="2"/>
  <c r="Y418" i="2"/>
  <c r="Z418" i="2"/>
  <c r="AA418" i="2"/>
  <c r="AB418" i="2"/>
  <c r="AC418" i="2"/>
  <c r="AD418" i="2"/>
  <c r="Y419" i="2"/>
  <c r="Z419" i="2"/>
  <c r="AA419" i="2"/>
  <c r="AB419" i="2"/>
  <c r="AC419" i="2"/>
  <c r="AD419" i="2"/>
  <c r="Y420" i="2"/>
  <c r="Z420" i="2"/>
  <c r="AA420" i="2"/>
  <c r="AB420" i="2"/>
  <c r="AC420" i="2"/>
  <c r="AD420" i="2"/>
  <c r="Y421" i="2"/>
  <c r="Z421" i="2"/>
  <c r="AA421" i="2"/>
  <c r="AB421" i="2"/>
  <c r="AC421" i="2"/>
  <c r="AD421" i="2"/>
  <c r="Y422" i="2"/>
  <c r="Z422" i="2"/>
  <c r="AA422" i="2"/>
  <c r="AB422" i="2"/>
  <c r="AC422" i="2"/>
  <c r="AD422" i="2"/>
  <c r="Y423" i="2"/>
  <c r="Z423" i="2"/>
  <c r="AA423" i="2"/>
  <c r="AB423" i="2"/>
  <c r="AC423" i="2"/>
  <c r="AD423" i="2"/>
  <c r="Y424" i="2"/>
  <c r="Z424" i="2"/>
  <c r="AA424" i="2"/>
  <c r="AB424" i="2"/>
  <c r="AC424" i="2"/>
  <c r="AD424" i="2"/>
  <c r="Y425" i="2"/>
  <c r="Z425" i="2"/>
  <c r="AA425" i="2"/>
  <c r="AB425" i="2"/>
  <c r="AC425" i="2"/>
  <c r="AD425" i="2"/>
  <c r="Y426" i="2"/>
  <c r="Z426" i="2"/>
  <c r="AA426" i="2"/>
  <c r="AB426" i="2"/>
  <c r="AC426" i="2"/>
  <c r="AD426" i="2"/>
  <c r="Y427" i="2"/>
  <c r="Z427" i="2"/>
  <c r="AA427" i="2"/>
  <c r="AB427" i="2"/>
  <c r="AC427" i="2"/>
  <c r="AD427" i="2"/>
  <c r="Y428" i="2"/>
  <c r="Z428" i="2"/>
  <c r="AA428" i="2"/>
  <c r="AB428" i="2"/>
  <c r="AC428" i="2"/>
  <c r="AD428" i="2"/>
  <c r="Y429" i="2"/>
  <c r="Z429" i="2"/>
  <c r="AA429" i="2"/>
  <c r="AB429" i="2"/>
  <c r="AC429" i="2"/>
  <c r="AD429" i="2"/>
  <c r="Y430" i="2"/>
  <c r="Z430" i="2"/>
  <c r="AA430" i="2"/>
  <c r="AB430" i="2"/>
  <c r="AC430" i="2"/>
  <c r="AD430" i="2"/>
  <c r="Y431" i="2"/>
  <c r="Z431" i="2"/>
  <c r="AA431" i="2"/>
  <c r="AB431" i="2"/>
  <c r="AC431" i="2"/>
  <c r="AD431" i="2"/>
  <c r="Y432" i="2"/>
  <c r="Z432" i="2"/>
  <c r="AA432" i="2"/>
  <c r="AB432" i="2"/>
  <c r="AC432" i="2"/>
  <c r="AD432" i="2"/>
  <c r="Y433" i="2"/>
  <c r="Z433" i="2"/>
  <c r="AA433" i="2"/>
  <c r="AB433" i="2"/>
  <c r="AC433" i="2"/>
  <c r="AD433" i="2"/>
  <c r="Y434" i="2"/>
  <c r="Z434" i="2"/>
  <c r="AA434" i="2"/>
  <c r="AB434" i="2"/>
  <c r="AC434" i="2"/>
  <c r="AD434" i="2"/>
  <c r="Y435" i="2"/>
  <c r="Z435" i="2"/>
  <c r="AA435" i="2"/>
  <c r="AB435" i="2"/>
  <c r="AC435" i="2"/>
  <c r="AD435" i="2"/>
  <c r="Y436" i="2"/>
  <c r="Z436" i="2"/>
  <c r="AA436" i="2"/>
  <c r="AB436" i="2"/>
  <c r="AC436" i="2"/>
  <c r="AD436" i="2"/>
  <c r="Y437" i="2"/>
  <c r="Z437" i="2"/>
  <c r="AA437" i="2"/>
  <c r="AB437" i="2"/>
  <c r="AC437" i="2"/>
  <c r="AD437" i="2"/>
  <c r="Y438" i="2"/>
  <c r="Z438" i="2"/>
  <c r="AA438" i="2"/>
  <c r="AB438" i="2"/>
  <c r="AC438" i="2"/>
  <c r="AD438" i="2"/>
  <c r="Y439" i="2"/>
  <c r="Z439" i="2"/>
  <c r="AA439" i="2"/>
  <c r="AB439" i="2"/>
  <c r="AC439" i="2"/>
  <c r="AD439" i="2"/>
  <c r="Y440" i="2"/>
  <c r="Z440" i="2"/>
  <c r="AA440" i="2"/>
  <c r="AB440" i="2"/>
  <c r="AC440" i="2"/>
  <c r="AD440" i="2"/>
  <c r="Y441" i="2"/>
  <c r="Z441" i="2"/>
  <c r="AA441" i="2"/>
  <c r="AB441" i="2"/>
  <c r="AC441" i="2"/>
  <c r="AD441" i="2"/>
  <c r="Y442" i="2"/>
  <c r="Z442" i="2"/>
  <c r="AA442" i="2"/>
  <c r="AB442" i="2"/>
  <c r="AC442" i="2"/>
  <c r="AD442" i="2"/>
  <c r="Y443" i="2"/>
  <c r="Z443" i="2"/>
  <c r="AA443" i="2"/>
  <c r="AB443" i="2"/>
  <c r="AC443" i="2"/>
  <c r="AD443" i="2"/>
  <c r="Y444" i="2"/>
  <c r="Z444" i="2"/>
  <c r="AA444" i="2"/>
  <c r="AB444" i="2"/>
  <c r="AC444" i="2"/>
  <c r="AD444" i="2"/>
  <c r="Y445" i="2"/>
  <c r="Z445" i="2"/>
  <c r="AA445" i="2"/>
  <c r="AB445" i="2"/>
  <c r="AC445" i="2"/>
  <c r="AD445" i="2"/>
  <c r="Y446" i="2"/>
  <c r="Z446" i="2"/>
  <c r="AA446" i="2"/>
  <c r="AB446" i="2"/>
  <c r="AC446" i="2"/>
  <c r="AD446" i="2"/>
  <c r="Y447" i="2"/>
  <c r="Z447" i="2"/>
  <c r="AA447" i="2"/>
  <c r="AB447" i="2"/>
  <c r="AC447" i="2"/>
  <c r="AD447" i="2"/>
  <c r="Y448" i="2"/>
  <c r="Z448" i="2"/>
  <c r="AA448" i="2"/>
  <c r="AB448" i="2"/>
  <c r="AC448" i="2"/>
  <c r="AD448" i="2"/>
  <c r="Y449" i="2"/>
  <c r="Z449" i="2"/>
  <c r="AA449" i="2"/>
  <c r="AB449" i="2"/>
  <c r="AC449" i="2"/>
  <c r="AD449" i="2"/>
  <c r="Y450" i="2"/>
  <c r="Z450" i="2"/>
  <c r="AA450" i="2"/>
  <c r="AB450" i="2"/>
  <c r="AC450" i="2"/>
  <c r="AD450" i="2"/>
  <c r="Y451" i="2"/>
  <c r="Z451" i="2"/>
  <c r="AA451" i="2"/>
  <c r="AB451" i="2"/>
  <c r="AC451" i="2"/>
  <c r="AD451" i="2"/>
  <c r="Y452" i="2"/>
  <c r="Z452" i="2"/>
  <c r="AA452" i="2"/>
  <c r="AB452" i="2"/>
  <c r="AC452" i="2"/>
  <c r="AD452" i="2"/>
  <c r="Y453" i="2"/>
  <c r="Z453" i="2"/>
  <c r="AA453" i="2"/>
  <c r="AB453" i="2"/>
  <c r="AC453" i="2"/>
  <c r="AD453" i="2"/>
  <c r="Y454" i="2"/>
  <c r="Z454" i="2"/>
  <c r="AA454" i="2"/>
  <c r="AB454" i="2"/>
  <c r="AC454" i="2"/>
  <c r="AD454" i="2"/>
  <c r="Y455" i="2"/>
  <c r="Z455" i="2"/>
  <c r="AA455" i="2"/>
  <c r="AB455" i="2"/>
  <c r="AC455" i="2"/>
  <c r="AD455" i="2"/>
  <c r="Y456" i="2"/>
  <c r="Z456" i="2"/>
  <c r="AA456" i="2"/>
  <c r="AB456" i="2"/>
  <c r="AC456" i="2"/>
  <c r="AD456" i="2"/>
  <c r="Y457" i="2"/>
  <c r="Z457" i="2"/>
  <c r="AA457" i="2"/>
  <c r="AB457" i="2"/>
  <c r="AC457" i="2"/>
  <c r="AD457" i="2"/>
  <c r="Y458" i="2"/>
  <c r="Z458" i="2"/>
  <c r="AA458" i="2"/>
  <c r="AB458" i="2"/>
  <c r="AC458" i="2"/>
  <c r="AD458" i="2"/>
  <c r="Y459" i="2"/>
  <c r="Z459" i="2"/>
  <c r="AA459" i="2"/>
  <c r="AB459" i="2"/>
  <c r="AC459" i="2"/>
  <c r="AD459" i="2"/>
  <c r="Y460" i="2"/>
  <c r="Z460" i="2"/>
  <c r="AA460" i="2"/>
  <c r="AB460" i="2"/>
  <c r="AC460" i="2"/>
  <c r="AD460" i="2"/>
  <c r="Y461" i="2"/>
  <c r="Z461" i="2"/>
  <c r="AA461" i="2"/>
  <c r="AB461" i="2"/>
  <c r="AC461" i="2"/>
  <c r="AD461" i="2"/>
  <c r="Y462" i="2"/>
  <c r="Z462" i="2"/>
  <c r="AA462" i="2"/>
  <c r="AB462" i="2"/>
  <c r="AC462" i="2"/>
  <c r="AD462" i="2"/>
  <c r="Y463" i="2"/>
  <c r="Z463" i="2"/>
  <c r="AA463" i="2"/>
  <c r="AB463" i="2"/>
  <c r="AC463" i="2"/>
  <c r="AD463" i="2"/>
  <c r="Y464" i="2"/>
  <c r="Z464" i="2"/>
  <c r="AA464" i="2"/>
  <c r="AB464" i="2"/>
  <c r="AC464" i="2"/>
  <c r="AD464" i="2"/>
  <c r="Y465" i="2"/>
  <c r="Z465" i="2"/>
  <c r="AA465" i="2"/>
  <c r="AB465" i="2"/>
  <c r="AC465" i="2"/>
  <c r="AD465" i="2"/>
  <c r="Y466" i="2"/>
  <c r="Z466" i="2"/>
  <c r="AA466" i="2"/>
  <c r="AB466" i="2"/>
  <c r="AC466" i="2"/>
  <c r="AD466" i="2"/>
  <c r="Y467" i="2"/>
  <c r="Z467" i="2"/>
  <c r="AA467" i="2"/>
  <c r="AB467" i="2"/>
  <c r="AC467" i="2"/>
  <c r="AD467" i="2"/>
  <c r="Y468" i="2"/>
  <c r="Z468" i="2"/>
  <c r="AA468" i="2"/>
  <c r="AB468" i="2"/>
  <c r="AC468" i="2"/>
  <c r="AD468" i="2"/>
  <c r="Y469" i="2"/>
  <c r="Z469" i="2"/>
  <c r="AA469" i="2"/>
  <c r="AB469" i="2"/>
  <c r="AC469" i="2"/>
  <c r="AD469" i="2"/>
  <c r="Y470" i="2"/>
  <c r="Z470" i="2"/>
  <c r="AA470" i="2"/>
  <c r="AB470" i="2"/>
  <c r="AC470" i="2"/>
  <c r="AD470" i="2"/>
  <c r="Y471" i="2"/>
  <c r="Z471" i="2"/>
  <c r="AA471" i="2"/>
  <c r="AB471" i="2"/>
  <c r="AC471" i="2"/>
  <c r="AD471" i="2"/>
  <c r="Y472" i="2"/>
  <c r="Z472" i="2"/>
  <c r="AA472" i="2"/>
  <c r="AB472" i="2"/>
  <c r="AC472" i="2"/>
  <c r="AD472" i="2"/>
  <c r="Y473" i="2"/>
  <c r="Z473" i="2"/>
  <c r="AA473" i="2"/>
  <c r="AB473" i="2"/>
  <c r="AC473" i="2"/>
  <c r="AD473" i="2"/>
  <c r="Y474" i="2"/>
  <c r="Z474" i="2"/>
  <c r="AA474" i="2"/>
  <c r="AB474" i="2"/>
  <c r="AC474" i="2"/>
  <c r="AD474" i="2"/>
  <c r="Y475" i="2"/>
  <c r="Z475" i="2"/>
  <c r="AA475" i="2"/>
  <c r="AB475" i="2"/>
  <c r="AC475" i="2"/>
  <c r="AD475" i="2"/>
  <c r="Y476" i="2"/>
  <c r="Z476" i="2"/>
  <c r="AA476" i="2"/>
  <c r="AB476" i="2"/>
  <c r="AC476" i="2"/>
  <c r="AD476" i="2"/>
  <c r="Y477" i="2"/>
  <c r="Z477" i="2"/>
  <c r="AA477" i="2"/>
  <c r="AB477" i="2"/>
  <c r="AC477" i="2"/>
  <c r="AD477" i="2"/>
  <c r="Y478" i="2"/>
  <c r="Z478" i="2"/>
  <c r="AA478" i="2"/>
  <c r="AB478" i="2"/>
  <c r="AC478" i="2"/>
  <c r="AD478" i="2"/>
  <c r="Y479" i="2"/>
  <c r="Z479" i="2"/>
  <c r="AA479" i="2"/>
  <c r="AB479" i="2"/>
  <c r="AC479" i="2"/>
  <c r="AD479" i="2"/>
  <c r="Y480" i="2"/>
  <c r="Z480" i="2"/>
  <c r="AA480" i="2"/>
  <c r="AB480" i="2"/>
  <c r="AC480" i="2"/>
  <c r="AD480" i="2"/>
  <c r="Y481" i="2"/>
  <c r="Z481" i="2"/>
  <c r="AA481" i="2"/>
  <c r="AB481" i="2"/>
  <c r="AC481" i="2"/>
  <c r="AD481" i="2"/>
  <c r="Y482" i="2"/>
  <c r="Z482" i="2"/>
  <c r="AA482" i="2"/>
  <c r="AB482" i="2"/>
  <c r="AC482" i="2"/>
  <c r="AD482" i="2"/>
  <c r="Y483" i="2"/>
  <c r="Z483" i="2"/>
  <c r="AA483" i="2"/>
  <c r="AB483" i="2"/>
  <c r="AC483" i="2"/>
  <c r="AD483" i="2"/>
  <c r="Y484" i="2"/>
  <c r="Z484" i="2"/>
  <c r="AA484" i="2"/>
  <c r="AB484" i="2"/>
  <c r="AC484" i="2"/>
  <c r="AD484" i="2"/>
  <c r="Y485" i="2"/>
  <c r="Z485" i="2"/>
  <c r="AA485" i="2"/>
  <c r="AB485" i="2"/>
  <c r="AC485" i="2"/>
  <c r="AD485" i="2"/>
  <c r="Y486" i="2"/>
  <c r="Z486" i="2"/>
  <c r="AA486" i="2"/>
  <c r="AB486" i="2"/>
  <c r="AC486" i="2"/>
  <c r="AD486" i="2"/>
  <c r="Y487" i="2"/>
  <c r="Z487" i="2"/>
  <c r="AA487" i="2"/>
  <c r="AB487" i="2"/>
  <c r="AC487" i="2"/>
  <c r="AD487" i="2"/>
  <c r="Y488" i="2"/>
  <c r="Z488" i="2"/>
  <c r="AA488" i="2"/>
  <c r="AB488" i="2"/>
  <c r="AC488" i="2"/>
  <c r="AD488" i="2"/>
  <c r="Y489" i="2"/>
  <c r="Z489" i="2"/>
  <c r="AA489" i="2"/>
  <c r="AB489" i="2"/>
  <c r="AC489" i="2"/>
  <c r="AD489" i="2"/>
  <c r="Y490" i="2"/>
  <c r="Z490" i="2"/>
  <c r="AA490" i="2"/>
  <c r="AB490" i="2"/>
  <c r="AC490" i="2"/>
  <c r="AD490" i="2"/>
  <c r="Y491" i="2"/>
  <c r="Z491" i="2"/>
  <c r="AA491" i="2"/>
  <c r="AB491" i="2"/>
  <c r="AC491" i="2"/>
  <c r="AD491" i="2"/>
  <c r="Y492" i="2"/>
  <c r="Z492" i="2"/>
  <c r="AA492" i="2"/>
  <c r="AB492" i="2"/>
  <c r="AC492" i="2"/>
  <c r="AD492" i="2"/>
  <c r="Y493" i="2"/>
  <c r="Z493" i="2"/>
  <c r="AA493" i="2"/>
  <c r="AB493" i="2"/>
  <c r="AC493" i="2"/>
  <c r="AD493" i="2"/>
  <c r="Y494" i="2"/>
  <c r="Z494" i="2"/>
  <c r="AA494" i="2"/>
  <c r="AB494" i="2"/>
  <c r="AC494" i="2"/>
  <c r="AD494" i="2"/>
  <c r="Y495" i="2"/>
  <c r="Z495" i="2"/>
  <c r="AA495" i="2"/>
  <c r="AB495" i="2"/>
  <c r="AC495" i="2"/>
  <c r="AD495" i="2"/>
  <c r="Y496" i="2"/>
  <c r="Z496" i="2"/>
  <c r="AA496" i="2"/>
  <c r="AB496" i="2"/>
  <c r="AC496" i="2"/>
  <c r="AD496" i="2"/>
  <c r="Y497" i="2"/>
  <c r="Z497" i="2"/>
  <c r="AA497" i="2"/>
  <c r="AB497" i="2"/>
  <c r="AC497" i="2"/>
  <c r="AD497" i="2"/>
  <c r="Y498" i="2"/>
  <c r="Z498" i="2"/>
  <c r="AA498" i="2"/>
  <c r="AB498" i="2"/>
  <c r="AC498" i="2"/>
  <c r="AD498" i="2"/>
  <c r="Y499" i="2"/>
  <c r="Z499" i="2"/>
  <c r="AA499" i="2"/>
  <c r="AB499" i="2"/>
  <c r="AC499" i="2"/>
  <c r="AD499" i="2"/>
  <c r="Y500" i="2"/>
  <c r="Z500" i="2"/>
  <c r="AA500" i="2"/>
  <c r="AB500" i="2"/>
  <c r="AC500" i="2"/>
  <c r="AD500" i="2"/>
  <c r="Y501" i="2"/>
  <c r="Z501" i="2"/>
  <c r="AA501" i="2"/>
  <c r="AB501" i="2"/>
  <c r="AC501" i="2"/>
  <c r="AD501" i="2"/>
  <c r="Y502" i="2"/>
  <c r="Z502" i="2"/>
  <c r="AA502" i="2"/>
  <c r="AB502" i="2"/>
  <c r="AC502" i="2"/>
  <c r="AD502" i="2"/>
  <c r="Y503" i="2"/>
  <c r="Z503" i="2"/>
  <c r="AA503" i="2"/>
  <c r="AB503" i="2"/>
  <c r="AC503" i="2"/>
  <c r="AD503" i="2"/>
  <c r="Y504" i="2"/>
  <c r="Z504" i="2"/>
  <c r="AA504" i="2"/>
  <c r="AB504" i="2"/>
  <c r="AC504" i="2"/>
  <c r="AD504" i="2"/>
  <c r="Y505" i="2"/>
  <c r="Z505" i="2"/>
  <c r="AA505" i="2"/>
  <c r="AB505" i="2"/>
  <c r="AC505" i="2"/>
  <c r="AD505" i="2"/>
  <c r="Y506" i="2"/>
  <c r="Z506" i="2"/>
  <c r="AA506" i="2"/>
  <c r="AB506" i="2"/>
  <c r="AC506" i="2"/>
  <c r="AD506" i="2"/>
  <c r="Y507" i="2"/>
  <c r="Z507" i="2"/>
  <c r="AA507" i="2"/>
  <c r="AB507" i="2"/>
  <c r="AC507" i="2"/>
  <c r="AD507" i="2"/>
  <c r="Y508" i="2"/>
  <c r="Z508" i="2"/>
  <c r="AA508" i="2"/>
  <c r="AB508" i="2"/>
  <c r="AC508" i="2"/>
  <c r="AD508" i="2"/>
  <c r="Y509" i="2"/>
  <c r="Z509" i="2"/>
  <c r="AA509" i="2"/>
  <c r="AB509" i="2"/>
  <c r="AC509" i="2"/>
  <c r="AD509" i="2"/>
  <c r="Y510" i="2"/>
  <c r="Z510" i="2"/>
  <c r="AA510" i="2"/>
  <c r="AB510" i="2"/>
  <c r="AC510" i="2"/>
  <c r="AD510" i="2"/>
  <c r="Y511" i="2"/>
  <c r="Z511" i="2"/>
  <c r="AA511" i="2"/>
  <c r="AB511" i="2"/>
  <c r="AC511" i="2"/>
  <c r="AD511" i="2"/>
  <c r="Y512" i="2"/>
  <c r="Z512" i="2"/>
  <c r="AA512" i="2"/>
  <c r="AB512" i="2"/>
  <c r="AC512" i="2"/>
  <c r="AD512" i="2"/>
  <c r="Y513" i="2"/>
  <c r="Z513" i="2"/>
  <c r="AA513" i="2"/>
  <c r="AB513" i="2"/>
  <c r="AC513" i="2"/>
  <c r="AD513" i="2"/>
  <c r="Y514" i="2"/>
  <c r="Z514" i="2"/>
  <c r="AA514" i="2"/>
  <c r="AB514" i="2"/>
  <c r="AC514" i="2"/>
  <c r="AD514" i="2"/>
  <c r="Y515" i="2"/>
  <c r="Z515" i="2"/>
  <c r="AA515" i="2"/>
  <c r="AB515" i="2"/>
  <c r="AC515" i="2"/>
  <c r="AD515" i="2"/>
  <c r="Y516" i="2"/>
  <c r="Z516" i="2"/>
  <c r="AA516" i="2"/>
  <c r="AB516" i="2"/>
  <c r="AC516" i="2"/>
  <c r="AD516" i="2"/>
  <c r="Y517" i="2"/>
  <c r="Z517" i="2"/>
  <c r="AA517" i="2"/>
  <c r="AB517" i="2"/>
  <c r="AC517" i="2"/>
  <c r="AD517" i="2"/>
  <c r="Y518" i="2"/>
  <c r="Z518" i="2"/>
  <c r="AA518" i="2"/>
  <c r="AB518" i="2"/>
  <c r="AC518" i="2"/>
  <c r="AD518" i="2"/>
  <c r="Y519" i="2"/>
  <c r="Z519" i="2"/>
  <c r="AA519" i="2"/>
  <c r="AB519" i="2"/>
  <c r="AC519" i="2"/>
  <c r="AD519" i="2"/>
  <c r="Y520" i="2"/>
  <c r="Z520" i="2"/>
  <c r="AA520" i="2"/>
  <c r="AB520" i="2"/>
  <c r="AC520" i="2"/>
  <c r="AD520" i="2"/>
  <c r="Y521" i="2"/>
  <c r="Z521" i="2"/>
  <c r="AA521" i="2"/>
  <c r="AB521" i="2"/>
  <c r="AC521" i="2"/>
  <c r="AD521" i="2"/>
  <c r="Y522" i="2"/>
  <c r="Z522" i="2"/>
  <c r="AA522" i="2"/>
  <c r="AB522" i="2"/>
  <c r="AC522" i="2"/>
  <c r="AD522" i="2"/>
  <c r="Y523" i="2"/>
  <c r="Z523" i="2"/>
  <c r="AA523" i="2"/>
  <c r="AB523" i="2"/>
  <c r="AC523" i="2"/>
  <c r="AD523" i="2"/>
  <c r="Y524" i="2"/>
  <c r="Z524" i="2"/>
  <c r="AA524" i="2"/>
  <c r="AB524" i="2"/>
  <c r="AC524" i="2"/>
  <c r="AD524" i="2"/>
  <c r="Y525" i="2"/>
  <c r="Z525" i="2"/>
  <c r="AA525" i="2"/>
  <c r="AB525" i="2"/>
  <c r="AC525" i="2"/>
  <c r="AD525" i="2"/>
  <c r="Y526" i="2"/>
  <c r="Z526" i="2"/>
  <c r="AA526" i="2"/>
  <c r="AB526" i="2"/>
  <c r="AC526" i="2"/>
  <c r="AD526" i="2"/>
  <c r="Y527" i="2"/>
  <c r="Z527" i="2"/>
  <c r="AA527" i="2"/>
  <c r="AB527" i="2"/>
  <c r="AC527" i="2"/>
  <c r="AD527" i="2"/>
  <c r="Y528" i="2"/>
  <c r="Z528" i="2"/>
  <c r="AA528" i="2"/>
  <c r="AB528" i="2"/>
  <c r="AC528" i="2"/>
  <c r="AD528" i="2"/>
  <c r="Y529" i="2"/>
  <c r="Z529" i="2"/>
  <c r="AA529" i="2"/>
  <c r="AB529" i="2"/>
  <c r="AC529" i="2"/>
  <c r="AD529" i="2"/>
  <c r="Y530" i="2"/>
  <c r="Z530" i="2"/>
  <c r="AA530" i="2"/>
  <c r="AB530" i="2"/>
  <c r="AC530" i="2"/>
  <c r="AD530" i="2"/>
  <c r="Y531" i="2"/>
  <c r="Z531" i="2"/>
  <c r="AA531" i="2"/>
  <c r="AB531" i="2"/>
  <c r="AC531" i="2"/>
  <c r="AD531" i="2"/>
  <c r="Y532" i="2"/>
  <c r="Z532" i="2"/>
  <c r="AA532" i="2"/>
  <c r="AB532" i="2"/>
  <c r="AC532" i="2"/>
  <c r="AD532" i="2"/>
  <c r="Y533" i="2"/>
  <c r="Z533" i="2"/>
  <c r="AA533" i="2"/>
  <c r="AB533" i="2"/>
  <c r="AC533" i="2"/>
  <c r="AD533" i="2"/>
  <c r="Y534" i="2"/>
  <c r="Z534" i="2"/>
  <c r="AA534" i="2"/>
  <c r="AB534" i="2"/>
  <c r="AC534" i="2"/>
  <c r="AD534" i="2"/>
  <c r="Y535" i="2"/>
  <c r="Z535" i="2"/>
  <c r="AA535" i="2"/>
  <c r="AB535" i="2"/>
  <c r="AC535" i="2"/>
  <c r="AD535" i="2"/>
  <c r="Y536" i="2"/>
  <c r="Z536" i="2"/>
  <c r="AA536" i="2"/>
  <c r="AB536" i="2"/>
  <c r="AC536" i="2"/>
  <c r="AD536" i="2"/>
  <c r="Y537" i="2"/>
  <c r="Z537" i="2"/>
  <c r="AA537" i="2"/>
  <c r="AB537" i="2"/>
  <c r="AC537" i="2"/>
  <c r="AD537" i="2"/>
  <c r="Y538" i="2"/>
  <c r="Z538" i="2"/>
  <c r="AA538" i="2"/>
  <c r="AB538" i="2"/>
  <c r="AC538" i="2"/>
  <c r="AD538" i="2"/>
  <c r="Y539" i="2"/>
  <c r="Z539" i="2"/>
  <c r="AA539" i="2"/>
  <c r="AB539" i="2"/>
  <c r="AC539" i="2"/>
  <c r="AD539" i="2"/>
  <c r="Y540" i="2"/>
  <c r="Z540" i="2"/>
  <c r="AA540" i="2"/>
  <c r="AB540" i="2"/>
  <c r="AC540" i="2"/>
  <c r="AD540" i="2"/>
  <c r="Y541" i="2"/>
  <c r="Z541" i="2"/>
  <c r="AA541" i="2"/>
  <c r="AB541" i="2"/>
  <c r="AC541" i="2"/>
  <c r="AD541" i="2"/>
  <c r="Y542" i="2"/>
  <c r="Z542" i="2"/>
  <c r="AA542" i="2"/>
  <c r="AB542" i="2"/>
  <c r="AC542" i="2"/>
  <c r="AD542" i="2"/>
  <c r="Y543" i="2"/>
  <c r="Z543" i="2"/>
  <c r="AA543" i="2"/>
  <c r="AB543" i="2"/>
  <c r="AC543" i="2"/>
  <c r="AD543" i="2"/>
  <c r="Y544" i="2"/>
  <c r="Z544" i="2"/>
  <c r="AA544" i="2"/>
  <c r="AB544" i="2"/>
  <c r="AC544" i="2"/>
  <c r="AD544" i="2"/>
  <c r="Y545" i="2"/>
  <c r="Z545" i="2"/>
  <c r="AA545" i="2"/>
  <c r="AB545" i="2"/>
  <c r="AC545" i="2"/>
  <c r="AD545" i="2"/>
  <c r="Y546" i="2"/>
  <c r="Z546" i="2"/>
  <c r="AA546" i="2"/>
  <c r="AB546" i="2"/>
  <c r="AC546" i="2"/>
  <c r="AD546" i="2"/>
  <c r="Y547" i="2"/>
  <c r="Z547" i="2"/>
  <c r="AA547" i="2"/>
  <c r="AB547" i="2"/>
  <c r="AC547" i="2"/>
  <c r="AD547" i="2"/>
  <c r="Y548" i="2"/>
  <c r="Z548" i="2"/>
  <c r="AA548" i="2"/>
  <c r="AB548" i="2"/>
  <c r="AC548" i="2"/>
  <c r="AD548" i="2"/>
  <c r="Y549" i="2"/>
  <c r="Z549" i="2"/>
  <c r="AA549" i="2"/>
  <c r="AB549" i="2"/>
  <c r="AC549" i="2"/>
  <c r="AD549" i="2"/>
  <c r="Y550" i="2"/>
  <c r="Z550" i="2"/>
  <c r="AA550" i="2"/>
  <c r="AB550" i="2"/>
  <c r="AC550" i="2"/>
  <c r="AD550" i="2"/>
  <c r="Y551" i="2"/>
  <c r="Z551" i="2"/>
  <c r="AA551" i="2"/>
  <c r="AB551" i="2"/>
  <c r="AC551" i="2"/>
  <c r="AD551" i="2"/>
  <c r="Y552" i="2"/>
  <c r="Z552" i="2"/>
  <c r="AA552" i="2"/>
  <c r="AB552" i="2"/>
  <c r="AC552" i="2"/>
  <c r="AD552" i="2"/>
  <c r="Y553" i="2"/>
  <c r="Z553" i="2"/>
  <c r="AA553" i="2"/>
  <c r="AB553" i="2"/>
  <c r="AC553" i="2"/>
  <c r="AD553" i="2"/>
  <c r="Y554" i="2"/>
  <c r="Z554" i="2"/>
  <c r="AA554" i="2"/>
  <c r="AB554" i="2"/>
  <c r="AC554" i="2"/>
  <c r="AD554" i="2"/>
  <c r="Y555" i="2"/>
  <c r="Z555" i="2"/>
  <c r="AA555" i="2"/>
  <c r="AB555" i="2"/>
  <c r="AC555" i="2"/>
  <c r="AD555" i="2"/>
  <c r="Y556" i="2"/>
  <c r="Z556" i="2"/>
  <c r="AA556" i="2"/>
  <c r="AB556" i="2"/>
  <c r="AC556" i="2"/>
  <c r="AD556" i="2"/>
  <c r="Y557" i="2"/>
  <c r="Z557" i="2"/>
  <c r="AA557" i="2"/>
  <c r="AB557" i="2"/>
  <c r="AC557" i="2"/>
  <c r="AD557" i="2"/>
  <c r="Y558" i="2"/>
  <c r="Z558" i="2"/>
  <c r="AA558" i="2"/>
  <c r="AB558" i="2"/>
  <c r="AC558" i="2"/>
  <c r="AD558" i="2"/>
  <c r="Y559" i="2"/>
  <c r="Z559" i="2"/>
  <c r="AA559" i="2"/>
  <c r="AB559" i="2"/>
  <c r="AC559" i="2"/>
  <c r="AD559" i="2"/>
  <c r="Y560" i="2"/>
  <c r="Z560" i="2"/>
  <c r="AA560" i="2"/>
  <c r="AB560" i="2"/>
  <c r="AC560" i="2"/>
  <c r="AD560" i="2"/>
  <c r="Y561" i="2"/>
  <c r="Z561" i="2"/>
  <c r="AA561" i="2"/>
  <c r="AB561" i="2"/>
  <c r="AC561" i="2"/>
  <c r="AD561" i="2"/>
  <c r="Y562" i="2"/>
  <c r="Z562" i="2"/>
  <c r="AA562" i="2"/>
  <c r="AB562" i="2"/>
  <c r="AC562" i="2"/>
  <c r="AD562" i="2"/>
  <c r="Y563" i="2"/>
  <c r="Z563" i="2"/>
  <c r="AA563" i="2"/>
  <c r="AB563" i="2"/>
  <c r="AC563" i="2"/>
  <c r="AD563" i="2"/>
  <c r="Y564" i="2"/>
  <c r="Z564" i="2"/>
  <c r="AA564" i="2"/>
  <c r="AB564" i="2"/>
  <c r="AC564" i="2"/>
  <c r="AD564" i="2"/>
  <c r="Y565" i="2"/>
  <c r="Z565" i="2"/>
  <c r="AA565" i="2"/>
  <c r="AB565" i="2"/>
  <c r="AC565" i="2"/>
  <c r="AD565" i="2"/>
  <c r="Y566" i="2"/>
  <c r="Z566" i="2"/>
  <c r="AA566" i="2"/>
  <c r="AB566" i="2"/>
  <c r="AC566" i="2"/>
  <c r="AD566" i="2"/>
  <c r="Y567" i="2"/>
  <c r="Z567" i="2"/>
  <c r="AA567" i="2"/>
  <c r="AB567" i="2"/>
  <c r="AC567" i="2"/>
  <c r="AD567" i="2"/>
  <c r="Y568" i="2"/>
  <c r="Z568" i="2"/>
  <c r="AA568" i="2"/>
  <c r="AB568" i="2"/>
  <c r="AC568" i="2"/>
  <c r="AD568" i="2"/>
  <c r="Y569" i="2"/>
  <c r="Z569" i="2"/>
  <c r="AA569" i="2"/>
  <c r="AB569" i="2"/>
  <c r="AC569" i="2"/>
  <c r="AD569" i="2"/>
  <c r="Y570" i="2"/>
  <c r="Z570" i="2"/>
  <c r="AA570" i="2"/>
  <c r="AB570" i="2"/>
  <c r="AC570" i="2"/>
  <c r="AD570" i="2"/>
  <c r="Y571" i="2"/>
  <c r="Z571" i="2"/>
  <c r="AA571" i="2"/>
  <c r="AB571" i="2"/>
  <c r="AC571" i="2"/>
  <c r="AD571" i="2"/>
  <c r="Y572" i="2"/>
  <c r="Z572" i="2"/>
  <c r="AA572" i="2"/>
  <c r="AB572" i="2"/>
  <c r="AC572" i="2"/>
  <c r="AD572" i="2"/>
  <c r="Y573" i="2"/>
  <c r="Z573" i="2"/>
  <c r="AA573" i="2"/>
  <c r="AB573" i="2"/>
  <c r="AC573" i="2"/>
  <c r="AD573" i="2"/>
  <c r="Y574" i="2"/>
  <c r="Z574" i="2"/>
  <c r="AA574" i="2"/>
  <c r="AB574" i="2"/>
  <c r="AC574" i="2"/>
  <c r="AD574" i="2"/>
  <c r="Y575" i="2"/>
  <c r="Z575" i="2"/>
  <c r="AA575" i="2"/>
  <c r="AB575" i="2"/>
  <c r="AC575" i="2"/>
  <c r="AD575" i="2"/>
  <c r="Y576" i="2"/>
  <c r="Z576" i="2"/>
  <c r="AA576" i="2"/>
  <c r="AB576" i="2"/>
  <c r="AC576" i="2"/>
  <c r="AD576" i="2"/>
  <c r="Y577" i="2"/>
  <c r="Z577" i="2"/>
  <c r="AA577" i="2"/>
  <c r="AB577" i="2"/>
  <c r="AC577" i="2"/>
  <c r="AD577" i="2"/>
  <c r="Y578" i="2"/>
  <c r="Z578" i="2"/>
  <c r="AA578" i="2"/>
  <c r="AB578" i="2"/>
  <c r="AC578" i="2"/>
  <c r="AD578" i="2"/>
  <c r="Y579" i="2"/>
  <c r="Z579" i="2"/>
  <c r="AA579" i="2"/>
  <c r="AB579" i="2"/>
  <c r="AC579" i="2"/>
  <c r="AD579" i="2"/>
  <c r="Y580" i="2"/>
  <c r="Z580" i="2"/>
  <c r="AA580" i="2"/>
  <c r="AB580" i="2"/>
  <c r="AC580" i="2"/>
  <c r="AD580" i="2"/>
  <c r="Y581" i="2"/>
  <c r="Z581" i="2"/>
  <c r="AA581" i="2"/>
  <c r="AB581" i="2"/>
  <c r="AC581" i="2"/>
  <c r="AD581" i="2"/>
  <c r="Y582" i="2"/>
  <c r="Z582" i="2"/>
  <c r="AA582" i="2"/>
  <c r="AB582" i="2"/>
  <c r="AC582" i="2"/>
  <c r="AD582" i="2"/>
  <c r="Y583" i="2"/>
  <c r="Z583" i="2"/>
  <c r="AA583" i="2"/>
  <c r="AB583" i="2"/>
  <c r="AC583" i="2"/>
  <c r="AD583" i="2"/>
  <c r="Y584" i="2"/>
  <c r="Z584" i="2"/>
  <c r="AA584" i="2"/>
  <c r="AB584" i="2"/>
  <c r="AC584" i="2"/>
  <c r="AD584" i="2"/>
  <c r="Y585" i="2"/>
  <c r="Z585" i="2"/>
  <c r="AA585" i="2"/>
  <c r="AB585" i="2"/>
  <c r="AC585" i="2"/>
  <c r="AD585" i="2"/>
  <c r="Y586" i="2"/>
  <c r="Z586" i="2"/>
  <c r="AA586" i="2"/>
  <c r="AB586" i="2"/>
  <c r="AC586" i="2"/>
  <c r="AD586" i="2"/>
  <c r="Y587" i="2"/>
  <c r="Z587" i="2"/>
  <c r="AA587" i="2"/>
  <c r="AB587" i="2"/>
  <c r="AC587" i="2"/>
  <c r="AD587" i="2"/>
  <c r="Y588" i="2"/>
  <c r="Z588" i="2"/>
  <c r="AA588" i="2"/>
  <c r="AB588" i="2"/>
  <c r="AC588" i="2"/>
  <c r="AD588" i="2"/>
  <c r="Y589" i="2"/>
  <c r="Z589" i="2"/>
  <c r="AA589" i="2"/>
  <c r="AB589" i="2"/>
  <c r="AC589" i="2"/>
  <c r="AD589" i="2"/>
  <c r="Y590" i="2"/>
  <c r="Z590" i="2"/>
  <c r="AA590" i="2"/>
  <c r="AB590" i="2"/>
  <c r="AC590" i="2"/>
  <c r="AD590" i="2"/>
  <c r="Y591" i="2"/>
  <c r="Z591" i="2"/>
  <c r="AA591" i="2"/>
  <c r="AB591" i="2"/>
  <c r="AC591" i="2"/>
  <c r="AD591" i="2"/>
  <c r="Y592" i="2"/>
  <c r="Z592" i="2"/>
  <c r="AA592" i="2"/>
  <c r="AB592" i="2"/>
  <c r="AC592" i="2"/>
  <c r="AD592" i="2"/>
  <c r="Y593" i="2"/>
  <c r="Z593" i="2"/>
  <c r="AA593" i="2"/>
  <c r="AB593" i="2"/>
  <c r="AC593" i="2"/>
  <c r="AD593" i="2"/>
  <c r="Y594" i="2"/>
  <c r="Z594" i="2"/>
  <c r="AA594" i="2"/>
  <c r="AB594" i="2"/>
  <c r="AC594" i="2"/>
  <c r="AD594" i="2"/>
  <c r="Y595" i="2"/>
  <c r="Z595" i="2"/>
  <c r="AA595" i="2"/>
  <c r="AB595" i="2"/>
  <c r="AC595" i="2"/>
  <c r="AD595" i="2"/>
  <c r="Y596" i="2"/>
  <c r="Z596" i="2"/>
  <c r="AA596" i="2"/>
  <c r="AB596" i="2"/>
  <c r="AC596" i="2"/>
  <c r="AD596" i="2"/>
  <c r="Y597" i="2"/>
  <c r="Z597" i="2"/>
  <c r="AA597" i="2"/>
  <c r="AB597" i="2"/>
  <c r="AC597" i="2"/>
  <c r="AD597" i="2"/>
  <c r="Y598" i="2"/>
  <c r="Z598" i="2"/>
  <c r="AA598" i="2"/>
  <c r="AB598" i="2"/>
  <c r="AC598" i="2"/>
  <c r="AD598" i="2"/>
  <c r="Y599" i="2"/>
  <c r="Z599" i="2"/>
  <c r="AA599" i="2"/>
  <c r="AB599" i="2"/>
  <c r="AC599" i="2"/>
  <c r="AD599" i="2"/>
  <c r="Y600" i="2"/>
  <c r="Z600" i="2"/>
  <c r="AA600" i="2"/>
  <c r="AB600" i="2"/>
  <c r="AC600" i="2"/>
  <c r="AD600" i="2"/>
  <c r="Y601" i="2"/>
  <c r="Z601" i="2"/>
  <c r="AA601" i="2"/>
  <c r="AB601" i="2"/>
  <c r="AC601" i="2"/>
  <c r="AD601" i="2"/>
  <c r="Y602" i="2"/>
  <c r="Z602" i="2"/>
  <c r="AA602" i="2"/>
  <c r="AB602" i="2"/>
  <c r="AC602" i="2"/>
  <c r="AD602" i="2"/>
  <c r="Y603" i="2"/>
  <c r="Z603" i="2"/>
  <c r="AA603" i="2"/>
  <c r="AB603" i="2"/>
  <c r="AC603" i="2"/>
  <c r="AD603" i="2"/>
  <c r="Y604" i="2"/>
  <c r="Z604" i="2"/>
  <c r="AA604" i="2"/>
  <c r="AB604" i="2"/>
  <c r="AC604" i="2"/>
  <c r="AD604" i="2"/>
  <c r="Y605" i="2"/>
  <c r="Z605" i="2"/>
  <c r="AA605" i="2"/>
  <c r="AB605" i="2"/>
  <c r="AC605" i="2"/>
  <c r="AD605" i="2"/>
  <c r="Y606" i="2"/>
  <c r="Z606" i="2"/>
  <c r="AA606" i="2"/>
  <c r="AB606" i="2"/>
  <c r="AC606" i="2"/>
  <c r="AD606" i="2"/>
  <c r="Y607" i="2"/>
  <c r="Z607" i="2"/>
  <c r="AA607" i="2"/>
  <c r="AB607" i="2"/>
  <c r="AC607" i="2"/>
  <c r="AD607" i="2"/>
  <c r="Y608" i="2"/>
  <c r="Z608" i="2"/>
  <c r="AA608" i="2"/>
  <c r="AB608" i="2"/>
  <c r="AC608" i="2"/>
  <c r="AD608" i="2"/>
  <c r="Y609" i="2"/>
  <c r="Z609" i="2"/>
  <c r="AA609" i="2"/>
  <c r="AB609" i="2"/>
  <c r="AC609" i="2"/>
  <c r="AD609" i="2"/>
  <c r="Y610" i="2"/>
  <c r="Z610" i="2"/>
  <c r="AA610" i="2"/>
  <c r="AB610" i="2"/>
  <c r="AC610" i="2"/>
  <c r="AD610" i="2"/>
  <c r="Y611" i="2"/>
  <c r="Z611" i="2"/>
  <c r="AA611" i="2"/>
  <c r="AB611" i="2"/>
  <c r="AC611" i="2"/>
  <c r="AD611" i="2"/>
  <c r="Y612" i="2"/>
  <c r="Z612" i="2"/>
  <c r="AA612" i="2"/>
  <c r="AB612" i="2"/>
  <c r="AC612" i="2"/>
  <c r="AD612" i="2"/>
  <c r="Y613" i="2"/>
  <c r="Z613" i="2"/>
  <c r="AA613" i="2"/>
  <c r="AB613" i="2"/>
  <c r="AC613" i="2"/>
  <c r="AD613" i="2"/>
  <c r="Y614" i="2"/>
  <c r="Z614" i="2"/>
  <c r="AA614" i="2"/>
  <c r="AB614" i="2"/>
  <c r="AC614" i="2"/>
  <c r="AD614" i="2"/>
  <c r="Y615" i="2"/>
  <c r="Z615" i="2"/>
  <c r="AA615" i="2"/>
  <c r="AB615" i="2"/>
  <c r="AC615" i="2"/>
  <c r="AD615" i="2"/>
  <c r="Y616" i="2"/>
  <c r="Z616" i="2"/>
  <c r="AA616" i="2"/>
  <c r="AB616" i="2"/>
  <c r="AC616" i="2"/>
  <c r="AD616" i="2"/>
  <c r="Y617" i="2"/>
  <c r="Z617" i="2"/>
  <c r="AA617" i="2"/>
  <c r="AB617" i="2"/>
  <c r="AC617" i="2"/>
  <c r="AD617" i="2"/>
  <c r="Y618" i="2"/>
  <c r="Z618" i="2"/>
  <c r="AA618" i="2"/>
  <c r="AB618" i="2"/>
  <c r="AC618" i="2"/>
  <c r="AD618" i="2"/>
  <c r="Y619" i="2"/>
  <c r="Z619" i="2"/>
  <c r="AA619" i="2"/>
  <c r="AB619" i="2"/>
  <c r="AC619" i="2"/>
  <c r="AD619" i="2"/>
  <c r="Y620" i="2"/>
  <c r="Z620" i="2"/>
  <c r="AA620" i="2"/>
  <c r="AB620" i="2"/>
  <c r="AC620" i="2"/>
  <c r="AD620" i="2"/>
  <c r="Y621" i="2"/>
  <c r="Z621" i="2"/>
  <c r="AA621" i="2"/>
  <c r="AB621" i="2"/>
  <c r="AC621" i="2"/>
  <c r="AD621" i="2"/>
  <c r="Y622" i="2"/>
  <c r="Z622" i="2"/>
  <c r="AA622" i="2"/>
  <c r="AB622" i="2"/>
  <c r="AC622" i="2"/>
  <c r="AD622" i="2"/>
  <c r="Y623" i="2"/>
  <c r="Z623" i="2"/>
  <c r="AA623" i="2"/>
  <c r="AB623" i="2"/>
  <c r="AC623" i="2"/>
  <c r="AD623" i="2"/>
  <c r="Y624" i="2"/>
  <c r="Z624" i="2"/>
  <c r="AA624" i="2"/>
  <c r="AB624" i="2"/>
  <c r="AC624" i="2"/>
  <c r="AD624" i="2"/>
  <c r="Y625" i="2"/>
  <c r="Z625" i="2"/>
  <c r="AA625" i="2"/>
  <c r="AB625" i="2"/>
  <c r="AC625" i="2"/>
  <c r="AD625" i="2"/>
  <c r="Y626" i="2"/>
  <c r="Z626" i="2"/>
  <c r="AA626" i="2"/>
  <c r="AB626" i="2"/>
  <c r="AC626" i="2"/>
  <c r="AD626" i="2"/>
  <c r="Y627" i="2"/>
  <c r="Z627" i="2"/>
  <c r="AA627" i="2"/>
  <c r="AB627" i="2"/>
  <c r="AC627" i="2"/>
  <c r="AD627" i="2"/>
  <c r="Y628" i="2"/>
  <c r="Z628" i="2"/>
  <c r="AA628" i="2"/>
  <c r="AB628" i="2"/>
  <c r="AC628" i="2"/>
  <c r="AD628" i="2"/>
  <c r="Y629" i="2"/>
  <c r="Z629" i="2"/>
  <c r="AA629" i="2"/>
  <c r="AB629" i="2"/>
  <c r="AC629" i="2"/>
  <c r="AD629" i="2"/>
  <c r="Y630" i="2"/>
  <c r="Z630" i="2"/>
  <c r="AA630" i="2"/>
  <c r="AB630" i="2"/>
  <c r="AC630" i="2"/>
  <c r="AD630" i="2"/>
  <c r="Y631" i="2"/>
  <c r="Z631" i="2"/>
  <c r="AA631" i="2"/>
  <c r="AB631" i="2"/>
  <c r="AC631" i="2"/>
  <c r="AD631" i="2"/>
  <c r="Y632" i="2"/>
  <c r="Z632" i="2"/>
  <c r="AA632" i="2"/>
  <c r="AB632" i="2"/>
  <c r="AC632" i="2"/>
  <c r="AD632" i="2"/>
  <c r="Y633" i="2"/>
  <c r="Z633" i="2"/>
  <c r="AA633" i="2"/>
  <c r="AB633" i="2"/>
  <c r="AC633" i="2"/>
  <c r="AD633" i="2"/>
  <c r="Y634" i="2"/>
  <c r="Z634" i="2"/>
  <c r="AA634" i="2"/>
  <c r="AB634" i="2"/>
  <c r="AC634" i="2"/>
  <c r="AD634" i="2"/>
  <c r="Y635" i="2"/>
  <c r="Z635" i="2"/>
  <c r="AA635" i="2"/>
  <c r="AB635" i="2"/>
  <c r="AC635" i="2"/>
  <c r="AD635" i="2"/>
  <c r="Y636" i="2"/>
  <c r="Z636" i="2"/>
  <c r="AA636" i="2"/>
  <c r="AB636" i="2"/>
  <c r="AC636" i="2"/>
  <c r="AD636" i="2"/>
  <c r="Y637" i="2"/>
  <c r="Z637" i="2"/>
  <c r="AA637" i="2"/>
  <c r="AB637" i="2"/>
  <c r="AC637" i="2"/>
  <c r="AD637" i="2"/>
  <c r="Y638" i="2"/>
  <c r="Z638" i="2"/>
  <c r="AA638" i="2"/>
  <c r="AB638" i="2"/>
  <c r="AC638" i="2"/>
  <c r="AD638" i="2"/>
  <c r="Y639" i="2"/>
  <c r="Z639" i="2"/>
  <c r="AA639" i="2"/>
  <c r="AB639" i="2"/>
  <c r="AC639" i="2"/>
  <c r="AD639" i="2"/>
  <c r="Y640" i="2"/>
  <c r="Z640" i="2"/>
  <c r="AA640" i="2"/>
  <c r="AB640" i="2"/>
  <c r="AC640" i="2"/>
  <c r="AD640" i="2"/>
  <c r="Y641" i="2"/>
  <c r="Z641" i="2"/>
  <c r="AA641" i="2"/>
  <c r="AB641" i="2"/>
  <c r="AC641" i="2"/>
  <c r="AD641" i="2"/>
  <c r="Y642" i="2"/>
  <c r="Z642" i="2"/>
  <c r="AA642" i="2"/>
  <c r="AB642" i="2"/>
  <c r="AC642" i="2"/>
  <c r="AD642" i="2"/>
  <c r="Y643" i="2"/>
  <c r="Z643" i="2"/>
  <c r="AA643" i="2"/>
  <c r="AB643" i="2"/>
  <c r="AC643" i="2"/>
  <c r="AD643" i="2"/>
  <c r="Y644" i="2"/>
  <c r="Z644" i="2"/>
  <c r="AA644" i="2"/>
  <c r="AB644" i="2"/>
  <c r="AC644" i="2"/>
  <c r="AD644" i="2"/>
  <c r="Y645" i="2"/>
  <c r="Z645" i="2"/>
  <c r="AA645" i="2"/>
  <c r="AB645" i="2"/>
  <c r="AC645" i="2"/>
  <c r="AD645" i="2"/>
  <c r="Y646" i="2"/>
  <c r="Z646" i="2"/>
  <c r="AA646" i="2"/>
  <c r="AB646" i="2"/>
  <c r="AC646" i="2"/>
  <c r="AD646" i="2"/>
  <c r="Y647" i="2"/>
  <c r="Z647" i="2"/>
  <c r="AA647" i="2"/>
  <c r="AB647" i="2"/>
  <c r="AC647" i="2"/>
  <c r="AD647" i="2"/>
  <c r="Y648" i="2"/>
  <c r="Z648" i="2"/>
  <c r="AA648" i="2"/>
  <c r="AB648" i="2"/>
  <c r="AC648" i="2"/>
  <c r="AD648" i="2"/>
  <c r="Y649" i="2"/>
  <c r="Z649" i="2"/>
  <c r="AA649" i="2"/>
  <c r="AB649" i="2"/>
  <c r="AC649" i="2"/>
  <c r="AD649" i="2"/>
  <c r="Y650" i="2"/>
  <c r="Z650" i="2"/>
  <c r="AA650" i="2"/>
  <c r="AB650" i="2"/>
  <c r="AC650" i="2"/>
  <c r="AD650" i="2"/>
  <c r="Y651" i="2"/>
  <c r="Z651" i="2"/>
  <c r="AA651" i="2"/>
  <c r="AB651" i="2"/>
  <c r="AC651" i="2"/>
  <c r="AD651" i="2"/>
  <c r="Y652" i="2"/>
  <c r="Z652" i="2"/>
  <c r="AA652" i="2"/>
  <c r="AB652" i="2"/>
  <c r="AC652" i="2"/>
  <c r="AD652" i="2"/>
  <c r="Y653" i="2"/>
  <c r="Z653" i="2"/>
  <c r="AA653" i="2"/>
  <c r="AB653" i="2"/>
  <c r="AC653" i="2"/>
  <c r="AD653" i="2"/>
  <c r="Y654" i="2"/>
  <c r="Z654" i="2"/>
  <c r="AA654" i="2"/>
  <c r="AB654" i="2"/>
  <c r="AC654" i="2"/>
  <c r="AD654" i="2"/>
  <c r="Y655" i="2"/>
  <c r="Z655" i="2"/>
  <c r="AA655" i="2"/>
  <c r="AB655" i="2"/>
  <c r="AC655" i="2"/>
  <c r="AD655" i="2"/>
  <c r="Y656" i="2"/>
  <c r="Z656" i="2"/>
  <c r="AA656" i="2"/>
  <c r="AB656" i="2"/>
  <c r="AC656" i="2"/>
  <c r="AD656" i="2"/>
  <c r="Y657" i="2"/>
  <c r="Z657" i="2"/>
  <c r="AA657" i="2"/>
  <c r="AB657" i="2"/>
  <c r="AC657" i="2"/>
  <c r="AD657" i="2"/>
  <c r="Y658" i="2"/>
  <c r="Z658" i="2"/>
  <c r="AA658" i="2"/>
  <c r="AB658" i="2"/>
  <c r="AC658" i="2"/>
  <c r="AD658" i="2"/>
  <c r="Y659" i="2"/>
  <c r="Z659" i="2"/>
  <c r="AA659" i="2"/>
  <c r="AB659" i="2"/>
  <c r="AC659" i="2"/>
  <c r="AD659" i="2"/>
  <c r="Y660" i="2"/>
  <c r="Z660" i="2"/>
  <c r="AA660" i="2"/>
  <c r="AB660" i="2"/>
  <c r="AC660" i="2"/>
  <c r="AD660" i="2"/>
  <c r="Y661" i="2"/>
  <c r="Z661" i="2"/>
  <c r="AA661" i="2"/>
  <c r="AB661" i="2"/>
  <c r="AC661" i="2"/>
  <c r="AD661" i="2"/>
  <c r="Y662" i="2"/>
  <c r="Z662" i="2"/>
  <c r="AA662" i="2"/>
  <c r="AB662" i="2"/>
  <c r="AC662" i="2"/>
  <c r="AD662" i="2"/>
  <c r="Y663" i="2"/>
  <c r="Z663" i="2"/>
  <c r="AA663" i="2"/>
  <c r="AB663" i="2"/>
  <c r="AC663" i="2"/>
  <c r="AD663" i="2"/>
  <c r="Y664" i="2"/>
  <c r="Z664" i="2"/>
  <c r="AA664" i="2"/>
  <c r="AB664" i="2"/>
  <c r="AC664" i="2"/>
  <c r="AD664" i="2"/>
  <c r="Y665" i="2"/>
  <c r="Z665" i="2"/>
  <c r="AA665" i="2"/>
  <c r="AB665" i="2"/>
  <c r="AC665" i="2"/>
  <c r="AD665" i="2"/>
  <c r="Y666" i="2"/>
  <c r="Z666" i="2"/>
  <c r="AA666" i="2"/>
  <c r="AB666" i="2"/>
  <c r="AC666" i="2"/>
  <c r="AD666" i="2"/>
  <c r="Y667" i="2"/>
  <c r="Z667" i="2"/>
  <c r="AA667" i="2"/>
  <c r="AB667" i="2"/>
  <c r="AC667" i="2"/>
  <c r="AD667" i="2"/>
  <c r="Y668" i="2"/>
  <c r="Z668" i="2"/>
  <c r="AA668" i="2"/>
  <c r="AB668" i="2"/>
  <c r="AC668" i="2"/>
  <c r="AD668" i="2"/>
  <c r="Y669" i="2"/>
  <c r="Z669" i="2"/>
  <c r="AA669" i="2"/>
  <c r="AB669" i="2"/>
  <c r="AC669" i="2"/>
  <c r="AD669" i="2"/>
  <c r="Y670" i="2"/>
  <c r="Z670" i="2"/>
  <c r="AA670" i="2"/>
  <c r="AB670" i="2"/>
  <c r="AC670" i="2"/>
  <c r="AD670" i="2"/>
  <c r="Y671" i="2"/>
  <c r="Z671" i="2"/>
  <c r="AA671" i="2"/>
  <c r="AB671" i="2"/>
  <c r="AC671" i="2"/>
  <c r="AD671" i="2"/>
  <c r="Y672" i="2"/>
  <c r="Z672" i="2"/>
  <c r="AA672" i="2"/>
  <c r="AB672" i="2"/>
  <c r="AC672" i="2"/>
  <c r="AD672" i="2"/>
  <c r="Y673" i="2"/>
  <c r="Z673" i="2"/>
  <c r="AA673" i="2"/>
  <c r="AB673" i="2"/>
  <c r="AC673" i="2"/>
  <c r="AD673" i="2"/>
  <c r="Y674" i="2"/>
  <c r="Z674" i="2"/>
  <c r="AA674" i="2"/>
  <c r="AB674" i="2"/>
  <c r="AC674" i="2"/>
  <c r="AD674" i="2"/>
  <c r="Y675" i="2"/>
  <c r="Z675" i="2"/>
  <c r="AA675" i="2"/>
  <c r="AB675" i="2"/>
  <c r="AC675" i="2"/>
  <c r="AD675" i="2"/>
  <c r="Y676" i="2"/>
  <c r="Z676" i="2"/>
  <c r="AA676" i="2"/>
  <c r="AB676" i="2"/>
  <c r="AC676" i="2"/>
  <c r="AD676" i="2"/>
  <c r="Y677" i="2"/>
  <c r="Z677" i="2"/>
  <c r="AA677" i="2"/>
  <c r="AB677" i="2"/>
  <c r="AC677" i="2"/>
  <c r="AD677" i="2"/>
  <c r="Y678" i="2"/>
  <c r="Z678" i="2"/>
  <c r="AA678" i="2"/>
  <c r="AB678" i="2"/>
  <c r="AC678" i="2"/>
  <c r="AD678" i="2"/>
  <c r="Y679" i="2"/>
  <c r="Z679" i="2"/>
  <c r="AA679" i="2"/>
  <c r="AB679" i="2"/>
  <c r="AC679" i="2"/>
  <c r="AD679" i="2"/>
  <c r="Y680" i="2"/>
  <c r="Z680" i="2"/>
  <c r="AA680" i="2"/>
  <c r="AB680" i="2"/>
  <c r="AC680" i="2"/>
  <c r="AD680" i="2"/>
  <c r="Y681" i="2"/>
  <c r="Z681" i="2"/>
  <c r="AA681" i="2"/>
  <c r="AB681" i="2"/>
  <c r="AC681" i="2"/>
  <c r="AD681" i="2"/>
  <c r="Y682" i="2"/>
  <c r="Z682" i="2"/>
  <c r="AA682" i="2"/>
  <c r="AB682" i="2"/>
  <c r="AC682" i="2"/>
  <c r="AD682" i="2"/>
  <c r="Y683" i="2"/>
  <c r="Z683" i="2"/>
  <c r="AA683" i="2"/>
  <c r="AB683" i="2"/>
  <c r="AC683" i="2"/>
  <c r="AD683" i="2"/>
  <c r="Y684" i="2"/>
  <c r="Z684" i="2"/>
  <c r="AA684" i="2"/>
  <c r="AB684" i="2"/>
  <c r="AC684" i="2"/>
  <c r="AD684" i="2"/>
  <c r="Y685" i="2"/>
  <c r="Z685" i="2"/>
  <c r="AA685" i="2"/>
  <c r="AB685" i="2"/>
  <c r="AC685" i="2"/>
  <c r="AD685" i="2"/>
  <c r="Y686" i="2"/>
  <c r="Z686" i="2"/>
  <c r="AA686" i="2"/>
  <c r="AB686" i="2"/>
  <c r="AC686" i="2"/>
  <c r="AD686" i="2"/>
  <c r="Y687" i="2"/>
  <c r="Z687" i="2"/>
  <c r="AA687" i="2"/>
  <c r="AB687" i="2"/>
  <c r="AC687" i="2"/>
  <c r="AD687" i="2"/>
  <c r="Y688" i="2"/>
  <c r="Z688" i="2"/>
  <c r="AA688" i="2"/>
  <c r="AB688" i="2"/>
  <c r="AC688" i="2"/>
  <c r="AD688" i="2"/>
  <c r="Y689" i="2"/>
  <c r="Z689" i="2"/>
  <c r="AA689" i="2"/>
  <c r="AB689" i="2"/>
  <c r="AC689" i="2"/>
  <c r="AD689" i="2"/>
  <c r="Y690" i="2"/>
  <c r="Z690" i="2"/>
  <c r="AA690" i="2"/>
  <c r="AB690" i="2"/>
  <c r="AC690" i="2"/>
  <c r="AD690" i="2"/>
  <c r="Y691" i="2"/>
  <c r="Z691" i="2"/>
  <c r="AA691" i="2"/>
  <c r="AB691" i="2"/>
  <c r="AC691" i="2"/>
  <c r="AD691" i="2"/>
  <c r="Y692" i="2"/>
  <c r="Z692" i="2"/>
  <c r="AA692" i="2"/>
  <c r="AB692" i="2"/>
  <c r="AC692" i="2"/>
  <c r="AD692" i="2"/>
  <c r="Y693" i="2"/>
  <c r="Z693" i="2"/>
  <c r="AA693" i="2"/>
  <c r="AB693" i="2"/>
  <c r="AC693" i="2"/>
  <c r="AD693" i="2"/>
  <c r="Y694" i="2"/>
  <c r="Z694" i="2"/>
  <c r="AA694" i="2"/>
  <c r="AB694" i="2"/>
  <c r="AC694" i="2"/>
  <c r="AD694" i="2"/>
  <c r="Y695" i="2"/>
  <c r="Z695" i="2"/>
  <c r="AA695" i="2"/>
  <c r="AB695" i="2"/>
  <c r="AC695" i="2"/>
  <c r="AD695" i="2"/>
  <c r="Y696" i="2"/>
  <c r="Z696" i="2"/>
  <c r="AA696" i="2"/>
  <c r="AB696" i="2"/>
  <c r="AC696" i="2"/>
  <c r="AD696" i="2"/>
  <c r="Y697" i="2"/>
  <c r="Z697" i="2"/>
  <c r="AA697" i="2"/>
  <c r="AB697" i="2"/>
  <c r="AC697" i="2"/>
  <c r="AD697" i="2"/>
  <c r="Y698" i="2"/>
  <c r="Z698" i="2"/>
  <c r="AA698" i="2"/>
  <c r="AB698" i="2"/>
  <c r="AC698" i="2"/>
  <c r="AD698" i="2"/>
  <c r="Y699" i="2"/>
  <c r="Z699" i="2"/>
  <c r="AA699" i="2"/>
  <c r="AB699" i="2"/>
  <c r="AC699" i="2"/>
  <c r="AD699" i="2"/>
  <c r="Y700" i="2"/>
  <c r="Z700" i="2"/>
  <c r="AA700" i="2"/>
  <c r="AB700" i="2"/>
  <c r="AC700" i="2"/>
  <c r="AD700" i="2"/>
  <c r="Y701" i="2"/>
  <c r="Z701" i="2"/>
  <c r="AA701" i="2"/>
  <c r="AB701" i="2"/>
  <c r="AC701" i="2"/>
  <c r="AD701" i="2"/>
  <c r="Y702" i="2"/>
  <c r="Z702" i="2"/>
  <c r="AA702" i="2"/>
  <c r="AB702" i="2"/>
  <c r="AC702" i="2"/>
  <c r="AD702" i="2"/>
  <c r="Y703" i="2"/>
  <c r="Z703" i="2"/>
  <c r="AA703" i="2"/>
  <c r="AB703" i="2"/>
  <c r="AC703" i="2"/>
  <c r="AD703" i="2"/>
  <c r="Y704" i="2"/>
  <c r="Z704" i="2"/>
  <c r="AA704" i="2"/>
  <c r="AB704" i="2"/>
  <c r="AC704" i="2"/>
  <c r="AD704" i="2"/>
  <c r="Y705" i="2"/>
  <c r="Z705" i="2"/>
  <c r="AA705" i="2"/>
  <c r="AB705" i="2"/>
  <c r="AC705" i="2"/>
  <c r="AD705" i="2"/>
  <c r="Y706" i="2"/>
  <c r="Z706" i="2"/>
  <c r="AA706" i="2"/>
  <c r="AB706" i="2"/>
  <c r="AC706" i="2"/>
  <c r="AD706" i="2"/>
  <c r="Y707" i="2"/>
  <c r="Z707" i="2"/>
  <c r="AA707" i="2"/>
  <c r="AB707" i="2"/>
  <c r="AC707" i="2"/>
  <c r="AD707" i="2"/>
  <c r="Y708" i="2"/>
  <c r="Z708" i="2"/>
  <c r="AA708" i="2"/>
  <c r="AB708" i="2"/>
  <c r="AC708" i="2"/>
  <c r="AD708" i="2"/>
  <c r="Y709" i="2"/>
  <c r="Z709" i="2"/>
  <c r="AA709" i="2"/>
  <c r="AB709" i="2"/>
  <c r="AC709" i="2"/>
  <c r="AD709" i="2"/>
  <c r="Y710" i="2"/>
  <c r="Z710" i="2"/>
  <c r="AA710" i="2"/>
  <c r="AB710" i="2"/>
  <c r="AC710" i="2"/>
  <c r="AD710" i="2"/>
  <c r="Y711" i="2"/>
  <c r="Z711" i="2"/>
  <c r="AA711" i="2"/>
  <c r="AB711" i="2"/>
  <c r="AC711" i="2"/>
  <c r="AD711" i="2"/>
  <c r="Y712" i="2"/>
  <c r="Z712" i="2"/>
  <c r="AA712" i="2"/>
  <c r="AB712" i="2"/>
  <c r="AC712" i="2"/>
  <c r="AD712" i="2"/>
  <c r="Y713" i="2"/>
  <c r="Z713" i="2"/>
  <c r="AA713" i="2"/>
  <c r="AB713" i="2"/>
  <c r="AC713" i="2"/>
  <c r="AD713" i="2"/>
  <c r="Y714" i="2"/>
  <c r="Z714" i="2"/>
  <c r="AA714" i="2"/>
  <c r="AB714" i="2"/>
  <c r="AC714" i="2"/>
  <c r="AD714" i="2"/>
  <c r="Y715" i="2"/>
  <c r="Z715" i="2"/>
  <c r="AA715" i="2"/>
  <c r="AB715" i="2"/>
  <c r="AC715" i="2"/>
  <c r="AD715" i="2"/>
  <c r="Y716" i="2"/>
  <c r="Z716" i="2"/>
  <c r="AA716" i="2"/>
  <c r="AB716" i="2"/>
  <c r="AC716" i="2"/>
  <c r="AD716" i="2"/>
  <c r="Y717" i="2"/>
  <c r="Z717" i="2"/>
  <c r="AA717" i="2"/>
  <c r="AB717" i="2"/>
  <c r="AC717" i="2"/>
  <c r="AD717" i="2"/>
  <c r="Y718" i="2"/>
  <c r="Z718" i="2"/>
  <c r="AA718" i="2"/>
  <c r="AB718" i="2"/>
  <c r="AC718" i="2"/>
  <c r="AD718" i="2"/>
  <c r="Y719" i="2"/>
  <c r="Z719" i="2"/>
  <c r="AA719" i="2"/>
  <c r="AB719" i="2"/>
  <c r="AC719" i="2"/>
  <c r="AD719" i="2"/>
  <c r="Y720" i="2"/>
  <c r="Z720" i="2"/>
  <c r="AA720" i="2"/>
  <c r="AB720" i="2"/>
  <c r="AC720" i="2"/>
  <c r="AD720" i="2"/>
  <c r="Y721" i="2"/>
  <c r="Z721" i="2"/>
  <c r="AA721" i="2"/>
  <c r="AB721" i="2"/>
  <c r="AC721" i="2"/>
  <c r="AD721" i="2"/>
  <c r="Y722" i="2"/>
  <c r="Z722" i="2"/>
  <c r="AA722" i="2"/>
  <c r="AB722" i="2"/>
  <c r="AC722" i="2"/>
  <c r="AD722" i="2"/>
  <c r="Y723" i="2"/>
  <c r="Z723" i="2"/>
  <c r="AA723" i="2"/>
  <c r="AB723" i="2"/>
  <c r="AC723" i="2"/>
  <c r="AD723" i="2"/>
  <c r="Y724" i="2"/>
  <c r="Z724" i="2"/>
  <c r="AA724" i="2"/>
  <c r="AB724" i="2"/>
  <c r="AC724" i="2"/>
  <c r="AD724" i="2"/>
  <c r="Y725" i="2"/>
  <c r="Z725" i="2"/>
  <c r="AA725" i="2"/>
  <c r="AB725" i="2"/>
  <c r="AC725" i="2"/>
  <c r="AD725" i="2"/>
  <c r="Y726" i="2"/>
  <c r="Z726" i="2"/>
  <c r="AA726" i="2"/>
  <c r="AB726" i="2"/>
  <c r="AC726" i="2"/>
  <c r="AD726" i="2"/>
  <c r="Y727" i="2"/>
  <c r="Z727" i="2"/>
  <c r="AA727" i="2"/>
  <c r="AB727" i="2"/>
  <c r="AC727" i="2"/>
  <c r="AD727" i="2"/>
  <c r="Y728" i="2"/>
  <c r="Z728" i="2"/>
  <c r="AA728" i="2"/>
  <c r="AB728" i="2"/>
  <c r="AC728" i="2"/>
  <c r="AD728" i="2"/>
  <c r="Y729" i="2"/>
  <c r="Z729" i="2"/>
  <c r="AA729" i="2"/>
  <c r="AB729" i="2"/>
  <c r="AC729" i="2"/>
  <c r="AD729" i="2"/>
  <c r="Y730" i="2"/>
  <c r="Z730" i="2"/>
  <c r="AA730" i="2"/>
  <c r="AB730" i="2"/>
  <c r="AC730" i="2"/>
  <c r="AD730" i="2"/>
  <c r="Y731" i="2"/>
  <c r="Z731" i="2"/>
  <c r="AA731" i="2"/>
  <c r="AB731" i="2"/>
  <c r="AC731" i="2"/>
  <c r="AD731" i="2"/>
  <c r="Y732" i="2"/>
  <c r="Z732" i="2"/>
  <c r="AA732" i="2"/>
  <c r="AB732" i="2"/>
  <c r="AC732" i="2"/>
  <c r="AD732" i="2"/>
  <c r="Y733" i="2"/>
  <c r="Z733" i="2"/>
  <c r="AA733" i="2"/>
  <c r="AB733" i="2"/>
  <c r="AC733" i="2"/>
  <c r="AD733" i="2"/>
  <c r="Y734" i="2"/>
  <c r="Z734" i="2"/>
  <c r="AA734" i="2"/>
  <c r="AB734" i="2"/>
  <c r="AC734" i="2"/>
  <c r="AD734" i="2"/>
  <c r="Y735" i="2"/>
  <c r="Z735" i="2"/>
  <c r="AA735" i="2"/>
  <c r="AB735" i="2"/>
  <c r="AC735" i="2"/>
  <c r="AD735" i="2"/>
  <c r="Y736" i="2"/>
  <c r="Z736" i="2"/>
  <c r="AA736" i="2"/>
  <c r="AB736" i="2"/>
  <c r="AC736" i="2"/>
  <c r="AD736" i="2"/>
  <c r="Y737" i="2"/>
  <c r="Z737" i="2"/>
  <c r="AA737" i="2"/>
  <c r="AB737" i="2"/>
  <c r="AC737" i="2"/>
  <c r="AD737" i="2"/>
  <c r="Y738" i="2"/>
  <c r="Z738" i="2"/>
  <c r="AA738" i="2"/>
  <c r="AB738" i="2"/>
  <c r="AC738" i="2"/>
  <c r="AD738" i="2"/>
  <c r="Y739" i="2"/>
  <c r="Z739" i="2"/>
  <c r="AA739" i="2"/>
  <c r="AB739" i="2"/>
  <c r="AC739" i="2"/>
  <c r="AD739" i="2"/>
  <c r="Y740" i="2"/>
  <c r="Z740" i="2"/>
  <c r="AA740" i="2"/>
  <c r="AB740" i="2"/>
  <c r="AC740" i="2"/>
  <c r="AD740" i="2"/>
  <c r="Y741" i="2"/>
  <c r="Z741" i="2"/>
  <c r="AA741" i="2"/>
  <c r="AB741" i="2"/>
  <c r="AC741" i="2"/>
  <c r="AD741" i="2"/>
  <c r="Y742" i="2"/>
  <c r="Z742" i="2"/>
  <c r="AA742" i="2"/>
  <c r="AB742" i="2"/>
  <c r="AC742" i="2"/>
  <c r="AD742" i="2"/>
  <c r="Y743" i="2"/>
  <c r="Z743" i="2"/>
  <c r="AA743" i="2"/>
  <c r="AB743" i="2"/>
  <c r="AC743" i="2"/>
  <c r="AD743" i="2"/>
  <c r="Y744" i="2"/>
  <c r="Z744" i="2"/>
  <c r="AA744" i="2"/>
  <c r="AB744" i="2"/>
  <c r="AC744" i="2"/>
  <c r="AD744" i="2"/>
  <c r="Y745" i="2"/>
  <c r="Z745" i="2"/>
  <c r="AA745" i="2"/>
  <c r="AB745" i="2"/>
  <c r="AC745" i="2"/>
  <c r="AD745" i="2"/>
  <c r="Y746" i="2"/>
  <c r="Z746" i="2"/>
  <c r="AA746" i="2"/>
  <c r="AB746" i="2"/>
  <c r="AC746" i="2"/>
  <c r="AD746" i="2"/>
  <c r="Y747" i="2"/>
  <c r="Z747" i="2"/>
  <c r="AA747" i="2"/>
  <c r="AB747" i="2"/>
  <c r="AC747" i="2"/>
  <c r="AD747" i="2"/>
  <c r="Y748" i="2"/>
  <c r="Z748" i="2"/>
  <c r="AA748" i="2"/>
  <c r="AB748" i="2"/>
  <c r="AC748" i="2"/>
  <c r="AD748" i="2"/>
  <c r="Y749" i="2"/>
  <c r="Z749" i="2"/>
  <c r="AA749" i="2"/>
  <c r="AB749" i="2"/>
  <c r="AC749" i="2"/>
  <c r="AD749" i="2"/>
  <c r="Y750" i="2"/>
  <c r="Z750" i="2"/>
  <c r="AA750" i="2"/>
  <c r="AB750" i="2"/>
  <c r="AC750" i="2"/>
  <c r="AD750" i="2"/>
  <c r="Y751" i="2"/>
  <c r="Z751" i="2"/>
  <c r="AA751" i="2"/>
  <c r="AB751" i="2"/>
  <c r="AC751" i="2"/>
  <c r="AD751" i="2"/>
  <c r="Y752" i="2"/>
  <c r="Z752" i="2"/>
  <c r="AA752" i="2"/>
  <c r="AB752" i="2"/>
  <c r="AC752" i="2"/>
  <c r="AD752" i="2"/>
  <c r="Y753" i="2"/>
  <c r="Z753" i="2"/>
  <c r="AA753" i="2"/>
  <c r="AB753" i="2"/>
  <c r="AC753" i="2"/>
  <c r="AD753" i="2"/>
  <c r="Y754" i="2"/>
  <c r="Z754" i="2"/>
  <c r="AA754" i="2"/>
  <c r="AB754" i="2"/>
  <c r="AC754" i="2"/>
  <c r="AD754" i="2"/>
  <c r="Y755" i="2"/>
  <c r="Z755" i="2"/>
  <c r="AA755" i="2"/>
  <c r="AB755" i="2"/>
  <c r="AC755" i="2"/>
  <c r="AD755" i="2"/>
  <c r="Y756" i="2"/>
  <c r="Z756" i="2"/>
  <c r="AA756" i="2"/>
  <c r="AB756" i="2"/>
  <c r="AC756" i="2"/>
  <c r="AD756" i="2"/>
  <c r="Y757" i="2"/>
  <c r="Z757" i="2"/>
  <c r="AA757" i="2"/>
  <c r="AB757" i="2"/>
  <c r="AC757" i="2"/>
  <c r="AD757" i="2"/>
  <c r="Y758" i="2"/>
  <c r="Z758" i="2"/>
  <c r="AA758" i="2"/>
  <c r="AB758" i="2"/>
  <c r="AC758" i="2"/>
  <c r="AD758" i="2"/>
  <c r="Y759" i="2"/>
  <c r="Z759" i="2"/>
  <c r="AA759" i="2"/>
  <c r="AB759" i="2"/>
  <c r="AC759" i="2"/>
  <c r="AD759" i="2"/>
  <c r="Y760" i="2"/>
  <c r="Z760" i="2"/>
  <c r="AA760" i="2"/>
  <c r="AB760" i="2"/>
  <c r="AC760" i="2"/>
  <c r="AD760" i="2"/>
  <c r="Y761" i="2"/>
  <c r="Z761" i="2"/>
  <c r="AA761" i="2"/>
  <c r="AB761" i="2"/>
  <c r="AC761" i="2"/>
  <c r="AD761" i="2"/>
  <c r="Y762" i="2"/>
  <c r="Z762" i="2"/>
  <c r="AA762" i="2"/>
  <c r="AB762" i="2"/>
  <c r="AC762" i="2"/>
  <c r="AD762" i="2"/>
  <c r="Y763" i="2"/>
  <c r="Z763" i="2"/>
  <c r="AA763" i="2"/>
  <c r="AB763" i="2"/>
  <c r="AC763" i="2"/>
  <c r="AD763" i="2"/>
  <c r="Y764" i="2"/>
  <c r="Z764" i="2"/>
  <c r="AA764" i="2"/>
  <c r="AB764" i="2"/>
  <c r="AC764" i="2"/>
  <c r="AD764" i="2"/>
  <c r="Y765" i="2"/>
  <c r="Z765" i="2"/>
  <c r="AA765" i="2"/>
  <c r="AB765" i="2"/>
  <c r="AC765" i="2"/>
  <c r="AD765" i="2"/>
  <c r="Y766" i="2"/>
  <c r="Z766" i="2"/>
  <c r="AA766" i="2"/>
  <c r="AB766" i="2"/>
  <c r="AC766" i="2"/>
  <c r="AD766" i="2"/>
  <c r="Y767" i="2"/>
  <c r="Z767" i="2"/>
  <c r="AA767" i="2"/>
  <c r="AB767" i="2"/>
  <c r="AC767" i="2"/>
  <c r="AD767" i="2"/>
  <c r="Y768" i="2"/>
  <c r="Z768" i="2"/>
  <c r="AA768" i="2"/>
  <c r="AB768" i="2"/>
  <c r="AC768" i="2"/>
  <c r="AD768" i="2"/>
  <c r="Y769" i="2"/>
  <c r="Z769" i="2"/>
  <c r="AA769" i="2"/>
  <c r="AB769" i="2"/>
  <c r="AC769" i="2"/>
  <c r="AD769" i="2"/>
  <c r="Y770" i="2"/>
  <c r="Z770" i="2"/>
  <c r="AA770" i="2"/>
  <c r="AB770" i="2"/>
  <c r="AC770" i="2"/>
  <c r="AD770" i="2"/>
  <c r="Y771" i="2"/>
  <c r="Z771" i="2"/>
  <c r="AA771" i="2"/>
  <c r="AB771" i="2"/>
  <c r="AC771" i="2"/>
  <c r="AD771" i="2"/>
  <c r="Y772" i="2"/>
  <c r="Z772" i="2"/>
  <c r="AA772" i="2"/>
  <c r="AB772" i="2"/>
  <c r="AC772" i="2"/>
  <c r="AD772" i="2"/>
  <c r="Y773" i="2"/>
  <c r="Z773" i="2"/>
  <c r="AA773" i="2"/>
  <c r="AB773" i="2"/>
  <c r="AC773" i="2"/>
  <c r="AD773" i="2"/>
  <c r="Y774" i="2"/>
  <c r="Z774" i="2"/>
  <c r="AA774" i="2"/>
  <c r="AB774" i="2"/>
  <c r="AC774" i="2"/>
  <c r="AD774" i="2"/>
  <c r="Y775" i="2"/>
  <c r="Z775" i="2"/>
  <c r="AA775" i="2"/>
  <c r="AB775" i="2"/>
  <c r="AC775" i="2"/>
  <c r="AD775" i="2"/>
  <c r="Y776" i="2"/>
  <c r="Z776" i="2"/>
  <c r="AA776" i="2"/>
  <c r="AB776" i="2"/>
  <c r="AC776" i="2"/>
  <c r="AD776" i="2"/>
  <c r="Y777" i="2"/>
  <c r="Z777" i="2"/>
  <c r="AA777" i="2"/>
  <c r="AB777" i="2"/>
  <c r="AC777" i="2"/>
  <c r="AD777" i="2"/>
  <c r="Y778" i="2"/>
  <c r="Z778" i="2"/>
  <c r="AA778" i="2"/>
  <c r="AB778" i="2"/>
  <c r="AC778" i="2"/>
  <c r="AD778" i="2"/>
  <c r="Y779" i="2"/>
  <c r="Z779" i="2"/>
  <c r="AA779" i="2"/>
  <c r="AB779" i="2"/>
  <c r="AC779" i="2"/>
  <c r="AD779" i="2"/>
  <c r="Y780" i="2"/>
  <c r="Z780" i="2"/>
  <c r="AA780" i="2"/>
  <c r="AB780" i="2"/>
  <c r="AC780" i="2"/>
  <c r="AD780" i="2"/>
  <c r="Y781" i="2"/>
  <c r="Z781" i="2"/>
  <c r="AA781" i="2"/>
  <c r="AB781" i="2"/>
  <c r="AC781" i="2"/>
  <c r="AD781" i="2"/>
  <c r="Y782" i="2"/>
  <c r="Z782" i="2"/>
  <c r="AA782" i="2"/>
  <c r="AB782" i="2"/>
  <c r="AC782" i="2"/>
  <c r="AD782" i="2"/>
  <c r="Y783" i="2"/>
  <c r="Z783" i="2"/>
  <c r="AA783" i="2"/>
  <c r="AB783" i="2"/>
  <c r="AC783" i="2"/>
  <c r="AD783" i="2"/>
  <c r="Y784" i="2"/>
  <c r="Z784" i="2"/>
  <c r="AA784" i="2"/>
  <c r="AB784" i="2"/>
  <c r="AC784" i="2"/>
  <c r="AD784" i="2"/>
  <c r="Y785" i="2"/>
  <c r="Z785" i="2"/>
  <c r="AA785" i="2"/>
  <c r="AB785" i="2"/>
  <c r="AC785" i="2"/>
  <c r="AD785" i="2"/>
  <c r="Y786" i="2"/>
  <c r="Z786" i="2"/>
  <c r="AA786" i="2"/>
  <c r="AB786" i="2"/>
  <c r="AC786" i="2"/>
  <c r="AD786" i="2"/>
  <c r="Y787" i="2"/>
  <c r="Z787" i="2"/>
  <c r="AA787" i="2"/>
  <c r="AB787" i="2"/>
  <c r="AC787" i="2"/>
  <c r="AD787" i="2"/>
  <c r="Y788" i="2"/>
  <c r="Z788" i="2"/>
  <c r="AA788" i="2"/>
  <c r="AB788" i="2"/>
  <c r="AC788" i="2"/>
  <c r="AD788" i="2"/>
  <c r="Y789" i="2"/>
  <c r="Z789" i="2"/>
  <c r="AA789" i="2"/>
  <c r="AB789" i="2"/>
  <c r="AC789" i="2"/>
  <c r="AD789" i="2"/>
  <c r="Y790" i="2"/>
  <c r="Z790" i="2"/>
  <c r="AA790" i="2"/>
  <c r="AB790" i="2"/>
  <c r="AC790" i="2"/>
  <c r="AD790" i="2"/>
  <c r="Y791" i="2"/>
  <c r="Z791" i="2"/>
  <c r="AA791" i="2"/>
  <c r="AB791" i="2"/>
  <c r="AC791" i="2"/>
  <c r="AD791" i="2"/>
  <c r="Y792" i="2"/>
  <c r="Z792" i="2"/>
  <c r="AA792" i="2"/>
  <c r="AB792" i="2"/>
  <c r="AC792" i="2"/>
  <c r="AD792" i="2"/>
  <c r="Y793" i="2"/>
  <c r="Z793" i="2"/>
  <c r="AA793" i="2"/>
  <c r="AB793" i="2"/>
  <c r="AC793" i="2"/>
  <c r="AD793" i="2"/>
  <c r="Y794" i="2"/>
  <c r="Z794" i="2"/>
  <c r="AA794" i="2"/>
  <c r="AB794" i="2"/>
  <c r="AC794" i="2"/>
  <c r="AD794" i="2"/>
  <c r="Y795" i="2"/>
  <c r="Z795" i="2"/>
  <c r="AA795" i="2"/>
  <c r="AB795" i="2"/>
  <c r="AC795" i="2"/>
  <c r="AD795" i="2"/>
  <c r="Y796" i="2"/>
  <c r="Z796" i="2"/>
  <c r="AA796" i="2"/>
  <c r="AB796" i="2"/>
  <c r="AC796" i="2"/>
  <c r="AD796" i="2"/>
  <c r="Y797" i="2"/>
  <c r="Z797" i="2"/>
  <c r="AA797" i="2"/>
  <c r="AB797" i="2"/>
  <c r="AC797" i="2"/>
  <c r="AD797" i="2"/>
  <c r="Y798" i="2"/>
  <c r="Z798" i="2"/>
  <c r="AA798" i="2"/>
  <c r="AB798" i="2"/>
  <c r="AC798" i="2"/>
  <c r="AD798" i="2"/>
  <c r="Y799" i="2"/>
  <c r="Z799" i="2"/>
  <c r="AA799" i="2"/>
  <c r="AB799" i="2"/>
  <c r="AC799" i="2"/>
  <c r="AD799" i="2"/>
  <c r="Y800" i="2"/>
  <c r="Z800" i="2"/>
  <c r="AA800" i="2"/>
  <c r="AB800" i="2"/>
  <c r="AC800" i="2"/>
  <c r="AD800" i="2"/>
  <c r="Y801" i="2"/>
  <c r="Z801" i="2"/>
  <c r="AA801" i="2"/>
  <c r="AB801" i="2"/>
  <c r="AC801" i="2"/>
  <c r="AD801" i="2"/>
  <c r="Y802" i="2"/>
  <c r="Z802" i="2"/>
  <c r="AA802" i="2"/>
  <c r="AB802" i="2"/>
  <c r="AC802" i="2"/>
  <c r="AD802" i="2"/>
  <c r="Y803" i="2"/>
  <c r="Z803" i="2"/>
  <c r="AA803" i="2"/>
  <c r="AB803" i="2"/>
  <c r="AC803" i="2"/>
  <c r="AD803" i="2"/>
  <c r="Y804" i="2"/>
  <c r="Z804" i="2"/>
  <c r="AA804" i="2"/>
  <c r="AB804" i="2"/>
  <c r="AC804" i="2"/>
  <c r="AD804" i="2"/>
  <c r="Y805" i="2"/>
  <c r="Z805" i="2"/>
  <c r="AA805" i="2"/>
  <c r="AB805" i="2"/>
  <c r="AC805" i="2"/>
  <c r="AD805" i="2"/>
  <c r="Y806" i="2"/>
  <c r="Z806" i="2"/>
  <c r="AA806" i="2"/>
  <c r="AB806" i="2"/>
  <c r="AC806" i="2"/>
  <c r="AD806" i="2"/>
  <c r="Y807" i="2"/>
  <c r="Z807" i="2"/>
  <c r="AA807" i="2"/>
  <c r="AB807" i="2"/>
  <c r="AC807" i="2"/>
  <c r="AD807" i="2"/>
  <c r="Y808" i="2"/>
  <c r="Z808" i="2"/>
  <c r="AA808" i="2"/>
  <c r="AB808" i="2"/>
  <c r="AC808" i="2"/>
  <c r="AD808" i="2"/>
  <c r="Y809" i="2"/>
  <c r="Z809" i="2"/>
  <c r="AA809" i="2"/>
  <c r="AB809" i="2"/>
  <c r="AC809" i="2"/>
  <c r="AD809" i="2"/>
  <c r="Y810" i="2"/>
  <c r="Z810" i="2"/>
  <c r="AA810" i="2"/>
  <c r="AB810" i="2"/>
  <c r="AC810" i="2"/>
  <c r="AD810" i="2"/>
  <c r="Y811" i="2"/>
  <c r="Z811" i="2"/>
  <c r="AA811" i="2"/>
  <c r="AB811" i="2"/>
  <c r="AC811" i="2"/>
  <c r="AD811" i="2"/>
  <c r="Y812" i="2"/>
  <c r="Z812" i="2"/>
  <c r="AA812" i="2"/>
  <c r="AB812" i="2"/>
  <c r="AC812" i="2"/>
  <c r="AD812" i="2"/>
  <c r="Y813" i="2"/>
  <c r="Z813" i="2"/>
  <c r="AA813" i="2"/>
  <c r="AB813" i="2"/>
  <c r="AC813" i="2"/>
  <c r="AD813" i="2"/>
  <c r="Y814" i="2"/>
  <c r="Z814" i="2"/>
  <c r="AA814" i="2"/>
  <c r="AB814" i="2"/>
  <c r="AC814" i="2"/>
  <c r="AD814" i="2"/>
  <c r="Y815" i="2"/>
  <c r="Z815" i="2"/>
  <c r="AA815" i="2"/>
  <c r="AB815" i="2"/>
  <c r="AC815" i="2"/>
  <c r="AD815" i="2"/>
  <c r="Y816" i="2"/>
  <c r="Z816" i="2"/>
  <c r="AA816" i="2"/>
  <c r="AB816" i="2"/>
  <c r="AC816" i="2"/>
  <c r="AD816" i="2"/>
  <c r="Y817" i="2"/>
  <c r="Z817" i="2"/>
  <c r="AA817" i="2"/>
  <c r="AB817" i="2"/>
  <c r="AC817" i="2"/>
  <c r="AD817" i="2"/>
  <c r="Y818" i="2"/>
  <c r="Z818" i="2"/>
  <c r="AA818" i="2"/>
  <c r="AB818" i="2"/>
  <c r="AC818" i="2"/>
  <c r="AD818" i="2"/>
  <c r="Y819" i="2"/>
  <c r="Z819" i="2"/>
  <c r="AA819" i="2"/>
  <c r="AB819" i="2"/>
  <c r="AC819" i="2"/>
  <c r="AD819" i="2"/>
  <c r="Y820" i="2"/>
  <c r="Z820" i="2"/>
  <c r="AA820" i="2"/>
  <c r="AB820" i="2"/>
  <c r="AC820" i="2"/>
  <c r="AD820" i="2"/>
  <c r="Y821" i="2"/>
  <c r="Z821" i="2"/>
  <c r="AA821" i="2"/>
  <c r="AB821" i="2"/>
  <c r="AC821" i="2"/>
  <c r="AD821" i="2"/>
  <c r="Y822" i="2"/>
  <c r="Z822" i="2"/>
  <c r="AA822" i="2"/>
  <c r="AB822" i="2"/>
  <c r="AC822" i="2"/>
  <c r="AD822" i="2"/>
  <c r="Y823" i="2"/>
  <c r="Z823" i="2"/>
  <c r="AA823" i="2"/>
  <c r="AB823" i="2"/>
  <c r="AC823" i="2"/>
  <c r="AD823" i="2"/>
  <c r="Y824" i="2"/>
  <c r="Z824" i="2"/>
  <c r="AA824" i="2"/>
  <c r="AB824" i="2"/>
  <c r="AC824" i="2"/>
  <c r="AD824" i="2"/>
  <c r="Y825" i="2"/>
  <c r="Z825" i="2"/>
  <c r="AA825" i="2"/>
  <c r="AB825" i="2"/>
  <c r="AC825" i="2"/>
  <c r="AD825" i="2"/>
  <c r="Y826" i="2"/>
  <c r="Z826" i="2"/>
  <c r="AA826" i="2"/>
  <c r="AB826" i="2"/>
  <c r="AC826" i="2"/>
  <c r="AD826" i="2"/>
  <c r="Y827" i="2"/>
  <c r="Z827" i="2"/>
  <c r="AA827" i="2"/>
  <c r="AB827" i="2"/>
  <c r="AC827" i="2"/>
  <c r="AD827" i="2"/>
  <c r="Y828" i="2"/>
  <c r="Z828" i="2"/>
  <c r="AA828" i="2"/>
  <c r="AB828" i="2"/>
  <c r="AC828" i="2"/>
  <c r="AD828" i="2"/>
  <c r="Y829" i="2"/>
  <c r="Z829" i="2"/>
  <c r="AA829" i="2"/>
  <c r="AB829" i="2"/>
  <c r="AC829" i="2"/>
  <c r="AD829" i="2"/>
  <c r="Y830" i="2"/>
  <c r="Z830" i="2"/>
  <c r="AA830" i="2"/>
  <c r="AB830" i="2"/>
  <c r="AC830" i="2"/>
  <c r="AD830" i="2"/>
  <c r="Y831" i="2"/>
  <c r="Z831" i="2"/>
  <c r="AA831" i="2"/>
  <c r="AB831" i="2"/>
  <c r="AC831" i="2"/>
  <c r="AD831" i="2"/>
  <c r="Y832" i="2"/>
  <c r="Z832" i="2"/>
  <c r="AA832" i="2"/>
  <c r="AB832" i="2"/>
  <c r="AC832" i="2"/>
  <c r="AD832" i="2"/>
  <c r="Y833" i="2"/>
  <c r="Z833" i="2"/>
  <c r="AA833" i="2"/>
  <c r="AB833" i="2"/>
  <c r="AC833" i="2"/>
  <c r="AD833" i="2"/>
  <c r="Y834" i="2"/>
  <c r="Z834" i="2"/>
  <c r="AA834" i="2"/>
  <c r="AB834" i="2"/>
  <c r="AC834" i="2"/>
  <c r="AD834" i="2"/>
  <c r="Y835" i="2"/>
  <c r="Z835" i="2"/>
  <c r="AA835" i="2"/>
  <c r="AB835" i="2"/>
  <c r="AC835" i="2"/>
  <c r="AD835" i="2"/>
  <c r="Y836" i="2"/>
  <c r="Z836" i="2"/>
  <c r="AA836" i="2"/>
  <c r="AB836" i="2"/>
  <c r="AC836" i="2"/>
  <c r="AD836" i="2"/>
  <c r="Y837" i="2"/>
  <c r="Z837" i="2"/>
  <c r="AA837" i="2"/>
  <c r="AB837" i="2"/>
  <c r="AC837" i="2"/>
  <c r="AD837" i="2"/>
  <c r="Y838" i="2"/>
  <c r="Z838" i="2"/>
  <c r="AA838" i="2"/>
  <c r="AB838" i="2"/>
  <c r="AC838" i="2"/>
  <c r="AD838" i="2"/>
  <c r="Y839" i="2"/>
  <c r="Z839" i="2"/>
  <c r="AA839" i="2"/>
  <c r="AB839" i="2"/>
  <c r="AC839" i="2"/>
  <c r="AD839" i="2"/>
  <c r="Y840" i="2"/>
  <c r="Z840" i="2"/>
  <c r="AA840" i="2"/>
  <c r="AB840" i="2"/>
  <c r="AC840" i="2"/>
  <c r="AD840" i="2"/>
  <c r="Y841" i="2"/>
  <c r="Z841" i="2"/>
  <c r="AA841" i="2"/>
  <c r="AB841" i="2"/>
  <c r="AC841" i="2"/>
  <c r="AD841" i="2"/>
  <c r="Y842" i="2"/>
  <c r="Z842" i="2"/>
  <c r="AA842" i="2"/>
  <c r="AB842" i="2"/>
  <c r="AC842" i="2"/>
  <c r="AD842" i="2"/>
  <c r="Y843" i="2"/>
  <c r="Z843" i="2"/>
  <c r="AA843" i="2"/>
  <c r="AB843" i="2"/>
  <c r="AC843" i="2"/>
  <c r="AD843" i="2"/>
  <c r="Y844" i="2"/>
  <c r="Z844" i="2"/>
  <c r="AA844" i="2"/>
  <c r="AB844" i="2"/>
  <c r="AC844" i="2"/>
  <c r="AD844" i="2"/>
  <c r="Y845" i="2"/>
  <c r="Z845" i="2"/>
  <c r="AA845" i="2"/>
  <c r="AB845" i="2"/>
  <c r="AC845" i="2"/>
  <c r="AD845" i="2"/>
  <c r="Y846" i="2"/>
  <c r="Z846" i="2"/>
  <c r="AA846" i="2"/>
  <c r="AB846" i="2"/>
  <c r="AC846" i="2"/>
  <c r="AD846" i="2"/>
  <c r="Y847" i="2"/>
  <c r="Z847" i="2"/>
  <c r="AA847" i="2"/>
  <c r="AB847" i="2"/>
  <c r="AC847" i="2"/>
  <c r="AD847" i="2"/>
  <c r="Y848" i="2"/>
  <c r="Z848" i="2"/>
  <c r="AA848" i="2"/>
  <c r="AB848" i="2"/>
  <c r="AC848" i="2"/>
  <c r="AD848" i="2"/>
  <c r="Y849" i="2"/>
  <c r="Z849" i="2"/>
  <c r="AA849" i="2"/>
  <c r="AB849" i="2"/>
  <c r="AC849" i="2"/>
  <c r="AD849" i="2"/>
  <c r="Y850" i="2"/>
  <c r="Z850" i="2"/>
  <c r="AA850" i="2"/>
  <c r="AB850" i="2"/>
  <c r="AC850" i="2"/>
  <c r="AD850" i="2"/>
  <c r="Y851" i="2"/>
  <c r="Z851" i="2"/>
  <c r="AA851" i="2"/>
  <c r="AB851" i="2"/>
  <c r="AC851" i="2"/>
  <c r="AD851" i="2"/>
  <c r="Y852" i="2"/>
  <c r="Z852" i="2"/>
  <c r="AA852" i="2"/>
  <c r="AB852" i="2"/>
  <c r="AC852" i="2"/>
  <c r="AD852" i="2"/>
  <c r="Y853" i="2"/>
  <c r="Z853" i="2"/>
  <c r="AA853" i="2"/>
  <c r="AB853" i="2"/>
  <c r="AC853" i="2"/>
  <c r="AD853" i="2"/>
  <c r="Y854" i="2"/>
  <c r="Z854" i="2"/>
  <c r="AA854" i="2"/>
  <c r="AB854" i="2"/>
  <c r="AC854" i="2"/>
  <c r="AD854" i="2"/>
  <c r="Y855" i="2"/>
  <c r="Z855" i="2"/>
  <c r="AA855" i="2"/>
  <c r="AB855" i="2"/>
  <c r="AC855" i="2"/>
  <c r="AD855" i="2"/>
  <c r="Y856" i="2"/>
  <c r="Z856" i="2"/>
  <c r="AA856" i="2"/>
  <c r="AB856" i="2"/>
  <c r="AC856" i="2"/>
  <c r="AD856" i="2"/>
  <c r="Y857" i="2"/>
  <c r="Z857" i="2"/>
  <c r="AA857" i="2"/>
  <c r="AB857" i="2"/>
  <c r="AC857" i="2"/>
  <c r="AD857" i="2"/>
  <c r="Y858" i="2"/>
  <c r="Z858" i="2"/>
  <c r="AA858" i="2"/>
  <c r="AB858" i="2"/>
  <c r="AC858" i="2"/>
  <c r="AD858" i="2"/>
  <c r="Y859" i="2"/>
  <c r="Z859" i="2"/>
  <c r="AA859" i="2"/>
  <c r="AB859" i="2"/>
  <c r="AC859" i="2"/>
  <c r="AD859" i="2"/>
  <c r="Y860" i="2"/>
  <c r="Z860" i="2"/>
  <c r="AA860" i="2"/>
  <c r="AB860" i="2"/>
  <c r="AC860" i="2"/>
  <c r="AD860" i="2"/>
  <c r="Y861" i="2"/>
  <c r="Z861" i="2"/>
  <c r="AA861" i="2"/>
  <c r="AB861" i="2"/>
  <c r="AC861" i="2"/>
  <c r="AD861" i="2"/>
  <c r="Y862" i="2"/>
  <c r="Z862" i="2"/>
  <c r="AA862" i="2"/>
  <c r="AB862" i="2"/>
  <c r="AC862" i="2"/>
  <c r="AD862" i="2"/>
  <c r="Y863" i="2"/>
  <c r="Z863" i="2"/>
  <c r="AA863" i="2"/>
  <c r="AB863" i="2"/>
  <c r="AC863" i="2"/>
  <c r="AD863" i="2"/>
  <c r="Y864" i="2"/>
  <c r="Z864" i="2"/>
  <c r="AA864" i="2"/>
  <c r="AB864" i="2"/>
  <c r="AC864" i="2"/>
  <c r="AD864" i="2"/>
  <c r="Y865" i="2"/>
  <c r="Z865" i="2"/>
  <c r="AA865" i="2"/>
  <c r="AB865" i="2"/>
  <c r="AC865" i="2"/>
  <c r="AD865" i="2"/>
  <c r="Y866" i="2"/>
  <c r="Z866" i="2"/>
  <c r="AA866" i="2"/>
  <c r="AB866" i="2"/>
  <c r="AC866" i="2"/>
  <c r="AD866" i="2"/>
  <c r="Y867" i="2"/>
  <c r="Z867" i="2"/>
  <c r="AA867" i="2"/>
  <c r="AB867" i="2"/>
  <c r="AC867" i="2"/>
  <c r="AD867" i="2"/>
  <c r="Y868" i="2"/>
  <c r="Z868" i="2"/>
  <c r="AA868" i="2"/>
  <c r="AB868" i="2"/>
  <c r="AC868" i="2"/>
  <c r="AD868" i="2"/>
  <c r="Y869" i="2"/>
  <c r="Z869" i="2"/>
  <c r="AA869" i="2"/>
  <c r="AB869" i="2"/>
  <c r="AC869" i="2"/>
  <c r="AD869" i="2"/>
  <c r="Y870" i="2"/>
  <c r="Z870" i="2"/>
  <c r="AA870" i="2"/>
  <c r="AB870" i="2"/>
  <c r="AC870" i="2"/>
  <c r="AD870" i="2"/>
  <c r="Y871" i="2"/>
  <c r="Z871" i="2"/>
  <c r="AA871" i="2"/>
  <c r="AB871" i="2"/>
  <c r="AC871" i="2"/>
  <c r="AD871" i="2"/>
  <c r="Y872" i="2"/>
  <c r="Z872" i="2"/>
  <c r="AA872" i="2"/>
  <c r="AB872" i="2"/>
  <c r="AC872" i="2"/>
  <c r="AD872" i="2"/>
  <c r="Y873" i="2"/>
  <c r="Z873" i="2"/>
  <c r="AA873" i="2"/>
  <c r="AB873" i="2"/>
  <c r="AC873" i="2"/>
  <c r="AD873" i="2"/>
  <c r="Y874" i="2"/>
  <c r="Z874" i="2"/>
  <c r="AA874" i="2"/>
  <c r="AB874" i="2"/>
  <c r="AC874" i="2"/>
  <c r="AD874" i="2"/>
  <c r="Y875" i="2"/>
  <c r="Z875" i="2"/>
  <c r="AA875" i="2"/>
  <c r="AB875" i="2"/>
  <c r="AC875" i="2"/>
  <c r="AD875" i="2"/>
  <c r="Y876" i="2"/>
  <c r="Z876" i="2"/>
  <c r="AA876" i="2"/>
  <c r="AB876" i="2"/>
  <c r="AC876" i="2"/>
  <c r="AD876" i="2"/>
  <c r="Y877" i="2"/>
  <c r="Z877" i="2"/>
  <c r="AA877" i="2"/>
  <c r="AB877" i="2"/>
  <c r="AC877" i="2"/>
  <c r="AD877" i="2"/>
  <c r="Y878" i="2"/>
  <c r="Z878" i="2"/>
  <c r="AA878" i="2"/>
  <c r="AB878" i="2"/>
  <c r="AC878" i="2"/>
  <c r="AD878" i="2"/>
  <c r="Y879" i="2"/>
  <c r="Z879" i="2"/>
  <c r="AA879" i="2"/>
  <c r="AB879" i="2"/>
  <c r="AC879" i="2"/>
  <c r="AD879" i="2"/>
  <c r="Y880" i="2"/>
  <c r="Z880" i="2"/>
  <c r="AA880" i="2"/>
  <c r="AB880" i="2"/>
  <c r="AC880" i="2"/>
  <c r="AD880" i="2"/>
  <c r="Y881" i="2"/>
  <c r="Z881" i="2"/>
  <c r="AA881" i="2"/>
  <c r="AB881" i="2"/>
  <c r="AC881" i="2"/>
  <c r="AD881" i="2"/>
  <c r="Y882" i="2"/>
  <c r="Z882" i="2"/>
  <c r="AA882" i="2"/>
  <c r="AB882" i="2"/>
  <c r="AC882" i="2"/>
  <c r="AD882" i="2"/>
  <c r="Y883" i="2"/>
  <c r="Z883" i="2"/>
  <c r="AA883" i="2"/>
  <c r="AB883" i="2"/>
  <c r="AC883" i="2"/>
  <c r="AD883" i="2"/>
  <c r="Y884" i="2"/>
  <c r="Z884" i="2"/>
  <c r="AA884" i="2"/>
  <c r="AB884" i="2"/>
  <c r="AC884" i="2"/>
  <c r="AD884" i="2"/>
  <c r="Y885" i="2"/>
  <c r="Z885" i="2"/>
  <c r="AA885" i="2"/>
  <c r="AB885" i="2"/>
  <c r="AC885" i="2"/>
  <c r="AD885" i="2"/>
  <c r="Y886" i="2"/>
  <c r="Z886" i="2"/>
  <c r="AA886" i="2"/>
  <c r="AB886" i="2"/>
  <c r="AC886" i="2"/>
  <c r="AD886" i="2"/>
  <c r="Y887" i="2"/>
  <c r="Z887" i="2"/>
  <c r="AA887" i="2"/>
  <c r="AB887" i="2"/>
  <c r="AC887" i="2"/>
  <c r="AD887" i="2"/>
  <c r="Y888" i="2"/>
  <c r="Z888" i="2"/>
  <c r="AA888" i="2"/>
  <c r="AB888" i="2"/>
  <c r="AC888" i="2"/>
  <c r="AD888" i="2"/>
  <c r="Y889" i="2"/>
  <c r="Z889" i="2"/>
  <c r="AA889" i="2"/>
  <c r="AB889" i="2"/>
  <c r="AC889" i="2"/>
  <c r="AD889" i="2"/>
  <c r="Y890" i="2"/>
  <c r="Z890" i="2"/>
  <c r="AA890" i="2"/>
  <c r="AB890" i="2"/>
  <c r="AC890" i="2"/>
  <c r="AD890" i="2"/>
  <c r="Y891" i="2"/>
  <c r="Z891" i="2"/>
  <c r="AA891" i="2"/>
  <c r="AB891" i="2"/>
  <c r="AC891" i="2"/>
  <c r="AD891" i="2"/>
  <c r="Y892" i="2"/>
  <c r="Z892" i="2"/>
  <c r="AA892" i="2"/>
  <c r="AB892" i="2"/>
  <c r="AC892" i="2"/>
  <c r="AD892" i="2"/>
  <c r="Y893" i="2"/>
  <c r="Z893" i="2"/>
  <c r="AA893" i="2"/>
  <c r="AB893" i="2"/>
  <c r="AC893" i="2"/>
  <c r="AD893" i="2"/>
  <c r="Y894" i="2"/>
  <c r="Z894" i="2"/>
  <c r="AA894" i="2"/>
  <c r="AB894" i="2"/>
  <c r="AC894" i="2"/>
  <c r="AD894" i="2"/>
  <c r="Y895" i="2"/>
  <c r="Z895" i="2"/>
  <c r="AA895" i="2"/>
  <c r="AB895" i="2"/>
  <c r="AC895" i="2"/>
  <c r="AD895" i="2"/>
  <c r="Y896" i="2"/>
  <c r="Z896" i="2"/>
  <c r="AA896" i="2"/>
  <c r="AB896" i="2"/>
  <c r="AC896" i="2"/>
  <c r="AD896" i="2"/>
  <c r="Y897" i="2"/>
  <c r="Z897" i="2"/>
  <c r="AA897" i="2"/>
  <c r="AB897" i="2"/>
  <c r="AC897" i="2"/>
  <c r="AD897" i="2"/>
  <c r="Y898" i="2"/>
  <c r="Z898" i="2"/>
  <c r="AA898" i="2"/>
  <c r="AB898" i="2"/>
  <c r="AC898" i="2"/>
  <c r="AD898" i="2"/>
  <c r="Y899" i="2"/>
  <c r="Z899" i="2"/>
  <c r="AA899" i="2"/>
  <c r="AB899" i="2"/>
  <c r="AC899" i="2"/>
  <c r="AD899" i="2"/>
  <c r="Y900" i="2"/>
  <c r="Z900" i="2"/>
  <c r="AA900" i="2"/>
  <c r="AB900" i="2"/>
  <c r="AC900" i="2"/>
  <c r="AD900" i="2"/>
  <c r="Y901" i="2"/>
  <c r="Z901" i="2"/>
  <c r="AA901" i="2"/>
  <c r="AB901" i="2"/>
  <c r="AC901" i="2"/>
  <c r="AD901" i="2"/>
  <c r="Y902" i="2"/>
  <c r="Z902" i="2"/>
  <c r="AA902" i="2"/>
  <c r="AB902" i="2"/>
  <c r="AC902" i="2"/>
  <c r="AD902" i="2"/>
  <c r="Y903" i="2"/>
  <c r="Z903" i="2"/>
  <c r="AA903" i="2"/>
  <c r="AB903" i="2"/>
  <c r="AC903" i="2"/>
  <c r="AD903" i="2"/>
  <c r="Y904" i="2"/>
  <c r="Z904" i="2"/>
  <c r="AA904" i="2"/>
  <c r="AB904" i="2"/>
  <c r="AC904" i="2"/>
  <c r="AD904" i="2"/>
  <c r="Y905" i="2"/>
  <c r="Z905" i="2"/>
  <c r="AA905" i="2"/>
  <c r="AB905" i="2"/>
  <c r="AC905" i="2"/>
  <c r="AD905" i="2"/>
  <c r="Y906" i="2"/>
  <c r="Z906" i="2"/>
  <c r="AA906" i="2"/>
  <c r="AB906" i="2"/>
  <c r="AC906" i="2"/>
  <c r="AD906" i="2"/>
  <c r="Y907" i="2"/>
  <c r="Z907" i="2"/>
  <c r="AA907" i="2"/>
  <c r="AB907" i="2"/>
  <c r="AC907" i="2"/>
  <c r="AD907" i="2"/>
  <c r="Y908" i="2"/>
  <c r="Z908" i="2"/>
  <c r="AA908" i="2"/>
  <c r="AB908" i="2"/>
  <c r="AC908" i="2"/>
  <c r="AD908" i="2"/>
  <c r="Y909" i="2"/>
  <c r="Z909" i="2"/>
  <c r="AA909" i="2"/>
  <c r="AB909" i="2"/>
  <c r="AC909" i="2"/>
  <c r="AD909" i="2"/>
  <c r="Y910" i="2"/>
  <c r="Z910" i="2"/>
  <c r="AA910" i="2"/>
  <c r="AB910" i="2"/>
  <c r="AC910" i="2"/>
  <c r="AD910" i="2"/>
  <c r="Y911" i="2"/>
  <c r="Z911" i="2"/>
  <c r="AA911" i="2"/>
  <c r="AB911" i="2"/>
  <c r="AC911" i="2"/>
  <c r="AD911" i="2"/>
  <c r="Y912" i="2"/>
  <c r="Z912" i="2"/>
  <c r="AA912" i="2"/>
  <c r="AB912" i="2"/>
  <c r="AC912" i="2"/>
  <c r="AD912" i="2"/>
  <c r="Y913" i="2"/>
  <c r="Z913" i="2"/>
  <c r="AA913" i="2"/>
  <c r="AB913" i="2"/>
  <c r="AC913" i="2"/>
  <c r="AD913" i="2"/>
  <c r="Y914" i="2"/>
  <c r="Z914" i="2"/>
  <c r="AA914" i="2"/>
  <c r="AB914" i="2"/>
  <c r="AC914" i="2"/>
  <c r="AD914" i="2"/>
  <c r="Y915" i="2"/>
  <c r="Z915" i="2"/>
  <c r="AA915" i="2"/>
  <c r="AB915" i="2"/>
  <c r="AC915" i="2"/>
  <c r="AD915" i="2"/>
  <c r="Y916" i="2"/>
  <c r="Z916" i="2"/>
  <c r="AA916" i="2"/>
  <c r="AB916" i="2"/>
  <c r="AC916" i="2"/>
  <c r="AD916" i="2"/>
  <c r="Y917" i="2"/>
  <c r="Z917" i="2"/>
  <c r="AA917" i="2"/>
  <c r="AB917" i="2"/>
  <c r="AC917" i="2"/>
  <c r="AD917" i="2"/>
  <c r="Y918" i="2"/>
  <c r="Z918" i="2"/>
  <c r="AA918" i="2"/>
  <c r="AB918" i="2"/>
  <c r="AC918" i="2"/>
  <c r="AD918" i="2"/>
  <c r="Y919" i="2"/>
  <c r="Z919" i="2"/>
  <c r="AA919" i="2"/>
  <c r="AB919" i="2"/>
  <c r="AC919" i="2"/>
  <c r="AD919" i="2"/>
  <c r="Y920" i="2"/>
  <c r="Z920" i="2"/>
  <c r="AA920" i="2"/>
  <c r="AB920" i="2"/>
  <c r="AC920" i="2"/>
  <c r="AD920" i="2"/>
  <c r="Y921" i="2"/>
  <c r="Z921" i="2"/>
  <c r="AA921" i="2"/>
  <c r="AB921" i="2"/>
  <c r="AC921" i="2"/>
  <c r="AD921" i="2"/>
  <c r="Y922" i="2"/>
  <c r="Z922" i="2"/>
  <c r="AA922" i="2"/>
  <c r="AB922" i="2"/>
  <c r="AC922" i="2"/>
  <c r="AD922" i="2"/>
  <c r="Y923" i="2"/>
  <c r="Z923" i="2"/>
  <c r="AA923" i="2"/>
  <c r="AB923" i="2"/>
  <c r="AC923" i="2"/>
  <c r="AD923" i="2"/>
  <c r="Y924" i="2"/>
  <c r="Z924" i="2"/>
  <c r="AA924" i="2"/>
  <c r="AB924" i="2"/>
  <c r="AC924" i="2"/>
  <c r="AD924" i="2"/>
  <c r="Y925" i="2"/>
  <c r="Z925" i="2"/>
  <c r="AA925" i="2"/>
  <c r="AB925" i="2"/>
  <c r="AC925" i="2"/>
  <c r="AD925" i="2"/>
  <c r="Y926" i="2"/>
  <c r="Z926" i="2"/>
  <c r="AA926" i="2"/>
  <c r="AB926" i="2"/>
  <c r="AC926" i="2"/>
  <c r="AD926" i="2"/>
  <c r="Y927" i="2"/>
  <c r="Z927" i="2"/>
  <c r="AA927" i="2"/>
  <c r="AB927" i="2"/>
  <c r="AC927" i="2"/>
  <c r="AD927" i="2"/>
  <c r="Y928" i="2"/>
  <c r="Z928" i="2"/>
  <c r="AA928" i="2"/>
  <c r="AB928" i="2"/>
  <c r="AC928" i="2"/>
  <c r="AD928" i="2"/>
  <c r="Y929" i="2"/>
  <c r="Z929" i="2"/>
  <c r="AA929" i="2"/>
  <c r="AB929" i="2"/>
  <c r="AC929" i="2"/>
  <c r="AD929" i="2"/>
  <c r="Y930" i="2"/>
  <c r="Z930" i="2"/>
  <c r="AA930" i="2"/>
  <c r="AB930" i="2"/>
  <c r="AC930" i="2"/>
  <c r="AD930" i="2"/>
  <c r="Y931" i="2"/>
  <c r="Z931" i="2"/>
  <c r="AA931" i="2"/>
  <c r="AB931" i="2"/>
  <c r="AC931" i="2"/>
  <c r="AD931" i="2"/>
  <c r="Y932" i="2"/>
  <c r="Z932" i="2"/>
  <c r="AA932" i="2"/>
  <c r="AB932" i="2"/>
  <c r="AC932" i="2"/>
  <c r="AD932" i="2"/>
  <c r="Y933" i="2"/>
  <c r="Z933" i="2"/>
  <c r="AA933" i="2"/>
  <c r="AB933" i="2"/>
  <c r="AC933" i="2"/>
  <c r="AD933" i="2"/>
  <c r="Y934" i="2"/>
  <c r="Z934" i="2"/>
  <c r="AA934" i="2"/>
  <c r="AB934" i="2"/>
  <c r="AC934" i="2"/>
  <c r="AD934" i="2"/>
  <c r="Y935" i="2"/>
  <c r="Z935" i="2"/>
  <c r="AA935" i="2"/>
  <c r="AB935" i="2"/>
  <c r="AC935" i="2"/>
  <c r="AD935" i="2"/>
  <c r="Y936" i="2"/>
  <c r="Z936" i="2"/>
  <c r="AA936" i="2"/>
  <c r="AB936" i="2"/>
  <c r="AC936" i="2"/>
  <c r="AD936" i="2"/>
  <c r="Y937" i="2"/>
  <c r="Z937" i="2"/>
  <c r="AA937" i="2"/>
  <c r="AB937" i="2"/>
  <c r="AC937" i="2"/>
  <c r="AD937" i="2"/>
  <c r="Y938" i="2"/>
  <c r="Z938" i="2"/>
  <c r="AA938" i="2"/>
  <c r="AB938" i="2"/>
  <c r="AC938" i="2"/>
  <c r="AD938" i="2"/>
  <c r="Y939" i="2"/>
  <c r="Z939" i="2"/>
  <c r="AA939" i="2"/>
  <c r="AB939" i="2"/>
  <c r="AC939" i="2"/>
  <c r="AD939" i="2"/>
  <c r="Y940" i="2"/>
  <c r="Z940" i="2"/>
  <c r="AA940" i="2"/>
  <c r="AB940" i="2"/>
  <c r="AC940" i="2"/>
  <c r="AD940" i="2"/>
  <c r="Y941" i="2"/>
  <c r="Z941" i="2"/>
  <c r="AA941" i="2"/>
  <c r="AB941" i="2"/>
  <c r="AC941" i="2"/>
  <c r="AD941" i="2"/>
  <c r="Y942" i="2"/>
  <c r="Z942" i="2"/>
  <c r="AA942" i="2"/>
  <c r="AB942" i="2"/>
  <c r="AC942" i="2"/>
  <c r="AD942" i="2"/>
  <c r="Y943" i="2"/>
  <c r="Z943" i="2"/>
  <c r="AA943" i="2"/>
  <c r="AB943" i="2"/>
  <c r="AC943" i="2"/>
  <c r="AD943" i="2"/>
  <c r="Y944" i="2"/>
  <c r="Z944" i="2"/>
  <c r="AA944" i="2"/>
  <c r="AB944" i="2"/>
  <c r="AC944" i="2"/>
  <c r="AD944" i="2"/>
  <c r="Y945" i="2"/>
  <c r="Z945" i="2"/>
  <c r="AA945" i="2"/>
  <c r="AB945" i="2"/>
  <c r="AC945" i="2"/>
  <c r="AD945" i="2"/>
  <c r="Y946" i="2"/>
  <c r="Z946" i="2"/>
  <c r="AA946" i="2"/>
  <c r="AB946" i="2"/>
  <c r="AC946" i="2"/>
  <c r="AD946" i="2"/>
  <c r="Y947" i="2"/>
  <c r="Z947" i="2"/>
  <c r="AA947" i="2"/>
  <c r="AB947" i="2"/>
  <c r="AC947" i="2"/>
  <c r="AD947" i="2"/>
  <c r="Y948" i="2"/>
  <c r="Z948" i="2"/>
  <c r="AA948" i="2"/>
  <c r="AB948" i="2"/>
  <c r="AC948" i="2"/>
  <c r="AD948" i="2"/>
  <c r="Y949" i="2"/>
  <c r="Z949" i="2"/>
  <c r="AA949" i="2"/>
  <c r="AB949" i="2"/>
  <c r="AC949" i="2"/>
  <c r="AD949" i="2"/>
  <c r="Y950" i="2"/>
  <c r="Z950" i="2"/>
  <c r="AA950" i="2"/>
  <c r="AB950" i="2"/>
  <c r="AC950" i="2"/>
  <c r="AD950" i="2"/>
  <c r="Y951" i="2"/>
  <c r="Z951" i="2"/>
  <c r="AA951" i="2"/>
  <c r="AB951" i="2"/>
  <c r="AC951" i="2"/>
  <c r="AD951" i="2"/>
  <c r="Y952" i="2"/>
  <c r="Z952" i="2"/>
  <c r="AA952" i="2"/>
  <c r="AB952" i="2"/>
  <c r="AC952" i="2"/>
  <c r="AD952" i="2"/>
  <c r="Y953" i="2"/>
  <c r="Z953" i="2"/>
  <c r="AA953" i="2"/>
  <c r="AB953" i="2"/>
  <c r="AC953" i="2"/>
  <c r="AD953" i="2"/>
  <c r="Y954" i="2"/>
  <c r="Z954" i="2"/>
  <c r="AA954" i="2"/>
  <c r="AB954" i="2"/>
  <c r="AC954" i="2"/>
  <c r="AD954" i="2"/>
  <c r="Y955" i="2"/>
  <c r="Z955" i="2"/>
  <c r="AA955" i="2"/>
  <c r="AB955" i="2"/>
  <c r="AC955" i="2"/>
  <c r="AD955" i="2"/>
  <c r="Y956" i="2"/>
  <c r="Z956" i="2"/>
  <c r="AA956" i="2"/>
  <c r="AB956" i="2"/>
  <c r="AC956" i="2"/>
  <c r="AD956" i="2"/>
  <c r="Y957" i="2"/>
  <c r="Z957" i="2"/>
  <c r="AA957" i="2"/>
  <c r="AB957" i="2"/>
  <c r="AC957" i="2"/>
  <c r="AD957" i="2"/>
  <c r="Y958" i="2"/>
  <c r="Z958" i="2"/>
  <c r="AA958" i="2"/>
  <c r="AB958" i="2"/>
  <c r="AC958" i="2"/>
  <c r="AD958" i="2"/>
  <c r="Y959" i="2"/>
  <c r="Z959" i="2"/>
  <c r="AA959" i="2"/>
  <c r="AB959" i="2"/>
  <c r="AC959" i="2"/>
  <c r="AD959" i="2"/>
  <c r="Y960" i="2"/>
  <c r="Z960" i="2"/>
  <c r="AA960" i="2"/>
  <c r="AB960" i="2"/>
  <c r="AC960" i="2"/>
  <c r="AD960" i="2"/>
  <c r="Y961" i="2"/>
  <c r="Z961" i="2"/>
  <c r="AA961" i="2"/>
  <c r="AB961" i="2"/>
  <c r="AC961" i="2"/>
  <c r="AD961" i="2"/>
  <c r="Y962" i="2"/>
  <c r="Z962" i="2"/>
  <c r="AA962" i="2"/>
  <c r="AB962" i="2"/>
  <c r="AC962" i="2"/>
  <c r="AD962" i="2"/>
  <c r="Y963" i="2"/>
  <c r="Z963" i="2"/>
  <c r="AA963" i="2"/>
  <c r="AB963" i="2"/>
  <c r="AC963" i="2"/>
  <c r="AD963" i="2"/>
  <c r="Y964" i="2"/>
  <c r="Z964" i="2"/>
  <c r="AA964" i="2"/>
  <c r="AB964" i="2"/>
  <c r="AC964" i="2"/>
  <c r="AD964" i="2"/>
  <c r="Y965" i="2"/>
  <c r="Z965" i="2"/>
  <c r="AA965" i="2"/>
  <c r="AB965" i="2"/>
  <c r="AC965" i="2"/>
  <c r="AD965" i="2"/>
  <c r="Y966" i="2"/>
  <c r="Z966" i="2"/>
  <c r="AA966" i="2"/>
  <c r="AB966" i="2"/>
  <c r="AC966" i="2"/>
  <c r="AD966" i="2"/>
  <c r="Y967" i="2"/>
  <c r="Z967" i="2"/>
  <c r="AA967" i="2"/>
  <c r="AB967" i="2"/>
  <c r="AC967" i="2"/>
  <c r="AD967" i="2"/>
  <c r="Y968" i="2"/>
  <c r="Z968" i="2"/>
  <c r="AA968" i="2"/>
  <c r="AB968" i="2"/>
  <c r="AC968" i="2"/>
  <c r="AD968" i="2"/>
  <c r="Y969" i="2"/>
  <c r="Z969" i="2"/>
  <c r="AA969" i="2"/>
  <c r="AB969" i="2"/>
  <c r="AC969" i="2"/>
  <c r="AD969" i="2"/>
  <c r="Y970" i="2"/>
  <c r="Z970" i="2"/>
  <c r="AA970" i="2"/>
  <c r="AB970" i="2"/>
  <c r="AC970" i="2"/>
  <c r="AD970" i="2"/>
  <c r="Y971" i="2"/>
  <c r="Z971" i="2"/>
  <c r="AA971" i="2"/>
  <c r="AB971" i="2"/>
  <c r="AC971" i="2"/>
  <c r="AD971" i="2"/>
  <c r="Y972" i="2"/>
  <c r="Z972" i="2"/>
  <c r="AA972" i="2"/>
  <c r="AB972" i="2"/>
  <c r="AC972" i="2"/>
  <c r="AD972" i="2"/>
  <c r="Y973" i="2"/>
  <c r="Z973" i="2"/>
  <c r="AA973" i="2"/>
  <c r="AB973" i="2"/>
  <c r="AC973" i="2"/>
  <c r="AD973" i="2"/>
  <c r="Y974" i="2"/>
  <c r="Z974" i="2"/>
  <c r="AA974" i="2"/>
  <c r="AB974" i="2"/>
  <c r="AC974" i="2"/>
  <c r="AD974" i="2"/>
  <c r="Y975" i="2"/>
  <c r="Z975" i="2"/>
  <c r="AA975" i="2"/>
  <c r="AB975" i="2"/>
  <c r="AC975" i="2"/>
  <c r="AD975" i="2"/>
  <c r="Y976" i="2"/>
  <c r="Z976" i="2"/>
  <c r="AA976" i="2"/>
  <c r="AB976" i="2"/>
  <c r="AC976" i="2"/>
  <c r="AD976" i="2"/>
  <c r="Y977" i="2"/>
  <c r="Z977" i="2"/>
  <c r="AA977" i="2"/>
  <c r="AB977" i="2"/>
  <c r="AC977" i="2"/>
  <c r="AD977" i="2"/>
  <c r="Y978" i="2"/>
  <c r="Z978" i="2"/>
  <c r="AA978" i="2"/>
  <c r="AB978" i="2"/>
  <c r="AC978" i="2"/>
  <c r="AD978" i="2"/>
  <c r="Y979" i="2"/>
  <c r="Z979" i="2"/>
  <c r="AA979" i="2"/>
  <c r="AB979" i="2"/>
  <c r="AC979" i="2"/>
  <c r="AD979" i="2"/>
  <c r="Y980" i="2"/>
  <c r="Z980" i="2"/>
  <c r="AA980" i="2"/>
  <c r="AB980" i="2"/>
  <c r="AC980" i="2"/>
  <c r="AD980" i="2"/>
  <c r="Y981" i="2"/>
  <c r="Z981" i="2"/>
  <c r="AA981" i="2"/>
  <c r="AB981" i="2"/>
  <c r="AC981" i="2"/>
  <c r="AD981" i="2"/>
  <c r="Y982" i="2"/>
  <c r="Z982" i="2"/>
  <c r="AA982" i="2"/>
  <c r="AB982" i="2"/>
  <c r="AC982" i="2"/>
  <c r="AD982" i="2"/>
  <c r="Y983" i="2"/>
  <c r="Z983" i="2"/>
  <c r="AA983" i="2"/>
  <c r="AB983" i="2"/>
  <c r="AC983" i="2"/>
  <c r="AD983" i="2"/>
  <c r="Y984" i="2"/>
  <c r="Z984" i="2"/>
  <c r="AA984" i="2"/>
  <c r="AB984" i="2"/>
  <c r="AC984" i="2"/>
  <c r="AD984" i="2"/>
  <c r="Y985" i="2"/>
  <c r="Z985" i="2"/>
  <c r="AA985" i="2"/>
  <c r="AB985" i="2"/>
  <c r="AC985" i="2"/>
  <c r="AD985" i="2"/>
  <c r="Y986" i="2"/>
  <c r="Z986" i="2"/>
  <c r="AA986" i="2"/>
  <c r="AB986" i="2"/>
  <c r="AC986" i="2"/>
  <c r="AD986" i="2"/>
  <c r="Y987" i="2"/>
  <c r="Z987" i="2"/>
  <c r="AA987" i="2"/>
  <c r="AB987" i="2"/>
  <c r="AC987" i="2"/>
  <c r="AD987" i="2"/>
  <c r="Y988" i="2"/>
  <c r="Z988" i="2"/>
  <c r="AA988" i="2"/>
  <c r="AB988" i="2"/>
  <c r="AC988" i="2"/>
  <c r="AD988" i="2"/>
  <c r="Y989" i="2"/>
  <c r="Z989" i="2"/>
  <c r="AA989" i="2"/>
  <c r="AB989" i="2"/>
  <c r="AC989" i="2"/>
  <c r="AD989" i="2"/>
  <c r="Y990" i="2"/>
  <c r="Z990" i="2"/>
  <c r="AA990" i="2"/>
  <c r="AB990" i="2"/>
  <c r="AC990" i="2"/>
  <c r="AD990" i="2"/>
  <c r="Y991" i="2"/>
  <c r="Z991" i="2"/>
  <c r="AA991" i="2"/>
  <c r="AB991" i="2"/>
  <c r="AC991" i="2"/>
  <c r="AD991" i="2"/>
  <c r="Y992" i="2"/>
  <c r="Z992" i="2"/>
  <c r="AA992" i="2"/>
  <c r="AB992" i="2"/>
  <c r="AC992" i="2"/>
  <c r="AD992" i="2"/>
  <c r="Y993" i="2"/>
  <c r="Z993" i="2"/>
  <c r="AA993" i="2"/>
  <c r="AB993" i="2"/>
  <c r="AC993" i="2"/>
  <c r="AD993" i="2"/>
  <c r="Y994" i="2"/>
  <c r="Z994" i="2"/>
  <c r="AA994" i="2"/>
  <c r="AB994" i="2"/>
  <c r="AC994" i="2"/>
  <c r="AD994" i="2"/>
  <c r="Y995" i="2"/>
  <c r="Z995" i="2"/>
  <c r="AA995" i="2"/>
  <c r="AB995" i="2"/>
  <c r="AC995" i="2"/>
  <c r="AD995" i="2"/>
  <c r="Y996" i="2"/>
  <c r="Z996" i="2"/>
  <c r="AA996" i="2"/>
  <c r="AB996" i="2"/>
  <c r="AC996" i="2"/>
  <c r="AD996" i="2"/>
  <c r="Y997" i="2"/>
  <c r="Z997" i="2"/>
  <c r="AA997" i="2"/>
  <c r="AB997" i="2"/>
  <c r="AC997" i="2"/>
  <c r="AD997" i="2"/>
  <c r="Y998" i="2"/>
  <c r="Z998" i="2"/>
  <c r="AA998" i="2"/>
  <c r="AB998" i="2"/>
  <c r="AC998" i="2"/>
  <c r="AD998" i="2"/>
  <c r="Y999" i="2"/>
  <c r="Z999" i="2"/>
  <c r="AA999" i="2"/>
  <c r="AB999" i="2"/>
  <c r="AC999" i="2"/>
  <c r="AD999" i="2"/>
  <c r="Y1000" i="2"/>
  <c r="Z1000" i="2"/>
  <c r="AA1000" i="2"/>
  <c r="AB1000" i="2"/>
  <c r="AC1000" i="2"/>
  <c r="AD1000" i="2"/>
  <c r="Y1001" i="2"/>
  <c r="Z1001" i="2"/>
  <c r="AA1001" i="2"/>
  <c r="AB1001" i="2"/>
  <c r="AC1001" i="2"/>
  <c r="AD1001" i="2"/>
  <c r="Y1002" i="2"/>
  <c r="Z1002" i="2"/>
  <c r="AA1002" i="2"/>
  <c r="AB1002" i="2"/>
  <c r="AC1002" i="2"/>
  <c r="AD1002" i="2"/>
  <c r="Y1003" i="2"/>
  <c r="Z1003" i="2"/>
  <c r="AA1003" i="2"/>
  <c r="AB1003" i="2"/>
  <c r="AC1003" i="2"/>
  <c r="AD1003" i="2"/>
  <c r="Y1004" i="2"/>
  <c r="Z1004" i="2"/>
  <c r="AA1004" i="2"/>
  <c r="AB1004" i="2"/>
  <c r="AC1004" i="2"/>
  <c r="AD1004" i="2"/>
  <c r="Y1005" i="2"/>
  <c r="Z1005" i="2"/>
  <c r="AA1005" i="2"/>
  <c r="AB1005" i="2"/>
  <c r="AC1005" i="2"/>
  <c r="AD1005" i="2"/>
  <c r="Y1006" i="2"/>
  <c r="Z1006" i="2"/>
  <c r="AA1006" i="2"/>
  <c r="AB1006" i="2"/>
  <c r="AC1006" i="2"/>
  <c r="AD1006" i="2"/>
  <c r="Y1007" i="2"/>
  <c r="Z1007" i="2"/>
  <c r="AA1007" i="2"/>
  <c r="AB1007" i="2"/>
  <c r="AC1007" i="2"/>
  <c r="AD1007" i="2"/>
  <c r="Y1008" i="2"/>
  <c r="Z1008" i="2"/>
  <c r="AA1008" i="2"/>
  <c r="AB1008" i="2"/>
  <c r="AC1008" i="2"/>
  <c r="AD1008" i="2"/>
  <c r="Y1009" i="2"/>
  <c r="Z1009" i="2"/>
  <c r="AA1009" i="2"/>
  <c r="AB1009" i="2"/>
  <c r="AC1009" i="2"/>
  <c r="AD1009" i="2"/>
  <c r="Y1010" i="2"/>
  <c r="Z1010" i="2"/>
  <c r="AA1010" i="2"/>
  <c r="AB1010" i="2"/>
  <c r="AC1010" i="2"/>
  <c r="AD1010" i="2"/>
  <c r="Y1011" i="2"/>
  <c r="Z1011" i="2"/>
  <c r="AA1011" i="2"/>
  <c r="AB1011" i="2"/>
  <c r="AC1011" i="2"/>
  <c r="AD1011" i="2"/>
  <c r="Y1012" i="2"/>
  <c r="Z1012" i="2"/>
  <c r="AA1012" i="2"/>
  <c r="AB1012" i="2"/>
  <c r="AC1012" i="2"/>
  <c r="AD1012" i="2"/>
  <c r="Y1013" i="2"/>
  <c r="Z1013" i="2"/>
  <c r="AA1013" i="2"/>
  <c r="AB1013" i="2"/>
  <c r="AC1013" i="2"/>
  <c r="AD1013" i="2"/>
  <c r="Y1014" i="2"/>
  <c r="Z1014" i="2"/>
  <c r="AA1014" i="2"/>
  <c r="AB1014" i="2"/>
  <c r="AC1014" i="2"/>
  <c r="AD1014" i="2"/>
  <c r="Y1015" i="2"/>
  <c r="Z1015" i="2"/>
  <c r="AA1015" i="2"/>
  <c r="AB1015" i="2"/>
  <c r="AC1015" i="2"/>
  <c r="AD1015" i="2"/>
  <c r="Y1016" i="2"/>
  <c r="Z1016" i="2"/>
  <c r="AA1016" i="2"/>
  <c r="AB1016" i="2"/>
  <c r="AC1016" i="2"/>
  <c r="AD1016" i="2"/>
  <c r="Y1017" i="2"/>
  <c r="Z1017" i="2"/>
  <c r="AA1017" i="2"/>
  <c r="AB1017" i="2"/>
  <c r="AC1017" i="2"/>
  <c r="AD1017" i="2"/>
  <c r="Y1018" i="2"/>
  <c r="Z1018" i="2"/>
  <c r="AA1018" i="2"/>
  <c r="AB1018" i="2"/>
  <c r="AC1018" i="2"/>
  <c r="AD1018" i="2"/>
  <c r="Y1019" i="2"/>
  <c r="Z1019" i="2"/>
  <c r="AA1019" i="2"/>
  <c r="AB1019" i="2"/>
  <c r="AC1019" i="2"/>
  <c r="AD1019" i="2"/>
  <c r="H26" i="1"/>
  <c r="H27" i="1"/>
  <c r="H28" i="1"/>
  <c r="E29" i="1"/>
  <c r="H29" i="1"/>
  <c r="E30" i="1"/>
  <c r="H30" i="1"/>
  <c r="P1" i="3"/>
  <c r="N2" i="3"/>
  <c r="O2" i="3"/>
  <c r="P2" i="3"/>
  <c r="C4" i="3"/>
  <c r="D4" i="3"/>
  <c r="H4" i="3"/>
  <c r="I4" i="3"/>
  <c r="J4" i="3"/>
  <c r="K4" i="3"/>
  <c r="N4" i="3"/>
  <c r="O4" i="3"/>
  <c r="P4" i="3"/>
  <c r="R4" i="3"/>
  <c r="C5" i="3"/>
  <c r="D5" i="3"/>
  <c r="E5" i="3"/>
  <c r="G5" i="3"/>
  <c r="H5" i="3"/>
  <c r="I5" i="3"/>
  <c r="J5" i="3"/>
  <c r="K5" i="3"/>
  <c r="M5" i="3"/>
  <c r="N5" i="3"/>
  <c r="O5" i="3"/>
  <c r="P5" i="3"/>
  <c r="R5" i="3"/>
  <c r="T5" i="3"/>
  <c r="B6" i="3"/>
  <c r="C6" i="3"/>
  <c r="D6" i="3"/>
  <c r="E6" i="3"/>
  <c r="G6" i="3"/>
  <c r="H6" i="3"/>
  <c r="I6" i="3"/>
  <c r="J6" i="3"/>
  <c r="K6" i="3"/>
  <c r="M6" i="3"/>
  <c r="N6" i="3"/>
  <c r="O6" i="3"/>
  <c r="P6" i="3"/>
  <c r="T6" i="3"/>
  <c r="B7" i="3"/>
  <c r="C7" i="3"/>
  <c r="D7" i="3"/>
  <c r="E7" i="3"/>
  <c r="G7" i="3"/>
  <c r="H7" i="3"/>
  <c r="I7" i="3"/>
  <c r="J7" i="3"/>
  <c r="K7" i="3"/>
  <c r="M7" i="3"/>
  <c r="N7" i="3"/>
  <c r="O7" i="3"/>
  <c r="P7" i="3"/>
  <c r="T7" i="3"/>
  <c r="B8" i="3"/>
  <c r="C8" i="3"/>
  <c r="D8" i="3"/>
  <c r="E8" i="3"/>
  <c r="G8" i="3"/>
  <c r="H8" i="3"/>
  <c r="I8" i="3"/>
  <c r="J8" i="3"/>
  <c r="K8" i="3"/>
  <c r="M8" i="3"/>
  <c r="N8" i="3"/>
  <c r="O8" i="3"/>
  <c r="P8" i="3"/>
  <c r="T8" i="3"/>
  <c r="B9" i="3"/>
  <c r="C9" i="3"/>
  <c r="D9" i="3"/>
  <c r="E9" i="3"/>
  <c r="G9" i="3"/>
  <c r="H9" i="3"/>
  <c r="I9" i="3"/>
  <c r="J9" i="3"/>
  <c r="K9" i="3"/>
  <c r="M9" i="3"/>
  <c r="N9" i="3"/>
  <c r="O9" i="3"/>
  <c r="P9" i="3"/>
  <c r="T9" i="3"/>
  <c r="B10" i="3"/>
  <c r="C10" i="3"/>
  <c r="D10" i="3"/>
  <c r="E10" i="3"/>
  <c r="G10" i="3"/>
  <c r="H10" i="3"/>
  <c r="I10" i="3"/>
  <c r="J10" i="3"/>
  <c r="K10" i="3"/>
  <c r="M10" i="3"/>
  <c r="N10" i="3"/>
  <c r="O10" i="3"/>
  <c r="P10" i="3"/>
  <c r="X10" i="3"/>
  <c r="B11" i="3"/>
  <c r="C11" i="3"/>
  <c r="D11" i="3"/>
  <c r="E11" i="3"/>
  <c r="G11" i="3"/>
  <c r="H11" i="3"/>
  <c r="I11" i="3"/>
  <c r="J11" i="3"/>
  <c r="K11" i="3"/>
  <c r="M11" i="3"/>
  <c r="N11" i="3"/>
  <c r="O11" i="3"/>
  <c r="P11" i="3"/>
  <c r="X11" i="3"/>
  <c r="B12" i="3"/>
  <c r="C12" i="3"/>
  <c r="D12" i="3"/>
  <c r="E12" i="3"/>
  <c r="G12" i="3"/>
  <c r="H12" i="3"/>
  <c r="I12" i="3"/>
  <c r="J12" i="3"/>
  <c r="K12" i="3"/>
  <c r="M12" i="3"/>
  <c r="N12" i="3"/>
  <c r="O12" i="3"/>
  <c r="P12" i="3"/>
  <c r="X12" i="3"/>
  <c r="B13" i="3"/>
  <c r="C13" i="3"/>
  <c r="D13" i="3"/>
  <c r="E13" i="3"/>
  <c r="G13" i="3"/>
  <c r="H13" i="3"/>
  <c r="I13" i="3"/>
  <c r="J13" i="3"/>
  <c r="K13" i="3"/>
  <c r="M13" i="3"/>
  <c r="N13" i="3"/>
  <c r="O13" i="3"/>
  <c r="P13" i="3"/>
  <c r="T13" i="3"/>
  <c r="B14" i="3"/>
  <c r="C14" i="3"/>
  <c r="D14" i="3"/>
  <c r="E14" i="3"/>
  <c r="G14" i="3"/>
  <c r="H14" i="3"/>
  <c r="I14" i="3"/>
  <c r="J14" i="3"/>
  <c r="K14" i="3"/>
  <c r="M14" i="3"/>
  <c r="N14" i="3"/>
  <c r="O14" i="3"/>
  <c r="P14" i="3"/>
  <c r="T14" i="3"/>
  <c r="X14" i="3"/>
  <c r="B15" i="3"/>
  <c r="C15" i="3"/>
  <c r="D15" i="3"/>
  <c r="E15" i="3"/>
  <c r="G15" i="3"/>
  <c r="H15" i="3"/>
  <c r="I15" i="3"/>
  <c r="J15" i="3"/>
  <c r="K15" i="3"/>
  <c r="M15" i="3"/>
  <c r="N15" i="3"/>
  <c r="O15" i="3"/>
  <c r="P15" i="3"/>
  <c r="T15" i="3"/>
  <c r="B16" i="3"/>
  <c r="C16" i="3"/>
  <c r="D16" i="3"/>
  <c r="E16" i="3"/>
  <c r="G16" i="3"/>
  <c r="H16" i="3"/>
  <c r="I16" i="3"/>
  <c r="J16" i="3"/>
  <c r="K16" i="3"/>
  <c r="M16" i="3"/>
  <c r="N16" i="3"/>
  <c r="O16" i="3"/>
  <c r="P16" i="3"/>
  <c r="T16" i="3"/>
  <c r="B17" i="3"/>
  <c r="C17" i="3"/>
  <c r="D17" i="3"/>
  <c r="E17" i="3"/>
  <c r="G17" i="3"/>
  <c r="H17" i="3"/>
  <c r="I17" i="3"/>
  <c r="J17" i="3"/>
  <c r="K17" i="3"/>
  <c r="M17" i="3"/>
  <c r="N17" i="3"/>
  <c r="O17" i="3"/>
  <c r="P17" i="3"/>
  <c r="T17" i="3"/>
  <c r="B18" i="3"/>
  <c r="C18" i="3"/>
  <c r="D18" i="3"/>
  <c r="E18" i="3"/>
  <c r="G18" i="3"/>
  <c r="H18" i="3"/>
  <c r="I18" i="3"/>
  <c r="J18" i="3"/>
  <c r="K18" i="3"/>
  <c r="M18" i="3"/>
  <c r="N18" i="3"/>
  <c r="O18" i="3"/>
  <c r="P18" i="3"/>
  <c r="T18" i="3"/>
  <c r="B19" i="3"/>
  <c r="C19" i="3"/>
  <c r="D19" i="3"/>
  <c r="E19" i="3"/>
  <c r="G19" i="3"/>
  <c r="H19" i="3"/>
  <c r="I19" i="3"/>
  <c r="J19" i="3"/>
  <c r="K19" i="3"/>
  <c r="M19" i="3"/>
  <c r="N19" i="3"/>
  <c r="O19" i="3"/>
  <c r="P19" i="3"/>
  <c r="V19" i="3"/>
  <c r="B20" i="3"/>
  <c r="C20" i="3"/>
  <c r="D20" i="3"/>
  <c r="E20" i="3"/>
  <c r="G20" i="3"/>
  <c r="H20" i="3"/>
  <c r="I20" i="3"/>
  <c r="J20" i="3"/>
  <c r="K20" i="3"/>
  <c r="M20" i="3"/>
  <c r="N20" i="3"/>
  <c r="O20" i="3"/>
  <c r="P20" i="3"/>
  <c r="B21" i="3"/>
  <c r="C21" i="3"/>
  <c r="D21" i="3"/>
  <c r="E21" i="3"/>
  <c r="G21" i="3"/>
  <c r="H21" i="3"/>
  <c r="I21" i="3"/>
  <c r="J21" i="3"/>
  <c r="K21" i="3"/>
  <c r="M21" i="3"/>
  <c r="N21" i="3"/>
  <c r="O21" i="3"/>
  <c r="P21" i="3"/>
  <c r="B22" i="3"/>
  <c r="C22" i="3"/>
  <c r="D22" i="3"/>
  <c r="E22" i="3"/>
  <c r="G22" i="3"/>
  <c r="H22" i="3"/>
  <c r="I22" i="3"/>
  <c r="J22" i="3"/>
  <c r="K22" i="3"/>
  <c r="M22" i="3"/>
  <c r="N22" i="3"/>
  <c r="O22" i="3"/>
  <c r="P22" i="3"/>
  <c r="B23" i="3"/>
  <c r="C23" i="3"/>
  <c r="D23" i="3"/>
  <c r="E23" i="3"/>
  <c r="G23" i="3"/>
  <c r="H23" i="3"/>
  <c r="I23" i="3"/>
  <c r="J23" i="3"/>
  <c r="K23" i="3"/>
  <c r="M23" i="3"/>
  <c r="N23" i="3"/>
  <c r="O23" i="3"/>
  <c r="P23" i="3"/>
  <c r="B24" i="3"/>
  <c r="C24" i="3"/>
  <c r="D24" i="3"/>
  <c r="E24" i="3"/>
  <c r="G24" i="3"/>
  <c r="H24" i="3"/>
  <c r="I24" i="3"/>
  <c r="J24" i="3"/>
  <c r="K24" i="3"/>
  <c r="M24" i="3"/>
  <c r="N24" i="3"/>
  <c r="O24" i="3"/>
  <c r="P24" i="3"/>
  <c r="B25" i="3"/>
  <c r="C25" i="3"/>
  <c r="D25" i="3"/>
  <c r="E25" i="3"/>
  <c r="G25" i="3"/>
  <c r="H25" i="3"/>
  <c r="I25" i="3"/>
  <c r="J25" i="3"/>
  <c r="K25" i="3"/>
  <c r="M25" i="3"/>
  <c r="N25" i="3"/>
  <c r="O25" i="3"/>
  <c r="P25" i="3"/>
  <c r="B26" i="3"/>
  <c r="C26" i="3"/>
  <c r="D26" i="3"/>
  <c r="E26" i="3"/>
  <c r="G26" i="3"/>
  <c r="H26" i="3"/>
  <c r="I26" i="3"/>
  <c r="J26" i="3"/>
  <c r="K26" i="3"/>
  <c r="M26" i="3"/>
  <c r="N26" i="3"/>
  <c r="O26" i="3"/>
  <c r="P26" i="3"/>
  <c r="B27" i="3"/>
  <c r="C27" i="3"/>
  <c r="D27" i="3"/>
  <c r="E27" i="3"/>
  <c r="G27" i="3"/>
  <c r="H27" i="3"/>
  <c r="I27" i="3"/>
  <c r="J27" i="3"/>
  <c r="K27" i="3"/>
  <c r="M27" i="3"/>
  <c r="N27" i="3"/>
  <c r="O27" i="3"/>
  <c r="P27" i="3"/>
  <c r="B28" i="3"/>
  <c r="C28" i="3"/>
  <c r="D28" i="3"/>
  <c r="E28" i="3"/>
  <c r="G28" i="3"/>
  <c r="H28" i="3"/>
  <c r="I28" i="3"/>
  <c r="J28" i="3"/>
  <c r="K28" i="3"/>
  <c r="M28" i="3"/>
  <c r="N28" i="3"/>
  <c r="O28" i="3"/>
  <c r="P28" i="3"/>
  <c r="B29" i="3"/>
  <c r="G29" i="3"/>
  <c r="H29" i="3"/>
  <c r="I29" i="3"/>
  <c r="J29" i="3"/>
  <c r="K29" i="3"/>
  <c r="M29" i="3"/>
  <c r="N29" i="3"/>
  <c r="O29" i="3"/>
  <c r="P29" i="3"/>
  <c r="G30" i="3"/>
  <c r="H30" i="3"/>
  <c r="I30" i="3"/>
  <c r="J30" i="3"/>
  <c r="K30" i="3"/>
  <c r="M30" i="3"/>
  <c r="N30" i="3"/>
  <c r="O30" i="3"/>
  <c r="P30" i="3"/>
  <c r="G31" i="3"/>
  <c r="H31" i="3"/>
  <c r="I31" i="3"/>
  <c r="J31" i="3"/>
  <c r="K31" i="3"/>
  <c r="M31" i="3"/>
  <c r="N31" i="3"/>
  <c r="O31" i="3"/>
  <c r="P31" i="3"/>
  <c r="G32" i="3"/>
  <c r="H32" i="3"/>
  <c r="I32" i="3"/>
  <c r="J32" i="3"/>
  <c r="K32" i="3"/>
  <c r="M32" i="3"/>
  <c r="N32" i="3"/>
  <c r="O32" i="3"/>
  <c r="P32" i="3"/>
  <c r="G33" i="3"/>
  <c r="H33" i="3"/>
  <c r="I33" i="3"/>
  <c r="J33" i="3"/>
  <c r="K33" i="3"/>
  <c r="M33" i="3"/>
  <c r="N33" i="3"/>
  <c r="O33" i="3"/>
  <c r="P33" i="3"/>
  <c r="G34" i="3"/>
  <c r="H34" i="3"/>
  <c r="I34" i="3"/>
  <c r="J34" i="3"/>
  <c r="K34" i="3"/>
  <c r="M34" i="3"/>
  <c r="N34" i="3"/>
  <c r="O34" i="3"/>
  <c r="P34" i="3"/>
  <c r="G35" i="3"/>
  <c r="H35" i="3"/>
  <c r="I35" i="3"/>
  <c r="J35" i="3"/>
  <c r="K35" i="3"/>
  <c r="M35" i="3"/>
  <c r="N35" i="3"/>
  <c r="O35" i="3"/>
  <c r="P35" i="3"/>
  <c r="G36" i="3"/>
  <c r="H36" i="3"/>
  <c r="I36" i="3"/>
  <c r="J36" i="3"/>
  <c r="K36" i="3"/>
  <c r="M36" i="3"/>
  <c r="N36" i="3"/>
  <c r="O36" i="3"/>
  <c r="P36" i="3"/>
  <c r="G37" i="3"/>
  <c r="H37" i="3"/>
  <c r="I37" i="3"/>
  <c r="J37" i="3"/>
  <c r="K37" i="3"/>
  <c r="M37" i="3"/>
  <c r="N37" i="3"/>
  <c r="O37" i="3"/>
  <c r="P37" i="3"/>
  <c r="G38" i="3"/>
  <c r="H38" i="3"/>
  <c r="I38" i="3"/>
  <c r="J38" i="3"/>
  <c r="K38" i="3"/>
  <c r="M38" i="3"/>
  <c r="N38" i="3"/>
  <c r="O38" i="3"/>
  <c r="P38" i="3"/>
  <c r="G39" i="3"/>
  <c r="H39" i="3"/>
  <c r="I39" i="3"/>
  <c r="J39" i="3"/>
  <c r="K39" i="3"/>
  <c r="M39" i="3"/>
  <c r="N39" i="3"/>
  <c r="O39" i="3"/>
  <c r="P39" i="3"/>
  <c r="G40" i="3"/>
  <c r="H40" i="3"/>
  <c r="I40" i="3"/>
  <c r="J40" i="3"/>
  <c r="K40" i="3"/>
  <c r="M40" i="3"/>
  <c r="N40" i="3"/>
  <c r="O40" i="3"/>
  <c r="P40" i="3"/>
  <c r="G41" i="3"/>
  <c r="H41" i="3"/>
  <c r="I41" i="3"/>
  <c r="J41" i="3"/>
  <c r="K41" i="3"/>
  <c r="M41" i="3"/>
  <c r="N41" i="3"/>
  <c r="O41" i="3"/>
  <c r="P41" i="3"/>
  <c r="G42" i="3"/>
  <c r="H42" i="3"/>
  <c r="I42" i="3"/>
  <c r="J42" i="3"/>
  <c r="K42" i="3"/>
  <c r="M42" i="3"/>
  <c r="N42" i="3"/>
  <c r="O42" i="3"/>
  <c r="P42" i="3"/>
  <c r="G43" i="3"/>
  <c r="H43" i="3"/>
  <c r="I43" i="3"/>
  <c r="J43" i="3"/>
  <c r="K43" i="3"/>
  <c r="M43" i="3"/>
  <c r="N43" i="3"/>
  <c r="O43" i="3"/>
  <c r="P43" i="3"/>
  <c r="G44" i="3"/>
  <c r="H44" i="3"/>
  <c r="I44" i="3"/>
  <c r="J44" i="3"/>
  <c r="K44" i="3"/>
  <c r="M44" i="3"/>
  <c r="N44" i="3"/>
  <c r="O44" i="3"/>
  <c r="P44" i="3"/>
  <c r="G45" i="3"/>
  <c r="H45" i="3"/>
  <c r="I45" i="3"/>
  <c r="J45" i="3"/>
  <c r="K45" i="3"/>
  <c r="M45" i="3"/>
  <c r="N45" i="3"/>
  <c r="O45" i="3"/>
  <c r="P45" i="3"/>
  <c r="G46" i="3"/>
  <c r="H46" i="3"/>
  <c r="I46" i="3"/>
  <c r="J46" i="3"/>
  <c r="K46" i="3"/>
  <c r="M46" i="3"/>
  <c r="N46" i="3"/>
  <c r="O46" i="3"/>
  <c r="P46" i="3"/>
  <c r="G47" i="3"/>
  <c r="H47" i="3"/>
  <c r="I47" i="3"/>
  <c r="J47" i="3"/>
  <c r="K47" i="3"/>
  <c r="M47" i="3"/>
  <c r="N47" i="3"/>
  <c r="O47" i="3"/>
  <c r="P47" i="3"/>
  <c r="G48" i="3"/>
  <c r="H48" i="3"/>
  <c r="I48" i="3"/>
  <c r="J48" i="3"/>
  <c r="K48" i="3"/>
  <c r="M48" i="3"/>
  <c r="N48" i="3"/>
  <c r="O48" i="3"/>
  <c r="P48" i="3"/>
  <c r="G49" i="3"/>
  <c r="H49" i="3"/>
  <c r="I49" i="3"/>
  <c r="J49" i="3"/>
  <c r="K49" i="3"/>
  <c r="M49" i="3"/>
  <c r="N49" i="3"/>
  <c r="O49" i="3"/>
  <c r="P49" i="3"/>
  <c r="G50" i="3"/>
  <c r="H50" i="3"/>
  <c r="I50" i="3"/>
  <c r="J50" i="3"/>
  <c r="K50" i="3"/>
  <c r="M50" i="3"/>
  <c r="N50" i="3"/>
  <c r="O50" i="3"/>
  <c r="P50" i="3"/>
  <c r="G51" i="3"/>
  <c r="H51" i="3"/>
  <c r="I51" i="3"/>
  <c r="J51" i="3"/>
  <c r="K51" i="3"/>
  <c r="M51" i="3"/>
  <c r="N51" i="3"/>
  <c r="O51" i="3"/>
  <c r="P51" i="3"/>
  <c r="G52" i="3"/>
  <c r="H52" i="3"/>
  <c r="I52" i="3"/>
  <c r="J52" i="3"/>
  <c r="K52" i="3"/>
  <c r="M52" i="3"/>
  <c r="N52" i="3"/>
  <c r="O52" i="3"/>
  <c r="P52" i="3"/>
  <c r="G53" i="3"/>
  <c r="H53" i="3"/>
  <c r="I53" i="3"/>
  <c r="J53" i="3"/>
  <c r="K53" i="3"/>
  <c r="M53" i="3"/>
  <c r="N53" i="3"/>
  <c r="O53" i="3"/>
  <c r="P53" i="3"/>
  <c r="G54" i="3"/>
  <c r="H54" i="3"/>
  <c r="I54" i="3"/>
  <c r="J54" i="3"/>
  <c r="K54" i="3"/>
  <c r="M54" i="3"/>
  <c r="N54" i="3"/>
  <c r="O54" i="3"/>
  <c r="P54" i="3"/>
  <c r="G55" i="3"/>
  <c r="H55" i="3"/>
  <c r="I55" i="3"/>
  <c r="J55" i="3"/>
  <c r="K55" i="3"/>
  <c r="M55" i="3"/>
  <c r="N55" i="3"/>
  <c r="O55" i="3"/>
  <c r="P55" i="3"/>
  <c r="G56" i="3"/>
  <c r="H56" i="3"/>
  <c r="I56" i="3"/>
  <c r="J56" i="3"/>
  <c r="K56" i="3"/>
  <c r="M56" i="3"/>
  <c r="N56" i="3"/>
  <c r="O56" i="3"/>
  <c r="P56" i="3"/>
  <c r="G57" i="3"/>
  <c r="H57" i="3"/>
  <c r="I57" i="3"/>
  <c r="J57" i="3"/>
  <c r="K57" i="3"/>
  <c r="M57" i="3"/>
  <c r="N57" i="3"/>
  <c r="O57" i="3"/>
  <c r="P57" i="3"/>
  <c r="G58" i="3"/>
  <c r="H58" i="3"/>
  <c r="I58" i="3"/>
  <c r="J58" i="3"/>
  <c r="K58" i="3"/>
  <c r="M58" i="3"/>
  <c r="N58" i="3"/>
  <c r="O58" i="3"/>
  <c r="P58" i="3"/>
  <c r="G59" i="3"/>
  <c r="H59" i="3"/>
  <c r="I59" i="3"/>
  <c r="J59" i="3"/>
  <c r="K59" i="3"/>
  <c r="M59" i="3"/>
  <c r="N59" i="3"/>
  <c r="O59" i="3"/>
  <c r="P59" i="3"/>
  <c r="G60" i="3"/>
  <c r="H60" i="3"/>
  <c r="I60" i="3"/>
  <c r="J60" i="3"/>
  <c r="K60" i="3"/>
  <c r="M60" i="3"/>
  <c r="N60" i="3"/>
  <c r="O60" i="3"/>
  <c r="P60" i="3"/>
  <c r="G61" i="3"/>
  <c r="H61" i="3"/>
  <c r="I61" i="3"/>
  <c r="J61" i="3"/>
  <c r="K61" i="3"/>
  <c r="M61" i="3"/>
  <c r="N61" i="3"/>
  <c r="O61" i="3"/>
  <c r="P61" i="3"/>
  <c r="G62" i="3"/>
  <c r="H62" i="3"/>
  <c r="I62" i="3"/>
  <c r="J62" i="3"/>
  <c r="K62" i="3"/>
  <c r="M62" i="3"/>
  <c r="N62" i="3"/>
  <c r="O62" i="3"/>
  <c r="P62" i="3"/>
  <c r="G63" i="3"/>
  <c r="H63" i="3"/>
  <c r="I63" i="3"/>
  <c r="J63" i="3"/>
  <c r="K63" i="3"/>
  <c r="M63" i="3"/>
  <c r="N63" i="3"/>
  <c r="O63" i="3"/>
  <c r="P63" i="3"/>
  <c r="G64" i="3"/>
  <c r="H64" i="3"/>
  <c r="I64" i="3"/>
  <c r="J64" i="3"/>
  <c r="K64" i="3"/>
  <c r="M64" i="3"/>
  <c r="N64" i="3"/>
  <c r="O64" i="3"/>
  <c r="P64" i="3"/>
  <c r="G65" i="3"/>
  <c r="H65" i="3"/>
  <c r="I65" i="3"/>
  <c r="J65" i="3"/>
  <c r="K65" i="3"/>
  <c r="M65" i="3"/>
  <c r="N65" i="3"/>
  <c r="O65" i="3"/>
  <c r="P65" i="3"/>
  <c r="G66" i="3"/>
  <c r="H66" i="3"/>
  <c r="I66" i="3"/>
  <c r="J66" i="3"/>
  <c r="K66" i="3"/>
  <c r="M66" i="3"/>
  <c r="N66" i="3"/>
  <c r="O66" i="3"/>
  <c r="P66" i="3"/>
  <c r="G67" i="3"/>
  <c r="H67" i="3"/>
  <c r="I67" i="3"/>
  <c r="J67" i="3"/>
  <c r="K67" i="3"/>
  <c r="M67" i="3"/>
  <c r="N67" i="3"/>
  <c r="O67" i="3"/>
  <c r="P67" i="3"/>
  <c r="G68" i="3"/>
  <c r="H68" i="3"/>
  <c r="I68" i="3"/>
  <c r="J68" i="3"/>
  <c r="K68" i="3"/>
  <c r="M68" i="3"/>
  <c r="N68" i="3"/>
  <c r="O68" i="3"/>
  <c r="P68" i="3"/>
  <c r="G69" i="3"/>
  <c r="H69" i="3"/>
  <c r="I69" i="3"/>
  <c r="J69" i="3"/>
  <c r="K69" i="3"/>
  <c r="M69" i="3"/>
  <c r="N69" i="3"/>
  <c r="O69" i="3"/>
  <c r="P69" i="3"/>
  <c r="G70" i="3"/>
  <c r="H70" i="3"/>
  <c r="I70" i="3"/>
  <c r="J70" i="3"/>
  <c r="K70" i="3"/>
  <c r="M70" i="3"/>
  <c r="N70" i="3"/>
  <c r="O70" i="3"/>
  <c r="P70" i="3"/>
  <c r="G71" i="3"/>
  <c r="H71" i="3"/>
  <c r="I71" i="3"/>
  <c r="J71" i="3"/>
  <c r="K71" i="3"/>
  <c r="M71" i="3"/>
  <c r="N71" i="3"/>
  <c r="O71" i="3"/>
  <c r="P71" i="3"/>
  <c r="G72" i="3"/>
  <c r="H72" i="3"/>
  <c r="I72" i="3"/>
  <c r="J72" i="3"/>
  <c r="K72" i="3"/>
  <c r="M72" i="3"/>
  <c r="N72" i="3"/>
  <c r="O72" i="3"/>
  <c r="P72" i="3"/>
  <c r="G73" i="3"/>
  <c r="H73" i="3"/>
  <c r="I73" i="3"/>
  <c r="J73" i="3"/>
  <c r="K73" i="3"/>
  <c r="M73" i="3"/>
  <c r="N73" i="3"/>
  <c r="O73" i="3"/>
  <c r="P73" i="3"/>
  <c r="G74" i="3"/>
  <c r="H74" i="3"/>
  <c r="I74" i="3"/>
  <c r="J74" i="3"/>
  <c r="K74" i="3"/>
  <c r="M74" i="3"/>
  <c r="N74" i="3"/>
  <c r="O74" i="3"/>
  <c r="P74" i="3"/>
  <c r="G75" i="3"/>
  <c r="H75" i="3"/>
  <c r="I75" i="3"/>
  <c r="J75" i="3"/>
  <c r="K75" i="3"/>
  <c r="M75" i="3"/>
  <c r="N75" i="3"/>
  <c r="O75" i="3"/>
  <c r="P75" i="3"/>
  <c r="G76" i="3"/>
  <c r="H76" i="3"/>
  <c r="I76" i="3"/>
  <c r="J76" i="3"/>
  <c r="K76" i="3"/>
  <c r="M76" i="3"/>
  <c r="N76" i="3"/>
  <c r="O76" i="3"/>
  <c r="P76" i="3"/>
  <c r="G77" i="3"/>
  <c r="H77" i="3"/>
  <c r="I77" i="3"/>
  <c r="J77" i="3"/>
  <c r="K77" i="3"/>
  <c r="M77" i="3"/>
  <c r="N77" i="3"/>
  <c r="O77" i="3"/>
  <c r="P77" i="3"/>
  <c r="G78" i="3"/>
  <c r="H78" i="3"/>
  <c r="I78" i="3"/>
  <c r="J78" i="3"/>
  <c r="K78" i="3"/>
  <c r="M78" i="3"/>
  <c r="N78" i="3"/>
  <c r="O78" i="3"/>
  <c r="P78" i="3"/>
  <c r="G79" i="3"/>
  <c r="H79" i="3"/>
  <c r="I79" i="3"/>
  <c r="J79" i="3"/>
  <c r="K79" i="3"/>
  <c r="M79" i="3"/>
  <c r="N79" i="3"/>
  <c r="O79" i="3"/>
  <c r="P79" i="3"/>
  <c r="G80" i="3"/>
  <c r="H80" i="3"/>
  <c r="I80" i="3"/>
  <c r="J80" i="3"/>
  <c r="K80" i="3"/>
  <c r="M80" i="3"/>
  <c r="N80" i="3"/>
  <c r="O80" i="3"/>
  <c r="P80" i="3"/>
  <c r="G81" i="3"/>
  <c r="H81" i="3"/>
  <c r="I81" i="3"/>
  <c r="J81" i="3"/>
  <c r="K81" i="3"/>
  <c r="M81" i="3"/>
  <c r="N81" i="3"/>
  <c r="O81" i="3"/>
  <c r="P81" i="3"/>
  <c r="G82" i="3"/>
  <c r="H82" i="3"/>
  <c r="I82" i="3"/>
  <c r="J82" i="3"/>
  <c r="K82" i="3"/>
  <c r="M82" i="3"/>
  <c r="N82" i="3"/>
  <c r="O82" i="3"/>
  <c r="P82" i="3"/>
  <c r="G83" i="3"/>
  <c r="H83" i="3"/>
  <c r="I83" i="3"/>
  <c r="J83" i="3"/>
  <c r="K83" i="3"/>
  <c r="M83" i="3"/>
  <c r="N83" i="3"/>
  <c r="O83" i="3"/>
  <c r="P83" i="3"/>
  <c r="G84" i="3"/>
  <c r="H84" i="3"/>
  <c r="I84" i="3"/>
  <c r="J84" i="3"/>
  <c r="K84" i="3"/>
  <c r="M84" i="3"/>
  <c r="N84" i="3"/>
  <c r="O84" i="3"/>
  <c r="P84" i="3"/>
  <c r="G85" i="3"/>
  <c r="H85" i="3"/>
  <c r="I85" i="3"/>
  <c r="J85" i="3"/>
  <c r="K85" i="3"/>
  <c r="M85" i="3"/>
  <c r="N85" i="3"/>
  <c r="O85" i="3"/>
  <c r="P85" i="3"/>
  <c r="G86" i="3"/>
  <c r="H86" i="3"/>
  <c r="I86" i="3"/>
  <c r="J86" i="3"/>
  <c r="K86" i="3"/>
  <c r="M86" i="3"/>
  <c r="N86" i="3"/>
  <c r="O86" i="3"/>
  <c r="P86" i="3"/>
  <c r="G87" i="3"/>
  <c r="H87" i="3"/>
  <c r="I87" i="3"/>
  <c r="J87" i="3"/>
  <c r="K87" i="3"/>
  <c r="M87" i="3"/>
  <c r="N87" i="3"/>
  <c r="O87" i="3"/>
  <c r="P87" i="3"/>
  <c r="G88" i="3"/>
  <c r="H88" i="3"/>
  <c r="I88" i="3"/>
  <c r="J88" i="3"/>
  <c r="K88" i="3"/>
  <c r="M88" i="3"/>
  <c r="N88" i="3"/>
  <c r="O88" i="3"/>
  <c r="P88" i="3"/>
  <c r="G89" i="3"/>
  <c r="H89" i="3"/>
  <c r="I89" i="3"/>
  <c r="J89" i="3"/>
  <c r="K89" i="3"/>
  <c r="M89" i="3"/>
  <c r="N89" i="3"/>
  <c r="O89" i="3"/>
  <c r="P89" i="3"/>
  <c r="G90" i="3"/>
  <c r="H90" i="3"/>
  <c r="I90" i="3"/>
  <c r="J90" i="3"/>
  <c r="K90" i="3"/>
  <c r="M90" i="3"/>
  <c r="N90" i="3"/>
  <c r="O90" i="3"/>
  <c r="P90" i="3"/>
  <c r="G91" i="3"/>
  <c r="H91" i="3"/>
  <c r="I91" i="3"/>
  <c r="J91" i="3"/>
  <c r="K91" i="3"/>
  <c r="M91" i="3"/>
  <c r="N91" i="3"/>
  <c r="O91" i="3"/>
  <c r="P91" i="3"/>
  <c r="G92" i="3"/>
  <c r="H92" i="3"/>
  <c r="I92" i="3"/>
  <c r="J92" i="3"/>
  <c r="K92" i="3"/>
  <c r="M92" i="3"/>
  <c r="N92" i="3"/>
  <c r="O92" i="3"/>
  <c r="P92" i="3"/>
  <c r="G93" i="3"/>
  <c r="H93" i="3"/>
  <c r="I93" i="3"/>
  <c r="J93" i="3"/>
  <c r="K93" i="3"/>
  <c r="M93" i="3"/>
  <c r="N93" i="3"/>
  <c r="O93" i="3"/>
  <c r="P93" i="3"/>
  <c r="G94" i="3"/>
  <c r="H94" i="3"/>
  <c r="I94" i="3"/>
  <c r="J94" i="3"/>
  <c r="K94" i="3"/>
  <c r="M94" i="3"/>
  <c r="N94" i="3"/>
  <c r="O94" i="3"/>
  <c r="P94" i="3"/>
  <c r="G95" i="3"/>
  <c r="H95" i="3"/>
  <c r="I95" i="3"/>
  <c r="J95" i="3"/>
  <c r="K95" i="3"/>
  <c r="M95" i="3"/>
  <c r="N95" i="3"/>
  <c r="O95" i="3"/>
  <c r="P95" i="3"/>
  <c r="G96" i="3"/>
  <c r="H96" i="3"/>
  <c r="I96" i="3"/>
  <c r="J96" i="3"/>
  <c r="K96" i="3"/>
  <c r="M96" i="3"/>
  <c r="N96" i="3"/>
  <c r="O96" i="3"/>
  <c r="P96" i="3"/>
  <c r="G97" i="3"/>
  <c r="H97" i="3"/>
  <c r="I97" i="3"/>
  <c r="J97" i="3"/>
  <c r="K97" i="3"/>
  <c r="M97" i="3"/>
  <c r="N97" i="3"/>
  <c r="O97" i="3"/>
  <c r="P97" i="3"/>
  <c r="G98" i="3"/>
  <c r="H98" i="3"/>
  <c r="I98" i="3"/>
  <c r="J98" i="3"/>
  <c r="K98" i="3"/>
  <c r="M98" i="3"/>
  <c r="N98" i="3"/>
  <c r="O98" i="3"/>
  <c r="P98" i="3"/>
  <c r="G99" i="3"/>
  <c r="H99" i="3"/>
  <c r="I99" i="3"/>
  <c r="J99" i="3"/>
  <c r="K99" i="3"/>
  <c r="M99" i="3"/>
  <c r="N99" i="3"/>
  <c r="O99" i="3"/>
  <c r="P99" i="3"/>
  <c r="G100" i="3"/>
  <c r="H100" i="3"/>
  <c r="I100" i="3"/>
  <c r="J100" i="3"/>
  <c r="K100" i="3"/>
  <c r="M100" i="3"/>
  <c r="N100" i="3"/>
  <c r="O100" i="3"/>
  <c r="P100" i="3"/>
  <c r="G101" i="3"/>
  <c r="H101" i="3"/>
  <c r="I101" i="3"/>
  <c r="J101" i="3"/>
  <c r="K101" i="3"/>
  <c r="M101" i="3"/>
  <c r="N101" i="3"/>
  <c r="O101" i="3"/>
  <c r="P101" i="3"/>
  <c r="G102" i="3"/>
  <c r="H102" i="3"/>
  <c r="I102" i="3"/>
  <c r="J102" i="3"/>
  <c r="K102" i="3"/>
  <c r="M102" i="3"/>
  <c r="N102" i="3"/>
  <c r="O102" i="3"/>
  <c r="P102" i="3"/>
  <c r="G103" i="3"/>
  <c r="H103" i="3"/>
  <c r="I103" i="3"/>
  <c r="J103" i="3"/>
  <c r="K103" i="3"/>
  <c r="M103" i="3"/>
  <c r="N103" i="3"/>
  <c r="O103" i="3"/>
  <c r="P103" i="3"/>
  <c r="G104" i="3"/>
  <c r="H104" i="3"/>
  <c r="I104" i="3"/>
  <c r="J104" i="3"/>
  <c r="K104" i="3"/>
  <c r="M104" i="3"/>
  <c r="N104" i="3"/>
  <c r="O104" i="3"/>
  <c r="P104" i="3"/>
  <c r="G105" i="3"/>
  <c r="H105" i="3"/>
  <c r="I105" i="3"/>
  <c r="J105" i="3"/>
  <c r="K105" i="3"/>
  <c r="G106" i="3"/>
  <c r="H106" i="3"/>
  <c r="I106" i="3"/>
  <c r="J106" i="3"/>
  <c r="K106" i="3"/>
  <c r="G107" i="3"/>
  <c r="H107" i="3"/>
  <c r="I107" i="3"/>
  <c r="J107" i="3"/>
  <c r="K107" i="3"/>
  <c r="G108" i="3"/>
  <c r="H108" i="3"/>
  <c r="I108" i="3"/>
  <c r="J108" i="3"/>
  <c r="K108" i="3"/>
  <c r="G109" i="3"/>
  <c r="H109" i="3"/>
  <c r="I109" i="3"/>
  <c r="J109" i="3"/>
  <c r="K109" i="3"/>
  <c r="G110" i="3"/>
  <c r="H110" i="3"/>
  <c r="I110" i="3"/>
  <c r="J110" i="3"/>
  <c r="K110" i="3"/>
  <c r="G111" i="3"/>
  <c r="H111" i="3"/>
  <c r="I111" i="3"/>
  <c r="J111" i="3"/>
  <c r="K111" i="3"/>
  <c r="G112" i="3"/>
  <c r="H112" i="3"/>
  <c r="I112" i="3"/>
  <c r="J112" i="3"/>
  <c r="K112" i="3"/>
  <c r="G113" i="3"/>
  <c r="H113" i="3"/>
  <c r="I113" i="3"/>
  <c r="J113" i="3"/>
  <c r="K113" i="3"/>
  <c r="G114" i="3"/>
  <c r="H114" i="3"/>
  <c r="I114" i="3"/>
  <c r="J114" i="3"/>
  <c r="K114" i="3"/>
  <c r="G115" i="3"/>
  <c r="H115" i="3"/>
  <c r="I115" i="3"/>
  <c r="J115" i="3"/>
  <c r="K115" i="3"/>
  <c r="G116" i="3"/>
  <c r="H116" i="3"/>
  <c r="I116" i="3"/>
  <c r="J116" i="3"/>
  <c r="K116" i="3"/>
  <c r="G117" i="3"/>
  <c r="H117" i="3"/>
  <c r="I117" i="3"/>
  <c r="J117" i="3"/>
  <c r="K117" i="3"/>
  <c r="G118" i="3"/>
  <c r="H118" i="3"/>
  <c r="I118" i="3"/>
  <c r="J118" i="3"/>
  <c r="K118" i="3"/>
  <c r="G119" i="3"/>
  <c r="H119" i="3"/>
  <c r="I119" i="3"/>
  <c r="J119" i="3"/>
  <c r="K119" i="3"/>
  <c r="G120" i="3"/>
  <c r="H120" i="3"/>
  <c r="I120" i="3"/>
  <c r="J120" i="3"/>
  <c r="K120" i="3"/>
  <c r="G121" i="3"/>
  <c r="H121" i="3"/>
  <c r="I121" i="3"/>
  <c r="J121" i="3"/>
  <c r="K121" i="3"/>
  <c r="G122" i="3"/>
  <c r="H122" i="3"/>
  <c r="I122" i="3"/>
  <c r="J122" i="3"/>
  <c r="K122" i="3"/>
  <c r="G123" i="3"/>
  <c r="H123" i="3"/>
  <c r="I123" i="3"/>
  <c r="J123" i="3"/>
  <c r="K123" i="3"/>
  <c r="G124" i="3"/>
  <c r="H124" i="3"/>
  <c r="I124" i="3"/>
  <c r="J124" i="3"/>
  <c r="K124" i="3"/>
</calcChain>
</file>

<file path=xl/comments1.xml><?xml version="1.0" encoding="utf-8"?>
<comments xmlns="http://schemas.openxmlformats.org/spreadsheetml/2006/main">
  <authors>
    <author>Steven</author>
  </authors>
  <commentList>
    <comment ref="F24" authorId="0" shapeId="0">
      <text>
        <r>
          <rPr>
            <b/>
            <sz val="10"/>
            <color indexed="81"/>
            <rFont val="Tahoma"/>
            <family val="2"/>
          </rPr>
          <t xml:space="preserve">
   Economic theory says that if the ISO pays the marginal value of reserves this will induce the efficient level of generation entry.  
   You can check that it does by changing any of the the 3 policy variables and watching to see if the total cost of unriliability goes up or down.
   The policy is efficient except for the fact that the demand side of the market is not playing its role.  In this model and in most present markets, demand is not give any price signal and so does not respond.
   See example E, for consideration of demand elasticity.
</t>
        </r>
      </text>
    </comment>
    <comment ref="C26" authorId="0" shapeId="0">
      <text>
        <r>
          <rPr>
            <b/>
            <sz val="10"/>
            <color indexed="81"/>
            <rFont val="Tahoma"/>
            <family val="2"/>
          </rPr>
          <t xml:space="preserve">
   This is the amount of reserves that is needed for reliability purposes.  More reserves won't help, fewer will hurt.</t>
        </r>
      </text>
    </comment>
    <comment ref="F26" authorId="0" shapeId="0">
      <text>
        <r>
          <rPr>
            <b/>
            <sz val="10"/>
            <color indexed="81"/>
            <rFont val="Tahoma"/>
            <family val="2"/>
          </rPr>
          <t xml:space="preserve">
   If reserves fall below this level the system operator begins to purchase reserves.
   How much the operator will pay is often not specified, but depends instead on the operator's desperation.  Typically an operators that is only 10 MW short will not pay $10,000/MWh.
   This model can be used to test most plausible payment functions.</t>
        </r>
      </text>
    </comment>
    <comment ref="H26" authorId="0" shapeId="0">
      <text>
        <r>
          <rPr>
            <b/>
            <sz val="10"/>
            <color indexed="81"/>
            <rFont val="Tahoma"/>
            <family val="2"/>
          </rPr>
          <t xml:space="preserve">
  The highest price paid due to low reserves during the price spike.</t>
        </r>
      </text>
    </comment>
    <comment ref="C27" authorId="0" shapeId="0">
      <text>
        <r>
          <rPr>
            <b/>
            <sz val="10"/>
            <color indexed="81"/>
            <rFont val="Tahoma"/>
            <family val="2"/>
          </rPr>
          <t xml:space="preserve">
   This is the value of 1 MWh or reserves when the reserve level reach 0.  This may be higher than the value of a MWh of lost load because at this reserve level, system stability may be jeoparized.</t>
        </r>
      </text>
    </comment>
    <comment ref="F27" authorId="0" shapeId="0">
      <text>
        <r>
          <rPr>
            <b/>
            <sz val="10"/>
            <color indexed="81"/>
            <rFont val="Tahoma"/>
            <family val="2"/>
          </rPr>
          <t xml:space="preserve">
   The shorter the system is, the more the operator is willing to pay.  The value indicates the willingness to pay when the system is completely out of reserves.</t>
        </r>
      </text>
    </comment>
    <comment ref="H27" authorId="0" shapeId="0">
      <text>
        <r>
          <rPr>
            <b/>
            <sz val="10"/>
            <color indexed="81"/>
            <rFont val="Tahoma"/>
            <family val="2"/>
          </rPr>
          <t xml:space="preserve">
   The number of hours during which reserves fall below "required" reserves.  These are the hours during which all peaker recover their fixed costs.</t>
        </r>
      </text>
    </comment>
    <comment ref="C28" authorId="0" shapeId="0">
      <text>
        <r>
          <rPr>
            <b/>
            <sz val="10"/>
            <color indexed="81"/>
            <rFont val="Tahoma"/>
            <family val="2"/>
          </rPr>
          <t xml:space="preserve">
   Zero indicates the marginal value of reserves increases linearly as reserves decrease.
   Higher values indicate the marginal value of reserves increase more slowly at first and more rapidly a reserves decrease towards zero.</t>
        </r>
      </text>
    </comment>
    <comment ref="F28" authorId="0" shapeId="0">
      <text>
        <r>
          <rPr>
            <b/>
            <sz val="10"/>
            <color indexed="81"/>
            <rFont val="Tahoma"/>
            <family val="2"/>
          </rPr>
          <t xml:space="preserve">
   A typical regulatory approach to reserve purchases might call for paying anything up to X if reserves fall below the "required" reserve level.  X is the cap on reserve-price.
   Because the cap will override the price at zero, it may be used in conjuction with an extremely high price at zero to simulate the above approach.</t>
        </r>
      </text>
    </comment>
    <comment ref="H28" authorId="0" shapeId="0">
      <text>
        <r>
          <rPr>
            <b/>
            <sz val="10"/>
            <color indexed="81"/>
            <rFont val="Tahoma"/>
            <family val="2"/>
          </rPr>
          <t xml:space="preserve">
   The cost of unserved load.
   The "Value of Reserves" is exactly the average cost of unserved load caused by having a MW less of reserves.  This allows the calculation of this cost. </t>
        </r>
      </text>
    </comment>
    <comment ref="C29" authorId="0" shapeId="0">
      <text>
        <r>
          <rPr>
            <b/>
            <sz val="10"/>
            <color indexed="81"/>
            <rFont val="Tahoma"/>
            <family val="2"/>
          </rPr>
          <t xml:space="preserve">
   Maximum annual load.</t>
        </r>
      </text>
    </comment>
    <comment ref="F29" authorId="0" shapeId="0">
      <text>
        <r>
          <rPr>
            <b/>
            <sz val="10"/>
            <color indexed="81"/>
            <rFont val="Tahoma"/>
            <family val="2"/>
          </rPr>
          <t xml:space="preserve">
   The minimum possible cost of unreliability divided by the actual cost.
   The cost of unreliability includes both the damage caused by load curtailment and the cost of providing excess capacity to prevent this.</t>
        </r>
      </text>
    </comment>
    <comment ref="H29" authorId="0" shapeId="0">
      <text>
        <r>
          <rPr>
            <b/>
            <sz val="10"/>
            <color indexed="81"/>
            <rFont val="Tahoma"/>
            <family val="2"/>
          </rPr>
          <t xml:space="preserve">
   The total hourly fixed costs of peakers that are in excess of the capacity required to serve the peak load.</t>
        </r>
      </text>
    </comment>
    <comment ref="C30" authorId="0" shapeId="0">
      <text>
        <r>
          <rPr>
            <b/>
            <sz val="10"/>
            <color indexed="81"/>
            <rFont val="Tahoma"/>
            <family val="2"/>
          </rPr>
          <t xml:space="preserve">
   Zero means linear.
   For any greater value, the L-D becomes vertical at zero duration.  Greater values increase the height of the load spike relative to the peak load</t>
        </r>
      </text>
    </comment>
    <comment ref="F30" authorId="0" shapeId="0">
      <text>
        <r>
          <rPr>
            <b/>
            <sz val="10"/>
            <color indexed="81"/>
            <rFont val="Tahoma"/>
            <family val="2"/>
          </rPr>
          <t xml:space="preserve">
   Some unreliability is not worth the cost of preventing.  If the the cost of unserved load is half the optimal cost, "Reliability" = 200%.</t>
        </r>
      </text>
    </comment>
    <comment ref="H30" authorId="0" shapeId="0">
      <text>
        <r>
          <rPr>
            <b/>
            <sz val="10"/>
            <color indexed="81"/>
            <rFont val="Tahoma"/>
            <family val="2"/>
          </rPr>
          <t xml:space="preserve">
   The sum of the cost of unserved load and the cost of the extra peakers that prevent the cost of unserved load from being higher.</t>
        </r>
      </text>
    </comment>
  </commentList>
</comments>
</file>

<file path=xl/comments2.xml><?xml version="1.0" encoding="utf-8"?>
<comments xmlns="http://schemas.openxmlformats.org/spreadsheetml/2006/main">
  <authors>
    <author>Steven</author>
  </authors>
  <commentList>
    <comment ref="U22" authorId="0" shapeId="0">
      <text>
        <r>
          <rPr>
            <b/>
            <sz val="10"/>
            <color indexed="81"/>
            <rFont val="Tahoma"/>
            <family val="2"/>
          </rPr>
          <t xml:space="preserve">
   Economic theory says that if the ISO pays the marginal value of reserves this will induce the efficient level of generation entry.  
   You can check that it does by changing any of the the 3 policy variables and watching to see if the total cost of unriliability goes up or down.
   The policy is efficient except for the fact that the demand side of the market is not playing its role.  In this model and in most present markets, demand is not give any price signal and so does not respond.
   See example E, for consideration of demand elasticity.
</t>
        </r>
      </text>
    </comment>
    <comment ref="U23" authorId="0" shapeId="0">
      <text>
        <r>
          <rPr>
            <b/>
            <sz val="10"/>
            <color indexed="81"/>
            <rFont val="Tahoma"/>
            <family val="2"/>
          </rPr>
          <t xml:space="preserve">
   This example Price Caps Reserves.
   This holds down the price of Energy.
   This reduces generator profits temporarily and causes a decline in generation investment.
   This cause a decrease in generating capacity, which raises price and restores profits.
   But with less capacity the system is much less reliable.
   [ Note that if Load&gt;Capacity then Reserves are negative.  The marginal value of reserve curve actually extends into this negative region in order to estimate the damage from loss of load due to negative reserves. ]
</t>
        </r>
      </text>
    </comment>
    <comment ref="U24" authorId="0" shapeId="0">
      <text>
        <r>
          <rPr>
            <b/>
            <sz val="10"/>
            <color indexed="81"/>
            <rFont val="Tahoma"/>
            <family val="2"/>
          </rPr>
          <t xml:space="preserve">
   This example shows how a much lower but wider price function for reserves can induce exactly as much reliability with a much lower price spike.
   A single variable, total available capacity that determines generation adequacy and this part of reliability.  But 3 policy variables  effect this outcome.  Consequently there are many different policies that give the same result.
   This demonstrates the regulators have a choice.
   Currently they default on this choice by following vague pricing policies for reserves that derive from engineering rules of thumb that were adequate in a regulated regime, but which make no sense in a market.
   That default is itself a form of choice.  It is a thoughtless choice for very high price spikes.
</t>
        </r>
      </text>
    </comment>
    <comment ref="U25" authorId="0" shapeId="0">
      <text>
        <r>
          <rPr>
            <b/>
            <sz val="10"/>
            <color indexed="81"/>
            <rFont val="Tahoma"/>
            <family val="2"/>
          </rPr>
          <t xml:space="preserve">
   Currently, the lack of demand elasticity is the biggest problem in the new U.S. electricity markets.  The two primary curbs to market power are divestiture and demand elasticty.  Current electricity market have esentially no demand elasticity and are consequently ideal for the exercise of market power during the conditions that cause price spikes.
   Aditionally, demand elasticity will reduce the cost of providing capacity to cover load spikes.  This is not shown in the present model.
   The model does show a striking reduction in price spikes that would be cause by the flattening of the load duration curve.
</t>
        </r>
      </text>
    </comment>
  </commentList>
</comments>
</file>

<file path=xl/comments3.xml><?xml version="1.0" encoding="utf-8"?>
<comments xmlns="http://schemas.openxmlformats.org/spreadsheetml/2006/main">
  <authors>
    <author>Steven</author>
  </authors>
  <commentList>
    <comment ref="C10" authorId="0" shapeId="0">
      <text>
        <r>
          <rPr>
            <b/>
            <sz val="8"/>
            <color indexed="81"/>
            <rFont val="Tahoma"/>
          </rPr>
          <t>Steven:</t>
        </r>
        <r>
          <rPr>
            <sz val="8"/>
            <color indexed="81"/>
            <rFont val="Tahoma"/>
          </rPr>
          <t xml:space="preserve">
When Ldif = 0, there is a divide by zero problem.</t>
        </r>
      </text>
    </comment>
    <comment ref="C11" authorId="0" shapeId="0">
      <text>
        <r>
          <rPr>
            <b/>
            <sz val="8"/>
            <color indexed="81"/>
            <rFont val="Tahoma"/>
          </rPr>
          <t xml:space="preserve">A subtle rounding error problem sometimes arises when alph=0.  (b.1^2-4a.1c1)&lt;0 by a very small amount when solving for D0g as if load were quadratic when it is not.  I think this discrimate should be exactly zero in this </t>
        </r>
        <r>
          <rPr>
            <b/>
            <sz val="8"/>
            <color indexed="81"/>
            <rFont val="Tahoma"/>
            <family val="2"/>
          </rPr>
          <t>case.
Keeping alph&gt;.1 seems to be very safe.</t>
        </r>
      </text>
    </comment>
    <comment ref="Z18" authorId="0" shapeId="0">
      <text>
        <r>
          <rPr>
            <b/>
            <sz val="8"/>
            <color indexed="81"/>
            <rFont val="Tahoma"/>
          </rPr>
          <t>Steven:</t>
        </r>
        <r>
          <rPr>
            <sz val="8"/>
            <color indexed="81"/>
            <rFont val="Tahoma"/>
          </rPr>
          <t xml:space="preserve">
Reserve level relative to R0,
the level where additional reserves become worthless.</t>
        </r>
      </text>
    </comment>
    <comment ref="AC18" authorId="0" shapeId="0">
      <text>
        <r>
          <rPr>
            <b/>
            <sz val="8"/>
            <color indexed="81"/>
            <rFont val="Tahoma"/>
          </rPr>
          <t>Steven:</t>
        </r>
        <r>
          <rPr>
            <sz val="8"/>
            <color indexed="81"/>
            <rFont val="Tahoma"/>
          </rPr>
          <t xml:space="preserve">
Reserve level relative to R0,
the level where additional reserves become worthless.</t>
        </r>
      </text>
    </comment>
    <comment ref="AI31" authorId="0" shapeId="0">
      <text>
        <r>
          <rPr>
            <b/>
            <sz val="8"/>
            <color indexed="81"/>
            <rFont val="Tahoma"/>
          </rPr>
          <t>Steven:</t>
        </r>
        <r>
          <rPr>
            <sz val="8"/>
            <color indexed="81"/>
            <rFont val="Tahoma"/>
          </rPr>
          <t xml:space="preserve">
Parenthesis needed!</t>
        </r>
      </text>
    </comment>
    <comment ref="O87" authorId="0" shapeId="0">
      <text>
        <r>
          <rPr>
            <b/>
            <sz val="8"/>
            <color indexed="81"/>
            <rFont val="Tahoma"/>
          </rPr>
          <t>Steven:</t>
        </r>
        <r>
          <rPr>
            <sz val="8"/>
            <color indexed="81"/>
            <rFont val="Tahoma"/>
          </rPr>
          <t xml:space="preserve">
The duration where the market-determined K intersect reserve zero-value point.</t>
        </r>
      </text>
    </comment>
    <comment ref="K88" authorId="0" shapeId="0">
      <text>
        <r>
          <rPr>
            <b/>
            <sz val="8"/>
            <color indexed="81"/>
            <rFont val="Tahoma"/>
          </rPr>
          <t>Steven:</t>
        </r>
        <r>
          <rPr>
            <sz val="8"/>
            <color indexed="81"/>
            <rFont val="Tahoma"/>
          </rPr>
          <t xml:space="preserve">
Based on R0, not R0g.
Computes the duration at which extra reserves do not add to reliability</t>
        </r>
      </text>
    </comment>
  </commentList>
</comments>
</file>

<file path=xl/sharedStrings.xml><?xml version="1.0" encoding="utf-8"?>
<sst xmlns="http://schemas.openxmlformats.org/spreadsheetml/2006/main" count="344" uniqueCount="253">
  <si>
    <t>D</t>
  </si>
  <si>
    <t>Duration</t>
  </si>
  <si>
    <t>Market Parameters</t>
  </si>
  <si>
    <t>Regulatory Parameters</t>
  </si>
  <si>
    <t>"Required" Reserves</t>
  </si>
  <si>
    <t>Fixed cost of peakers</t>
  </si>
  <si>
    <t>Market Results</t>
  </si>
  <si>
    <t>D0</t>
  </si>
  <si>
    <t>R0</t>
  </si>
  <si>
    <t>F</t>
  </si>
  <si>
    <t>K</t>
  </si>
  <si>
    <t>Total capacity</t>
  </si>
  <si>
    <t>L0</t>
  </si>
  <si>
    <t>Load at D = 0  (except for spike)</t>
  </si>
  <si>
    <t>alph</t>
  </si>
  <si>
    <t>spike parameter, 0 = no spike</t>
  </si>
  <si>
    <t>beta</t>
  </si>
  <si>
    <t>M(R) =  M0*(1-r)(1- beta *r),  r = R/R0</t>
  </si>
  <si>
    <t>M0</t>
  </si>
  <si>
    <t>Maxium Margin-value of reserves at D=0</t>
  </si>
  <si>
    <t>Drop in Load fm D=0 to 1  (except for spike)</t>
  </si>
  <si>
    <t>P0</t>
  </si>
  <si>
    <t>Price of Reserves when R = 0</t>
  </si>
  <si>
    <t>Load</t>
  </si>
  <si>
    <t>Reserve</t>
  </si>
  <si>
    <t>Value</t>
  </si>
  <si>
    <t>R0g</t>
  </si>
  <si>
    <t>Reserve level where P(R) = 0</t>
  </si>
  <si>
    <t>Reserve level where M(R) = 0</t>
  </si>
  <si>
    <t>Gov</t>
  </si>
  <si>
    <t>Policy</t>
  </si>
  <si>
    <t>Shape of Reserve marginal-value.  0 = straight</t>
  </si>
  <si>
    <t>Market</t>
  </si>
  <si>
    <t>Outcome</t>
  </si>
  <si>
    <t>D0g</t>
  </si>
  <si>
    <t>a.1</t>
  </si>
  <si>
    <t>c.1</t>
  </si>
  <si>
    <t>b.1</t>
  </si>
  <si>
    <t>S</t>
  </si>
  <si>
    <t>K - L(D0g) = R0g</t>
  </si>
  <si>
    <t>Load duratation curve</t>
  </si>
  <si>
    <t>g</t>
  </si>
  <si>
    <t>Supply</t>
  </si>
  <si>
    <t>Fs</t>
  </si>
  <si>
    <t>Search for K that Makes Fs = F =</t>
  </si>
  <si>
    <t>Ldif</t>
  </si>
  <si>
    <t>L(D) = L0 - D*Ldif - alph * D^.5</t>
  </si>
  <si>
    <t>k*</t>
  </si>
  <si>
    <t>Competitive Capacity</t>
  </si>
  <si>
    <t>Government / Policy variables</t>
  </si>
  <si>
    <t>Optimal market S and D0 given policy-determined K</t>
  </si>
  <si>
    <t>Find Total Reliability Loss from R shortfall, T(R), from M(R)</t>
  </si>
  <si>
    <t>T(R1) = Int fm R1 to R0 [ M(R) ] dR</t>
  </si>
  <si>
    <t>M(R) = M0*(1-beta)(1-r) + beta*(1-r)^2,   r = R/R0</t>
  </si>
  <si>
    <t>M(R) = M0*(1-r)(1-beta*r) = 1 - (1+beta)*r + beta*r^2</t>
  </si>
  <si>
    <t>T(R1) = M0* Int fm R1 to R0 [ 1 - (1+beta)*R/R0 + beta*R^2/R0^2 ] dR</t>
  </si>
  <si>
    <t>T(R1)</t>
  </si>
  <si>
    <t xml:space="preserve">D0 = </t>
  </si>
  <si>
    <t>D0/n</t>
  </si>
  <si>
    <t>Pcap</t>
  </si>
  <si>
    <t>Price Cap on Reserve Purchases</t>
  </si>
  <si>
    <t>L(D0g) = z, where z = K - R0g</t>
  </si>
  <si>
    <t>P( R( D0c ) ) = Pcap</t>
  </si>
  <si>
    <t>P0 - g*(K - L(D0g)) = Pcap</t>
  </si>
  <si>
    <t>L(D0g) = z, where z = K - (P0-Pcap)/g</t>
  </si>
  <si>
    <t>Now Solve L(D) = z.  where D = D0g</t>
  </si>
  <si>
    <t>L0 - D*Ldif - alph*D^.5 = z</t>
  </si>
  <si>
    <t>alph*D^.5 = (L0-z) - D*Ldif</t>
  </si>
  <si>
    <t>(alph^2)*D = S^2 -2*S*Ldif*D + Ldif^2 * D^2</t>
  </si>
  <si>
    <t>(Ldif^2)*D^2 + (-alph^2- 2*S*Ldif)*D + (S^2) = 0     Solve for D ==&gt; D0g</t>
  </si>
  <si>
    <t>alph*D^.5 = S - D*Ldif,                                      S = (L0-z)</t>
  </si>
  <si>
    <t>a = Ldif^2</t>
  </si>
  <si>
    <t>b = - (alph^2) - 2*S*Ldif</t>
  </si>
  <si>
    <t xml:space="preserve">c = S^2 </t>
  </si>
  <si>
    <t>Find F given K, D0g and D0c</t>
  </si>
  <si>
    <t xml:space="preserve">F = Pcap*D0c + Int fm D0c to D0g [ P(R) ] dD </t>
  </si>
  <si>
    <t>P(R) = P(K - L(D)) = P0*(1 - (K - L(D))/R0g)</t>
  </si>
  <si>
    <t>P(R) = P0*(1 - K/R0g)  + P0*L(D))/R0g</t>
  </si>
  <si>
    <t>Reserve Price Factor (RPF) = P0/R0g</t>
  </si>
  <si>
    <t xml:space="preserve">F = Pcap*D0c + (P0 - g*K)*(D0g-D0c) </t>
  </si>
  <si>
    <t xml:space="preserve">      + g * Integral fm D0c to D0g [ L(D) ] dD</t>
  </si>
  <si>
    <t>Int [ L(D)] dD = L0*(D0g-D0c) - Int[ D*Ldif - alph * D^.5 ] dD</t>
  </si>
  <si>
    <t>Int= L0*(D0g-D0c) - (D0g^2-D0c^2)*Ldif/2 - alph*(D0g^1.5-D0c^1.5)/1.5</t>
  </si>
  <si>
    <t xml:space="preserve">F = Pcap*D0c + (P0+g*(L0-K))*(D0g-D0c) </t>
  </si>
  <si>
    <t>b.2</t>
  </si>
  <si>
    <t>c.2</t>
  </si>
  <si>
    <t>(1) Find D0g given K</t>
  </si>
  <si>
    <t>(2) Find D0c given K</t>
  </si>
  <si>
    <t>S.1</t>
  </si>
  <si>
    <t>S.2</t>
  </si>
  <si>
    <t>KK</t>
  </si>
  <si>
    <t>DDg</t>
  </si>
  <si>
    <t>DDc</t>
  </si>
  <si>
    <t xml:space="preserve">      - g*[ (D0g^2-D0c^2)*Ldif/2 + alph*(D0g^1.5-D0c^1.5)/1.5]</t>
  </si>
  <si>
    <t>Pmax</t>
  </si>
  <si>
    <t>Rmin</t>
  </si>
  <si>
    <t>Reserve Peak</t>
  </si>
  <si>
    <t>Maxium price paid for reserves.</t>
  </si>
  <si>
    <t>CU</t>
  </si>
  <si>
    <t>Cost of Unreliability</t>
  </si>
  <si>
    <t>Reserves when Value = 0</t>
  </si>
  <si>
    <t>Reserve-Price Cap</t>
  </si>
  <si>
    <t>Accurate to 1 part in</t>
  </si>
  <si>
    <t>Reserves</t>
  </si>
  <si>
    <t>Reserves as % of L0</t>
  </si>
  <si>
    <t>Price</t>
  </si>
  <si>
    <t>R/R0</t>
  </si>
  <si>
    <t>scaled reserves</t>
  </si>
  <si>
    <t>T(R1) = M0*[(R0-R1) - (1+beta)*(R0^2-R1^2)/(2R0) + beta*(R0^3-R1^3)/(3R0^2) ]</t>
  </si>
  <si>
    <t>M0*R0</t>
  </si>
  <si>
    <t>(1+beta)/2</t>
  </si>
  <si>
    <t>beta/3</t>
  </si>
  <si>
    <t>Load ratio (min/max)</t>
  </si>
  <si>
    <t>Lmin</t>
  </si>
  <si>
    <t>Load Spike Height (0--100)</t>
  </si>
  <si>
    <t>Dur</t>
  </si>
  <si>
    <t>r.1</t>
  </si>
  <si>
    <t>T(R1) = M0*R0*[(1-r1) - .5*(1+beta)*(1-r1^2) +( beta/3)*(1-r1^3) ]  r1 = R1/R0</t>
  </si>
  <si>
    <t>Value when Reserves = 0</t>
  </si>
  <si>
    <t>Price when Res. = 0</t>
  </si>
  <si>
    <t>Kbase</t>
  </si>
  <si>
    <t>Capacity of Base-Load plants (D = .5)</t>
  </si>
  <si>
    <t>Variables for Market Outcomes</t>
  </si>
  <si>
    <t>AvailableCapacity</t>
  </si>
  <si>
    <t>CapacityOfBaseLoad</t>
  </si>
  <si>
    <t>PeakLoad</t>
  </si>
  <si>
    <t>FixedCostofPeaker</t>
  </si>
  <si>
    <t>Max Load (MW)</t>
  </si>
  <si>
    <t>A.  Finding the total available capacity, K, that results from Reserves Pricing Policy</t>
  </si>
  <si>
    <t>Solve  K = L(D)+R0, ==&gt; L(D) = z, where z = K - R0.</t>
  </si>
  <si>
    <t>From Panel A, the solution is the quadradic equation with</t>
  </si>
  <si>
    <t>b = - (alph^2) - 2*S*Ldif,     S = (L0 - z)</t>
  </si>
  <si>
    <t>Use Minus the discriminant</t>
  </si>
  <si>
    <t>a.3</t>
  </si>
  <si>
    <t>b.3</t>
  </si>
  <si>
    <t>c.3</t>
  </si>
  <si>
    <t>S.3</t>
  </si>
  <si>
    <t>Determines D0, the upper limit of integration</t>
  </si>
  <si>
    <t>dCU/dK = F     determines optimal K</t>
  </si>
  <si>
    <t>dCU/dK = Integral of M(R(D)) from 0 to D0</t>
  </si>
  <si>
    <t>M(R) = M0*(1 - R/R0)*(1 - beta*R/R0)</t>
  </si>
  <si>
    <t>M(R(D))=M0*(f+g*D^.5+h*D)(j+k*D^.5+l*D)</t>
  </si>
  <si>
    <t>l = beta*h</t>
  </si>
  <si>
    <t>f=1-(K-L0)/R0</t>
  </si>
  <si>
    <t>k=beta*g</t>
  </si>
  <si>
    <t>j=1-beta*(K-L0)/R0</t>
  </si>
  <si>
    <t>f.3</t>
  </si>
  <si>
    <t>g.3</t>
  </si>
  <si>
    <t>h.3</t>
  </si>
  <si>
    <t>j.3</t>
  </si>
  <si>
    <t>k.3</t>
  </si>
  <si>
    <t>l.3</t>
  </si>
  <si>
    <t>m=f*j</t>
  </si>
  <si>
    <t>N=f*k+j*g</t>
  </si>
  <si>
    <t>p=g*k+j*h+f*l</t>
  </si>
  <si>
    <t>q=g*l+h*k</t>
  </si>
  <si>
    <t>r=h*l</t>
  </si>
  <si>
    <t>m.3</t>
  </si>
  <si>
    <t>n.3</t>
  </si>
  <si>
    <t>p.3</t>
  </si>
  <si>
    <t>q.3</t>
  </si>
  <si>
    <t>r.3</t>
  </si>
  <si>
    <t>dCU/dK= M0*D0[m +(n*D0^.5)/1.5 +P*D0/2 +(q*D0^1.5)/2.5 +(r^D0^2)/3 ]</t>
  </si>
  <si>
    <t>KK.3</t>
  </si>
  <si>
    <t>D0.3</t>
  </si>
  <si>
    <t>M(R(D)) = M0*[ m +n*D^.5 +p*D +q*D^1.5 +r*D^2]</t>
  </si>
  <si>
    <t>R(D) = K - L(D) = (K - L0) + alpha*D^.5 + Ldif*D</t>
  </si>
  <si>
    <t>g=-alph/R0</t>
  </si>
  <si>
    <t>h = -Ldif/R0</t>
  </si>
  <si>
    <t>of 1 in 8 million.  I.e. R0 != R0.</t>
  </si>
  <si>
    <t>This seems extraordinarily large.</t>
  </si>
  <si>
    <t>Note: (in one example)</t>
  </si>
  <si>
    <t>R0(D0(K,R0)) had a rounding error</t>
  </si>
  <si>
    <t>Kopt</t>
  </si>
  <si>
    <t>Optimal Capacity</t>
  </si>
  <si>
    <t>Duration of Spike (hours)</t>
  </si>
  <si>
    <t>Max Price ($/MWh)</t>
  </si>
  <si>
    <t>P(R) = P0*(1 - rg) rg&lt;1, else 0, rg=R/R0g</t>
  </si>
  <si>
    <t>B.  Finding the Unreliability Cost of K and Kopt</t>
  </si>
  <si>
    <t>ropt</t>
  </si>
  <si>
    <t>Optimal</t>
  </si>
  <si>
    <t>Cost of Unreliability ($/h)</t>
  </si>
  <si>
    <t>Fixed Cost of Reliability ($/h)</t>
  </si>
  <si>
    <t>C of U + FC of R</t>
  </si>
  <si>
    <t>Duration at which R = R0.   R0 = K - L(D0)</t>
  </si>
  <si>
    <t>Duration at which R = R0g. R0g = K - L(D0g)</t>
  </si>
  <si>
    <t>CUopt</t>
  </si>
  <si>
    <t>Optimla Cost of Unreliability</t>
  </si>
  <si>
    <t>FCPopt</t>
  </si>
  <si>
    <t>Fixed Cost of Optimal Peakers</t>
  </si>
  <si>
    <t>TCU</t>
  </si>
  <si>
    <t>Total Cost of Unreliability problem</t>
  </si>
  <si>
    <t>Load +R0g</t>
  </si>
  <si>
    <t>Reliability (100% = optimal)</t>
  </si>
  <si>
    <t>ResPrcnt</t>
  </si>
  <si>
    <t>ResValue</t>
  </si>
  <si>
    <t>ResShape</t>
  </si>
  <si>
    <t>LoadMax</t>
  </si>
  <si>
    <t>LoadShape</t>
  </si>
  <si>
    <t>GovRR</t>
  </si>
  <si>
    <t>GovPrice</t>
  </si>
  <si>
    <t>GovCap</t>
  </si>
  <si>
    <t>Example1</t>
  </si>
  <si>
    <t>ExTitle1</t>
  </si>
  <si>
    <t>Example2</t>
  </si>
  <si>
    <t>ExTitle2</t>
  </si>
  <si>
    <t>ExTitle3</t>
  </si>
  <si>
    <t>ExTitle4</t>
  </si>
  <si>
    <t>ExTitle5</t>
  </si>
  <si>
    <t>Example3</t>
  </si>
  <si>
    <t>Example4</t>
  </si>
  <si>
    <t>Example5</t>
  </si>
  <si>
    <t>Shape of Value Curve (0--100)</t>
  </si>
  <si>
    <t>Scratch Pad</t>
  </si>
  <si>
    <t>helpText</t>
  </si>
  <si>
    <t>Steven Stoft</t>
  </si>
  <si>
    <t>This calculator only calculates competitive price spikes, and does not take market power into account.</t>
  </si>
  <si>
    <t xml:space="preserve">The Price-Spike Calculator </t>
  </si>
  <si>
    <t>Reliability</t>
  </si>
  <si>
    <t>D0opt</t>
  </si>
  <si>
    <t>Duration at which R = R0 for Kopt</t>
  </si>
  <si>
    <t>Available from www.stoft.com</t>
  </si>
  <si>
    <t>Steven Stoft (c) 2000</t>
  </si>
  <si>
    <r>
      <t xml:space="preserve">Or, enter your own value over the </t>
    </r>
    <r>
      <rPr>
        <b/>
        <sz val="10"/>
        <color indexed="17"/>
        <rFont val="Arial"/>
        <family val="2"/>
      </rPr>
      <t>green</t>
    </r>
    <r>
      <rPr>
        <b/>
        <sz val="10"/>
        <rFont val="Arial"/>
        <family val="2"/>
      </rPr>
      <t>.</t>
    </r>
  </si>
  <si>
    <t>This calculator allows regulators to consider their policy options with regard to the inducement of price spikes for the purpose of securing generation adequacy.  It also shows one reason that current price spikes, which are the side effect of antiquated reserves policies, are needlessly high and sharp.</t>
  </si>
  <si>
    <t>Push Buttons for Examples:</t>
  </si>
  <si>
    <t>Price of Reserves = Value of Reserves</t>
  </si>
  <si>
    <t>Marginal value of reserves</t>
  </si>
  <si>
    <t>Price of reserves</t>
  </si>
  <si>
    <t>Price Cap on Reserves Damages Reliability</t>
  </si>
  <si>
    <t>Price Cap Plus is Optimal</t>
  </si>
  <si>
    <t>Push the example buttons and then point to the Center of the Example's title for an explanation.  ...........................    Or, enter values into cells with green numbers.  ...............  For explanations of variables point below and to the left of the little red comment triangles. ................   For newest version of the model and the book that it accompanies see     www.Stoft.com</t>
  </si>
  <si>
    <t>FixedCostofBase</t>
  </si>
  <si>
    <t>VCofPeak</t>
  </si>
  <si>
    <t>VCofBase</t>
  </si>
  <si>
    <t>Indefinite Integral of Load-Duration Curve, L(D) = L0 - D*Ldif - alph * D^.5</t>
  </si>
  <si>
    <t>Indef Integ = X(D) = L0*D - (D^2)*Ldif/2 - alph*(D^1.5)/1.5</t>
  </si>
  <si>
    <t>X(0)</t>
  </si>
  <si>
    <t>X(1)</t>
  </si>
  <si>
    <t>Average Load</t>
  </si>
  <si>
    <t>Total Variable cost of Base</t>
  </si>
  <si>
    <t>Total Variable cost of Peak</t>
  </si>
  <si>
    <t>Total Fixed cost of Base</t>
  </si>
  <si>
    <t>Break-Even Duration</t>
  </si>
  <si>
    <t>BEDur</t>
  </si>
  <si>
    <t>X(BEDur)</t>
  </si>
  <si>
    <t>X(1)-X(BEDur)</t>
  </si>
  <si>
    <t>OptCapacity</t>
  </si>
  <si>
    <t>Total Optimal Cost of Power / h</t>
  </si>
  <si>
    <t>Optimal Cost of Unreliability</t>
  </si>
  <si>
    <t>Inefficiency</t>
  </si>
  <si>
    <t>Increased Demand Elasticity Reduces Height of Price Spike</t>
  </si>
  <si>
    <t>Ver. 0.6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</si>
</sst>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6" formatCode="&quot;$&quot;#,##0_);[Red]\(&quot;$&quot;#,##0\)"/>
    <numFmt numFmtId="8" formatCode="&quot;$&quot;#,##0.00_);[Red]\(&quot;$&quot;#,##0.00\)"/>
    <numFmt numFmtId="44" formatCode="_(&quot;$&quot;* #,##0.00_);_(&quot;$&quot;* \(#,##0.00\);_(&quot;$&quot;* &quot;-&quot;??_);_(@_)"/>
    <numFmt numFmtId="164" formatCode="0.0"/>
    <numFmt numFmtId="165" formatCode="&quot;$&quot;#,##0"/>
    <numFmt numFmtId="166" formatCode="0.000"/>
    <numFmt numFmtId="167" formatCode="0.0%"/>
    <numFmt numFmtId="168" formatCode="&quot;$&quot;#,##0.00"/>
    <numFmt numFmtId="169" formatCode="0.E+00"/>
    <numFmt numFmtId="171" formatCode="#,##0.000"/>
    <numFmt numFmtId="172" formatCode="#,##0.0"/>
    <numFmt numFmtId="174" formatCode="&quot;$&quot;#,##0.000"/>
    <numFmt numFmtId="177" formatCode="&quot;$&quot;#,##0.000000"/>
    <numFmt numFmtId="178" formatCode="0.00000"/>
    <numFmt numFmtId="199" formatCode="0E+00"/>
    <numFmt numFmtId="201" formatCode="_(&quot;$&quot;* #,##0_);_(&quot;$&quot;* \(#,##0\);_(&quot;$&quot;* &quot;-&quot;??_);_(@_)"/>
  </numFmts>
  <fonts count="19" x14ac:knownFonts="1">
    <font>
      <sz val="10"/>
      <name val="Arial"/>
    </font>
    <font>
      <sz val="10"/>
      <name val="Arial"/>
    </font>
    <font>
      <b/>
      <sz val="10"/>
      <name val="Arial"/>
      <family val="2"/>
    </font>
    <font>
      <sz val="10"/>
      <name val="Arial"/>
      <family val="2"/>
    </font>
    <font>
      <b/>
      <sz val="12"/>
      <name val="Arial"/>
      <family val="2"/>
    </font>
    <font>
      <b/>
      <sz val="11"/>
      <color indexed="17"/>
      <name val="Arial"/>
      <family val="2"/>
    </font>
    <font>
      <b/>
      <sz val="10"/>
      <color indexed="10"/>
      <name val="Arial"/>
      <family val="2"/>
    </font>
    <font>
      <b/>
      <u/>
      <sz val="10"/>
      <name val="Arial"/>
      <family val="2"/>
    </font>
    <font>
      <sz val="8"/>
      <color indexed="81"/>
      <name val="Tahoma"/>
    </font>
    <font>
      <b/>
      <sz val="8"/>
      <color indexed="81"/>
      <name val="Tahoma"/>
    </font>
    <font>
      <b/>
      <sz val="8"/>
      <color indexed="81"/>
      <name val="Tahoma"/>
      <family val="2"/>
    </font>
    <font>
      <b/>
      <sz val="11"/>
      <name val="Arial"/>
      <family val="2"/>
    </font>
    <font>
      <sz val="10"/>
      <name val="Courier New"/>
      <family val="3"/>
    </font>
    <font>
      <b/>
      <sz val="11"/>
      <color indexed="10"/>
      <name val="Arial"/>
      <family val="2"/>
    </font>
    <font>
      <b/>
      <sz val="10"/>
      <color indexed="81"/>
      <name val="Tahoma"/>
      <family val="2"/>
    </font>
    <font>
      <b/>
      <sz val="16"/>
      <name val="Arial"/>
      <family val="2"/>
    </font>
    <font>
      <b/>
      <sz val="26"/>
      <name val="Arial"/>
      <family val="2"/>
    </font>
    <font>
      <b/>
      <sz val="14"/>
      <name val="Arial"/>
      <family val="2"/>
    </font>
    <font>
      <b/>
      <sz val="10"/>
      <color indexed="17"/>
      <name val="Arial"/>
      <family val="2"/>
    </font>
  </fonts>
  <fills count="4">
    <fill>
      <patternFill patternType="none"/>
    </fill>
    <fill>
      <patternFill patternType="gray125"/>
    </fill>
    <fill>
      <patternFill patternType="solid">
        <fgColor indexed="13"/>
        <bgColor indexed="64"/>
      </patternFill>
    </fill>
    <fill>
      <patternFill patternType="solid">
        <fgColor indexed="24"/>
        <bgColor indexed="64"/>
      </patternFill>
    </fill>
  </fills>
  <borders count="30">
    <border>
      <left/>
      <right/>
      <top/>
      <bottom/>
      <diagonal/>
    </border>
    <border>
      <left/>
      <right/>
      <top/>
      <bottom style="medium">
        <color indexed="64"/>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top/>
      <bottom/>
      <diagonal/>
    </border>
    <border>
      <left/>
      <right style="thin">
        <color indexed="64"/>
      </right>
      <top/>
      <bottom style="thin">
        <color indexed="64"/>
      </bottom>
      <diagonal/>
    </border>
    <border>
      <left/>
      <right style="thin">
        <color indexed="64"/>
      </right>
      <top style="thin">
        <color indexed="64"/>
      </top>
      <bottom/>
      <diagonal/>
    </border>
    <border>
      <left/>
      <right style="thin">
        <color indexed="64"/>
      </right>
      <top/>
      <bottom/>
      <diagonal/>
    </border>
    <border>
      <left style="medium">
        <color indexed="64"/>
      </left>
      <right/>
      <top/>
      <bottom/>
      <diagonal/>
    </border>
    <border>
      <left/>
      <right style="medium">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style="hair">
        <color indexed="64"/>
      </left>
      <right style="hair">
        <color indexed="64"/>
      </right>
      <top style="hair">
        <color indexed="64"/>
      </top>
      <bottom style="hair">
        <color indexed="64"/>
      </bottom>
      <diagonal/>
    </border>
    <border>
      <left style="thick">
        <color indexed="64"/>
      </left>
      <right/>
      <top/>
      <bottom/>
      <diagonal/>
    </border>
    <border>
      <left/>
      <right style="thin">
        <color indexed="64"/>
      </right>
      <top style="thick">
        <color indexed="64"/>
      </top>
      <bottom/>
      <diagonal/>
    </border>
    <border>
      <left style="thin">
        <color indexed="64"/>
      </left>
      <right style="thin">
        <color indexed="64"/>
      </right>
      <top/>
      <bottom/>
      <diagonal/>
    </border>
    <border>
      <left/>
      <right style="thick">
        <color indexed="64"/>
      </right>
      <top/>
      <bottom style="thin">
        <color indexed="64"/>
      </bottom>
      <diagonal/>
    </border>
    <border>
      <left style="thin">
        <color indexed="64"/>
      </left>
      <right/>
      <top style="thick">
        <color indexed="64"/>
      </top>
      <bottom/>
      <diagonal/>
    </border>
    <border>
      <left style="medium">
        <color indexed="64"/>
      </left>
      <right/>
      <top style="thick">
        <color indexed="64"/>
      </top>
      <bottom/>
      <diagonal/>
    </border>
    <border>
      <left/>
      <right/>
      <top style="thick">
        <color indexed="64"/>
      </top>
      <bottom/>
      <diagonal/>
    </border>
    <border>
      <left style="medium">
        <color indexed="64"/>
      </left>
      <right/>
      <top/>
      <bottom style="thick">
        <color indexed="64"/>
      </bottom>
      <diagonal/>
    </border>
    <border>
      <left/>
      <right/>
      <top/>
      <bottom style="thick">
        <color indexed="64"/>
      </bottom>
      <diagonal/>
    </border>
    <border>
      <left style="medium">
        <color indexed="64"/>
      </left>
      <right/>
      <top style="thick">
        <color indexed="58"/>
      </top>
      <bottom/>
      <diagonal/>
    </border>
    <border>
      <left/>
      <right/>
      <top style="thick">
        <color indexed="58"/>
      </top>
      <bottom/>
      <diagonal/>
    </border>
    <border>
      <left/>
      <right style="medium">
        <color indexed="64"/>
      </right>
      <top style="thick">
        <color indexed="58"/>
      </top>
      <bottom/>
      <diagonal/>
    </border>
    <border>
      <left style="medium">
        <color indexed="64"/>
      </left>
      <right/>
      <top/>
      <bottom style="thick">
        <color indexed="58"/>
      </bottom>
      <diagonal/>
    </border>
    <border>
      <left/>
      <right/>
      <top/>
      <bottom style="thick">
        <color indexed="58"/>
      </bottom>
      <diagonal/>
    </border>
    <border>
      <left/>
      <right style="medium">
        <color indexed="64"/>
      </right>
      <top/>
      <bottom style="thick">
        <color indexed="58"/>
      </bottom>
      <diagonal/>
    </border>
  </borders>
  <cellStyleXfs count="3">
    <xf numFmtId="0" fontId="0" fillId="0" borderId="0"/>
    <xf numFmtId="44" fontId="1" fillId="0" borderId="0" applyFont="0" applyFill="0" applyBorder="0" applyAlignment="0" applyProtection="0"/>
    <xf numFmtId="9" fontId="1" fillId="0" borderId="0" applyFont="0" applyFill="0" applyBorder="0" applyAlignment="0" applyProtection="0"/>
  </cellStyleXfs>
  <cellXfs count="195">
    <xf numFmtId="0" fontId="0" fillId="0" borderId="0" xfId="0"/>
    <xf numFmtId="0" fontId="2" fillId="0" borderId="0" xfId="0" applyFont="1" applyAlignment="1">
      <alignment horizontal="left"/>
    </xf>
    <xf numFmtId="0" fontId="3" fillId="0" borderId="0" xfId="0" applyFont="1"/>
    <xf numFmtId="0" fontId="0" fillId="0" borderId="0" xfId="0" applyAlignment="1">
      <alignment horizontal="center"/>
    </xf>
    <xf numFmtId="10" fontId="0" fillId="0" borderId="0" xfId="2" applyNumberFormat="1" applyFont="1" applyAlignment="1">
      <alignment horizontal="center"/>
    </xf>
    <xf numFmtId="164" fontId="0" fillId="0" borderId="0" xfId="0" applyNumberFormat="1" applyAlignment="1">
      <alignment horizontal="center"/>
    </xf>
    <xf numFmtId="0" fontId="0" fillId="0" borderId="0" xfId="0" applyAlignment="1">
      <alignment horizontal="right"/>
    </xf>
    <xf numFmtId="164" fontId="0" fillId="0" borderId="0" xfId="0" applyNumberFormat="1"/>
    <xf numFmtId="6" fontId="0" fillId="0" borderId="0" xfId="0" applyNumberFormat="1" applyAlignment="1">
      <alignment horizontal="center"/>
    </xf>
    <xf numFmtId="1" fontId="0" fillId="0" borderId="0" xfId="0" applyNumberFormat="1" applyAlignment="1">
      <alignment horizontal="center"/>
    </xf>
    <xf numFmtId="8" fontId="0" fillId="0" borderId="0" xfId="0" applyNumberFormat="1" applyAlignment="1">
      <alignment horizontal="center"/>
    </xf>
    <xf numFmtId="166" fontId="0" fillId="0" borderId="0" xfId="0" applyNumberFormat="1" applyAlignment="1">
      <alignment horizontal="center"/>
    </xf>
    <xf numFmtId="167" fontId="0" fillId="0" borderId="0" xfId="2" applyNumberFormat="1" applyFont="1" applyBorder="1" applyAlignment="1">
      <alignment horizontal="center"/>
    </xf>
    <xf numFmtId="1" fontId="0" fillId="0" borderId="0" xfId="2" applyNumberFormat="1" applyFont="1" applyBorder="1" applyAlignment="1">
      <alignment horizontal="center"/>
    </xf>
    <xf numFmtId="3" fontId="0" fillId="0" borderId="0" xfId="2" applyNumberFormat="1" applyFont="1" applyBorder="1" applyAlignment="1">
      <alignment horizontal="center"/>
    </xf>
    <xf numFmtId="3" fontId="0" fillId="0" borderId="0" xfId="0" applyNumberFormat="1"/>
    <xf numFmtId="0" fontId="4" fillId="0" borderId="0" xfId="0" applyFont="1"/>
    <xf numFmtId="0" fontId="0" fillId="0" borderId="0" xfId="0" applyBorder="1"/>
    <xf numFmtId="1" fontId="0" fillId="0" borderId="0" xfId="0" applyNumberFormat="1"/>
    <xf numFmtId="2" fontId="0" fillId="0" borderId="0" xfId="0" applyNumberFormat="1"/>
    <xf numFmtId="167" fontId="0" fillId="0" borderId="0" xfId="2" applyNumberFormat="1" applyFont="1"/>
    <xf numFmtId="0" fontId="2" fillId="0" borderId="0" xfId="0" applyFont="1" applyFill="1" applyBorder="1" applyAlignment="1">
      <alignment horizontal="right"/>
    </xf>
    <xf numFmtId="0" fontId="0" fillId="0" borderId="0" xfId="0" applyAlignment="1">
      <alignment horizontal="right" wrapText="1"/>
    </xf>
    <xf numFmtId="0" fontId="0" fillId="0" borderId="0" xfId="0" applyAlignment="1">
      <alignment wrapText="1"/>
    </xf>
    <xf numFmtId="167" fontId="0" fillId="0" borderId="0" xfId="2" applyNumberFormat="1" applyFont="1" applyAlignment="1">
      <alignment wrapText="1"/>
    </xf>
    <xf numFmtId="3" fontId="0" fillId="0" borderId="0" xfId="0" applyNumberFormat="1" applyAlignment="1">
      <alignment wrapText="1"/>
    </xf>
    <xf numFmtId="3" fontId="0" fillId="0" borderId="0" xfId="0" applyNumberFormat="1" applyBorder="1"/>
    <xf numFmtId="0" fontId="2" fillId="0" borderId="0" xfId="0" applyFont="1" applyBorder="1" applyAlignment="1">
      <alignment horizontal="left"/>
    </xf>
    <xf numFmtId="44" fontId="0" fillId="0" borderId="0" xfId="1" applyFont="1"/>
    <xf numFmtId="0" fontId="2" fillId="0" borderId="0" xfId="0" applyFont="1" applyBorder="1"/>
    <xf numFmtId="1" fontId="0" fillId="0" borderId="0" xfId="0" applyNumberFormat="1" applyBorder="1" applyAlignment="1">
      <alignment horizontal="center"/>
    </xf>
    <xf numFmtId="0" fontId="2" fillId="0" borderId="0" xfId="0" applyFont="1" applyFill="1" applyBorder="1" applyAlignment="1">
      <alignment horizontal="left"/>
    </xf>
    <xf numFmtId="0" fontId="0" fillId="2" borderId="1" xfId="0" applyFill="1" applyBorder="1" applyAlignment="1">
      <alignment horizontal="centerContinuous" shrinkToFit="1"/>
    </xf>
    <xf numFmtId="165" fontId="13" fillId="0" borderId="2" xfId="0" applyNumberFormat="1" applyFont="1" applyBorder="1" applyAlignment="1">
      <alignment horizontal="right" shrinkToFit="1"/>
    </xf>
    <xf numFmtId="1" fontId="13" fillId="0" borderId="3" xfId="2" applyNumberFormat="1" applyFont="1" applyBorder="1" applyAlignment="1">
      <alignment horizontal="right" shrinkToFit="1"/>
    </xf>
    <xf numFmtId="165" fontId="13" fillId="0" borderId="4" xfId="0" applyNumberFormat="1" applyFont="1" applyBorder="1" applyAlignment="1">
      <alignment horizontal="right" shrinkToFit="1"/>
    </xf>
    <xf numFmtId="165" fontId="13" fillId="0" borderId="3" xfId="0" applyNumberFormat="1" applyFont="1" applyBorder="1" applyAlignment="1">
      <alignment horizontal="right" shrinkToFit="1"/>
    </xf>
    <xf numFmtId="0" fontId="11" fillId="0" borderId="5" xfId="0" applyFont="1" applyBorder="1"/>
    <xf numFmtId="0" fontId="11" fillId="0" borderId="0" xfId="0" applyFont="1"/>
    <xf numFmtId="0" fontId="11" fillId="0" borderId="6" xfId="0" applyFont="1" applyBorder="1"/>
    <xf numFmtId="0" fontId="11" fillId="0" borderId="7" xfId="0" applyFont="1" applyBorder="1"/>
    <xf numFmtId="0" fontId="4" fillId="0" borderId="0" xfId="0" applyFont="1" applyAlignment="1">
      <alignment horizontal="centerContinuous"/>
    </xf>
    <xf numFmtId="0" fontId="0" fillId="0" borderId="0" xfId="0" applyAlignment="1">
      <alignment horizontal="centerContinuous"/>
    </xf>
    <xf numFmtId="0" fontId="15" fillId="0" borderId="0" xfId="0" applyFont="1" applyAlignment="1">
      <alignment horizontal="left"/>
    </xf>
    <xf numFmtId="0" fontId="0" fillId="3" borderId="0" xfId="0" applyFill="1"/>
    <xf numFmtId="0" fontId="16" fillId="3" borderId="0" xfId="0" applyFont="1" applyFill="1" applyAlignment="1">
      <alignment horizontal="center"/>
    </xf>
    <xf numFmtId="0" fontId="15" fillId="3" borderId="0" xfId="0" applyFont="1" applyFill="1" applyAlignment="1">
      <alignment horizontal="center"/>
    </xf>
    <xf numFmtId="0" fontId="0" fillId="0" borderId="0" xfId="0" applyProtection="1">
      <protection hidden="1"/>
    </xf>
    <xf numFmtId="3" fontId="0" fillId="0" borderId="0" xfId="0" applyNumberFormat="1" applyProtection="1">
      <protection hidden="1"/>
    </xf>
    <xf numFmtId="1" fontId="0" fillId="0" borderId="0" xfId="0" applyNumberFormat="1" applyProtection="1">
      <protection hidden="1"/>
    </xf>
    <xf numFmtId="0" fontId="0" fillId="0" borderId="8" xfId="0" applyBorder="1" applyProtection="1">
      <protection hidden="1"/>
    </xf>
    <xf numFmtId="0" fontId="7" fillId="0" borderId="0" xfId="0" applyFont="1" applyBorder="1" applyAlignment="1" applyProtection="1">
      <alignment horizontal="left"/>
      <protection hidden="1"/>
    </xf>
    <xf numFmtId="0" fontId="0" fillId="0" borderId="0" xfId="0" applyBorder="1" applyAlignment="1" applyProtection="1">
      <alignment horizontal="center"/>
      <protection hidden="1"/>
    </xf>
    <xf numFmtId="169" fontId="0" fillId="0" borderId="0" xfId="0" applyNumberFormat="1" applyBorder="1" applyAlignment="1" applyProtection="1">
      <alignment horizontal="center"/>
      <protection hidden="1"/>
    </xf>
    <xf numFmtId="169" fontId="7" fillId="0" borderId="0" xfId="0" applyNumberFormat="1" applyFont="1" applyBorder="1" applyAlignment="1" applyProtection="1">
      <alignment horizontal="left"/>
      <protection hidden="1"/>
    </xf>
    <xf numFmtId="168" fontId="0" fillId="0" borderId="0" xfId="0" applyNumberFormat="1" applyBorder="1" applyProtection="1">
      <protection hidden="1"/>
    </xf>
    <xf numFmtId="3" fontId="0" fillId="0" borderId="0" xfId="0" applyNumberFormat="1" applyBorder="1" applyProtection="1">
      <protection hidden="1"/>
    </xf>
    <xf numFmtId="168" fontId="0" fillId="0" borderId="8" xfId="0" applyNumberFormat="1" applyBorder="1" applyProtection="1">
      <protection hidden="1"/>
    </xf>
    <xf numFmtId="0" fontId="7" fillId="0" borderId="0" xfId="0" applyFont="1" applyBorder="1" applyProtection="1">
      <protection hidden="1"/>
    </xf>
    <xf numFmtId="0" fontId="0" fillId="0" borderId="0" xfId="0" applyBorder="1" applyProtection="1">
      <protection hidden="1"/>
    </xf>
    <xf numFmtId="0" fontId="0" fillId="0" borderId="9" xfId="0" applyBorder="1" applyProtection="1">
      <protection hidden="1"/>
    </xf>
    <xf numFmtId="0" fontId="0" fillId="0" borderId="0" xfId="0" applyBorder="1" applyAlignment="1" applyProtection="1">
      <alignment horizontal="left"/>
      <protection hidden="1"/>
    </xf>
    <xf numFmtId="169" fontId="0" fillId="0" borderId="0" xfId="0" applyNumberFormat="1" applyBorder="1" applyAlignment="1" applyProtection="1">
      <alignment horizontal="left"/>
      <protection hidden="1"/>
    </xf>
    <xf numFmtId="0" fontId="2" fillId="0" borderId="10" xfId="0" applyFont="1" applyBorder="1" applyProtection="1">
      <protection hidden="1"/>
    </xf>
    <xf numFmtId="0" fontId="0" fillId="0" borderId="11" xfId="0" applyBorder="1" applyProtection="1">
      <protection hidden="1"/>
    </xf>
    <xf numFmtId="0" fontId="0" fillId="0" borderId="11" xfId="0" applyBorder="1" applyAlignment="1" applyProtection="1">
      <alignment horizontal="left"/>
      <protection hidden="1"/>
    </xf>
    <xf numFmtId="0" fontId="2" fillId="0" borderId="2" xfId="0" applyFont="1" applyBorder="1" applyProtection="1">
      <protection hidden="1"/>
    </xf>
    <xf numFmtId="0" fontId="0" fillId="0" borderId="12" xfId="0" applyBorder="1" applyProtection="1">
      <protection hidden="1"/>
    </xf>
    <xf numFmtId="0" fontId="0" fillId="0" borderId="12" xfId="0" applyBorder="1" applyAlignment="1" applyProtection="1">
      <alignment horizontal="left"/>
      <protection hidden="1"/>
    </xf>
    <xf numFmtId="0" fontId="2" fillId="0" borderId="0" xfId="0" applyFont="1" applyBorder="1" applyAlignment="1" applyProtection="1">
      <alignment horizontal="left"/>
      <protection hidden="1"/>
    </xf>
    <xf numFmtId="3" fontId="0" fillId="0" borderId="0" xfId="0" applyNumberFormat="1" applyBorder="1" applyAlignment="1" applyProtection="1">
      <alignment horizontal="left"/>
      <protection hidden="1"/>
    </xf>
    <xf numFmtId="0" fontId="2" fillId="0" borderId="4" xfId="0" applyFont="1" applyBorder="1" applyProtection="1">
      <protection hidden="1"/>
    </xf>
    <xf numFmtId="0" fontId="3" fillId="0" borderId="7" xfId="0" applyFont="1" applyBorder="1" applyProtection="1">
      <protection hidden="1"/>
    </xf>
    <xf numFmtId="0" fontId="0" fillId="0" borderId="0" xfId="0" applyFill="1" applyBorder="1" applyProtection="1">
      <protection hidden="1"/>
    </xf>
    <xf numFmtId="3" fontId="0" fillId="0" borderId="0" xfId="0" applyNumberFormat="1" applyFill="1" applyBorder="1" applyAlignment="1" applyProtection="1">
      <alignment horizontal="left"/>
      <protection hidden="1"/>
    </xf>
    <xf numFmtId="0" fontId="2" fillId="0" borderId="3" xfId="0" applyFont="1" applyBorder="1" applyProtection="1">
      <protection hidden="1"/>
    </xf>
    <xf numFmtId="0" fontId="0" fillId="0" borderId="13" xfId="0" applyBorder="1" applyProtection="1">
      <protection hidden="1"/>
    </xf>
    <xf numFmtId="0" fontId="0" fillId="0" borderId="13" xfId="0" applyBorder="1" applyAlignment="1" applyProtection="1">
      <alignment horizontal="left"/>
      <protection hidden="1"/>
    </xf>
    <xf numFmtId="9" fontId="0" fillId="0" borderId="13" xfId="0" applyNumberFormat="1" applyBorder="1" applyAlignment="1" applyProtection="1">
      <alignment horizontal="left"/>
      <protection hidden="1"/>
    </xf>
    <xf numFmtId="0" fontId="0" fillId="0" borderId="0" xfId="0" applyBorder="1" applyAlignment="1" applyProtection="1">
      <alignment horizontal="right"/>
      <protection hidden="1"/>
    </xf>
    <xf numFmtId="0" fontId="2" fillId="0" borderId="0" xfId="0" applyFont="1" applyBorder="1" applyAlignment="1" applyProtection="1">
      <alignment horizontal="right"/>
      <protection hidden="1"/>
    </xf>
    <xf numFmtId="164" fontId="2" fillId="0" borderId="0" xfId="0" applyNumberFormat="1" applyFont="1" applyBorder="1" applyProtection="1">
      <protection hidden="1"/>
    </xf>
    <xf numFmtId="3" fontId="12" fillId="0" borderId="0" xfId="0" applyNumberFormat="1" applyFont="1" applyFill="1" applyBorder="1" applyAlignment="1" applyProtection="1">
      <alignment horizontal="left"/>
      <protection hidden="1"/>
    </xf>
    <xf numFmtId="0" fontId="0" fillId="0" borderId="4" xfId="0" applyBorder="1" applyProtection="1">
      <protection hidden="1"/>
    </xf>
    <xf numFmtId="0" fontId="3" fillId="0" borderId="0" xfId="0" applyFont="1" applyBorder="1" applyProtection="1">
      <protection hidden="1"/>
    </xf>
    <xf numFmtId="171" fontId="0" fillId="0" borderId="0" xfId="0" applyNumberFormat="1" applyBorder="1" applyProtection="1">
      <protection hidden="1"/>
    </xf>
    <xf numFmtId="0" fontId="12" fillId="0" borderId="0" xfId="0" applyFont="1" applyProtection="1">
      <protection hidden="1"/>
    </xf>
    <xf numFmtId="0" fontId="0" fillId="0" borderId="3" xfId="0" applyBorder="1" applyProtection="1">
      <protection hidden="1"/>
    </xf>
    <xf numFmtId="169" fontId="3" fillId="0" borderId="0" xfId="0" applyNumberFormat="1" applyFont="1" applyBorder="1" applyProtection="1">
      <protection hidden="1"/>
    </xf>
    <xf numFmtId="169" fontId="2" fillId="0" borderId="0" xfId="0" applyNumberFormat="1" applyFont="1" applyBorder="1" applyAlignment="1" applyProtection="1">
      <alignment horizontal="left"/>
      <protection hidden="1"/>
    </xf>
    <xf numFmtId="0" fontId="2" fillId="0" borderId="2" xfId="0" applyFont="1" applyFill="1" applyBorder="1" applyProtection="1">
      <protection hidden="1"/>
    </xf>
    <xf numFmtId="0" fontId="0" fillId="0" borderId="12" xfId="0" applyFill="1" applyBorder="1" applyProtection="1">
      <protection hidden="1"/>
    </xf>
    <xf numFmtId="3" fontId="0" fillId="0" borderId="12" xfId="0" applyNumberFormat="1" applyBorder="1" applyAlignment="1" applyProtection="1">
      <alignment horizontal="left"/>
      <protection hidden="1"/>
    </xf>
    <xf numFmtId="168" fontId="0" fillId="0" borderId="0" xfId="0" applyNumberFormat="1" applyBorder="1" applyAlignment="1" applyProtection="1">
      <alignment horizontal="center"/>
      <protection hidden="1"/>
    </xf>
    <xf numFmtId="3" fontId="0" fillId="0" borderId="0" xfId="0" applyNumberFormat="1" applyBorder="1" applyAlignment="1" applyProtection="1">
      <alignment horizontal="right"/>
      <protection hidden="1"/>
    </xf>
    <xf numFmtId="178" fontId="0" fillId="0" borderId="0" xfId="0" applyNumberFormat="1" applyBorder="1" applyAlignment="1" applyProtection="1">
      <alignment horizontal="center"/>
      <protection hidden="1"/>
    </xf>
    <xf numFmtId="9" fontId="0" fillId="0" borderId="0" xfId="2" applyFont="1" applyBorder="1" applyAlignment="1" applyProtection="1">
      <alignment horizontal="center"/>
      <protection hidden="1"/>
    </xf>
    <xf numFmtId="3" fontId="0" fillId="0" borderId="9" xfId="0" applyNumberFormat="1" applyBorder="1" applyProtection="1">
      <protection hidden="1"/>
    </xf>
    <xf numFmtId="0" fontId="2" fillId="0" borderId="4" xfId="0" applyFont="1" applyFill="1" applyBorder="1" applyProtection="1">
      <protection hidden="1"/>
    </xf>
    <xf numFmtId="1" fontId="0" fillId="0" borderId="0" xfId="0" applyNumberFormat="1" applyBorder="1" applyAlignment="1" applyProtection="1">
      <alignment horizontal="left"/>
      <protection hidden="1"/>
    </xf>
    <xf numFmtId="3" fontId="0" fillId="0" borderId="0" xfId="0" applyNumberFormat="1" applyBorder="1" applyAlignment="1" applyProtection="1">
      <alignment horizontal="center"/>
      <protection hidden="1"/>
    </xf>
    <xf numFmtId="167" fontId="0" fillId="0" borderId="0" xfId="2" applyNumberFormat="1" applyFont="1" applyBorder="1" applyAlignment="1" applyProtection="1">
      <alignment horizontal="center"/>
      <protection hidden="1"/>
    </xf>
    <xf numFmtId="1" fontId="0" fillId="0" borderId="0" xfId="2" applyNumberFormat="1" applyFont="1" applyBorder="1" applyAlignment="1" applyProtection="1">
      <alignment horizontal="center"/>
      <protection hidden="1"/>
    </xf>
    <xf numFmtId="168" fontId="0" fillId="0" borderId="0" xfId="0" quotePrefix="1" applyNumberFormat="1" applyBorder="1" applyProtection="1">
      <protection hidden="1"/>
    </xf>
    <xf numFmtId="178" fontId="3" fillId="0" borderId="0" xfId="0" applyNumberFormat="1" applyFont="1" applyBorder="1" applyProtection="1">
      <protection hidden="1"/>
    </xf>
    <xf numFmtId="0" fontId="3" fillId="0" borderId="0" xfId="0" applyFont="1" applyProtection="1">
      <protection hidden="1"/>
    </xf>
    <xf numFmtId="1" fontId="3" fillId="0" borderId="0" xfId="0" applyNumberFormat="1" applyFont="1" applyProtection="1">
      <protection hidden="1"/>
    </xf>
    <xf numFmtId="165" fontId="0" fillId="0" borderId="0" xfId="0" applyNumberFormat="1" applyBorder="1" applyAlignment="1" applyProtection="1">
      <alignment horizontal="left"/>
      <protection hidden="1"/>
    </xf>
    <xf numFmtId="0" fontId="3" fillId="0" borderId="0" xfId="0" applyFont="1" applyFill="1" applyBorder="1" applyProtection="1">
      <protection hidden="1"/>
    </xf>
    <xf numFmtId="10" fontId="3" fillId="0" borderId="0" xfId="0" applyNumberFormat="1" applyFont="1" applyBorder="1" applyAlignment="1" applyProtection="1">
      <alignment horizontal="left"/>
      <protection hidden="1"/>
    </xf>
    <xf numFmtId="3" fontId="3" fillId="0" borderId="0" xfId="0" applyNumberFormat="1" applyFont="1" applyProtection="1">
      <protection hidden="1"/>
    </xf>
    <xf numFmtId="10" fontId="0" fillId="0" borderId="0" xfId="0" applyNumberFormat="1" applyBorder="1" applyAlignment="1" applyProtection="1">
      <alignment horizontal="left"/>
      <protection hidden="1"/>
    </xf>
    <xf numFmtId="0" fontId="3" fillId="0" borderId="4" xfId="0" applyFont="1" applyBorder="1" applyProtection="1">
      <protection hidden="1"/>
    </xf>
    <xf numFmtId="0" fontId="0" fillId="0" borderId="0" xfId="0" applyFont="1" applyFill="1" applyBorder="1" applyProtection="1">
      <protection hidden="1"/>
    </xf>
    <xf numFmtId="0" fontId="3" fillId="0" borderId="3" xfId="0" applyFont="1" applyBorder="1" applyProtection="1">
      <protection hidden="1"/>
    </xf>
    <xf numFmtId="0" fontId="0" fillId="0" borderId="13" xfId="0" applyFont="1" applyFill="1" applyBorder="1" applyProtection="1">
      <protection hidden="1"/>
    </xf>
    <xf numFmtId="3" fontId="3" fillId="0" borderId="13" xfId="0" applyNumberFormat="1" applyFont="1" applyBorder="1" applyAlignment="1" applyProtection="1">
      <alignment horizontal="left"/>
      <protection hidden="1"/>
    </xf>
    <xf numFmtId="0" fontId="3" fillId="0" borderId="13" xfId="0" applyFont="1" applyBorder="1" applyProtection="1">
      <protection hidden="1"/>
    </xf>
    <xf numFmtId="0" fontId="3" fillId="0" borderId="12" xfId="0" applyFont="1" applyBorder="1" applyProtection="1">
      <protection hidden="1"/>
    </xf>
    <xf numFmtId="0" fontId="3" fillId="0" borderId="8" xfId="0" applyFont="1" applyBorder="1" applyProtection="1">
      <protection hidden="1"/>
    </xf>
    <xf numFmtId="0" fontId="3" fillId="0" borderId="9" xfId="0" applyFont="1" applyBorder="1" applyProtection="1">
      <protection hidden="1"/>
    </xf>
    <xf numFmtId="3" fontId="3" fillId="0" borderId="0" xfId="0" applyNumberFormat="1" applyFont="1" applyAlignment="1" applyProtection="1">
      <alignment horizontal="center"/>
      <protection hidden="1"/>
    </xf>
    <xf numFmtId="0" fontId="3" fillId="0" borderId="0" xfId="0" applyFont="1" applyAlignment="1" applyProtection="1">
      <alignment horizontal="center"/>
      <protection hidden="1"/>
    </xf>
    <xf numFmtId="0" fontId="12" fillId="0" borderId="0" xfId="0" applyFont="1" applyAlignment="1" applyProtection="1">
      <alignment horizontal="center"/>
      <protection hidden="1"/>
    </xf>
    <xf numFmtId="3" fontId="0" fillId="0" borderId="8" xfId="0" applyNumberFormat="1" applyBorder="1" applyProtection="1">
      <protection hidden="1"/>
    </xf>
    <xf numFmtId="169" fontId="3" fillId="0" borderId="0" xfId="0" applyNumberFormat="1" applyFont="1" applyAlignment="1" applyProtection="1">
      <alignment horizontal="center"/>
      <protection hidden="1"/>
    </xf>
    <xf numFmtId="164" fontId="3" fillId="0" borderId="0" xfId="0" applyNumberFormat="1" applyFont="1" applyAlignment="1" applyProtection="1">
      <alignment horizontal="center"/>
      <protection hidden="1"/>
    </xf>
    <xf numFmtId="0" fontId="3" fillId="0" borderId="0" xfId="0" applyFont="1" applyFill="1" applyBorder="1" applyAlignment="1" applyProtection="1">
      <alignment horizontal="center"/>
      <protection hidden="1"/>
    </xf>
    <xf numFmtId="1" fontId="0" fillId="0" borderId="0" xfId="0" applyNumberFormat="1" applyBorder="1" applyAlignment="1" applyProtection="1">
      <alignment horizontal="right"/>
      <protection hidden="1"/>
    </xf>
    <xf numFmtId="0" fontId="7" fillId="0" borderId="0" xfId="0" applyFont="1" applyProtection="1">
      <protection hidden="1"/>
    </xf>
    <xf numFmtId="169" fontId="0" fillId="0" borderId="0" xfId="0" applyNumberFormat="1" applyBorder="1" applyProtection="1">
      <protection hidden="1"/>
    </xf>
    <xf numFmtId="1" fontId="3" fillId="0" borderId="0" xfId="0" applyNumberFormat="1" applyFont="1" applyAlignment="1" applyProtection="1">
      <alignment horizontal="center"/>
      <protection hidden="1"/>
    </xf>
    <xf numFmtId="10" fontId="3" fillId="0" borderId="0" xfId="2" applyNumberFormat="1" applyFont="1" applyAlignment="1" applyProtection="1">
      <alignment horizontal="center"/>
      <protection hidden="1"/>
    </xf>
    <xf numFmtId="164" fontId="3" fillId="0" borderId="0" xfId="0" applyNumberFormat="1" applyFont="1" applyProtection="1">
      <protection hidden="1"/>
    </xf>
    <xf numFmtId="168" fontId="3" fillId="0" borderId="0" xfId="0" applyNumberFormat="1" applyFont="1" applyProtection="1">
      <protection hidden="1"/>
    </xf>
    <xf numFmtId="1" fontId="0" fillId="0" borderId="0" xfId="0" applyNumberFormat="1" applyBorder="1" applyProtection="1">
      <protection hidden="1"/>
    </xf>
    <xf numFmtId="4" fontId="0" fillId="0" borderId="0" xfId="0" applyNumberFormat="1" applyBorder="1" applyAlignment="1" applyProtection="1">
      <alignment horizontal="right"/>
      <protection hidden="1"/>
    </xf>
    <xf numFmtId="4" fontId="0" fillId="0" borderId="0" xfId="0" applyNumberFormat="1" applyBorder="1" applyProtection="1">
      <protection hidden="1"/>
    </xf>
    <xf numFmtId="172" fontId="3" fillId="0" borderId="0" xfId="0" applyNumberFormat="1" applyFont="1" applyAlignment="1" applyProtection="1">
      <alignment horizontal="center"/>
      <protection hidden="1"/>
    </xf>
    <xf numFmtId="174" fontId="3" fillId="0" borderId="0" xfId="0" applyNumberFormat="1" applyFont="1" applyProtection="1">
      <protection hidden="1"/>
    </xf>
    <xf numFmtId="4" fontId="2" fillId="0" borderId="0" xfId="0" applyNumberFormat="1" applyFont="1" applyBorder="1" applyAlignment="1" applyProtection="1">
      <alignment horizontal="right"/>
      <protection hidden="1"/>
    </xf>
    <xf numFmtId="177" fontId="0" fillId="0" borderId="0" xfId="0" quotePrefix="1" applyNumberFormat="1" applyBorder="1" applyProtection="1">
      <protection hidden="1"/>
    </xf>
    <xf numFmtId="172" fontId="0" fillId="0" borderId="0" xfId="0" applyNumberFormat="1" applyBorder="1" applyAlignment="1" applyProtection="1">
      <alignment horizontal="center"/>
      <protection hidden="1"/>
    </xf>
    <xf numFmtId="3" fontId="2" fillId="0" borderId="0" xfId="0" applyNumberFormat="1" applyFont="1" applyBorder="1" applyAlignment="1" applyProtection="1">
      <alignment horizontal="center"/>
      <protection hidden="1"/>
    </xf>
    <xf numFmtId="3" fontId="2" fillId="0" borderId="0" xfId="0" applyNumberFormat="1" applyFont="1" applyBorder="1" applyAlignment="1" applyProtection="1">
      <alignment horizontal="left"/>
      <protection hidden="1"/>
    </xf>
    <xf numFmtId="3" fontId="2" fillId="0" borderId="0" xfId="0" applyNumberFormat="1" applyFont="1" applyAlignment="1" applyProtection="1">
      <alignment horizontal="right"/>
      <protection hidden="1"/>
    </xf>
    <xf numFmtId="1" fontId="0" fillId="0" borderId="0" xfId="0" applyNumberFormat="1" applyBorder="1" applyAlignment="1" applyProtection="1">
      <alignment horizontal="center"/>
      <protection hidden="1"/>
    </xf>
    <xf numFmtId="0" fontId="0" fillId="0" borderId="14" xfId="0" applyBorder="1" applyProtection="1">
      <protection locked="0"/>
    </xf>
    <xf numFmtId="3" fontId="6" fillId="0" borderId="14" xfId="0" applyNumberFormat="1" applyFont="1" applyBorder="1" applyAlignment="1" applyProtection="1">
      <alignment horizontal="right" shrinkToFit="1"/>
      <protection locked="0"/>
    </xf>
    <xf numFmtId="167" fontId="5" fillId="0" borderId="2" xfId="2" applyNumberFormat="1" applyFont="1" applyBorder="1" applyAlignment="1" applyProtection="1">
      <alignment horizontal="right" shrinkToFit="1"/>
      <protection locked="0"/>
    </xf>
    <xf numFmtId="165" fontId="5" fillId="0" borderId="4" xfId="0" applyNumberFormat="1" applyFont="1" applyBorder="1" applyAlignment="1" applyProtection="1">
      <alignment horizontal="right" shrinkToFit="1"/>
      <protection locked="0"/>
    </xf>
    <xf numFmtId="1" fontId="5" fillId="0" borderId="3" xfId="2" applyNumberFormat="1" applyFont="1" applyBorder="1" applyAlignment="1" applyProtection="1">
      <alignment horizontal="right"/>
      <protection locked="0"/>
    </xf>
    <xf numFmtId="3" fontId="5" fillId="0" borderId="4" xfId="0" applyNumberFormat="1" applyFont="1" applyBorder="1" applyAlignment="1" applyProtection="1">
      <alignment horizontal="right" shrinkToFit="1"/>
      <protection locked="0"/>
    </xf>
    <xf numFmtId="0" fontId="5" fillId="0" borderId="3" xfId="0" applyFont="1" applyBorder="1" applyAlignment="1" applyProtection="1">
      <alignment horizontal="right" shrinkToFit="1"/>
      <protection locked="0"/>
    </xf>
    <xf numFmtId="0" fontId="0" fillId="2" borderId="1" xfId="0" applyFill="1" applyBorder="1" applyAlignment="1" applyProtection="1">
      <alignment horizontal="centerContinuous" shrinkToFit="1"/>
      <protection locked="0"/>
    </xf>
    <xf numFmtId="0" fontId="4" fillId="2" borderId="1" xfId="0" applyFont="1" applyFill="1" applyBorder="1" applyAlignment="1" applyProtection="1">
      <alignment horizontal="centerContinuous" shrinkToFit="1"/>
      <protection locked="0"/>
    </xf>
    <xf numFmtId="0" fontId="4" fillId="0" borderId="0" xfId="0" applyFont="1" applyBorder="1" applyAlignment="1" applyProtection="1">
      <alignment horizontal="center"/>
      <protection hidden="1"/>
    </xf>
    <xf numFmtId="10" fontId="4" fillId="0" borderId="0" xfId="2" applyNumberFormat="1" applyFont="1" applyBorder="1" applyAlignment="1" applyProtection="1">
      <alignment horizontal="center"/>
      <protection hidden="1"/>
    </xf>
    <xf numFmtId="0" fontId="4" fillId="0" borderId="0" xfId="0" applyFont="1" applyAlignment="1" applyProtection="1">
      <alignment horizontal="center"/>
      <protection hidden="1"/>
    </xf>
    <xf numFmtId="10" fontId="4" fillId="0" borderId="0" xfId="2" applyNumberFormat="1" applyFont="1" applyAlignment="1" applyProtection="1">
      <alignment horizontal="center"/>
      <protection hidden="1"/>
    </xf>
    <xf numFmtId="10" fontId="0" fillId="0" borderId="0" xfId="2" applyNumberFormat="1" applyFont="1" applyBorder="1" applyAlignment="1" applyProtection="1">
      <alignment horizontal="left"/>
      <protection hidden="1"/>
    </xf>
    <xf numFmtId="3" fontId="0" fillId="0" borderId="4" xfId="0" applyNumberFormat="1" applyBorder="1" applyProtection="1">
      <protection hidden="1"/>
    </xf>
    <xf numFmtId="10" fontId="0" fillId="0" borderId="4" xfId="2" applyNumberFormat="1" applyFont="1" applyBorder="1" applyProtection="1">
      <protection hidden="1"/>
    </xf>
    <xf numFmtId="199" fontId="0" fillId="0" borderId="4" xfId="0" applyNumberFormat="1" applyBorder="1" applyProtection="1">
      <protection hidden="1"/>
    </xf>
    <xf numFmtId="165" fontId="0" fillId="0" borderId="4" xfId="0" applyNumberFormat="1" applyBorder="1" applyProtection="1">
      <protection hidden="1"/>
    </xf>
    <xf numFmtId="9" fontId="13" fillId="0" borderId="3" xfId="0" applyNumberFormat="1" applyFont="1" applyBorder="1" applyAlignment="1">
      <alignment horizontal="right"/>
    </xf>
    <xf numFmtId="0" fontId="11" fillId="3" borderId="0" xfId="0" applyFont="1" applyFill="1" applyBorder="1"/>
    <xf numFmtId="0" fontId="0" fillId="3" borderId="0" xfId="0" applyFill="1" applyBorder="1"/>
    <xf numFmtId="0" fontId="4" fillId="3" borderId="0" xfId="0" applyFont="1" applyFill="1" applyAlignment="1">
      <alignment wrapText="1"/>
    </xf>
    <xf numFmtId="0" fontId="0" fillId="0" borderId="15" xfId="0" applyBorder="1" applyProtection="1">
      <protection hidden="1"/>
    </xf>
    <xf numFmtId="3" fontId="0" fillId="0" borderId="15" xfId="0" applyNumberFormat="1" applyBorder="1" applyProtection="1">
      <protection hidden="1"/>
    </xf>
    <xf numFmtId="0" fontId="3" fillId="0" borderId="15" xfId="0" applyFont="1" applyBorder="1" applyProtection="1">
      <protection hidden="1"/>
    </xf>
    <xf numFmtId="0" fontId="11" fillId="0" borderId="16" xfId="0" applyFont="1" applyFill="1" applyBorder="1"/>
    <xf numFmtId="0" fontId="11" fillId="0" borderId="5" xfId="0" applyFont="1" applyFill="1" applyBorder="1"/>
    <xf numFmtId="0" fontId="11" fillId="0" borderId="17" xfId="0" applyFont="1" applyBorder="1"/>
    <xf numFmtId="3" fontId="3" fillId="0" borderId="0" xfId="0" applyNumberFormat="1" applyFont="1" applyBorder="1" applyAlignment="1" applyProtection="1">
      <alignment horizontal="left"/>
      <protection hidden="1"/>
    </xf>
    <xf numFmtId="0" fontId="3" fillId="0" borderId="18" xfId="0" applyFont="1" applyBorder="1" applyProtection="1">
      <protection hidden="1"/>
    </xf>
    <xf numFmtId="201" fontId="0" fillId="0" borderId="0" xfId="1" applyNumberFormat="1" applyFont="1"/>
    <xf numFmtId="9" fontId="0" fillId="0" borderId="0" xfId="2" applyFont="1"/>
    <xf numFmtId="44" fontId="18" fillId="0" borderId="0" xfId="1" applyFont="1"/>
    <xf numFmtId="201" fontId="0" fillId="0" borderId="0" xfId="0" applyNumberFormat="1"/>
    <xf numFmtId="10" fontId="13" fillId="0" borderId="19" xfId="2" applyNumberFormat="1" applyFont="1" applyBorder="1"/>
    <xf numFmtId="0" fontId="4" fillId="0" borderId="0" xfId="0" applyFont="1" applyAlignment="1">
      <alignment wrapText="1"/>
    </xf>
    <xf numFmtId="0" fontId="3" fillId="0" borderId="0" xfId="0" applyFont="1" applyAlignment="1">
      <alignment horizontal="left" wrapText="1"/>
    </xf>
    <xf numFmtId="0" fontId="0" fillId="0" borderId="0" xfId="0" applyAlignment="1">
      <alignment wrapText="1"/>
    </xf>
    <xf numFmtId="0" fontId="4" fillId="0" borderId="20" xfId="0" applyFont="1" applyFill="1" applyBorder="1" applyAlignment="1" applyProtection="1">
      <alignment horizontal="center" vertical="center"/>
      <protection hidden="1"/>
    </xf>
    <xf numFmtId="0" fontId="4" fillId="0" borderId="21" xfId="0" applyFont="1" applyFill="1" applyBorder="1" applyAlignment="1" applyProtection="1">
      <alignment horizontal="center" vertical="center"/>
      <protection hidden="1"/>
    </xf>
    <xf numFmtId="0" fontId="4" fillId="0" borderId="22" xfId="0" applyFont="1" applyFill="1" applyBorder="1" applyAlignment="1" applyProtection="1">
      <alignment horizontal="center" vertical="center"/>
      <protection hidden="1"/>
    </xf>
    <xf numFmtId="0" fontId="4" fillId="0" borderId="23" xfId="0" applyFont="1" applyFill="1" applyBorder="1" applyAlignment="1" applyProtection="1">
      <alignment horizontal="center" vertical="center"/>
      <protection hidden="1"/>
    </xf>
    <xf numFmtId="168" fontId="4" fillId="0" borderId="24" xfId="0" applyNumberFormat="1" applyFont="1" applyBorder="1" applyAlignment="1" applyProtection="1">
      <alignment horizontal="center" vertical="center"/>
      <protection hidden="1"/>
    </xf>
    <xf numFmtId="0" fontId="4" fillId="0" borderId="25" xfId="0" applyFont="1" applyBorder="1" applyAlignment="1" applyProtection="1">
      <alignment horizontal="center" vertical="center"/>
      <protection hidden="1"/>
    </xf>
    <xf numFmtId="0" fontId="4" fillId="0" borderId="26" xfId="0" applyFont="1" applyBorder="1" applyAlignment="1" applyProtection="1">
      <alignment horizontal="center" vertical="center"/>
      <protection hidden="1"/>
    </xf>
    <xf numFmtId="0" fontId="4" fillId="0" borderId="27" xfId="0" applyFont="1" applyBorder="1" applyAlignment="1" applyProtection="1">
      <alignment horizontal="center" vertical="center"/>
      <protection hidden="1"/>
    </xf>
    <xf numFmtId="0" fontId="4" fillId="0" borderId="28" xfId="0" applyFont="1" applyBorder="1" applyAlignment="1" applyProtection="1">
      <alignment horizontal="center" vertical="center"/>
      <protection hidden="1"/>
    </xf>
    <xf numFmtId="0" fontId="4" fillId="0" borderId="29" xfId="0" applyFont="1" applyBorder="1" applyAlignment="1" applyProtection="1">
      <alignment horizontal="center" vertical="center"/>
      <protection hidden="1"/>
    </xf>
  </cellXfs>
  <cellStyles count="3">
    <cellStyle name="Currency" xfId="1" builtinId="4"/>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841910862758539"/>
          <c:y val="7.3359125221841751E-2"/>
          <c:w val="0.79805684639095098"/>
          <c:h val="0.82432490709806383"/>
        </c:manualLayout>
      </c:layout>
      <c:scatterChart>
        <c:scatterStyle val="lineMarker"/>
        <c:varyColors val="0"/>
        <c:ser>
          <c:idx val="1"/>
          <c:order val="0"/>
          <c:tx>
            <c:v>"Price"</c:v>
          </c:tx>
          <c:spPr>
            <a:ln w="38100">
              <a:solidFill>
                <a:srgbClr val="FF0000"/>
              </a:solidFill>
              <a:prstDash val="solid"/>
            </a:ln>
          </c:spPr>
          <c:marker>
            <c:symbol val="none"/>
          </c:marker>
          <c:xVal>
            <c:numRef>
              <c:f>G.data!$G$4:$G$124</c:f>
              <c:numCache>
                <c:formatCode>0.0%</c:formatCode>
                <c:ptCount val="121"/>
                <c:pt idx="0">
                  <c:v>0</c:v>
                </c:pt>
                <c:pt idx="1">
                  <c:v>1E-3</c:v>
                </c:pt>
                <c:pt idx="2">
                  <c:v>2E-3</c:v>
                </c:pt>
                <c:pt idx="3">
                  <c:v>3.0000000000000001E-3</c:v>
                </c:pt>
                <c:pt idx="4">
                  <c:v>4.0000000000000001E-3</c:v>
                </c:pt>
                <c:pt idx="5">
                  <c:v>5.0000000000000001E-3</c:v>
                </c:pt>
                <c:pt idx="6">
                  <c:v>6.0000000000000001E-3</c:v>
                </c:pt>
                <c:pt idx="7">
                  <c:v>7.0000000000000001E-3</c:v>
                </c:pt>
                <c:pt idx="8">
                  <c:v>8.0000000000000002E-3</c:v>
                </c:pt>
                <c:pt idx="9">
                  <c:v>9.0000000000000011E-3</c:v>
                </c:pt>
                <c:pt idx="10">
                  <c:v>1.0000000000000002E-2</c:v>
                </c:pt>
                <c:pt idx="11">
                  <c:v>1.1000000000000003E-2</c:v>
                </c:pt>
                <c:pt idx="12">
                  <c:v>1.2000000000000004E-2</c:v>
                </c:pt>
                <c:pt idx="13">
                  <c:v>1.3000000000000005E-2</c:v>
                </c:pt>
                <c:pt idx="14">
                  <c:v>1.4000000000000005E-2</c:v>
                </c:pt>
                <c:pt idx="15">
                  <c:v>1.5000000000000006E-2</c:v>
                </c:pt>
                <c:pt idx="16">
                  <c:v>1.6000000000000007E-2</c:v>
                </c:pt>
                <c:pt idx="17">
                  <c:v>1.7000000000000008E-2</c:v>
                </c:pt>
                <c:pt idx="18">
                  <c:v>1.8000000000000009E-2</c:v>
                </c:pt>
                <c:pt idx="19">
                  <c:v>1.900000000000001E-2</c:v>
                </c:pt>
                <c:pt idx="20">
                  <c:v>2.0000000000000011E-2</c:v>
                </c:pt>
                <c:pt idx="21">
                  <c:v>2.1000000000000012E-2</c:v>
                </c:pt>
                <c:pt idx="22">
                  <c:v>2.2000000000000013E-2</c:v>
                </c:pt>
                <c:pt idx="23">
                  <c:v>2.3000000000000013E-2</c:v>
                </c:pt>
                <c:pt idx="24">
                  <c:v>2.4000000000000014E-2</c:v>
                </c:pt>
                <c:pt idx="25">
                  <c:v>2.5000000000000015E-2</c:v>
                </c:pt>
                <c:pt idx="26">
                  <c:v>2.6000000000000016E-2</c:v>
                </c:pt>
                <c:pt idx="27">
                  <c:v>2.7000000000000017E-2</c:v>
                </c:pt>
                <c:pt idx="28">
                  <c:v>2.8000000000000018E-2</c:v>
                </c:pt>
                <c:pt idx="29">
                  <c:v>2.9000000000000019E-2</c:v>
                </c:pt>
                <c:pt idx="30">
                  <c:v>3.000000000000002E-2</c:v>
                </c:pt>
                <c:pt idx="31">
                  <c:v>3.1000000000000021E-2</c:v>
                </c:pt>
                <c:pt idx="32">
                  <c:v>3.2000000000000021E-2</c:v>
                </c:pt>
                <c:pt idx="33">
                  <c:v>3.3000000000000022E-2</c:v>
                </c:pt>
                <c:pt idx="34">
                  <c:v>3.4000000000000023E-2</c:v>
                </c:pt>
                <c:pt idx="35">
                  <c:v>3.5000000000000024E-2</c:v>
                </c:pt>
                <c:pt idx="36">
                  <c:v>3.6000000000000025E-2</c:v>
                </c:pt>
                <c:pt idx="37">
                  <c:v>3.7000000000000026E-2</c:v>
                </c:pt>
                <c:pt idx="38">
                  <c:v>3.8000000000000027E-2</c:v>
                </c:pt>
                <c:pt idx="39">
                  <c:v>3.9000000000000028E-2</c:v>
                </c:pt>
                <c:pt idx="40">
                  <c:v>4.0000000000000029E-2</c:v>
                </c:pt>
                <c:pt idx="41">
                  <c:v>4.1000000000000029E-2</c:v>
                </c:pt>
                <c:pt idx="42">
                  <c:v>4.200000000000003E-2</c:v>
                </c:pt>
                <c:pt idx="43">
                  <c:v>4.3000000000000031E-2</c:v>
                </c:pt>
                <c:pt idx="44">
                  <c:v>4.4000000000000032E-2</c:v>
                </c:pt>
                <c:pt idx="45">
                  <c:v>4.5000000000000033E-2</c:v>
                </c:pt>
                <c:pt idx="46">
                  <c:v>4.6000000000000034E-2</c:v>
                </c:pt>
                <c:pt idx="47">
                  <c:v>4.7000000000000035E-2</c:v>
                </c:pt>
                <c:pt idx="48">
                  <c:v>4.8000000000000036E-2</c:v>
                </c:pt>
                <c:pt idx="49">
                  <c:v>4.9000000000000037E-2</c:v>
                </c:pt>
                <c:pt idx="50">
                  <c:v>5.0000000000000037E-2</c:v>
                </c:pt>
                <c:pt idx="51">
                  <c:v>5.1000000000000038E-2</c:v>
                </c:pt>
                <c:pt idx="52">
                  <c:v>5.2000000000000039E-2</c:v>
                </c:pt>
                <c:pt idx="53">
                  <c:v>5.300000000000004E-2</c:v>
                </c:pt>
                <c:pt idx="54">
                  <c:v>5.4000000000000041E-2</c:v>
                </c:pt>
                <c:pt idx="55">
                  <c:v>5.5000000000000042E-2</c:v>
                </c:pt>
                <c:pt idx="56">
                  <c:v>5.6000000000000043E-2</c:v>
                </c:pt>
                <c:pt idx="57">
                  <c:v>5.7000000000000044E-2</c:v>
                </c:pt>
                <c:pt idx="58">
                  <c:v>5.8000000000000045E-2</c:v>
                </c:pt>
                <c:pt idx="59">
                  <c:v>5.9000000000000045E-2</c:v>
                </c:pt>
                <c:pt idx="60">
                  <c:v>6.0000000000000046E-2</c:v>
                </c:pt>
                <c:pt idx="61">
                  <c:v>6.1000000000000047E-2</c:v>
                </c:pt>
                <c:pt idx="62">
                  <c:v>6.2000000000000048E-2</c:v>
                </c:pt>
                <c:pt idx="63">
                  <c:v>6.3000000000000042E-2</c:v>
                </c:pt>
                <c:pt idx="64">
                  <c:v>6.4000000000000043E-2</c:v>
                </c:pt>
                <c:pt idx="65">
                  <c:v>6.5000000000000044E-2</c:v>
                </c:pt>
                <c:pt idx="66">
                  <c:v>6.6000000000000045E-2</c:v>
                </c:pt>
                <c:pt idx="67">
                  <c:v>6.7000000000000046E-2</c:v>
                </c:pt>
                <c:pt idx="68">
                  <c:v>6.8000000000000047E-2</c:v>
                </c:pt>
                <c:pt idx="69">
                  <c:v>6.9000000000000047E-2</c:v>
                </c:pt>
                <c:pt idx="70">
                  <c:v>7.0000000000000048E-2</c:v>
                </c:pt>
                <c:pt idx="71">
                  <c:v>7.1000000000000049E-2</c:v>
                </c:pt>
                <c:pt idx="72">
                  <c:v>7.200000000000005E-2</c:v>
                </c:pt>
                <c:pt idx="73">
                  <c:v>7.3000000000000051E-2</c:v>
                </c:pt>
                <c:pt idx="74">
                  <c:v>7.4000000000000052E-2</c:v>
                </c:pt>
                <c:pt idx="75">
                  <c:v>7.5000000000000053E-2</c:v>
                </c:pt>
                <c:pt idx="76">
                  <c:v>7.6000000000000054E-2</c:v>
                </c:pt>
                <c:pt idx="77">
                  <c:v>7.7000000000000055E-2</c:v>
                </c:pt>
                <c:pt idx="78">
                  <c:v>7.8000000000000055E-2</c:v>
                </c:pt>
                <c:pt idx="79">
                  <c:v>7.9000000000000056E-2</c:v>
                </c:pt>
                <c:pt idx="80">
                  <c:v>8.0000000000000057E-2</c:v>
                </c:pt>
                <c:pt idx="81">
                  <c:v>8.1000000000000058E-2</c:v>
                </c:pt>
                <c:pt idx="82">
                  <c:v>8.2000000000000059E-2</c:v>
                </c:pt>
                <c:pt idx="83">
                  <c:v>8.300000000000006E-2</c:v>
                </c:pt>
                <c:pt idx="84">
                  <c:v>8.4000000000000061E-2</c:v>
                </c:pt>
                <c:pt idx="85">
                  <c:v>8.5000000000000062E-2</c:v>
                </c:pt>
                <c:pt idx="86">
                  <c:v>8.6000000000000063E-2</c:v>
                </c:pt>
                <c:pt idx="87">
                  <c:v>8.7000000000000063E-2</c:v>
                </c:pt>
                <c:pt idx="88">
                  <c:v>8.8000000000000064E-2</c:v>
                </c:pt>
                <c:pt idx="89">
                  <c:v>8.9000000000000065E-2</c:v>
                </c:pt>
                <c:pt idx="90">
                  <c:v>9.0000000000000066E-2</c:v>
                </c:pt>
                <c:pt idx="91">
                  <c:v>9.1000000000000067E-2</c:v>
                </c:pt>
                <c:pt idx="92">
                  <c:v>9.2000000000000068E-2</c:v>
                </c:pt>
                <c:pt idx="93">
                  <c:v>9.3000000000000069E-2</c:v>
                </c:pt>
                <c:pt idx="94">
                  <c:v>9.400000000000007E-2</c:v>
                </c:pt>
                <c:pt idx="95">
                  <c:v>9.500000000000007E-2</c:v>
                </c:pt>
                <c:pt idx="96">
                  <c:v>9.6000000000000071E-2</c:v>
                </c:pt>
                <c:pt idx="97">
                  <c:v>9.7000000000000072E-2</c:v>
                </c:pt>
                <c:pt idx="98">
                  <c:v>9.8000000000000073E-2</c:v>
                </c:pt>
                <c:pt idx="99">
                  <c:v>9.9000000000000074E-2</c:v>
                </c:pt>
                <c:pt idx="100">
                  <c:v>0.10000000000000007</c:v>
                </c:pt>
                <c:pt idx="101">
                  <c:v>0.10100000000000008</c:v>
                </c:pt>
                <c:pt idx="102">
                  <c:v>0.10200000000000008</c:v>
                </c:pt>
                <c:pt idx="103">
                  <c:v>0.10300000000000008</c:v>
                </c:pt>
                <c:pt idx="104">
                  <c:v>0.10400000000000008</c:v>
                </c:pt>
                <c:pt idx="105">
                  <c:v>0.10500000000000008</c:v>
                </c:pt>
                <c:pt idx="106">
                  <c:v>0.10600000000000008</c:v>
                </c:pt>
                <c:pt idx="107">
                  <c:v>0.10700000000000008</c:v>
                </c:pt>
                <c:pt idx="108">
                  <c:v>0.10800000000000008</c:v>
                </c:pt>
                <c:pt idx="109">
                  <c:v>0.10900000000000008</c:v>
                </c:pt>
                <c:pt idx="110">
                  <c:v>0.11000000000000008</c:v>
                </c:pt>
                <c:pt idx="111">
                  <c:v>0.11100000000000008</c:v>
                </c:pt>
                <c:pt idx="112">
                  <c:v>0.11200000000000009</c:v>
                </c:pt>
                <c:pt idx="113">
                  <c:v>0.11300000000000009</c:v>
                </c:pt>
                <c:pt idx="114">
                  <c:v>0.11400000000000009</c:v>
                </c:pt>
                <c:pt idx="115">
                  <c:v>0.11500000000000009</c:v>
                </c:pt>
                <c:pt idx="116">
                  <c:v>0.11600000000000009</c:v>
                </c:pt>
                <c:pt idx="117">
                  <c:v>0.11700000000000009</c:v>
                </c:pt>
                <c:pt idx="118">
                  <c:v>0.11800000000000009</c:v>
                </c:pt>
                <c:pt idx="119">
                  <c:v>0.11900000000000009</c:v>
                </c:pt>
                <c:pt idx="120">
                  <c:v>0.12000000000000009</c:v>
                </c:pt>
              </c:numCache>
            </c:numRef>
          </c:xVal>
          <c:yVal>
            <c:numRef>
              <c:f>G.data!$K$4:$K$124</c:f>
              <c:numCache>
                <c:formatCode>General</c:formatCode>
                <c:ptCount val="121"/>
                <c:pt idx="0">
                  <c:v>10000</c:v>
                </c:pt>
                <c:pt idx="1">
                  <c:v>9857.1428571428569</c:v>
                </c:pt>
                <c:pt idx="2">
                  <c:v>9714.2857142857138</c:v>
                </c:pt>
                <c:pt idx="3">
                  <c:v>9571.4285714285706</c:v>
                </c:pt>
                <c:pt idx="4">
                  <c:v>9428.5714285714294</c:v>
                </c:pt>
                <c:pt idx="5">
                  <c:v>9285.7142857142862</c:v>
                </c:pt>
                <c:pt idx="6">
                  <c:v>9142.8571428571431</c:v>
                </c:pt>
                <c:pt idx="7">
                  <c:v>9000</c:v>
                </c:pt>
                <c:pt idx="8">
                  <c:v>8857.1428571428569</c:v>
                </c:pt>
                <c:pt idx="9">
                  <c:v>8714.2857142857138</c:v>
                </c:pt>
                <c:pt idx="10">
                  <c:v>8571.4285714285706</c:v>
                </c:pt>
                <c:pt idx="11">
                  <c:v>8428.5714285714275</c:v>
                </c:pt>
                <c:pt idx="12">
                  <c:v>8285.7142857142862</c:v>
                </c:pt>
                <c:pt idx="13">
                  <c:v>8142.8571428571422</c:v>
                </c:pt>
                <c:pt idx="14">
                  <c:v>8000</c:v>
                </c:pt>
                <c:pt idx="15">
                  <c:v>7857.1428571428569</c:v>
                </c:pt>
                <c:pt idx="16">
                  <c:v>7714.2857142857138</c:v>
                </c:pt>
                <c:pt idx="17">
                  <c:v>7571.4285714285706</c:v>
                </c:pt>
                <c:pt idx="18">
                  <c:v>7428.5714285714275</c:v>
                </c:pt>
                <c:pt idx="19">
                  <c:v>7285.7142857142844</c:v>
                </c:pt>
                <c:pt idx="20">
                  <c:v>7142.8571428571413</c:v>
                </c:pt>
                <c:pt idx="21">
                  <c:v>6999.9999999999982</c:v>
                </c:pt>
                <c:pt idx="22">
                  <c:v>6857.1428571428551</c:v>
                </c:pt>
                <c:pt idx="23">
                  <c:v>6714.2857142857129</c:v>
                </c:pt>
                <c:pt idx="24">
                  <c:v>6571.4285714285697</c:v>
                </c:pt>
                <c:pt idx="25">
                  <c:v>6428.5714285714275</c:v>
                </c:pt>
                <c:pt idx="26">
                  <c:v>6285.7142857142835</c:v>
                </c:pt>
                <c:pt idx="27">
                  <c:v>6142.8571428571413</c:v>
                </c:pt>
                <c:pt idx="28">
                  <c:v>5999.9999999999982</c:v>
                </c:pt>
                <c:pt idx="29">
                  <c:v>5857.1428571428551</c:v>
                </c:pt>
                <c:pt idx="30">
                  <c:v>5714.2857142857119</c:v>
                </c:pt>
                <c:pt idx="31">
                  <c:v>5571.4285714285688</c:v>
                </c:pt>
                <c:pt idx="32">
                  <c:v>5428.5714285714257</c:v>
                </c:pt>
                <c:pt idx="33">
                  <c:v>5285.7142857142835</c:v>
                </c:pt>
                <c:pt idx="34">
                  <c:v>5142.8571428571404</c:v>
                </c:pt>
                <c:pt idx="35">
                  <c:v>4999.9999999999973</c:v>
                </c:pt>
                <c:pt idx="36">
                  <c:v>4857.1428571428542</c:v>
                </c:pt>
                <c:pt idx="37">
                  <c:v>4714.285714285711</c:v>
                </c:pt>
                <c:pt idx="38">
                  <c:v>4571.4285714285679</c:v>
                </c:pt>
                <c:pt idx="39">
                  <c:v>4428.5714285714257</c:v>
                </c:pt>
                <c:pt idx="40">
                  <c:v>4285.7142857142826</c:v>
                </c:pt>
                <c:pt idx="41">
                  <c:v>4142.8571428571395</c:v>
                </c:pt>
                <c:pt idx="42">
                  <c:v>3999.9999999999973</c:v>
                </c:pt>
                <c:pt idx="43">
                  <c:v>3857.1428571428542</c:v>
                </c:pt>
                <c:pt idx="44">
                  <c:v>3714.2857142857101</c:v>
                </c:pt>
                <c:pt idx="45">
                  <c:v>3571.428571428567</c:v>
                </c:pt>
                <c:pt idx="46">
                  <c:v>3428.5714285714239</c:v>
                </c:pt>
                <c:pt idx="47">
                  <c:v>3285.7142857142817</c:v>
                </c:pt>
                <c:pt idx="48">
                  <c:v>3142.8571428571386</c:v>
                </c:pt>
                <c:pt idx="49">
                  <c:v>2999.9999999999955</c:v>
                </c:pt>
                <c:pt idx="50">
                  <c:v>2857.1428571428532</c:v>
                </c:pt>
                <c:pt idx="51">
                  <c:v>2714.2857142857101</c:v>
                </c:pt>
                <c:pt idx="52">
                  <c:v>2571.428571428567</c:v>
                </c:pt>
                <c:pt idx="53">
                  <c:v>2428.5714285714248</c:v>
                </c:pt>
                <c:pt idx="54">
                  <c:v>2285.7142857142799</c:v>
                </c:pt>
                <c:pt idx="55">
                  <c:v>2142.8571428571377</c:v>
                </c:pt>
                <c:pt idx="56">
                  <c:v>1999.9999999999945</c:v>
                </c:pt>
                <c:pt idx="57">
                  <c:v>1857.1428571428514</c:v>
                </c:pt>
                <c:pt idx="58">
                  <c:v>1714.2857142857083</c:v>
                </c:pt>
                <c:pt idx="59">
                  <c:v>1571.4285714285652</c:v>
                </c:pt>
                <c:pt idx="60">
                  <c:v>1428.5714285714239</c:v>
                </c:pt>
                <c:pt idx="61">
                  <c:v>1285.7142857142808</c:v>
                </c:pt>
                <c:pt idx="62">
                  <c:v>1142.8571428571377</c:v>
                </c:pt>
                <c:pt idx="63">
                  <c:v>999.99999999999454</c:v>
                </c:pt>
                <c:pt idx="64">
                  <c:v>857.14285714285143</c:v>
                </c:pt>
                <c:pt idx="65">
                  <c:v>714.28571428570831</c:v>
                </c:pt>
                <c:pt idx="66">
                  <c:v>571.42857142856701</c:v>
                </c:pt>
                <c:pt idx="67">
                  <c:v>428.57142857142389</c:v>
                </c:pt>
                <c:pt idx="68">
                  <c:v>285.71428571428078</c:v>
                </c:pt>
                <c:pt idx="69">
                  <c:v>142.85714285713766</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numCache>
            </c:numRef>
          </c:yVal>
          <c:smooth val="0"/>
          <c:extLst>
            <c:ext xmlns:c16="http://schemas.microsoft.com/office/drawing/2014/chart" uri="{C3380CC4-5D6E-409C-BE32-E72D297353CC}">
              <c16:uniqueId val="{00000000-C904-4371-BEC2-5D14F8BB2367}"/>
            </c:ext>
          </c:extLst>
        </c:ser>
        <c:ser>
          <c:idx val="2"/>
          <c:order val="1"/>
          <c:tx>
            <c:v>"Value"</c:v>
          </c:tx>
          <c:spPr>
            <a:ln w="25400">
              <a:solidFill>
                <a:srgbClr val="000000"/>
              </a:solidFill>
              <a:prstDash val="solid"/>
            </a:ln>
          </c:spPr>
          <c:marker>
            <c:symbol val="none"/>
          </c:marker>
          <c:xVal>
            <c:numRef>
              <c:f>G.data!$G$4:$G$124</c:f>
              <c:numCache>
                <c:formatCode>0.0%</c:formatCode>
                <c:ptCount val="121"/>
                <c:pt idx="0">
                  <c:v>0</c:v>
                </c:pt>
                <c:pt idx="1">
                  <c:v>1E-3</c:v>
                </c:pt>
                <c:pt idx="2">
                  <c:v>2E-3</c:v>
                </c:pt>
                <c:pt idx="3">
                  <c:v>3.0000000000000001E-3</c:v>
                </c:pt>
                <c:pt idx="4">
                  <c:v>4.0000000000000001E-3</c:v>
                </c:pt>
                <c:pt idx="5">
                  <c:v>5.0000000000000001E-3</c:v>
                </c:pt>
                <c:pt idx="6">
                  <c:v>6.0000000000000001E-3</c:v>
                </c:pt>
                <c:pt idx="7">
                  <c:v>7.0000000000000001E-3</c:v>
                </c:pt>
                <c:pt idx="8">
                  <c:v>8.0000000000000002E-3</c:v>
                </c:pt>
                <c:pt idx="9">
                  <c:v>9.0000000000000011E-3</c:v>
                </c:pt>
                <c:pt idx="10">
                  <c:v>1.0000000000000002E-2</c:v>
                </c:pt>
                <c:pt idx="11">
                  <c:v>1.1000000000000003E-2</c:v>
                </c:pt>
                <c:pt idx="12">
                  <c:v>1.2000000000000004E-2</c:v>
                </c:pt>
                <c:pt idx="13">
                  <c:v>1.3000000000000005E-2</c:v>
                </c:pt>
                <c:pt idx="14">
                  <c:v>1.4000000000000005E-2</c:v>
                </c:pt>
                <c:pt idx="15">
                  <c:v>1.5000000000000006E-2</c:v>
                </c:pt>
                <c:pt idx="16">
                  <c:v>1.6000000000000007E-2</c:v>
                </c:pt>
                <c:pt idx="17">
                  <c:v>1.7000000000000008E-2</c:v>
                </c:pt>
                <c:pt idx="18">
                  <c:v>1.8000000000000009E-2</c:v>
                </c:pt>
                <c:pt idx="19">
                  <c:v>1.900000000000001E-2</c:v>
                </c:pt>
                <c:pt idx="20">
                  <c:v>2.0000000000000011E-2</c:v>
                </c:pt>
                <c:pt idx="21">
                  <c:v>2.1000000000000012E-2</c:v>
                </c:pt>
                <c:pt idx="22">
                  <c:v>2.2000000000000013E-2</c:v>
                </c:pt>
                <c:pt idx="23">
                  <c:v>2.3000000000000013E-2</c:v>
                </c:pt>
                <c:pt idx="24">
                  <c:v>2.4000000000000014E-2</c:v>
                </c:pt>
                <c:pt idx="25">
                  <c:v>2.5000000000000015E-2</c:v>
                </c:pt>
                <c:pt idx="26">
                  <c:v>2.6000000000000016E-2</c:v>
                </c:pt>
                <c:pt idx="27">
                  <c:v>2.7000000000000017E-2</c:v>
                </c:pt>
                <c:pt idx="28">
                  <c:v>2.8000000000000018E-2</c:v>
                </c:pt>
                <c:pt idx="29">
                  <c:v>2.9000000000000019E-2</c:v>
                </c:pt>
                <c:pt idx="30">
                  <c:v>3.000000000000002E-2</c:v>
                </c:pt>
                <c:pt idx="31">
                  <c:v>3.1000000000000021E-2</c:v>
                </c:pt>
                <c:pt idx="32">
                  <c:v>3.2000000000000021E-2</c:v>
                </c:pt>
                <c:pt idx="33">
                  <c:v>3.3000000000000022E-2</c:v>
                </c:pt>
                <c:pt idx="34">
                  <c:v>3.4000000000000023E-2</c:v>
                </c:pt>
                <c:pt idx="35">
                  <c:v>3.5000000000000024E-2</c:v>
                </c:pt>
                <c:pt idx="36">
                  <c:v>3.6000000000000025E-2</c:v>
                </c:pt>
                <c:pt idx="37">
                  <c:v>3.7000000000000026E-2</c:v>
                </c:pt>
                <c:pt idx="38">
                  <c:v>3.8000000000000027E-2</c:v>
                </c:pt>
                <c:pt idx="39">
                  <c:v>3.9000000000000028E-2</c:v>
                </c:pt>
                <c:pt idx="40">
                  <c:v>4.0000000000000029E-2</c:v>
                </c:pt>
                <c:pt idx="41">
                  <c:v>4.1000000000000029E-2</c:v>
                </c:pt>
                <c:pt idx="42">
                  <c:v>4.200000000000003E-2</c:v>
                </c:pt>
                <c:pt idx="43">
                  <c:v>4.3000000000000031E-2</c:v>
                </c:pt>
                <c:pt idx="44">
                  <c:v>4.4000000000000032E-2</c:v>
                </c:pt>
                <c:pt idx="45">
                  <c:v>4.5000000000000033E-2</c:v>
                </c:pt>
                <c:pt idx="46">
                  <c:v>4.6000000000000034E-2</c:v>
                </c:pt>
                <c:pt idx="47">
                  <c:v>4.7000000000000035E-2</c:v>
                </c:pt>
                <c:pt idx="48">
                  <c:v>4.8000000000000036E-2</c:v>
                </c:pt>
                <c:pt idx="49">
                  <c:v>4.9000000000000037E-2</c:v>
                </c:pt>
                <c:pt idx="50">
                  <c:v>5.0000000000000037E-2</c:v>
                </c:pt>
                <c:pt idx="51">
                  <c:v>5.1000000000000038E-2</c:v>
                </c:pt>
                <c:pt idx="52">
                  <c:v>5.2000000000000039E-2</c:v>
                </c:pt>
                <c:pt idx="53">
                  <c:v>5.300000000000004E-2</c:v>
                </c:pt>
                <c:pt idx="54">
                  <c:v>5.4000000000000041E-2</c:v>
                </c:pt>
                <c:pt idx="55">
                  <c:v>5.5000000000000042E-2</c:v>
                </c:pt>
                <c:pt idx="56">
                  <c:v>5.6000000000000043E-2</c:v>
                </c:pt>
                <c:pt idx="57">
                  <c:v>5.7000000000000044E-2</c:v>
                </c:pt>
                <c:pt idx="58">
                  <c:v>5.8000000000000045E-2</c:v>
                </c:pt>
                <c:pt idx="59">
                  <c:v>5.9000000000000045E-2</c:v>
                </c:pt>
                <c:pt idx="60">
                  <c:v>6.0000000000000046E-2</c:v>
                </c:pt>
                <c:pt idx="61">
                  <c:v>6.1000000000000047E-2</c:v>
                </c:pt>
                <c:pt idx="62">
                  <c:v>6.2000000000000048E-2</c:v>
                </c:pt>
                <c:pt idx="63">
                  <c:v>6.3000000000000042E-2</c:v>
                </c:pt>
                <c:pt idx="64">
                  <c:v>6.4000000000000043E-2</c:v>
                </c:pt>
                <c:pt idx="65">
                  <c:v>6.5000000000000044E-2</c:v>
                </c:pt>
                <c:pt idx="66">
                  <c:v>6.6000000000000045E-2</c:v>
                </c:pt>
                <c:pt idx="67">
                  <c:v>6.7000000000000046E-2</c:v>
                </c:pt>
                <c:pt idx="68">
                  <c:v>6.8000000000000047E-2</c:v>
                </c:pt>
                <c:pt idx="69">
                  <c:v>6.9000000000000047E-2</c:v>
                </c:pt>
                <c:pt idx="70">
                  <c:v>7.0000000000000048E-2</c:v>
                </c:pt>
                <c:pt idx="71">
                  <c:v>7.1000000000000049E-2</c:v>
                </c:pt>
                <c:pt idx="72">
                  <c:v>7.200000000000005E-2</c:v>
                </c:pt>
                <c:pt idx="73">
                  <c:v>7.3000000000000051E-2</c:v>
                </c:pt>
                <c:pt idx="74">
                  <c:v>7.4000000000000052E-2</c:v>
                </c:pt>
                <c:pt idx="75">
                  <c:v>7.5000000000000053E-2</c:v>
                </c:pt>
                <c:pt idx="76">
                  <c:v>7.6000000000000054E-2</c:v>
                </c:pt>
                <c:pt idx="77">
                  <c:v>7.7000000000000055E-2</c:v>
                </c:pt>
                <c:pt idx="78">
                  <c:v>7.8000000000000055E-2</c:v>
                </c:pt>
                <c:pt idx="79">
                  <c:v>7.9000000000000056E-2</c:v>
                </c:pt>
                <c:pt idx="80">
                  <c:v>8.0000000000000057E-2</c:v>
                </c:pt>
                <c:pt idx="81">
                  <c:v>8.1000000000000058E-2</c:v>
                </c:pt>
                <c:pt idx="82">
                  <c:v>8.2000000000000059E-2</c:v>
                </c:pt>
                <c:pt idx="83">
                  <c:v>8.300000000000006E-2</c:v>
                </c:pt>
                <c:pt idx="84">
                  <c:v>8.4000000000000061E-2</c:v>
                </c:pt>
                <c:pt idx="85">
                  <c:v>8.5000000000000062E-2</c:v>
                </c:pt>
                <c:pt idx="86">
                  <c:v>8.6000000000000063E-2</c:v>
                </c:pt>
                <c:pt idx="87">
                  <c:v>8.7000000000000063E-2</c:v>
                </c:pt>
                <c:pt idx="88">
                  <c:v>8.8000000000000064E-2</c:v>
                </c:pt>
                <c:pt idx="89">
                  <c:v>8.9000000000000065E-2</c:v>
                </c:pt>
                <c:pt idx="90">
                  <c:v>9.0000000000000066E-2</c:v>
                </c:pt>
                <c:pt idx="91">
                  <c:v>9.1000000000000067E-2</c:v>
                </c:pt>
                <c:pt idx="92">
                  <c:v>9.2000000000000068E-2</c:v>
                </c:pt>
                <c:pt idx="93">
                  <c:v>9.3000000000000069E-2</c:v>
                </c:pt>
                <c:pt idx="94">
                  <c:v>9.400000000000007E-2</c:v>
                </c:pt>
                <c:pt idx="95">
                  <c:v>9.500000000000007E-2</c:v>
                </c:pt>
                <c:pt idx="96">
                  <c:v>9.6000000000000071E-2</c:v>
                </c:pt>
                <c:pt idx="97">
                  <c:v>9.7000000000000072E-2</c:v>
                </c:pt>
                <c:pt idx="98">
                  <c:v>9.8000000000000073E-2</c:v>
                </c:pt>
                <c:pt idx="99">
                  <c:v>9.9000000000000074E-2</c:v>
                </c:pt>
                <c:pt idx="100">
                  <c:v>0.10000000000000007</c:v>
                </c:pt>
                <c:pt idx="101">
                  <c:v>0.10100000000000008</c:v>
                </c:pt>
                <c:pt idx="102">
                  <c:v>0.10200000000000008</c:v>
                </c:pt>
                <c:pt idx="103">
                  <c:v>0.10300000000000008</c:v>
                </c:pt>
                <c:pt idx="104">
                  <c:v>0.10400000000000008</c:v>
                </c:pt>
                <c:pt idx="105">
                  <c:v>0.10500000000000008</c:v>
                </c:pt>
                <c:pt idx="106">
                  <c:v>0.10600000000000008</c:v>
                </c:pt>
                <c:pt idx="107">
                  <c:v>0.10700000000000008</c:v>
                </c:pt>
                <c:pt idx="108">
                  <c:v>0.10800000000000008</c:v>
                </c:pt>
                <c:pt idx="109">
                  <c:v>0.10900000000000008</c:v>
                </c:pt>
                <c:pt idx="110">
                  <c:v>0.11000000000000008</c:v>
                </c:pt>
                <c:pt idx="111">
                  <c:v>0.11100000000000008</c:v>
                </c:pt>
                <c:pt idx="112">
                  <c:v>0.11200000000000009</c:v>
                </c:pt>
                <c:pt idx="113">
                  <c:v>0.11300000000000009</c:v>
                </c:pt>
                <c:pt idx="114">
                  <c:v>0.11400000000000009</c:v>
                </c:pt>
                <c:pt idx="115">
                  <c:v>0.11500000000000009</c:v>
                </c:pt>
                <c:pt idx="116">
                  <c:v>0.11600000000000009</c:v>
                </c:pt>
                <c:pt idx="117">
                  <c:v>0.11700000000000009</c:v>
                </c:pt>
                <c:pt idx="118">
                  <c:v>0.11800000000000009</c:v>
                </c:pt>
                <c:pt idx="119">
                  <c:v>0.11900000000000009</c:v>
                </c:pt>
                <c:pt idx="120">
                  <c:v>0.12000000000000009</c:v>
                </c:pt>
              </c:numCache>
            </c:numRef>
          </c:xVal>
          <c:yVal>
            <c:numRef>
              <c:f>G.data!$J$4:$J$124</c:f>
              <c:numCache>
                <c:formatCode>0</c:formatCode>
                <c:ptCount val="121"/>
                <c:pt idx="0">
                  <c:v>10000</c:v>
                </c:pt>
                <c:pt idx="1">
                  <c:v>9857.1428571428569</c:v>
                </c:pt>
                <c:pt idx="2">
                  <c:v>9714.2857142857138</c:v>
                </c:pt>
                <c:pt idx="3">
                  <c:v>9571.4285714285725</c:v>
                </c:pt>
                <c:pt idx="4">
                  <c:v>9428.5714285714275</c:v>
                </c:pt>
                <c:pt idx="5">
                  <c:v>9285.7142857142862</c:v>
                </c:pt>
                <c:pt idx="6">
                  <c:v>9142.8571428571431</c:v>
                </c:pt>
                <c:pt idx="7">
                  <c:v>9000</c:v>
                </c:pt>
                <c:pt idx="8">
                  <c:v>8857.1428571428569</c:v>
                </c:pt>
                <c:pt idx="9">
                  <c:v>8714.2857142857138</c:v>
                </c:pt>
                <c:pt idx="10">
                  <c:v>8571.4285714285706</c:v>
                </c:pt>
                <c:pt idx="11">
                  <c:v>8428.5714285714294</c:v>
                </c:pt>
                <c:pt idx="12">
                  <c:v>8285.7142857142844</c:v>
                </c:pt>
                <c:pt idx="13">
                  <c:v>8142.8571428571431</c:v>
                </c:pt>
                <c:pt idx="14">
                  <c:v>7999.9999999999991</c:v>
                </c:pt>
                <c:pt idx="15">
                  <c:v>7857.142857142856</c:v>
                </c:pt>
                <c:pt idx="16">
                  <c:v>7714.2857142857138</c:v>
                </c:pt>
                <c:pt idx="17">
                  <c:v>7571.4285714285697</c:v>
                </c:pt>
                <c:pt idx="18">
                  <c:v>7428.5714285714275</c:v>
                </c:pt>
                <c:pt idx="19">
                  <c:v>7285.7142857142844</c:v>
                </c:pt>
                <c:pt idx="20">
                  <c:v>7142.8571428571422</c:v>
                </c:pt>
                <c:pt idx="21">
                  <c:v>6999.9999999999982</c:v>
                </c:pt>
                <c:pt idx="22">
                  <c:v>6857.1428571428551</c:v>
                </c:pt>
                <c:pt idx="23">
                  <c:v>6714.2857142857129</c:v>
                </c:pt>
                <c:pt idx="24">
                  <c:v>6571.4285714285706</c:v>
                </c:pt>
                <c:pt idx="25">
                  <c:v>6428.5714285714266</c:v>
                </c:pt>
                <c:pt idx="26">
                  <c:v>6285.7142857142835</c:v>
                </c:pt>
                <c:pt idx="27">
                  <c:v>6142.8571428571413</c:v>
                </c:pt>
                <c:pt idx="28">
                  <c:v>5999.9999999999991</c:v>
                </c:pt>
                <c:pt idx="29">
                  <c:v>5857.1428571428551</c:v>
                </c:pt>
                <c:pt idx="30">
                  <c:v>5714.2857142857119</c:v>
                </c:pt>
                <c:pt idx="31">
                  <c:v>5571.4285714285697</c:v>
                </c:pt>
                <c:pt idx="32">
                  <c:v>5428.5714285714257</c:v>
                </c:pt>
                <c:pt idx="33">
                  <c:v>5285.7142857142826</c:v>
                </c:pt>
                <c:pt idx="34">
                  <c:v>5142.8571428571404</c:v>
                </c:pt>
                <c:pt idx="35">
                  <c:v>4999.9999999999982</c:v>
                </c:pt>
                <c:pt idx="36">
                  <c:v>4857.1428571428542</c:v>
                </c:pt>
                <c:pt idx="37">
                  <c:v>4714.285714285711</c:v>
                </c:pt>
                <c:pt idx="38">
                  <c:v>4571.4285714285688</c:v>
                </c:pt>
                <c:pt idx="39">
                  <c:v>4428.5714285714248</c:v>
                </c:pt>
                <c:pt idx="40">
                  <c:v>4285.7142857142826</c:v>
                </c:pt>
                <c:pt idx="41">
                  <c:v>4142.8571428571395</c:v>
                </c:pt>
                <c:pt idx="42">
                  <c:v>3999.9999999999968</c:v>
                </c:pt>
                <c:pt idx="43">
                  <c:v>3857.1428571428546</c:v>
                </c:pt>
                <c:pt idx="44">
                  <c:v>3714.2857142857101</c:v>
                </c:pt>
                <c:pt idx="45">
                  <c:v>3571.4285714285666</c:v>
                </c:pt>
                <c:pt idx="46">
                  <c:v>3428.5714285714243</c:v>
                </c:pt>
                <c:pt idx="47">
                  <c:v>3285.7142857142817</c:v>
                </c:pt>
                <c:pt idx="48">
                  <c:v>3142.8571428571386</c:v>
                </c:pt>
                <c:pt idx="49">
                  <c:v>2999.9999999999959</c:v>
                </c:pt>
                <c:pt idx="50">
                  <c:v>2857.1428571428523</c:v>
                </c:pt>
                <c:pt idx="51">
                  <c:v>2714.2857142857101</c:v>
                </c:pt>
                <c:pt idx="52">
                  <c:v>2571.4285714285666</c:v>
                </c:pt>
                <c:pt idx="53">
                  <c:v>2428.5714285714243</c:v>
                </c:pt>
                <c:pt idx="54">
                  <c:v>2285.7142857142799</c:v>
                </c:pt>
                <c:pt idx="55">
                  <c:v>2142.8571428571377</c:v>
                </c:pt>
                <c:pt idx="56">
                  <c:v>1999.9999999999941</c:v>
                </c:pt>
                <c:pt idx="57">
                  <c:v>1857.1428571428517</c:v>
                </c:pt>
                <c:pt idx="58">
                  <c:v>1714.2857142857092</c:v>
                </c:pt>
                <c:pt idx="59">
                  <c:v>1571.4285714285659</c:v>
                </c:pt>
                <c:pt idx="60">
                  <c:v>1428.5714285714234</c:v>
                </c:pt>
                <c:pt idx="61">
                  <c:v>1285.7142857142801</c:v>
                </c:pt>
                <c:pt idx="62">
                  <c:v>1142.8571428571377</c:v>
                </c:pt>
                <c:pt idx="63">
                  <c:v>999.9999999999942</c:v>
                </c:pt>
                <c:pt idx="64">
                  <c:v>857.14285714285188</c:v>
                </c:pt>
                <c:pt idx="65">
                  <c:v>714.28571428570956</c:v>
                </c:pt>
                <c:pt idx="66">
                  <c:v>571.4285714285661</c:v>
                </c:pt>
                <c:pt idx="67">
                  <c:v>428.57142857142372</c:v>
                </c:pt>
                <c:pt idx="68">
                  <c:v>285.71428571428027</c:v>
                </c:pt>
                <c:pt idx="69">
                  <c:v>142.85714285713792</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numCache>
            </c:numRef>
          </c:yVal>
          <c:smooth val="0"/>
          <c:extLst>
            <c:ext xmlns:c16="http://schemas.microsoft.com/office/drawing/2014/chart" uri="{C3380CC4-5D6E-409C-BE32-E72D297353CC}">
              <c16:uniqueId val="{00000001-C904-4371-BEC2-5D14F8BB2367}"/>
            </c:ext>
          </c:extLst>
        </c:ser>
        <c:dLbls>
          <c:showLegendKey val="0"/>
          <c:showVal val="0"/>
          <c:showCatName val="0"/>
          <c:showSerName val="0"/>
          <c:showPercent val="0"/>
          <c:showBubbleSize val="0"/>
        </c:dLbls>
        <c:axId val="192449000"/>
        <c:axId val="1"/>
      </c:scatterChart>
      <c:valAx>
        <c:axId val="192449000"/>
        <c:scaling>
          <c:orientation val="minMax"/>
          <c:max val="0.12"/>
          <c:min val="0"/>
        </c:scaling>
        <c:delete val="0"/>
        <c:axPos val="b"/>
        <c:numFmt formatCode="0%" sourceLinked="0"/>
        <c:majorTickMark val="out"/>
        <c:minorTickMark val="none"/>
        <c:tickLblPos val="nextTo"/>
        <c:spPr>
          <a:ln w="3175">
            <a:solidFill>
              <a:srgbClr val="000000"/>
            </a:solidFill>
            <a:prstDash val="solid"/>
          </a:ln>
        </c:spPr>
        <c:txPr>
          <a:bodyPr rot="0" vert="horz"/>
          <a:lstStyle/>
          <a:p>
            <a:pPr>
              <a:defRPr sz="925" b="0" i="0" u="none" strike="noStrike" baseline="0">
                <a:solidFill>
                  <a:srgbClr val="000000"/>
                </a:solidFill>
                <a:latin typeface="Arial"/>
                <a:ea typeface="Arial"/>
                <a:cs typeface="Arial"/>
              </a:defRPr>
            </a:pPr>
            <a:endParaRPr lang="en-US"/>
          </a:p>
        </c:txPr>
        <c:crossAx val="1"/>
        <c:crosses val="autoZero"/>
        <c:crossBetween val="midCat"/>
        <c:majorUnit val="0.02"/>
        <c:minorUnit val="4.0000000000000001E-3"/>
      </c:valAx>
      <c:valAx>
        <c:axId val="1"/>
        <c:scaling>
          <c:orientation val="minMax"/>
        </c:scaling>
        <c:delete val="0"/>
        <c:axPos val="l"/>
        <c:numFmt formatCode="General" sourceLinked="1"/>
        <c:majorTickMark val="out"/>
        <c:minorTickMark val="none"/>
        <c:tickLblPos val="nextTo"/>
        <c:spPr>
          <a:ln w="3175">
            <a:solidFill>
              <a:srgbClr val="000000"/>
            </a:solidFill>
            <a:prstDash val="solid"/>
          </a:ln>
        </c:spPr>
        <c:txPr>
          <a:bodyPr rot="0" vert="horz"/>
          <a:lstStyle/>
          <a:p>
            <a:pPr>
              <a:defRPr sz="925" b="0" i="0" u="none" strike="noStrike" baseline="0">
                <a:solidFill>
                  <a:srgbClr val="000000"/>
                </a:solidFill>
                <a:latin typeface="Arial"/>
                <a:ea typeface="Arial"/>
                <a:cs typeface="Arial"/>
              </a:defRPr>
            </a:pPr>
            <a:endParaRPr lang="en-US"/>
          </a:p>
        </c:txPr>
        <c:crossAx val="192449000"/>
        <c:crossesAt val="0"/>
        <c:crossBetween val="midCat"/>
      </c:valAx>
      <c:spPr>
        <a:solidFill>
          <a:srgbClr val="C0C0C0"/>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893207407299865"/>
          <c:y val="6.3706608745283624E-2"/>
          <c:w val="0.83737888888131706"/>
          <c:h val="0.83976893346055681"/>
        </c:manualLayout>
      </c:layout>
      <c:scatterChart>
        <c:scatterStyle val="lineMarker"/>
        <c:varyColors val="0"/>
        <c:ser>
          <c:idx val="0"/>
          <c:order val="0"/>
          <c:tx>
            <c:v>Load</c:v>
          </c:tx>
          <c:spPr>
            <a:ln w="25400">
              <a:solidFill>
                <a:srgbClr val="000000"/>
              </a:solidFill>
              <a:prstDash val="solid"/>
            </a:ln>
          </c:spPr>
          <c:marker>
            <c:symbol val="none"/>
          </c:marker>
          <c:xVal>
            <c:numRef>
              <c:f>G.data!$B$4:$B$29</c:f>
              <c:numCache>
                <c:formatCode>0.00</c:formatCode>
                <c:ptCount val="26"/>
                <c:pt idx="0" formatCode="General">
                  <c:v>0.1</c:v>
                </c:pt>
                <c:pt idx="1">
                  <c:v>0</c:v>
                </c:pt>
                <c:pt idx="2">
                  <c:v>0.02</c:v>
                </c:pt>
                <c:pt idx="3">
                  <c:v>0.04</c:v>
                </c:pt>
                <c:pt idx="4">
                  <c:v>0.06</c:v>
                </c:pt>
                <c:pt idx="5">
                  <c:v>0.08</c:v>
                </c:pt>
                <c:pt idx="6">
                  <c:v>0.1</c:v>
                </c:pt>
                <c:pt idx="7">
                  <c:v>0.12000000000000001</c:v>
                </c:pt>
                <c:pt idx="8">
                  <c:v>0.14000000000000001</c:v>
                </c:pt>
                <c:pt idx="9">
                  <c:v>0.16</c:v>
                </c:pt>
                <c:pt idx="10">
                  <c:v>0.18</c:v>
                </c:pt>
                <c:pt idx="11">
                  <c:v>0.19999999999999998</c:v>
                </c:pt>
                <c:pt idx="12">
                  <c:v>0.25</c:v>
                </c:pt>
                <c:pt idx="13">
                  <c:v>0.3</c:v>
                </c:pt>
                <c:pt idx="14">
                  <c:v>0.35</c:v>
                </c:pt>
                <c:pt idx="15">
                  <c:v>0.39999999999999997</c:v>
                </c:pt>
                <c:pt idx="16">
                  <c:v>0.44999999999999996</c:v>
                </c:pt>
                <c:pt idx="17">
                  <c:v>0.49999999999999994</c:v>
                </c:pt>
                <c:pt idx="18">
                  <c:v>0.54999999999999993</c:v>
                </c:pt>
                <c:pt idx="19">
                  <c:v>0.6</c:v>
                </c:pt>
                <c:pt idx="20">
                  <c:v>0.65</c:v>
                </c:pt>
                <c:pt idx="21">
                  <c:v>0.70000000000000007</c:v>
                </c:pt>
                <c:pt idx="22">
                  <c:v>0.8</c:v>
                </c:pt>
                <c:pt idx="23">
                  <c:v>0.9</c:v>
                </c:pt>
                <c:pt idx="24">
                  <c:v>1</c:v>
                </c:pt>
                <c:pt idx="25">
                  <c:v>1</c:v>
                </c:pt>
              </c:numCache>
            </c:numRef>
          </c:xVal>
          <c:yVal>
            <c:numRef>
              <c:f>G.data!$C$4:$C$29</c:f>
              <c:numCache>
                <c:formatCode>0.0</c:formatCode>
                <c:ptCount val="26"/>
                <c:pt idx="0">
                  <c:v>50</c:v>
                </c:pt>
                <c:pt idx="1">
                  <c:v>50</c:v>
                </c:pt>
                <c:pt idx="2">
                  <c:v>46.464446094067263</c:v>
                </c:pt>
                <c:pt idx="3">
                  <c:v>44.999960000000002</c:v>
                </c:pt>
                <c:pt idx="4">
                  <c:v>43.876215643042059</c:v>
                </c:pt>
                <c:pt idx="5">
                  <c:v>42.92885218813452</c:v>
                </c:pt>
                <c:pt idx="6">
                  <c:v>42.094205849579055</c:v>
                </c:pt>
                <c:pt idx="7">
                  <c:v>41.339625962155608</c:v>
                </c:pt>
                <c:pt idx="8">
                  <c:v>40.645716533065148</c:v>
                </c:pt>
                <c:pt idx="9">
                  <c:v>39.999839999999999</c:v>
                </c:pt>
                <c:pt idx="10">
                  <c:v>39.393218282201786</c:v>
                </c:pt>
                <c:pt idx="11">
                  <c:v>38.819460112501055</c:v>
                </c:pt>
                <c:pt idx="12">
                  <c:v>37.499749999999999</c:v>
                </c:pt>
                <c:pt idx="13">
                  <c:v>36.306636062370849</c:v>
                </c:pt>
                <c:pt idx="14">
                  <c:v>35.209450542250963</c:v>
                </c:pt>
                <c:pt idx="15">
                  <c:v>34.188211699158096</c:v>
                </c:pt>
                <c:pt idx="16">
                  <c:v>33.229040168751581</c:v>
                </c:pt>
                <c:pt idx="17">
                  <c:v>32.321830470336316</c:v>
                </c:pt>
                <c:pt idx="18">
                  <c:v>31.458953782260842</c:v>
                </c:pt>
                <c:pt idx="19">
                  <c:v>30.634483268962914</c:v>
                </c:pt>
                <c:pt idx="20">
                  <c:v>29.843705629253623</c:v>
                </c:pt>
                <c:pt idx="21">
                  <c:v>29.082799336648112</c:v>
                </c:pt>
                <c:pt idx="22">
                  <c:v>27.6385202250021</c:v>
                </c:pt>
                <c:pt idx="23">
                  <c:v>26.282017548737151</c:v>
                </c:pt>
                <c:pt idx="24">
                  <c:v>24.998999999999999</c:v>
                </c:pt>
                <c:pt idx="25">
                  <c:v>0</c:v>
                </c:pt>
              </c:numCache>
            </c:numRef>
          </c:yVal>
          <c:smooth val="0"/>
          <c:extLst>
            <c:ext xmlns:c16="http://schemas.microsoft.com/office/drawing/2014/chart" uri="{C3380CC4-5D6E-409C-BE32-E72D297353CC}">
              <c16:uniqueId val="{00000000-A853-43B0-A738-5381E9043EF9}"/>
            </c:ext>
          </c:extLst>
        </c:ser>
        <c:ser>
          <c:idx val="1"/>
          <c:order val="1"/>
          <c:tx>
            <c:v>Load + R0</c:v>
          </c:tx>
          <c:spPr>
            <a:ln w="25400">
              <a:solidFill>
                <a:srgbClr val="FF0000"/>
              </a:solidFill>
              <a:prstDash val="solid"/>
            </a:ln>
          </c:spPr>
          <c:marker>
            <c:symbol val="none"/>
          </c:marker>
          <c:xVal>
            <c:numRef>
              <c:f>G.data!$B$4:$B$28</c:f>
              <c:numCache>
                <c:formatCode>0.00</c:formatCode>
                <c:ptCount val="25"/>
                <c:pt idx="0" formatCode="General">
                  <c:v>0.1</c:v>
                </c:pt>
                <c:pt idx="1">
                  <c:v>0</c:v>
                </c:pt>
                <c:pt idx="2">
                  <c:v>0.02</c:v>
                </c:pt>
                <c:pt idx="3">
                  <c:v>0.04</c:v>
                </c:pt>
                <c:pt idx="4">
                  <c:v>0.06</c:v>
                </c:pt>
                <c:pt idx="5">
                  <c:v>0.08</c:v>
                </c:pt>
                <c:pt idx="6">
                  <c:v>0.1</c:v>
                </c:pt>
                <c:pt idx="7">
                  <c:v>0.12000000000000001</c:v>
                </c:pt>
                <c:pt idx="8">
                  <c:v>0.14000000000000001</c:v>
                </c:pt>
                <c:pt idx="9">
                  <c:v>0.16</c:v>
                </c:pt>
                <c:pt idx="10">
                  <c:v>0.18</c:v>
                </c:pt>
                <c:pt idx="11">
                  <c:v>0.19999999999999998</c:v>
                </c:pt>
                <c:pt idx="12">
                  <c:v>0.25</c:v>
                </c:pt>
                <c:pt idx="13">
                  <c:v>0.3</c:v>
                </c:pt>
                <c:pt idx="14">
                  <c:v>0.35</c:v>
                </c:pt>
                <c:pt idx="15">
                  <c:v>0.39999999999999997</c:v>
                </c:pt>
                <c:pt idx="16">
                  <c:v>0.44999999999999996</c:v>
                </c:pt>
                <c:pt idx="17">
                  <c:v>0.49999999999999994</c:v>
                </c:pt>
                <c:pt idx="18">
                  <c:v>0.54999999999999993</c:v>
                </c:pt>
                <c:pt idx="19">
                  <c:v>0.6</c:v>
                </c:pt>
                <c:pt idx="20">
                  <c:v>0.65</c:v>
                </c:pt>
                <c:pt idx="21">
                  <c:v>0.70000000000000007</c:v>
                </c:pt>
                <c:pt idx="22">
                  <c:v>0.8</c:v>
                </c:pt>
                <c:pt idx="23">
                  <c:v>0.9</c:v>
                </c:pt>
                <c:pt idx="24">
                  <c:v>1</c:v>
                </c:pt>
              </c:numCache>
            </c:numRef>
          </c:xVal>
          <c:yVal>
            <c:numRef>
              <c:f>G.data!$D$4:$D$28</c:f>
              <c:numCache>
                <c:formatCode>0.0</c:formatCode>
                <c:ptCount val="25"/>
                <c:pt idx="0">
                  <c:v>53.5</c:v>
                </c:pt>
                <c:pt idx="1">
                  <c:v>53.5</c:v>
                </c:pt>
                <c:pt idx="2">
                  <c:v>49.964446094067263</c:v>
                </c:pt>
                <c:pt idx="3">
                  <c:v>48.499960000000002</c:v>
                </c:pt>
                <c:pt idx="4">
                  <c:v>47.376215643042059</c:v>
                </c:pt>
                <c:pt idx="5">
                  <c:v>46.42885218813452</c:v>
                </c:pt>
                <c:pt idx="6">
                  <c:v>45.594205849579055</c:v>
                </c:pt>
                <c:pt idx="7">
                  <c:v>44.839625962155608</c:v>
                </c:pt>
                <c:pt idx="8">
                  <c:v>44.145716533065148</c:v>
                </c:pt>
                <c:pt idx="9">
                  <c:v>43.499839999999999</c:v>
                </c:pt>
                <c:pt idx="10">
                  <c:v>42.893218282201786</c:v>
                </c:pt>
                <c:pt idx="11">
                  <c:v>42.319460112501055</c:v>
                </c:pt>
                <c:pt idx="12">
                  <c:v>40.999749999999999</c:v>
                </c:pt>
                <c:pt idx="13">
                  <c:v>39.806636062370849</c:v>
                </c:pt>
                <c:pt idx="14">
                  <c:v>38.709450542250963</c:v>
                </c:pt>
                <c:pt idx="15">
                  <c:v>37.688211699158096</c:v>
                </c:pt>
                <c:pt idx="16">
                  <c:v>36.729040168751581</c:v>
                </c:pt>
                <c:pt idx="17">
                  <c:v>35.821830470336316</c:v>
                </c:pt>
                <c:pt idx="18">
                  <c:v>34.958953782260842</c:v>
                </c:pt>
                <c:pt idx="19">
                  <c:v>34.134483268962917</c:v>
                </c:pt>
                <c:pt idx="20">
                  <c:v>33.343705629253627</c:v>
                </c:pt>
                <c:pt idx="21">
                  <c:v>32.582799336648115</c:v>
                </c:pt>
                <c:pt idx="22">
                  <c:v>31.1385202250021</c:v>
                </c:pt>
                <c:pt idx="23">
                  <c:v>29.782017548737151</c:v>
                </c:pt>
                <c:pt idx="24">
                  <c:v>28.498999999999999</c:v>
                </c:pt>
              </c:numCache>
            </c:numRef>
          </c:yVal>
          <c:smooth val="0"/>
          <c:extLst>
            <c:ext xmlns:c16="http://schemas.microsoft.com/office/drawing/2014/chart" uri="{C3380CC4-5D6E-409C-BE32-E72D297353CC}">
              <c16:uniqueId val="{00000001-A853-43B0-A738-5381E9043EF9}"/>
            </c:ext>
          </c:extLst>
        </c:ser>
        <c:ser>
          <c:idx val="2"/>
          <c:order val="2"/>
          <c:tx>
            <c:v>Capacity K</c:v>
          </c:tx>
          <c:spPr>
            <a:ln w="25400">
              <a:solidFill>
                <a:srgbClr val="0000FF"/>
              </a:solidFill>
              <a:prstDash val="solid"/>
            </a:ln>
          </c:spPr>
          <c:marker>
            <c:symbol val="none"/>
          </c:marker>
          <c:xVal>
            <c:numRef>
              <c:f>G.data!$B$5:$B$28</c:f>
              <c:numCache>
                <c:formatCode>0.00</c:formatCode>
                <c:ptCount val="24"/>
                <c:pt idx="0">
                  <c:v>0</c:v>
                </c:pt>
                <c:pt idx="1">
                  <c:v>0.02</c:v>
                </c:pt>
                <c:pt idx="2">
                  <c:v>0.04</c:v>
                </c:pt>
                <c:pt idx="3">
                  <c:v>0.06</c:v>
                </c:pt>
                <c:pt idx="4">
                  <c:v>0.08</c:v>
                </c:pt>
                <c:pt idx="5">
                  <c:v>0.1</c:v>
                </c:pt>
                <c:pt idx="6">
                  <c:v>0.12000000000000001</c:v>
                </c:pt>
                <c:pt idx="7">
                  <c:v>0.14000000000000001</c:v>
                </c:pt>
                <c:pt idx="8">
                  <c:v>0.16</c:v>
                </c:pt>
                <c:pt idx="9">
                  <c:v>0.18</c:v>
                </c:pt>
                <c:pt idx="10">
                  <c:v>0.19999999999999998</c:v>
                </c:pt>
                <c:pt idx="11">
                  <c:v>0.25</c:v>
                </c:pt>
                <c:pt idx="12">
                  <c:v>0.3</c:v>
                </c:pt>
                <c:pt idx="13">
                  <c:v>0.35</c:v>
                </c:pt>
                <c:pt idx="14">
                  <c:v>0.39999999999999997</c:v>
                </c:pt>
                <c:pt idx="15">
                  <c:v>0.44999999999999996</c:v>
                </c:pt>
                <c:pt idx="16">
                  <c:v>0.49999999999999994</c:v>
                </c:pt>
                <c:pt idx="17">
                  <c:v>0.54999999999999993</c:v>
                </c:pt>
                <c:pt idx="18">
                  <c:v>0.6</c:v>
                </c:pt>
                <c:pt idx="19">
                  <c:v>0.65</c:v>
                </c:pt>
                <c:pt idx="20">
                  <c:v>0.70000000000000007</c:v>
                </c:pt>
                <c:pt idx="21">
                  <c:v>0.8</c:v>
                </c:pt>
                <c:pt idx="22">
                  <c:v>0.9</c:v>
                </c:pt>
                <c:pt idx="23">
                  <c:v>1</c:v>
                </c:pt>
              </c:numCache>
            </c:numRef>
          </c:xVal>
          <c:yVal>
            <c:numRef>
              <c:f>G.data!$E$5:$E$28</c:f>
              <c:numCache>
                <c:formatCode>0.0</c:formatCode>
                <c:ptCount val="24"/>
                <c:pt idx="0">
                  <c:v>51.920908109777926</c:v>
                </c:pt>
                <c:pt idx="1">
                  <c:v>51.920908109777926</c:v>
                </c:pt>
                <c:pt idx="2">
                  <c:v>51.920908109777926</c:v>
                </c:pt>
                <c:pt idx="3">
                  <c:v>51.920908109777926</c:v>
                </c:pt>
                <c:pt idx="4">
                  <c:v>51.920908109777926</c:v>
                </c:pt>
                <c:pt idx="5">
                  <c:v>51.920908109777926</c:v>
                </c:pt>
                <c:pt idx="6">
                  <c:v>51.920908109777926</c:v>
                </c:pt>
                <c:pt idx="7">
                  <c:v>51.920908109777926</c:v>
                </c:pt>
                <c:pt idx="8">
                  <c:v>51.920908109777926</c:v>
                </c:pt>
                <c:pt idx="9">
                  <c:v>51.920908109777926</c:v>
                </c:pt>
                <c:pt idx="10">
                  <c:v>51.920908109777926</c:v>
                </c:pt>
                <c:pt idx="11">
                  <c:v>51.920908109777926</c:v>
                </c:pt>
                <c:pt idx="12">
                  <c:v>51.920908109777926</c:v>
                </c:pt>
                <c:pt idx="13">
                  <c:v>51.920908109777926</c:v>
                </c:pt>
                <c:pt idx="14">
                  <c:v>51.920908109777926</c:v>
                </c:pt>
                <c:pt idx="15">
                  <c:v>51.920908109777926</c:v>
                </c:pt>
                <c:pt idx="16">
                  <c:v>51.920908109777926</c:v>
                </c:pt>
                <c:pt idx="17">
                  <c:v>51.920908109777926</c:v>
                </c:pt>
                <c:pt idx="18">
                  <c:v>51.920908109777926</c:v>
                </c:pt>
                <c:pt idx="19">
                  <c:v>51.920908109777926</c:v>
                </c:pt>
                <c:pt idx="20">
                  <c:v>51.920908109777926</c:v>
                </c:pt>
                <c:pt idx="21">
                  <c:v>51.920908109777926</c:v>
                </c:pt>
                <c:pt idx="22">
                  <c:v>51.920908109777926</c:v>
                </c:pt>
                <c:pt idx="23">
                  <c:v>51.920908109777926</c:v>
                </c:pt>
              </c:numCache>
            </c:numRef>
          </c:yVal>
          <c:smooth val="0"/>
          <c:extLst>
            <c:ext xmlns:c16="http://schemas.microsoft.com/office/drawing/2014/chart" uri="{C3380CC4-5D6E-409C-BE32-E72D297353CC}">
              <c16:uniqueId val="{00000002-A853-43B0-A738-5381E9043EF9}"/>
            </c:ext>
          </c:extLst>
        </c:ser>
        <c:dLbls>
          <c:showLegendKey val="0"/>
          <c:showVal val="0"/>
          <c:showCatName val="0"/>
          <c:showSerName val="0"/>
          <c:showPercent val="0"/>
          <c:showBubbleSize val="0"/>
        </c:dLbls>
        <c:axId val="192478080"/>
        <c:axId val="1"/>
      </c:scatterChart>
      <c:valAx>
        <c:axId val="192478080"/>
        <c:scaling>
          <c:orientation val="minMax"/>
          <c:max val="1.02"/>
          <c:min val="0"/>
        </c:scaling>
        <c:delete val="0"/>
        <c:axPos val="b"/>
        <c:numFmt formatCode="0.0" sourceLinked="0"/>
        <c:majorTickMark val="out"/>
        <c:minorTickMark val="none"/>
        <c:tickLblPos val="nextTo"/>
        <c:spPr>
          <a:ln w="3175">
            <a:solidFill>
              <a:srgbClr val="000000"/>
            </a:solidFill>
            <a:prstDash val="solid"/>
          </a:ln>
        </c:spPr>
        <c:txPr>
          <a:bodyPr rot="0" vert="horz"/>
          <a:lstStyle/>
          <a:p>
            <a:pPr>
              <a:defRPr sz="925" b="0" i="0" u="none" strike="noStrike" baseline="0">
                <a:solidFill>
                  <a:srgbClr val="000000"/>
                </a:solidFill>
                <a:latin typeface="Arial"/>
                <a:ea typeface="Arial"/>
                <a:cs typeface="Arial"/>
              </a:defRPr>
            </a:pPr>
            <a:endParaRPr lang="en-US"/>
          </a:p>
        </c:txPr>
        <c:crossAx val="1"/>
        <c:crossesAt val="0"/>
        <c:crossBetween val="midCat"/>
        <c:majorUnit val="0.2"/>
        <c:minorUnit val="0.1"/>
      </c:valAx>
      <c:valAx>
        <c:axId val="1"/>
        <c:scaling>
          <c:orientation val="minMax"/>
          <c:min val="0"/>
        </c:scaling>
        <c:delete val="0"/>
        <c:axPos val="l"/>
        <c:numFmt formatCode="0.0" sourceLinked="1"/>
        <c:majorTickMark val="out"/>
        <c:minorTickMark val="none"/>
        <c:tickLblPos val="nextTo"/>
        <c:spPr>
          <a:ln w="3175">
            <a:solidFill>
              <a:srgbClr val="000000"/>
            </a:solidFill>
            <a:prstDash val="solid"/>
          </a:ln>
        </c:spPr>
        <c:txPr>
          <a:bodyPr rot="0" vert="horz"/>
          <a:lstStyle/>
          <a:p>
            <a:pPr>
              <a:defRPr sz="925" b="0" i="0" u="none" strike="noStrike" baseline="0">
                <a:solidFill>
                  <a:srgbClr val="000000"/>
                </a:solidFill>
                <a:latin typeface="Arial"/>
                <a:ea typeface="Arial"/>
                <a:cs typeface="Arial"/>
              </a:defRPr>
            </a:pPr>
            <a:endParaRPr lang="en-US"/>
          </a:p>
        </c:txPr>
        <c:crossAx val="192478080"/>
        <c:crossesAt val="0"/>
        <c:crossBetween val="midCat"/>
      </c:valAx>
      <c:spPr>
        <a:solidFill>
          <a:srgbClr val="C0C0C0"/>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verticalDpi="0"/>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926875453299305"/>
          <c:y val="7.3359125221841751E-2"/>
          <c:w val="0.8121980237638996"/>
          <c:h val="0.82818591368868721"/>
        </c:manualLayout>
      </c:layout>
      <c:scatterChart>
        <c:scatterStyle val="lineMarker"/>
        <c:varyColors val="0"/>
        <c:ser>
          <c:idx val="0"/>
          <c:order val="0"/>
          <c:tx>
            <c:v>"Reserves"</c:v>
          </c:tx>
          <c:spPr>
            <a:ln w="25400">
              <a:solidFill>
                <a:srgbClr val="000000"/>
              </a:solidFill>
              <a:prstDash val="solid"/>
            </a:ln>
          </c:spPr>
          <c:marker>
            <c:symbol val="none"/>
          </c:marker>
          <c:xVal>
            <c:numRef>
              <c:f>G.data!$M$4:$M$104</c:f>
              <c:numCache>
                <c:formatCode>0.0%</c:formatCode>
                <c:ptCount val="101"/>
                <c:pt idx="0">
                  <c:v>0</c:v>
                </c:pt>
                <c:pt idx="1">
                  <c:v>1E-3</c:v>
                </c:pt>
                <c:pt idx="2">
                  <c:v>2E-3</c:v>
                </c:pt>
                <c:pt idx="3">
                  <c:v>3.0000000000000001E-3</c:v>
                </c:pt>
                <c:pt idx="4">
                  <c:v>4.0000000000000001E-3</c:v>
                </c:pt>
                <c:pt idx="5">
                  <c:v>5.0000000000000001E-3</c:v>
                </c:pt>
                <c:pt idx="6">
                  <c:v>6.0000000000000001E-3</c:v>
                </c:pt>
                <c:pt idx="7">
                  <c:v>7.0000000000000001E-3</c:v>
                </c:pt>
                <c:pt idx="8">
                  <c:v>8.0000000000000002E-3</c:v>
                </c:pt>
                <c:pt idx="9">
                  <c:v>9.0000000000000011E-3</c:v>
                </c:pt>
                <c:pt idx="10">
                  <c:v>1.0000000000000002E-2</c:v>
                </c:pt>
                <c:pt idx="11">
                  <c:v>1.1000000000000003E-2</c:v>
                </c:pt>
                <c:pt idx="12">
                  <c:v>1.2000000000000004E-2</c:v>
                </c:pt>
                <c:pt idx="13">
                  <c:v>1.3000000000000005E-2</c:v>
                </c:pt>
                <c:pt idx="14">
                  <c:v>1.4000000000000005E-2</c:v>
                </c:pt>
                <c:pt idx="15">
                  <c:v>1.5000000000000006E-2</c:v>
                </c:pt>
                <c:pt idx="16">
                  <c:v>1.6000000000000007E-2</c:v>
                </c:pt>
                <c:pt idx="17">
                  <c:v>1.7000000000000008E-2</c:v>
                </c:pt>
                <c:pt idx="18">
                  <c:v>1.8000000000000009E-2</c:v>
                </c:pt>
                <c:pt idx="19">
                  <c:v>1.900000000000001E-2</c:v>
                </c:pt>
                <c:pt idx="20">
                  <c:v>2.0000000000000011E-2</c:v>
                </c:pt>
                <c:pt idx="21">
                  <c:v>2.1000000000000012E-2</c:v>
                </c:pt>
                <c:pt idx="22">
                  <c:v>2.2000000000000013E-2</c:v>
                </c:pt>
                <c:pt idx="23">
                  <c:v>2.3000000000000013E-2</c:v>
                </c:pt>
                <c:pt idx="24">
                  <c:v>2.4000000000000014E-2</c:v>
                </c:pt>
                <c:pt idx="25">
                  <c:v>2.5000000000000015E-2</c:v>
                </c:pt>
                <c:pt idx="26">
                  <c:v>2.6000000000000016E-2</c:v>
                </c:pt>
                <c:pt idx="27">
                  <c:v>2.7000000000000017E-2</c:v>
                </c:pt>
                <c:pt idx="28">
                  <c:v>2.8000000000000018E-2</c:v>
                </c:pt>
                <c:pt idx="29">
                  <c:v>2.9000000000000019E-2</c:v>
                </c:pt>
                <c:pt idx="30">
                  <c:v>3.000000000000002E-2</c:v>
                </c:pt>
                <c:pt idx="31">
                  <c:v>3.1000000000000021E-2</c:v>
                </c:pt>
                <c:pt idx="32">
                  <c:v>3.2000000000000021E-2</c:v>
                </c:pt>
                <c:pt idx="33">
                  <c:v>3.3000000000000022E-2</c:v>
                </c:pt>
                <c:pt idx="34">
                  <c:v>3.4000000000000023E-2</c:v>
                </c:pt>
                <c:pt idx="35">
                  <c:v>3.5000000000000024E-2</c:v>
                </c:pt>
                <c:pt idx="36">
                  <c:v>3.6000000000000025E-2</c:v>
                </c:pt>
                <c:pt idx="37">
                  <c:v>3.7000000000000026E-2</c:v>
                </c:pt>
                <c:pt idx="38">
                  <c:v>3.8000000000000027E-2</c:v>
                </c:pt>
                <c:pt idx="39">
                  <c:v>3.9000000000000028E-2</c:v>
                </c:pt>
                <c:pt idx="40">
                  <c:v>4.0000000000000029E-2</c:v>
                </c:pt>
                <c:pt idx="41">
                  <c:v>4.1000000000000029E-2</c:v>
                </c:pt>
                <c:pt idx="42">
                  <c:v>4.200000000000003E-2</c:v>
                </c:pt>
                <c:pt idx="43">
                  <c:v>4.3000000000000031E-2</c:v>
                </c:pt>
                <c:pt idx="44">
                  <c:v>4.4000000000000032E-2</c:v>
                </c:pt>
                <c:pt idx="45">
                  <c:v>4.5000000000000033E-2</c:v>
                </c:pt>
                <c:pt idx="46">
                  <c:v>4.6000000000000034E-2</c:v>
                </c:pt>
                <c:pt idx="47">
                  <c:v>4.7000000000000035E-2</c:v>
                </c:pt>
                <c:pt idx="48">
                  <c:v>4.8000000000000036E-2</c:v>
                </c:pt>
                <c:pt idx="49">
                  <c:v>4.9000000000000037E-2</c:v>
                </c:pt>
                <c:pt idx="50">
                  <c:v>5.0000000000000037E-2</c:v>
                </c:pt>
                <c:pt idx="51">
                  <c:v>5.1000000000000038E-2</c:v>
                </c:pt>
                <c:pt idx="52">
                  <c:v>5.2000000000000039E-2</c:v>
                </c:pt>
                <c:pt idx="53">
                  <c:v>5.300000000000004E-2</c:v>
                </c:pt>
                <c:pt idx="54">
                  <c:v>5.4000000000000041E-2</c:v>
                </c:pt>
                <c:pt idx="55">
                  <c:v>5.5000000000000042E-2</c:v>
                </c:pt>
                <c:pt idx="56">
                  <c:v>5.6000000000000043E-2</c:v>
                </c:pt>
                <c:pt idx="57">
                  <c:v>5.7000000000000044E-2</c:v>
                </c:pt>
                <c:pt idx="58">
                  <c:v>5.8000000000000045E-2</c:v>
                </c:pt>
                <c:pt idx="59">
                  <c:v>5.9000000000000045E-2</c:v>
                </c:pt>
                <c:pt idx="60">
                  <c:v>6.0000000000000046E-2</c:v>
                </c:pt>
                <c:pt idx="61">
                  <c:v>6.1000000000000047E-2</c:v>
                </c:pt>
                <c:pt idx="62">
                  <c:v>6.2000000000000048E-2</c:v>
                </c:pt>
                <c:pt idx="63">
                  <c:v>6.3000000000000042E-2</c:v>
                </c:pt>
                <c:pt idx="64">
                  <c:v>6.4000000000000043E-2</c:v>
                </c:pt>
                <c:pt idx="65">
                  <c:v>6.5000000000000044E-2</c:v>
                </c:pt>
                <c:pt idx="66">
                  <c:v>6.6000000000000045E-2</c:v>
                </c:pt>
                <c:pt idx="67">
                  <c:v>6.7000000000000046E-2</c:v>
                </c:pt>
                <c:pt idx="68">
                  <c:v>6.8000000000000047E-2</c:v>
                </c:pt>
                <c:pt idx="69">
                  <c:v>6.9000000000000047E-2</c:v>
                </c:pt>
                <c:pt idx="70">
                  <c:v>7.0000000000000048E-2</c:v>
                </c:pt>
                <c:pt idx="71">
                  <c:v>7.1000000000000049E-2</c:v>
                </c:pt>
                <c:pt idx="72">
                  <c:v>7.200000000000005E-2</c:v>
                </c:pt>
                <c:pt idx="73">
                  <c:v>7.3000000000000051E-2</c:v>
                </c:pt>
                <c:pt idx="74">
                  <c:v>7.4000000000000052E-2</c:v>
                </c:pt>
                <c:pt idx="75">
                  <c:v>7.5000000000000053E-2</c:v>
                </c:pt>
                <c:pt idx="76">
                  <c:v>7.6000000000000054E-2</c:v>
                </c:pt>
                <c:pt idx="77">
                  <c:v>7.7000000000000055E-2</c:v>
                </c:pt>
                <c:pt idx="78">
                  <c:v>7.8000000000000055E-2</c:v>
                </c:pt>
                <c:pt idx="79">
                  <c:v>7.9000000000000056E-2</c:v>
                </c:pt>
                <c:pt idx="80">
                  <c:v>8.0000000000000057E-2</c:v>
                </c:pt>
                <c:pt idx="81">
                  <c:v>8.1000000000000058E-2</c:v>
                </c:pt>
                <c:pt idx="82">
                  <c:v>8.2000000000000059E-2</c:v>
                </c:pt>
                <c:pt idx="83">
                  <c:v>8.300000000000006E-2</c:v>
                </c:pt>
                <c:pt idx="84">
                  <c:v>8.4000000000000061E-2</c:v>
                </c:pt>
                <c:pt idx="85">
                  <c:v>8.5000000000000062E-2</c:v>
                </c:pt>
                <c:pt idx="86">
                  <c:v>8.6000000000000063E-2</c:v>
                </c:pt>
                <c:pt idx="87">
                  <c:v>8.7000000000000063E-2</c:v>
                </c:pt>
                <c:pt idx="88">
                  <c:v>8.8000000000000064E-2</c:v>
                </c:pt>
                <c:pt idx="89">
                  <c:v>8.9000000000000065E-2</c:v>
                </c:pt>
                <c:pt idx="90">
                  <c:v>9.0000000000000066E-2</c:v>
                </c:pt>
                <c:pt idx="91">
                  <c:v>9.1000000000000067E-2</c:v>
                </c:pt>
                <c:pt idx="92">
                  <c:v>9.2000000000000068E-2</c:v>
                </c:pt>
                <c:pt idx="93">
                  <c:v>9.3000000000000069E-2</c:v>
                </c:pt>
                <c:pt idx="94">
                  <c:v>9.400000000000007E-2</c:v>
                </c:pt>
                <c:pt idx="95">
                  <c:v>9.500000000000007E-2</c:v>
                </c:pt>
                <c:pt idx="96">
                  <c:v>9.6000000000000071E-2</c:v>
                </c:pt>
                <c:pt idx="97">
                  <c:v>9.7000000000000072E-2</c:v>
                </c:pt>
                <c:pt idx="98">
                  <c:v>9.8000000000000073E-2</c:v>
                </c:pt>
                <c:pt idx="99">
                  <c:v>9.9000000000000074E-2</c:v>
                </c:pt>
                <c:pt idx="100">
                  <c:v>0.10000000000000007</c:v>
                </c:pt>
              </c:numCache>
            </c:numRef>
          </c:xVal>
          <c:yVal>
            <c:numRef>
              <c:f>G.data!$P$4:$P$104</c:f>
              <c:numCache>
                <c:formatCode>0</c:formatCode>
                <c:ptCount val="101"/>
                <c:pt idx="0">
                  <c:v>705.55055578027441</c:v>
                </c:pt>
                <c:pt idx="1">
                  <c:v>995.92748369114463</c:v>
                </c:pt>
                <c:pt idx="2">
                  <c:v>1116.2057605917273</c:v>
                </c:pt>
                <c:pt idx="3">
                  <c:v>1208.4986139860687</c:v>
                </c:pt>
                <c:pt idx="4">
                  <c:v>1286.3051462030635</c:v>
                </c:pt>
                <c:pt idx="5">
                  <c:v>1354.8541208802176</c:v>
                </c:pt>
                <c:pt idx="6">
                  <c:v>1416.8271663431219</c:v>
                </c:pt>
                <c:pt idx="7">
                  <c:v>1473.817292821195</c:v>
                </c:pt>
                <c:pt idx="8">
                  <c:v>1526.86243460528</c:v>
                </c:pt>
                <c:pt idx="9">
                  <c:v>1576.6835433160311</c:v>
                </c:pt>
                <c:pt idx="10">
                  <c:v>1623.805539440146</c:v>
                </c:pt>
                <c:pt idx="11">
                  <c:v>1668.6246955444522</c:v>
                </c:pt>
                <c:pt idx="12">
                  <c:v>1711.4488759950143</c:v>
                </c:pt>
                <c:pt idx="13">
                  <c:v>1752.5229091605718</c:v>
                </c:pt>
                <c:pt idx="14">
                  <c:v>1792.0453009413293</c:v>
                </c:pt>
                <c:pt idx="15">
                  <c:v>1830.1796486609985</c:v>
                </c:pt>
                <c:pt idx="16">
                  <c:v>1867.0626750300501</c:v>
                </c:pt>
                <c:pt idx="17">
                  <c:v>1902.810030489215</c:v>
                </c:pt>
                <c:pt idx="18">
                  <c:v>1937.5205778209249</c:v>
                </c:pt>
                <c:pt idx="19">
                  <c:v>1971.2796177636496</c:v>
                </c:pt>
                <c:pt idx="20">
                  <c:v>2004.1613589854039</c:v>
                </c:pt>
                <c:pt idx="21">
                  <c:v>2036.2308381291289</c:v>
                </c:pt>
                <c:pt idx="22">
                  <c:v>2067.5454325619003</c:v>
                </c:pt>
                <c:pt idx="23">
                  <c:v>2098.1560666985588</c:v>
                </c:pt>
                <c:pt idx="24">
                  <c:v>2128.108184512259</c:v>
                </c:pt>
                <c:pt idx="25">
                  <c:v>2157.4425413451149</c:v>
                </c:pt>
                <c:pt idx="26">
                  <c:v>2186.1958544360195</c:v>
                </c:pt>
                <c:pt idx="27">
                  <c:v>2214.4013418071008</c:v>
                </c:pt>
                <c:pt idx="28">
                  <c:v>2242.0891720694563</c:v>
                </c:pt>
                <c:pt idx="29">
                  <c:v>2269.2868425110778</c:v>
                </c:pt>
                <c:pt idx="30">
                  <c:v>2296.0194989665324</c:v>
                </c:pt>
                <c:pt idx="31">
                  <c:v>2322.3102080639655</c:v>
                </c:pt>
                <c:pt idx="32">
                  <c:v>2348.1801902386724</c:v>
                </c:pt>
                <c:pt idx="33">
                  <c:v>2373.6490202099608</c:v>
                </c:pt>
                <c:pt idx="34">
                  <c:v>2398.7348003076595</c:v>
                </c:pt>
                <c:pt idx="35">
                  <c:v>2423.454311011496</c:v>
                </c:pt>
                <c:pt idx="36">
                  <c:v>2447.8231422612289</c:v>
                </c:pt>
                <c:pt idx="37">
                  <c:v>2471.8558084571578</c:v>
                </c:pt>
                <c:pt idx="38">
                  <c:v>2495.5658495605867</c:v>
                </c:pt>
                <c:pt idx="39">
                  <c:v>2518.9659202941457</c:v>
                </c:pt>
                <c:pt idx="40">
                  <c:v>2542.0678691105018</c:v>
                </c:pt>
                <c:pt idx="41">
                  <c:v>2564.8828083282683</c:v>
                </c:pt>
                <c:pt idx="42">
                  <c:v>2587.4211766134636</c:v>
                </c:pt>
                <c:pt idx="43">
                  <c:v>2609.6927948034199</c:v>
                </c:pt>
                <c:pt idx="44">
                  <c:v>2631.7069159201683</c:v>
                </c:pt>
                <c:pt idx="45">
                  <c:v>2653.4722700958337</c:v>
                </c:pt>
                <c:pt idx="46">
                  <c:v>2674.9971050287377</c:v>
                </c:pt>
                <c:pt idx="47">
                  <c:v>2696.28922250187</c:v>
                </c:pt>
                <c:pt idx="48">
                  <c:v>2717.3560114223355</c:v>
                </c:pt>
                <c:pt idx="49">
                  <c:v>2738.2044777783885</c:v>
                </c:pt>
                <c:pt idx="50">
                  <c:v>2758.8412718585146</c:v>
                </c:pt>
                <c:pt idx="51">
                  <c:v>2779.2727130322378</c:v>
                </c:pt>
                <c:pt idx="52">
                  <c:v>2799.5048123545021</c:v>
                </c:pt>
                <c:pt idx="53">
                  <c:v>2819.5432932227091</c:v>
                </c:pt>
                <c:pt idx="54">
                  <c:v>2839.3936102876878</c:v>
                </c:pt>
                <c:pt idx="55">
                  <c:v>2859.0609667956032</c:v>
                </c:pt>
                <c:pt idx="56">
                  <c:v>2878.5503305170605</c:v>
                </c:pt>
                <c:pt idx="57">
                  <c:v>2897.8664484016367</c:v>
                </c:pt>
                <c:pt idx="58">
                  <c:v>2917.0138600802193</c:v>
                </c:pt>
                <c:pt idx="59">
                  <c:v>2935.9969103240815</c:v>
                </c:pt>
                <c:pt idx="60">
                  <c:v>2954.8197605574501</c:v>
                </c:pt>
                <c:pt idx="61">
                  <c:v>2973.4863995101045</c:v>
                </c:pt>
                <c:pt idx="62">
                  <c:v>2992.000653087116</c:v>
                </c:pt>
                <c:pt idx="63">
                  <c:v>3010.3661935250557</c:v>
                </c:pt>
                <c:pt idx="64">
                  <c:v>3028.5865478965993</c:v>
                </c:pt>
                <c:pt idx="65">
                  <c:v>3046.6651060194031</c:v>
                </c:pt>
                <c:pt idx="66">
                  <c:v>3064.6051278194332</c:v>
                </c:pt>
                <c:pt idx="67">
                  <c:v>3082.4097501940892</c:v>
                </c:pt>
                <c:pt idx="68">
                  <c:v>3100.0819934159804</c:v>
                </c:pt>
                <c:pt idx="69">
                  <c:v>3117.6247671144329</c:v>
                </c:pt>
                <c:pt idx="70">
                  <c:v>3135.0408758682333</c:v>
                </c:pt>
                <c:pt idx="71">
                  <c:v>3152.3330244401004</c:v>
                </c:pt>
                <c:pt idx="72">
                  <c:v>3169.5038226804513</c:v>
                </c:pt>
                <c:pt idx="73">
                  <c:v>3186.555790125768</c:v>
                </c:pt>
                <c:pt idx="74">
                  <c:v>3203.4913603143905</c:v>
                </c:pt>
                <c:pt idx="75">
                  <c:v>3220.3128848407141</c:v>
                </c:pt>
                <c:pt idx="76">
                  <c:v>3237.0226371669469</c:v>
                </c:pt>
                <c:pt idx="77">
                  <c:v>3253.6228162098441</c:v>
                </c:pt>
                <c:pt idx="78">
                  <c:v>3270.1155497185036</c:v>
                </c:pt>
                <c:pt idx="79">
                  <c:v>3286.5028974578754</c:v>
                </c:pt>
                <c:pt idx="80">
                  <c:v>3302.786854211507</c:v>
                </c:pt>
                <c:pt idx="81">
                  <c:v>3318.969352615859</c:v>
                </c:pt>
                <c:pt idx="82">
                  <c:v>3335.0522658376576</c:v>
                </c:pt>
                <c:pt idx="83">
                  <c:v>3351.0374101047196</c:v>
                </c:pt>
                <c:pt idx="84">
                  <c:v>3366.9265471000053</c:v>
                </c:pt>
                <c:pt idx="85">
                  <c:v>3382.721386227729</c:v>
                </c:pt>
                <c:pt idx="86">
                  <c:v>3398.4235867599032</c:v>
                </c:pt>
                <c:pt idx="87">
                  <c:v>3414.0347598708054</c:v>
                </c:pt>
                <c:pt idx="88">
                  <c:v>3429.556470566597</c:v>
                </c:pt>
                <c:pt idx="89">
                  <c:v>3444.9902395164363</c:v>
                </c:pt>
                <c:pt idx="90">
                  <c:v>3460.3375447913413</c:v>
                </c:pt>
                <c:pt idx="91">
                  <c:v>3475.599823516317</c:v>
                </c:pt>
                <c:pt idx="92">
                  <c:v>3490.7784734409597</c:v>
                </c:pt>
                <c:pt idx="93">
                  <c:v>3505.8748544335181</c:v>
                </c:pt>
                <c:pt idx="94">
                  <c:v>3520.8902899027726</c:v>
                </c:pt>
                <c:pt idx="95">
                  <c:v>3535.8260681520824</c:v>
                </c:pt>
                <c:pt idx="96">
                  <c:v>3550.6834436694116</c:v>
                </c:pt>
                <c:pt idx="97">
                  <c:v>3565.4636383570605</c:v>
                </c:pt>
                <c:pt idx="98">
                  <c:v>3580.1678427044885</c:v>
                </c:pt>
                <c:pt idx="99">
                  <c:v>3594.7972169074169</c:v>
                </c:pt>
                <c:pt idx="100">
                  <c:v>3609.3528919361675</c:v>
                </c:pt>
              </c:numCache>
            </c:numRef>
          </c:yVal>
          <c:smooth val="0"/>
          <c:extLst>
            <c:ext xmlns:c16="http://schemas.microsoft.com/office/drawing/2014/chart" uri="{C3380CC4-5D6E-409C-BE32-E72D297353CC}">
              <c16:uniqueId val="{00000000-113F-4F38-AD69-3A4098733DD8}"/>
            </c:ext>
          </c:extLst>
        </c:ser>
        <c:ser>
          <c:idx val="1"/>
          <c:order val="1"/>
          <c:tx>
            <c:v>price</c:v>
          </c:tx>
          <c:spPr>
            <a:ln w="25400">
              <a:solidFill>
                <a:srgbClr val="FF0000"/>
              </a:solidFill>
              <a:prstDash val="solid"/>
            </a:ln>
          </c:spPr>
          <c:marker>
            <c:symbol val="none"/>
          </c:marker>
          <c:xVal>
            <c:numRef>
              <c:f>G.data!$M$4:$M$104</c:f>
              <c:numCache>
                <c:formatCode>0.0%</c:formatCode>
                <c:ptCount val="101"/>
                <c:pt idx="0">
                  <c:v>0</c:v>
                </c:pt>
                <c:pt idx="1">
                  <c:v>1E-3</c:v>
                </c:pt>
                <c:pt idx="2">
                  <c:v>2E-3</c:v>
                </c:pt>
                <c:pt idx="3">
                  <c:v>3.0000000000000001E-3</c:v>
                </c:pt>
                <c:pt idx="4">
                  <c:v>4.0000000000000001E-3</c:v>
                </c:pt>
                <c:pt idx="5">
                  <c:v>5.0000000000000001E-3</c:v>
                </c:pt>
                <c:pt idx="6">
                  <c:v>6.0000000000000001E-3</c:v>
                </c:pt>
                <c:pt idx="7">
                  <c:v>7.0000000000000001E-3</c:v>
                </c:pt>
                <c:pt idx="8">
                  <c:v>8.0000000000000002E-3</c:v>
                </c:pt>
                <c:pt idx="9">
                  <c:v>9.0000000000000011E-3</c:v>
                </c:pt>
                <c:pt idx="10">
                  <c:v>1.0000000000000002E-2</c:v>
                </c:pt>
                <c:pt idx="11">
                  <c:v>1.1000000000000003E-2</c:v>
                </c:pt>
                <c:pt idx="12">
                  <c:v>1.2000000000000004E-2</c:v>
                </c:pt>
                <c:pt idx="13">
                  <c:v>1.3000000000000005E-2</c:v>
                </c:pt>
                <c:pt idx="14">
                  <c:v>1.4000000000000005E-2</c:v>
                </c:pt>
                <c:pt idx="15">
                  <c:v>1.5000000000000006E-2</c:v>
                </c:pt>
                <c:pt idx="16">
                  <c:v>1.6000000000000007E-2</c:v>
                </c:pt>
                <c:pt idx="17">
                  <c:v>1.7000000000000008E-2</c:v>
                </c:pt>
                <c:pt idx="18">
                  <c:v>1.8000000000000009E-2</c:v>
                </c:pt>
                <c:pt idx="19">
                  <c:v>1.900000000000001E-2</c:v>
                </c:pt>
                <c:pt idx="20">
                  <c:v>2.0000000000000011E-2</c:v>
                </c:pt>
                <c:pt idx="21">
                  <c:v>2.1000000000000012E-2</c:v>
                </c:pt>
                <c:pt idx="22">
                  <c:v>2.2000000000000013E-2</c:v>
                </c:pt>
                <c:pt idx="23">
                  <c:v>2.3000000000000013E-2</c:v>
                </c:pt>
                <c:pt idx="24">
                  <c:v>2.4000000000000014E-2</c:v>
                </c:pt>
                <c:pt idx="25">
                  <c:v>2.5000000000000015E-2</c:v>
                </c:pt>
                <c:pt idx="26">
                  <c:v>2.6000000000000016E-2</c:v>
                </c:pt>
                <c:pt idx="27">
                  <c:v>2.7000000000000017E-2</c:v>
                </c:pt>
                <c:pt idx="28">
                  <c:v>2.8000000000000018E-2</c:v>
                </c:pt>
                <c:pt idx="29">
                  <c:v>2.9000000000000019E-2</c:v>
                </c:pt>
                <c:pt idx="30">
                  <c:v>3.000000000000002E-2</c:v>
                </c:pt>
                <c:pt idx="31">
                  <c:v>3.1000000000000021E-2</c:v>
                </c:pt>
                <c:pt idx="32">
                  <c:v>3.2000000000000021E-2</c:v>
                </c:pt>
                <c:pt idx="33">
                  <c:v>3.3000000000000022E-2</c:v>
                </c:pt>
                <c:pt idx="34">
                  <c:v>3.4000000000000023E-2</c:v>
                </c:pt>
                <c:pt idx="35">
                  <c:v>3.5000000000000024E-2</c:v>
                </c:pt>
                <c:pt idx="36">
                  <c:v>3.6000000000000025E-2</c:v>
                </c:pt>
                <c:pt idx="37">
                  <c:v>3.7000000000000026E-2</c:v>
                </c:pt>
                <c:pt idx="38">
                  <c:v>3.8000000000000027E-2</c:v>
                </c:pt>
                <c:pt idx="39">
                  <c:v>3.9000000000000028E-2</c:v>
                </c:pt>
                <c:pt idx="40">
                  <c:v>4.0000000000000029E-2</c:v>
                </c:pt>
                <c:pt idx="41">
                  <c:v>4.1000000000000029E-2</c:v>
                </c:pt>
                <c:pt idx="42">
                  <c:v>4.200000000000003E-2</c:v>
                </c:pt>
                <c:pt idx="43">
                  <c:v>4.3000000000000031E-2</c:v>
                </c:pt>
                <c:pt idx="44">
                  <c:v>4.4000000000000032E-2</c:v>
                </c:pt>
                <c:pt idx="45">
                  <c:v>4.5000000000000033E-2</c:v>
                </c:pt>
                <c:pt idx="46">
                  <c:v>4.6000000000000034E-2</c:v>
                </c:pt>
                <c:pt idx="47">
                  <c:v>4.7000000000000035E-2</c:v>
                </c:pt>
                <c:pt idx="48">
                  <c:v>4.8000000000000036E-2</c:v>
                </c:pt>
                <c:pt idx="49">
                  <c:v>4.9000000000000037E-2</c:v>
                </c:pt>
                <c:pt idx="50">
                  <c:v>5.0000000000000037E-2</c:v>
                </c:pt>
                <c:pt idx="51">
                  <c:v>5.1000000000000038E-2</c:v>
                </c:pt>
                <c:pt idx="52">
                  <c:v>5.2000000000000039E-2</c:v>
                </c:pt>
                <c:pt idx="53">
                  <c:v>5.300000000000004E-2</c:v>
                </c:pt>
                <c:pt idx="54">
                  <c:v>5.4000000000000041E-2</c:v>
                </c:pt>
                <c:pt idx="55">
                  <c:v>5.5000000000000042E-2</c:v>
                </c:pt>
                <c:pt idx="56">
                  <c:v>5.6000000000000043E-2</c:v>
                </c:pt>
                <c:pt idx="57">
                  <c:v>5.7000000000000044E-2</c:v>
                </c:pt>
                <c:pt idx="58">
                  <c:v>5.8000000000000045E-2</c:v>
                </c:pt>
                <c:pt idx="59">
                  <c:v>5.9000000000000045E-2</c:v>
                </c:pt>
                <c:pt idx="60">
                  <c:v>6.0000000000000046E-2</c:v>
                </c:pt>
                <c:pt idx="61">
                  <c:v>6.1000000000000047E-2</c:v>
                </c:pt>
                <c:pt idx="62">
                  <c:v>6.2000000000000048E-2</c:v>
                </c:pt>
                <c:pt idx="63">
                  <c:v>6.3000000000000042E-2</c:v>
                </c:pt>
                <c:pt idx="64">
                  <c:v>6.4000000000000043E-2</c:v>
                </c:pt>
                <c:pt idx="65">
                  <c:v>6.5000000000000044E-2</c:v>
                </c:pt>
                <c:pt idx="66">
                  <c:v>6.6000000000000045E-2</c:v>
                </c:pt>
                <c:pt idx="67">
                  <c:v>6.7000000000000046E-2</c:v>
                </c:pt>
                <c:pt idx="68">
                  <c:v>6.8000000000000047E-2</c:v>
                </c:pt>
                <c:pt idx="69">
                  <c:v>6.9000000000000047E-2</c:v>
                </c:pt>
                <c:pt idx="70">
                  <c:v>7.0000000000000048E-2</c:v>
                </c:pt>
                <c:pt idx="71">
                  <c:v>7.1000000000000049E-2</c:v>
                </c:pt>
                <c:pt idx="72">
                  <c:v>7.200000000000005E-2</c:v>
                </c:pt>
                <c:pt idx="73">
                  <c:v>7.3000000000000051E-2</c:v>
                </c:pt>
                <c:pt idx="74">
                  <c:v>7.4000000000000052E-2</c:v>
                </c:pt>
                <c:pt idx="75">
                  <c:v>7.5000000000000053E-2</c:v>
                </c:pt>
                <c:pt idx="76">
                  <c:v>7.6000000000000054E-2</c:v>
                </c:pt>
                <c:pt idx="77">
                  <c:v>7.7000000000000055E-2</c:v>
                </c:pt>
                <c:pt idx="78">
                  <c:v>7.8000000000000055E-2</c:v>
                </c:pt>
                <c:pt idx="79">
                  <c:v>7.9000000000000056E-2</c:v>
                </c:pt>
                <c:pt idx="80">
                  <c:v>8.0000000000000057E-2</c:v>
                </c:pt>
                <c:pt idx="81">
                  <c:v>8.1000000000000058E-2</c:v>
                </c:pt>
                <c:pt idx="82">
                  <c:v>8.2000000000000059E-2</c:v>
                </c:pt>
                <c:pt idx="83">
                  <c:v>8.300000000000006E-2</c:v>
                </c:pt>
                <c:pt idx="84">
                  <c:v>8.4000000000000061E-2</c:v>
                </c:pt>
                <c:pt idx="85">
                  <c:v>8.5000000000000062E-2</c:v>
                </c:pt>
                <c:pt idx="86">
                  <c:v>8.6000000000000063E-2</c:v>
                </c:pt>
                <c:pt idx="87">
                  <c:v>8.7000000000000063E-2</c:v>
                </c:pt>
                <c:pt idx="88">
                  <c:v>8.8000000000000064E-2</c:v>
                </c:pt>
                <c:pt idx="89">
                  <c:v>8.9000000000000065E-2</c:v>
                </c:pt>
                <c:pt idx="90">
                  <c:v>9.0000000000000066E-2</c:v>
                </c:pt>
                <c:pt idx="91">
                  <c:v>9.1000000000000067E-2</c:v>
                </c:pt>
                <c:pt idx="92">
                  <c:v>9.2000000000000068E-2</c:v>
                </c:pt>
                <c:pt idx="93">
                  <c:v>9.3000000000000069E-2</c:v>
                </c:pt>
                <c:pt idx="94">
                  <c:v>9.400000000000007E-2</c:v>
                </c:pt>
                <c:pt idx="95">
                  <c:v>9.500000000000007E-2</c:v>
                </c:pt>
                <c:pt idx="96">
                  <c:v>9.6000000000000071E-2</c:v>
                </c:pt>
                <c:pt idx="97">
                  <c:v>9.7000000000000072E-2</c:v>
                </c:pt>
                <c:pt idx="98">
                  <c:v>9.8000000000000073E-2</c:v>
                </c:pt>
                <c:pt idx="99">
                  <c:v>9.9000000000000074E-2</c:v>
                </c:pt>
                <c:pt idx="100">
                  <c:v>0.10000000000000007</c:v>
                </c:pt>
              </c:numCache>
            </c:numRef>
          </c:xVal>
          <c:yVal>
            <c:numRef>
              <c:f>G.data!$O$4:$O$104</c:f>
              <c:numCache>
                <c:formatCode>#,##0</c:formatCode>
                <c:ptCount val="101"/>
                <c:pt idx="0">
                  <c:v>4511.6911149202087</c:v>
                </c:pt>
                <c:pt idx="1">
                  <c:v>2252.9185005142281</c:v>
                </c:pt>
                <c:pt idx="2">
                  <c:v>1317.3025756348015</c:v>
                </c:pt>
                <c:pt idx="3">
                  <c:v>599.37856131189801</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numCache>
            </c:numRef>
          </c:yVal>
          <c:smooth val="0"/>
          <c:extLst>
            <c:ext xmlns:c16="http://schemas.microsoft.com/office/drawing/2014/chart" uri="{C3380CC4-5D6E-409C-BE32-E72D297353CC}">
              <c16:uniqueId val="{00000001-113F-4F38-AD69-3A4098733DD8}"/>
            </c:ext>
          </c:extLst>
        </c:ser>
        <c:ser>
          <c:idx val="2"/>
          <c:order val="2"/>
          <c:tx>
            <c:v>R-Value = 0</c:v>
          </c:tx>
          <c:spPr>
            <a:ln w="12700">
              <a:solidFill>
                <a:srgbClr val="0000FF"/>
              </a:solidFill>
              <a:prstDash val="solid"/>
            </a:ln>
          </c:spPr>
          <c:marker>
            <c:symbol val="none"/>
          </c:marker>
          <c:xVal>
            <c:numRef>
              <c:f>G.data!$Q$4:$Q$5</c:f>
              <c:numCache>
                <c:formatCode>General</c:formatCode>
                <c:ptCount val="2"/>
                <c:pt idx="0">
                  <c:v>0</c:v>
                </c:pt>
                <c:pt idx="1">
                  <c:v>0.1</c:v>
                </c:pt>
              </c:numCache>
            </c:numRef>
          </c:xVal>
          <c:yVal>
            <c:numRef>
              <c:f>G.data!$R$4:$R$5</c:f>
              <c:numCache>
                <c:formatCode>General</c:formatCode>
                <c:ptCount val="2"/>
                <c:pt idx="0">
                  <c:v>1285.5518349164797</c:v>
                </c:pt>
                <c:pt idx="1">
                  <c:v>1285.5518349164797</c:v>
                </c:pt>
              </c:numCache>
            </c:numRef>
          </c:yVal>
          <c:smooth val="0"/>
          <c:extLst>
            <c:ext xmlns:c16="http://schemas.microsoft.com/office/drawing/2014/chart" uri="{C3380CC4-5D6E-409C-BE32-E72D297353CC}">
              <c16:uniqueId val="{00000002-113F-4F38-AD69-3A4098733DD8}"/>
            </c:ext>
          </c:extLst>
        </c:ser>
        <c:dLbls>
          <c:showLegendKey val="0"/>
          <c:showVal val="0"/>
          <c:showCatName val="0"/>
          <c:showSerName val="0"/>
          <c:showPercent val="0"/>
          <c:showBubbleSize val="0"/>
        </c:dLbls>
        <c:axId val="192569360"/>
        <c:axId val="1"/>
      </c:scatterChart>
      <c:valAx>
        <c:axId val="192569360"/>
        <c:scaling>
          <c:orientation val="minMax"/>
          <c:max val="0.05"/>
        </c:scaling>
        <c:delete val="0"/>
        <c:axPos val="b"/>
        <c:numFmt formatCode="0.0%" sourceLinked="1"/>
        <c:majorTickMark val="out"/>
        <c:minorTickMark val="none"/>
        <c:tickLblPos val="nextTo"/>
        <c:spPr>
          <a:ln w="3175">
            <a:solidFill>
              <a:srgbClr val="000000"/>
            </a:solidFill>
            <a:prstDash val="solid"/>
          </a:ln>
        </c:spPr>
        <c:txPr>
          <a:bodyPr rot="0" vert="horz"/>
          <a:lstStyle/>
          <a:p>
            <a:pPr>
              <a:defRPr sz="925" b="0" i="0" u="none" strike="noStrike" baseline="0">
                <a:solidFill>
                  <a:srgbClr val="000000"/>
                </a:solidFill>
                <a:latin typeface="Arial"/>
                <a:ea typeface="Arial"/>
                <a:cs typeface="Arial"/>
              </a:defRPr>
            </a:pPr>
            <a:endParaRPr lang="en-US"/>
          </a:p>
        </c:txPr>
        <c:crossAx val="1"/>
        <c:crossesAt val="0"/>
        <c:crossBetween val="midCat"/>
        <c:majorUnit val="0.01"/>
      </c:valAx>
      <c:valAx>
        <c:axId val="1"/>
        <c:scaling>
          <c:orientation val="minMax"/>
          <c:min val="0"/>
        </c:scaling>
        <c:delete val="0"/>
        <c:axPos val="l"/>
        <c:numFmt formatCode="0" sourceLinked="1"/>
        <c:majorTickMark val="out"/>
        <c:minorTickMark val="none"/>
        <c:tickLblPos val="nextTo"/>
        <c:spPr>
          <a:ln w="3175">
            <a:solidFill>
              <a:srgbClr val="000000"/>
            </a:solidFill>
            <a:prstDash val="solid"/>
          </a:ln>
        </c:spPr>
        <c:txPr>
          <a:bodyPr rot="0" vert="horz"/>
          <a:lstStyle/>
          <a:p>
            <a:pPr>
              <a:defRPr sz="925" b="0" i="0" u="none" strike="noStrike" baseline="0">
                <a:solidFill>
                  <a:srgbClr val="000000"/>
                </a:solidFill>
                <a:latin typeface="Arial"/>
                <a:ea typeface="Arial"/>
                <a:cs typeface="Arial"/>
              </a:defRPr>
            </a:pPr>
            <a:endParaRPr lang="en-US"/>
          </a:p>
        </c:txPr>
        <c:crossAx val="192569360"/>
        <c:crossesAt val="0"/>
        <c:crossBetween val="midCat"/>
      </c:valAx>
      <c:spPr>
        <a:solidFill>
          <a:srgbClr val="C0C0C0"/>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verticalDpi="0"/>
  </c:printSettings>
</c:chartSpace>
</file>

<file path=xl/ctrlProps/ctrlProp1.xml><?xml version="1.0" encoding="utf-8"?>
<formControlPr xmlns="http://schemas.microsoft.com/office/spreadsheetml/2009/9/main" objectType="Button" lockText="1"/>
</file>

<file path=xl/ctrlProps/ctrlProp10.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ctrlProps/ctrlProp7.xml><?xml version="1.0" encoding="utf-8"?>
<formControlPr xmlns="http://schemas.microsoft.com/office/spreadsheetml/2009/9/main" objectType="Button" lockText="1"/>
</file>

<file path=xl/ctrlProps/ctrlProp8.xml><?xml version="1.0" encoding="utf-8"?>
<formControlPr xmlns="http://schemas.microsoft.com/office/spreadsheetml/2009/9/main" objectType="Button" lockText="1"/>
</file>

<file path=xl/ctrlProps/ctrlProp9.xml><?xml version="1.0" encoding="utf-8"?>
<formControlPr xmlns="http://schemas.microsoft.com/office/spreadsheetml/2009/9/main" objectType="Button" lockText="1"/>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175260</xdr:colOff>
      <xdr:row>0</xdr:row>
      <xdr:rowOff>91440</xdr:rowOff>
    </xdr:from>
    <xdr:to>
      <xdr:col>6</xdr:col>
      <xdr:colOff>152400</xdr:colOff>
      <xdr:row>22</xdr:row>
      <xdr:rowOff>350520</xdr:rowOff>
    </xdr:to>
    <xdr:graphicFrame macro="">
      <xdr:nvGraphicFramePr>
        <xdr:cNvPr id="1030"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167640</xdr:colOff>
      <xdr:row>0</xdr:row>
      <xdr:rowOff>91440</xdr:rowOff>
    </xdr:from>
    <xdr:to>
      <xdr:col>3</xdr:col>
      <xdr:colOff>152400</xdr:colOff>
      <xdr:row>22</xdr:row>
      <xdr:rowOff>350520</xdr:rowOff>
    </xdr:to>
    <xdr:graphicFrame macro="">
      <xdr:nvGraphicFramePr>
        <xdr:cNvPr id="1025"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175260</xdr:colOff>
      <xdr:row>0</xdr:row>
      <xdr:rowOff>91440</xdr:rowOff>
    </xdr:from>
    <xdr:to>
      <xdr:col>9</xdr:col>
      <xdr:colOff>144780</xdr:colOff>
      <xdr:row>22</xdr:row>
      <xdr:rowOff>350520</xdr:rowOff>
    </xdr:to>
    <xdr:graphicFrame macro="">
      <xdr:nvGraphicFramePr>
        <xdr:cNvPr id="1026"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182880</xdr:colOff>
      <xdr:row>0</xdr:row>
      <xdr:rowOff>99060</xdr:rowOff>
    </xdr:from>
    <xdr:to>
      <xdr:col>1</xdr:col>
      <xdr:colOff>480060</xdr:colOff>
      <xdr:row>1</xdr:row>
      <xdr:rowOff>91440</xdr:rowOff>
    </xdr:to>
    <xdr:sp macro="" textlink="">
      <xdr:nvSpPr>
        <xdr:cNvPr id="1027" name="Text Box 3"/>
        <xdr:cNvSpPr txBox="1">
          <a:spLocks noChangeArrowheads="1"/>
        </xdr:cNvSpPr>
      </xdr:nvSpPr>
      <xdr:spPr bwMode="auto">
        <a:xfrm>
          <a:off x="182880" y="99060"/>
          <a:ext cx="548640" cy="1600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27432" rIns="0" bIns="0" anchor="t" upright="1"/>
        <a:lstStyle/>
        <a:p>
          <a:pPr algn="l" rtl="0">
            <a:defRPr sz="1000"/>
          </a:pPr>
          <a:r>
            <a:rPr lang="en-US" sz="1000" b="1" i="0" u="none" strike="noStrike" baseline="0">
              <a:solidFill>
                <a:srgbClr val="000000"/>
              </a:solidFill>
              <a:latin typeface="Arial"/>
              <a:cs typeface="Arial"/>
            </a:rPr>
            <a:t>GWs</a:t>
          </a:r>
        </a:p>
      </xdr:txBody>
    </xdr:sp>
    <xdr:clientData/>
  </xdr:twoCellAnchor>
  <xdr:twoCellAnchor>
    <xdr:from>
      <xdr:col>2</xdr:col>
      <xdr:colOff>1630680</xdr:colOff>
      <xdr:row>22</xdr:row>
      <xdr:rowOff>190500</xdr:rowOff>
    </xdr:from>
    <xdr:to>
      <xdr:col>3</xdr:col>
      <xdr:colOff>144780</xdr:colOff>
      <xdr:row>22</xdr:row>
      <xdr:rowOff>373380</xdr:rowOff>
    </xdr:to>
    <xdr:sp macro="" textlink="">
      <xdr:nvSpPr>
        <xdr:cNvPr id="1028" name="Text Box 4"/>
        <xdr:cNvSpPr txBox="1">
          <a:spLocks noChangeArrowheads="1"/>
        </xdr:cNvSpPr>
      </xdr:nvSpPr>
      <xdr:spPr bwMode="auto">
        <a:xfrm>
          <a:off x="2545080" y="3878580"/>
          <a:ext cx="754380" cy="18288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27432" rIns="0" bIns="0" anchor="t" upright="1"/>
        <a:lstStyle/>
        <a:p>
          <a:pPr algn="l" rtl="0">
            <a:defRPr sz="1000"/>
          </a:pPr>
          <a:r>
            <a:rPr lang="en-US" sz="1000" b="1" i="0" u="none" strike="noStrike" baseline="0">
              <a:solidFill>
                <a:srgbClr val="000000"/>
              </a:solidFill>
              <a:latin typeface="Arial"/>
              <a:cs typeface="Arial"/>
            </a:rPr>
            <a:t>Duration</a:t>
          </a:r>
        </a:p>
      </xdr:txBody>
    </xdr:sp>
    <xdr:clientData/>
  </xdr:twoCellAnchor>
  <xdr:twoCellAnchor>
    <xdr:from>
      <xdr:col>1</xdr:col>
      <xdr:colOff>350520</xdr:colOff>
      <xdr:row>18</xdr:row>
      <xdr:rowOff>38100</xdr:rowOff>
    </xdr:from>
    <xdr:to>
      <xdr:col>2</xdr:col>
      <xdr:colOff>2156460</xdr:colOff>
      <xdr:row>21</xdr:row>
      <xdr:rowOff>137160</xdr:rowOff>
    </xdr:to>
    <xdr:sp macro="" textlink="">
      <xdr:nvSpPr>
        <xdr:cNvPr id="1029" name="Text Box 5"/>
        <xdr:cNvSpPr txBox="1">
          <a:spLocks noChangeArrowheads="1"/>
        </xdr:cNvSpPr>
      </xdr:nvSpPr>
      <xdr:spPr bwMode="auto">
        <a:xfrm>
          <a:off x="601980" y="3055620"/>
          <a:ext cx="2468880" cy="60198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27432" rIns="0" bIns="0" anchor="t" upright="1"/>
        <a:lstStyle/>
        <a:p>
          <a:pPr algn="l" rtl="0">
            <a:defRPr sz="1000"/>
          </a:pPr>
          <a:r>
            <a:rPr lang="en-US" sz="1000" b="1" i="0" u="none" strike="noStrike" baseline="0">
              <a:solidFill>
                <a:srgbClr val="0000FF"/>
              </a:solidFill>
              <a:latin typeface="Arial"/>
              <a:cs typeface="Arial"/>
            </a:rPr>
            <a:t>Available Capacity</a:t>
          </a:r>
          <a:endParaRPr lang="en-US" sz="1000" b="1" i="0" u="none" strike="noStrike" baseline="0">
            <a:solidFill>
              <a:srgbClr val="000000"/>
            </a:solidFill>
            <a:latin typeface="Arial"/>
            <a:cs typeface="Arial"/>
          </a:endParaRPr>
        </a:p>
        <a:p>
          <a:pPr algn="l" rtl="0">
            <a:defRPr sz="1000"/>
          </a:pPr>
          <a:r>
            <a:rPr lang="en-US" sz="1000" b="1" i="0" u="none" strike="noStrike" baseline="0">
              <a:solidFill>
                <a:srgbClr val="FF0000"/>
              </a:solidFill>
              <a:latin typeface="Arial"/>
              <a:cs typeface="Arial"/>
            </a:rPr>
            <a:t>Load + "Required" Reserves</a:t>
          </a:r>
          <a:endParaRPr lang="en-US" sz="1000" b="1" i="0" u="none" strike="noStrike" baseline="0">
            <a:solidFill>
              <a:srgbClr val="000000"/>
            </a:solidFill>
            <a:latin typeface="Arial"/>
            <a:cs typeface="Arial"/>
          </a:endParaRPr>
        </a:p>
        <a:p>
          <a:pPr algn="l" rtl="0">
            <a:defRPr sz="1000"/>
          </a:pPr>
          <a:r>
            <a:rPr lang="en-US" sz="1000" b="1" i="0" u="none" strike="noStrike" baseline="0">
              <a:solidFill>
                <a:srgbClr val="000000"/>
              </a:solidFill>
              <a:latin typeface="Arial"/>
              <a:cs typeface="Arial"/>
            </a:rPr>
            <a:t>Load</a:t>
          </a:r>
        </a:p>
      </xdr:txBody>
    </xdr:sp>
    <xdr:clientData/>
  </xdr:twoCellAnchor>
  <xdr:twoCellAnchor>
    <xdr:from>
      <xdr:col>8</xdr:col>
      <xdr:colOff>1623060</xdr:colOff>
      <xdr:row>22</xdr:row>
      <xdr:rowOff>167640</xdr:rowOff>
    </xdr:from>
    <xdr:to>
      <xdr:col>9</xdr:col>
      <xdr:colOff>76200</xdr:colOff>
      <xdr:row>22</xdr:row>
      <xdr:rowOff>358140</xdr:rowOff>
    </xdr:to>
    <xdr:sp macro="" textlink="">
      <xdr:nvSpPr>
        <xdr:cNvPr id="1031" name="Text Box 7"/>
        <xdr:cNvSpPr txBox="1">
          <a:spLocks noChangeArrowheads="1"/>
        </xdr:cNvSpPr>
      </xdr:nvSpPr>
      <xdr:spPr bwMode="auto">
        <a:xfrm>
          <a:off x="8846820" y="3855720"/>
          <a:ext cx="69342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27432" rIns="0" bIns="0" anchor="t" upright="1"/>
        <a:lstStyle/>
        <a:p>
          <a:pPr algn="l" rtl="0">
            <a:defRPr sz="1000"/>
          </a:pPr>
          <a:r>
            <a:rPr lang="en-US" sz="1000" b="1" i="0" u="none" strike="noStrike" baseline="0">
              <a:solidFill>
                <a:srgbClr val="000000"/>
              </a:solidFill>
              <a:latin typeface="Arial"/>
              <a:cs typeface="Arial"/>
            </a:rPr>
            <a:t>Duration</a:t>
          </a:r>
        </a:p>
      </xdr:txBody>
    </xdr:sp>
    <xdr:clientData/>
  </xdr:twoCellAnchor>
  <xdr:twoCellAnchor>
    <xdr:from>
      <xdr:col>5</xdr:col>
      <xdr:colOff>1554480</xdr:colOff>
      <xdr:row>22</xdr:row>
      <xdr:rowOff>182880</xdr:rowOff>
    </xdr:from>
    <xdr:to>
      <xdr:col>6</xdr:col>
      <xdr:colOff>137160</xdr:colOff>
      <xdr:row>22</xdr:row>
      <xdr:rowOff>358140</xdr:rowOff>
    </xdr:to>
    <xdr:sp macro="" textlink="">
      <xdr:nvSpPr>
        <xdr:cNvPr id="1032" name="Text Box 8"/>
        <xdr:cNvSpPr txBox="1">
          <a:spLocks noChangeArrowheads="1"/>
        </xdr:cNvSpPr>
      </xdr:nvSpPr>
      <xdr:spPr bwMode="auto">
        <a:xfrm>
          <a:off x="5623560" y="3870960"/>
          <a:ext cx="822960" cy="17526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27432" rIns="0" bIns="0" anchor="t" upright="1"/>
        <a:lstStyle/>
        <a:p>
          <a:pPr algn="l" rtl="0">
            <a:defRPr sz="1000"/>
          </a:pPr>
          <a:r>
            <a:rPr lang="en-US" sz="1000" b="1" i="0" u="none" strike="noStrike" baseline="0">
              <a:solidFill>
                <a:srgbClr val="000000"/>
              </a:solidFill>
              <a:latin typeface="Arial"/>
              <a:cs typeface="Arial"/>
            </a:rPr>
            <a:t>Reserves</a:t>
          </a:r>
        </a:p>
      </xdr:txBody>
    </xdr:sp>
    <xdr:clientData/>
  </xdr:twoCellAnchor>
  <xdr:twoCellAnchor>
    <xdr:from>
      <xdr:col>3</xdr:col>
      <xdr:colOff>190500</xdr:colOff>
      <xdr:row>0</xdr:row>
      <xdr:rowOff>106680</xdr:rowOff>
    </xdr:from>
    <xdr:to>
      <xdr:col>4</xdr:col>
      <xdr:colOff>563880</xdr:colOff>
      <xdr:row>2</xdr:row>
      <xdr:rowOff>0</xdr:rowOff>
    </xdr:to>
    <xdr:sp macro="" textlink="">
      <xdr:nvSpPr>
        <xdr:cNvPr id="1033" name="Text Box 9"/>
        <xdr:cNvSpPr txBox="1">
          <a:spLocks noChangeArrowheads="1"/>
        </xdr:cNvSpPr>
      </xdr:nvSpPr>
      <xdr:spPr bwMode="auto">
        <a:xfrm>
          <a:off x="3345180" y="106680"/>
          <a:ext cx="624840" cy="2286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27432" rIns="0" bIns="0" anchor="t" upright="1"/>
        <a:lstStyle/>
        <a:p>
          <a:pPr algn="l" rtl="0">
            <a:defRPr sz="1000"/>
          </a:pPr>
          <a:r>
            <a:rPr lang="en-US" sz="1100" b="1" i="0" u="none" strike="noStrike" baseline="0">
              <a:solidFill>
                <a:srgbClr val="000000"/>
              </a:solidFill>
              <a:latin typeface="Arial"/>
              <a:cs typeface="Arial"/>
            </a:rPr>
            <a:t>$/MWh</a:t>
          </a:r>
        </a:p>
      </xdr:txBody>
    </xdr:sp>
    <xdr:clientData/>
  </xdr:twoCellAnchor>
  <xdr:twoCellAnchor>
    <xdr:from>
      <xdr:col>6</xdr:col>
      <xdr:colOff>182880</xdr:colOff>
      <xdr:row>0</xdr:row>
      <xdr:rowOff>99060</xdr:rowOff>
    </xdr:from>
    <xdr:to>
      <xdr:col>7</xdr:col>
      <xdr:colOff>457200</xdr:colOff>
      <xdr:row>1</xdr:row>
      <xdr:rowOff>144780</xdr:rowOff>
    </xdr:to>
    <xdr:sp macro="" textlink="">
      <xdr:nvSpPr>
        <xdr:cNvPr id="1034" name="Text Box 10"/>
        <xdr:cNvSpPr txBox="1">
          <a:spLocks noChangeArrowheads="1"/>
        </xdr:cNvSpPr>
      </xdr:nvSpPr>
      <xdr:spPr bwMode="auto">
        <a:xfrm>
          <a:off x="6492240" y="99060"/>
          <a:ext cx="525780" cy="21336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27432" rIns="0" bIns="0" anchor="t" upright="1"/>
        <a:lstStyle/>
        <a:p>
          <a:pPr algn="l" rtl="0">
            <a:defRPr sz="1000"/>
          </a:pPr>
          <a:r>
            <a:rPr lang="en-US" sz="1100" b="1" i="0" u="none" strike="noStrike" baseline="0">
              <a:solidFill>
                <a:srgbClr val="000000"/>
              </a:solidFill>
              <a:latin typeface="Arial"/>
              <a:cs typeface="Arial"/>
            </a:rPr>
            <a:t>$/MWh</a:t>
          </a:r>
        </a:p>
      </xdr:txBody>
    </xdr:sp>
    <xdr:clientData/>
  </xdr:twoCellAnchor>
  <xdr:twoCellAnchor>
    <xdr:from>
      <xdr:col>5</xdr:col>
      <xdr:colOff>99060</xdr:colOff>
      <xdr:row>2</xdr:row>
      <xdr:rowOff>99060</xdr:rowOff>
    </xdr:from>
    <xdr:to>
      <xdr:col>5</xdr:col>
      <xdr:colOff>2156460</xdr:colOff>
      <xdr:row>5</xdr:row>
      <xdr:rowOff>22860</xdr:rowOff>
    </xdr:to>
    <xdr:sp macro="" textlink="">
      <xdr:nvSpPr>
        <xdr:cNvPr id="1036" name="Text Box 12"/>
        <xdr:cNvSpPr txBox="1">
          <a:spLocks noChangeArrowheads="1"/>
        </xdr:cNvSpPr>
      </xdr:nvSpPr>
      <xdr:spPr bwMode="auto">
        <a:xfrm>
          <a:off x="4168140" y="434340"/>
          <a:ext cx="2057400" cy="4267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27432" rIns="36576" bIns="0" anchor="t" upright="1"/>
        <a:lstStyle/>
        <a:p>
          <a:pPr algn="r" rtl="0">
            <a:defRPr sz="1000"/>
          </a:pPr>
          <a:r>
            <a:rPr lang="en-US" sz="1000" b="1" i="0" u="none" strike="noStrike" baseline="0">
              <a:solidFill>
                <a:srgbClr val="FF0000"/>
              </a:solidFill>
              <a:latin typeface="Arial"/>
              <a:cs typeface="Arial"/>
            </a:rPr>
            <a:t>Reserves Price </a:t>
          </a:r>
          <a:endParaRPr lang="en-US" sz="1000" b="1" i="0" u="none" strike="noStrike" baseline="0">
            <a:solidFill>
              <a:srgbClr val="000000"/>
            </a:solidFill>
            <a:latin typeface="Arial"/>
            <a:cs typeface="Arial"/>
          </a:endParaRPr>
        </a:p>
        <a:p>
          <a:pPr algn="r" rtl="0">
            <a:defRPr sz="1000"/>
          </a:pPr>
          <a:r>
            <a:rPr lang="en-US" sz="1000" b="1" i="0" u="none" strike="noStrike" baseline="0">
              <a:solidFill>
                <a:srgbClr val="000000"/>
              </a:solidFill>
              <a:latin typeface="Arial"/>
              <a:cs typeface="Arial"/>
            </a:rPr>
            <a:t>Reserves Value</a:t>
          </a:r>
        </a:p>
      </xdr:txBody>
    </xdr:sp>
    <xdr:clientData/>
  </xdr:twoCellAnchor>
  <xdr:twoCellAnchor>
    <xdr:from>
      <xdr:col>2</xdr:col>
      <xdr:colOff>579120</xdr:colOff>
      <xdr:row>1</xdr:row>
      <xdr:rowOff>7620</xdr:rowOff>
    </xdr:from>
    <xdr:to>
      <xdr:col>2</xdr:col>
      <xdr:colOff>1493520</xdr:colOff>
      <xdr:row>2</xdr:row>
      <xdr:rowOff>22860</xdr:rowOff>
    </xdr:to>
    <xdr:sp macro="" textlink="">
      <xdr:nvSpPr>
        <xdr:cNvPr id="1037" name="Text Box 13"/>
        <xdr:cNvSpPr txBox="1">
          <a:spLocks noChangeArrowheads="1"/>
        </xdr:cNvSpPr>
      </xdr:nvSpPr>
      <xdr:spPr bwMode="auto">
        <a:xfrm>
          <a:off x="1493520" y="175260"/>
          <a:ext cx="914400" cy="18288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27432" rIns="0" bIns="0" anchor="t" upright="1"/>
        <a:lstStyle/>
        <a:p>
          <a:pPr algn="l" rtl="0">
            <a:defRPr sz="1000"/>
          </a:pPr>
          <a:r>
            <a:rPr lang="en-US" sz="1000" b="1" i="0" u="none" strike="noStrike" baseline="0">
              <a:solidFill>
                <a:srgbClr val="000000"/>
              </a:solidFill>
              <a:latin typeface="Arial"/>
              <a:cs typeface="Arial"/>
            </a:rPr>
            <a:t>The Market</a:t>
          </a:r>
        </a:p>
      </xdr:txBody>
    </xdr:sp>
    <xdr:clientData/>
  </xdr:twoCellAnchor>
  <xdr:twoCellAnchor>
    <xdr:from>
      <xdr:col>5</xdr:col>
      <xdr:colOff>441960</xdr:colOff>
      <xdr:row>1</xdr:row>
      <xdr:rowOff>0</xdr:rowOff>
    </xdr:from>
    <xdr:to>
      <xdr:col>5</xdr:col>
      <xdr:colOff>1645920</xdr:colOff>
      <xdr:row>2</xdr:row>
      <xdr:rowOff>30480</xdr:rowOff>
    </xdr:to>
    <xdr:sp macro="" textlink="">
      <xdr:nvSpPr>
        <xdr:cNvPr id="1038" name="Text Box 14"/>
        <xdr:cNvSpPr txBox="1">
          <a:spLocks noChangeArrowheads="1"/>
        </xdr:cNvSpPr>
      </xdr:nvSpPr>
      <xdr:spPr bwMode="auto">
        <a:xfrm>
          <a:off x="4511040" y="167640"/>
          <a:ext cx="1203960" cy="1981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27432" rIns="0" bIns="0" anchor="t" upright="1"/>
        <a:lstStyle/>
        <a:p>
          <a:pPr algn="l" rtl="0">
            <a:defRPr sz="1000"/>
          </a:pPr>
          <a:r>
            <a:rPr lang="en-US" sz="1000" b="1" i="0" u="none" strike="noStrike" baseline="0">
              <a:solidFill>
                <a:srgbClr val="000000"/>
              </a:solidFill>
              <a:latin typeface="Arial"/>
              <a:cs typeface="Arial"/>
            </a:rPr>
            <a:t>Reliability Policy</a:t>
          </a:r>
        </a:p>
      </xdr:txBody>
    </xdr:sp>
    <xdr:clientData/>
  </xdr:twoCellAnchor>
  <xdr:twoCellAnchor>
    <xdr:from>
      <xdr:col>8</xdr:col>
      <xdr:colOff>205740</xdr:colOff>
      <xdr:row>0</xdr:row>
      <xdr:rowOff>160020</xdr:rowOff>
    </xdr:from>
    <xdr:to>
      <xdr:col>8</xdr:col>
      <xdr:colOff>1722120</xdr:colOff>
      <xdr:row>2</xdr:row>
      <xdr:rowOff>30480</xdr:rowOff>
    </xdr:to>
    <xdr:sp macro="" textlink="">
      <xdr:nvSpPr>
        <xdr:cNvPr id="1039" name="Text Box 15"/>
        <xdr:cNvSpPr txBox="1">
          <a:spLocks noChangeArrowheads="1"/>
        </xdr:cNvSpPr>
      </xdr:nvSpPr>
      <xdr:spPr bwMode="auto">
        <a:xfrm>
          <a:off x="7429500" y="160020"/>
          <a:ext cx="1516380" cy="2057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27432" rIns="0" bIns="0" anchor="t" upright="1"/>
        <a:lstStyle/>
        <a:p>
          <a:pPr algn="l" rtl="0">
            <a:defRPr sz="1000"/>
          </a:pPr>
          <a:r>
            <a:rPr lang="en-US" sz="1000" b="1" i="0" u="none" strike="noStrike" baseline="0">
              <a:solidFill>
                <a:srgbClr val="000000"/>
              </a:solidFill>
              <a:latin typeface="Arial"/>
              <a:cs typeface="Arial"/>
            </a:rPr>
            <a:t>Resulting Price Spike</a:t>
          </a:r>
        </a:p>
      </xdr:txBody>
    </xdr:sp>
    <xdr:clientData/>
  </xdr:twoCellAnchor>
  <xdr:twoCellAnchor>
    <xdr:from>
      <xdr:col>8</xdr:col>
      <xdr:colOff>320040</xdr:colOff>
      <xdr:row>18</xdr:row>
      <xdr:rowOff>60960</xdr:rowOff>
    </xdr:from>
    <xdr:to>
      <xdr:col>8</xdr:col>
      <xdr:colOff>2164080</xdr:colOff>
      <xdr:row>21</xdr:row>
      <xdr:rowOff>76200</xdr:rowOff>
    </xdr:to>
    <xdr:sp macro="" textlink="">
      <xdr:nvSpPr>
        <xdr:cNvPr id="1035" name="Text Box 11"/>
        <xdr:cNvSpPr txBox="1">
          <a:spLocks noChangeArrowheads="1"/>
        </xdr:cNvSpPr>
      </xdr:nvSpPr>
      <xdr:spPr bwMode="auto">
        <a:xfrm>
          <a:off x="7543800" y="3078480"/>
          <a:ext cx="1844040" cy="51816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27432" rIns="36576" bIns="0" anchor="t" upright="1"/>
        <a:lstStyle/>
        <a:p>
          <a:pPr algn="r" rtl="0">
            <a:defRPr sz="1000"/>
          </a:pPr>
          <a:r>
            <a:rPr lang="en-US" sz="1000" b="1" i="0" u="none" strike="noStrike" baseline="0">
              <a:solidFill>
                <a:srgbClr val="FF0000"/>
              </a:solidFill>
              <a:latin typeface="Arial"/>
              <a:cs typeface="Arial"/>
            </a:rPr>
            <a:t>Price Spike</a:t>
          </a:r>
          <a:endParaRPr lang="en-US" sz="1000" b="1" i="0" u="none" strike="noStrike" baseline="0">
            <a:solidFill>
              <a:srgbClr val="0000FF"/>
            </a:solidFill>
            <a:latin typeface="Arial"/>
            <a:cs typeface="Arial"/>
          </a:endParaRPr>
        </a:p>
        <a:p>
          <a:pPr algn="r" rtl="0">
            <a:defRPr sz="1000"/>
          </a:pPr>
          <a:r>
            <a:rPr lang="en-US" sz="1000" b="1" i="0" u="none" strike="noStrike" baseline="0">
              <a:solidFill>
                <a:srgbClr val="000000"/>
              </a:solidFill>
              <a:latin typeface="Arial"/>
              <a:cs typeface="Arial"/>
            </a:rPr>
            <a:t>Reserves (no scale)</a:t>
          </a:r>
          <a:endParaRPr lang="en-US" sz="1000" b="1" i="0" u="none" strike="noStrike" baseline="0">
            <a:solidFill>
              <a:srgbClr val="0000FF"/>
            </a:solidFill>
            <a:latin typeface="Arial"/>
            <a:cs typeface="Arial"/>
          </a:endParaRPr>
        </a:p>
        <a:p>
          <a:pPr algn="r" rtl="0">
            <a:defRPr sz="1000"/>
          </a:pPr>
          <a:r>
            <a:rPr lang="en-US" sz="1000" b="1" i="0" u="none" strike="noStrike" baseline="0">
              <a:solidFill>
                <a:srgbClr val="0000FF"/>
              </a:solidFill>
              <a:latin typeface="Arial"/>
              <a:cs typeface="Arial"/>
            </a:rPr>
            <a:t>Res when Value = 0</a:t>
          </a:r>
        </a:p>
      </xdr:txBody>
    </xdr:sp>
    <xdr:clientData/>
  </xdr:twoCellAnchor>
  <mc:AlternateContent xmlns:mc="http://schemas.openxmlformats.org/markup-compatibility/2006">
    <mc:Choice xmlns:a14="http://schemas.microsoft.com/office/drawing/2010/main" Requires="a14">
      <xdr:twoCellAnchor>
        <xdr:from>
          <xdr:col>2</xdr:col>
          <xdr:colOff>1554480</xdr:colOff>
          <xdr:row>30</xdr:row>
          <xdr:rowOff>99060</xdr:rowOff>
        </xdr:from>
        <xdr:to>
          <xdr:col>2</xdr:col>
          <xdr:colOff>1965960</xdr:colOff>
          <xdr:row>31</xdr:row>
          <xdr:rowOff>160020</xdr:rowOff>
        </xdr:to>
        <xdr:sp macro="" textlink="">
          <xdr:nvSpPr>
            <xdr:cNvPr id="1040" name="Button 16" hidden="1">
              <a:extLst>
                <a:ext uri="{63B3BB69-23CF-44E3-9099-C40C66FF867C}">
                  <a14:compatExt spid="_x0000_s1040"/>
                </a:ext>
              </a:extLst>
            </xdr:cNvPr>
            <xdr:cNvSpPr/>
          </xdr:nvSpPr>
          <xdr:spPr bwMode="auto">
            <a:xfrm>
              <a:off x="0" y="0"/>
              <a:ext cx="0" cy="0"/>
            </a:xfrm>
            <a:prstGeom prst="rect">
              <a:avLst/>
            </a:prstGeom>
            <a:noFill/>
            <a:ln w="9525">
              <a:miter lim="800000"/>
              <a:headEnd/>
              <a:tailEnd/>
            </a:ln>
            <a:effectLst/>
            <a:extLst>
              <a:ext uri="{AF507438-7753-43E0-B8FC-AC1667EBCBE1}">
                <a14:hiddenEffects>
                  <a:effectLst>
                    <a:outerShdw dist="35921" dir="2700000" algn="ctr" rotWithShape="0">
                      <a:srgbClr val="808080"/>
                    </a:outerShdw>
                  </a:effectLst>
                </a14:hiddenEffects>
              </a:ext>
            </a:extLst>
          </xdr:spPr>
          <xdr:txBody>
            <a:bodyPr vertOverflow="clip" wrap="square" lIns="36576" tIns="27432" rIns="36576" bIns="27432" anchor="ctr" upright="1"/>
            <a:lstStyle/>
            <a:p>
              <a:pPr algn="ctr" rtl="0">
                <a:defRPr sz="1000"/>
              </a:pPr>
              <a:r>
                <a:rPr lang="en-US" sz="1000" b="1" i="0" u="none" strike="noStrike" baseline="0">
                  <a:solidFill>
                    <a:srgbClr val="000000"/>
                  </a:solidFill>
                  <a:latin typeface="Arial"/>
                  <a:cs typeface="Arial"/>
                </a:rPr>
                <a:t>R=V</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2057400</xdr:colOff>
          <xdr:row>30</xdr:row>
          <xdr:rowOff>99060</xdr:rowOff>
        </xdr:from>
        <xdr:to>
          <xdr:col>3</xdr:col>
          <xdr:colOff>182880</xdr:colOff>
          <xdr:row>31</xdr:row>
          <xdr:rowOff>160020</xdr:rowOff>
        </xdr:to>
        <xdr:sp macro="" textlink="">
          <xdr:nvSpPr>
            <xdr:cNvPr id="1042" name="Button 18" hidden="1">
              <a:extLst>
                <a:ext uri="{63B3BB69-23CF-44E3-9099-C40C66FF867C}">
                  <a14:compatExt spid="_x0000_s1042"/>
                </a:ext>
              </a:extLst>
            </xdr:cNvPr>
            <xdr:cNvSpPr/>
          </xdr:nvSpPr>
          <xdr:spPr bwMode="auto">
            <a:xfrm>
              <a:off x="0" y="0"/>
              <a:ext cx="0" cy="0"/>
            </a:xfrm>
            <a:prstGeom prst="rect">
              <a:avLst/>
            </a:prstGeom>
            <a:noFill/>
            <a:ln w="9525">
              <a:miter lim="800000"/>
              <a:headEnd/>
              <a:tailEnd/>
            </a:ln>
            <a:effectLst/>
            <a:extLst>
              <a:ext uri="{AF507438-7753-43E0-B8FC-AC1667EBCBE1}">
                <a14:hiddenEffects>
                  <a:effectLst>
                    <a:outerShdw dist="35921" dir="2700000" algn="ctr" rotWithShape="0">
                      <a:srgbClr val="808080"/>
                    </a:outerShdw>
                  </a:effectLst>
                </a14:hiddenEffects>
              </a:ext>
            </a:extLst>
          </xdr:spPr>
          <xdr:txBody>
            <a:bodyPr vertOverflow="clip" wrap="square" lIns="36576" tIns="27432" rIns="36576" bIns="27432" anchor="ctr" upright="1"/>
            <a:lstStyle/>
            <a:p>
              <a:pPr algn="ctr" rtl="0">
                <a:defRPr sz="1000"/>
              </a:pPr>
              <a:r>
                <a:rPr lang="en-US" sz="1000" b="1" i="0" u="none" strike="noStrike" baseline="0">
                  <a:solidFill>
                    <a:srgbClr val="000000"/>
                  </a:solidFill>
                  <a:latin typeface="Arial"/>
                  <a:cs typeface="Arial"/>
                </a:rPr>
                <a:t>Cap</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4</xdr:col>
          <xdr:colOff>22860</xdr:colOff>
          <xdr:row>30</xdr:row>
          <xdr:rowOff>99060</xdr:rowOff>
        </xdr:from>
        <xdr:to>
          <xdr:col>4</xdr:col>
          <xdr:colOff>388620</xdr:colOff>
          <xdr:row>31</xdr:row>
          <xdr:rowOff>160020</xdr:rowOff>
        </xdr:to>
        <xdr:sp macro="" textlink="">
          <xdr:nvSpPr>
            <xdr:cNvPr id="1043" name="Button 19" hidden="1">
              <a:extLst>
                <a:ext uri="{63B3BB69-23CF-44E3-9099-C40C66FF867C}">
                  <a14:compatExt spid="_x0000_s1043"/>
                </a:ext>
              </a:extLst>
            </xdr:cNvPr>
            <xdr:cNvSpPr/>
          </xdr:nvSpPr>
          <xdr:spPr bwMode="auto">
            <a:xfrm>
              <a:off x="0" y="0"/>
              <a:ext cx="0" cy="0"/>
            </a:xfrm>
            <a:prstGeom prst="rect">
              <a:avLst/>
            </a:prstGeom>
            <a:noFill/>
            <a:ln w="9525">
              <a:miter lim="800000"/>
              <a:headEnd/>
              <a:tailEnd/>
            </a:ln>
            <a:effectLst/>
            <a:extLst>
              <a:ext uri="{AF507438-7753-43E0-B8FC-AC1667EBCBE1}">
                <a14:hiddenEffects>
                  <a:effectLst>
                    <a:outerShdw dist="35921" dir="2700000" algn="ctr" rotWithShape="0">
                      <a:srgbClr val="808080"/>
                    </a:outerShdw>
                  </a:effectLst>
                </a14:hiddenEffects>
              </a:ext>
            </a:extLst>
          </xdr:spPr>
          <xdr:txBody>
            <a:bodyPr vertOverflow="clip" wrap="square" lIns="36576" tIns="27432" rIns="36576" bIns="27432" anchor="ctr" upright="1"/>
            <a:lstStyle/>
            <a:p>
              <a:pPr algn="ctr" rtl="0">
                <a:defRPr sz="1000"/>
              </a:pPr>
              <a:r>
                <a:rPr lang="en-US" sz="1000" b="1" i="0" u="none" strike="noStrike" baseline="0">
                  <a:solidFill>
                    <a:srgbClr val="000000"/>
                  </a:solidFill>
                  <a:latin typeface="Arial"/>
                  <a:cs typeface="Arial"/>
                </a:rPr>
                <a:t>Cap+</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4</xdr:col>
          <xdr:colOff>457200</xdr:colOff>
          <xdr:row>30</xdr:row>
          <xdr:rowOff>99060</xdr:rowOff>
        </xdr:from>
        <xdr:to>
          <xdr:col>5</xdr:col>
          <xdr:colOff>167640</xdr:colOff>
          <xdr:row>31</xdr:row>
          <xdr:rowOff>160020</xdr:rowOff>
        </xdr:to>
        <xdr:sp macro="" textlink="">
          <xdr:nvSpPr>
            <xdr:cNvPr id="1044" name="Button 20" hidden="1">
              <a:extLst>
                <a:ext uri="{63B3BB69-23CF-44E3-9099-C40C66FF867C}">
                  <a14:compatExt spid="_x0000_s1044"/>
                </a:ext>
              </a:extLst>
            </xdr:cNvPr>
            <xdr:cNvSpPr/>
          </xdr:nvSpPr>
          <xdr:spPr bwMode="auto">
            <a:xfrm>
              <a:off x="0" y="0"/>
              <a:ext cx="0" cy="0"/>
            </a:xfrm>
            <a:prstGeom prst="rect">
              <a:avLst/>
            </a:prstGeom>
            <a:noFill/>
            <a:ln w="9525">
              <a:miter lim="800000"/>
              <a:headEnd/>
              <a:tailEnd/>
            </a:ln>
            <a:effectLst/>
            <a:extLst>
              <a:ext uri="{AF507438-7753-43E0-B8FC-AC1667EBCBE1}">
                <a14:hiddenEffects>
                  <a:effectLst>
                    <a:outerShdw dist="35921" dir="2700000" algn="ctr" rotWithShape="0">
                      <a:srgbClr val="808080"/>
                    </a:outerShdw>
                  </a:effectLst>
                </a14:hiddenEffects>
              </a:ext>
            </a:extLst>
          </xdr:spPr>
          <xdr:txBody>
            <a:bodyPr vertOverflow="clip" wrap="square" lIns="36576" tIns="27432" rIns="36576" bIns="27432" anchor="ctr" upright="1"/>
            <a:lstStyle/>
            <a:p>
              <a:pPr algn="ctr" rtl="0">
                <a:defRPr sz="1000"/>
              </a:pPr>
              <a:r>
                <a:rPr lang="en-US" sz="1000" b="1" i="0" u="none" strike="noStrike" baseline="0">
                  <a:solidFill>
                    <a:srgbClr val="000000"/>
                  </a:solidFill>
                  <a:latin typeface="Arial"/>
                  <a:cs typeface="Arial"/>
                </a:rPr>
                <a:t>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5</xdr:col>
          <xdr:colOff>929640</xdr:colOff>
          <xdr:row>32</xdr:row>
          <xdr:rowOff>45720</xdr:rowOff>
        </xdr:from>
        <xdr:to>
          <xdr:col>5</xdr:col>
          <xdr:colOff>2179320</xdr:colOff>
          <xdr:row>33</xdr:row>
          <xdr:rowOff>137160</xdr:rowOff>
        </xdr:to>
        <xdr:sp macro="" textlink="">
          <xdr:nvSpPr>
            <xdr:cNvPr id="1077" name="Button 53" hidden="1">
              <a:extLst>
                <a:ext uri="{63B3BB69-23CF-44E3-9099-C40C66FF867C}">
                  <a14:compatExt spid="_x0000_s1077"/>
                </a:ext>
              </a:extLst>
            </xdr:cNvPr>
            <xdr:cNvSpPr/>
          </xdr:nvSpPr>
          <xdr:spPr bwMode="auto">
            <a:xfrm>
              <a:off x="0" y="0"/>
              <a:ext cx="0" cy="0"/>
            </a:xfrm>
            <a:prstGeom prst="rect">
              <a:avLst/>
            </a:prstGeom>
            <a:noFill/>
            <a:ln w="9525">
              <a:miter lim="800000"/>
              <a:headEnd/>
              <a:tailEnd/>
            </a:ln>
            <a:effectLst/>
            <a:extLst>
              <a:ext uri="{AF507438-7753-43E0-B8FC-AC1667EBCBE1}">
                <a14:hiddenEffects>
                  <a:effectLst>
                    <a:outerShdw dist="35921" dir="2700000" algn="ctr" rotWithShape="0">
                      <a:srgbClr val="808080"/>
                    </a:outerShdw>
                  </a:effectLst>
                </a14:hiddenEffects>
              </a:ext>
            </a:extLst>
          </xdr:spPr>
          <xdr:txBody>
            <a:bodyPr vertOverflow="clip" wrap="square" lIns="45720" tIns="32004" rIns="45720" bIns="32004" anchor="ctr" upright="1"/>
            <a:lstStyle/>
            <a:p>
              <a:pPr algn="ctr" rtl="0">
                <a:defRPr sz="1000"/>
              </a:pPr>
              <a:r>
                <a:rPr lang="en-US" sz="1400" b="1" i="0" u="none" strike="noStrike" baseline="0">
                  <a:solidFill>
                    <a:srgbClr val="000000"/>
                  </a:solidFill>
                  <a:latin typeface="Arial"/>
                  <a:cs typeface="Arial"/>
                </a:rPr>
                <a:t>Help</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5</xdr:col>
          <xdr:colOff>1600200</xdr:colOff>
          <xdr:row>30</xdr:row>
          <xdr:rowOff>129540</xdr:rowOff>
        </xdr:from>
        <xdr:to>
          <xdr:col>5</xdr:col>
          <xdr:colOff>2171700</xdr:colOff>
          <xdr:row>31</xdr:row>
          <xdr:rowOff>190500</xdr:rowOff>
        </xdr:to>
        <xdr:sp macro="" textlink="">
          <xdr:nvSpPr>
            <xdr:cNvPr id="1092" name="Button 68" hidden="1">
              <a:extLst>
                <a:ext uri="{63B3BB69-23CF-44E3-9099-C40C66FF867C}">
                  <a14:compatExt spid="_x0000_s1092"/>
                </a:ext>
              </a:extLst>
            </xdr:cNvPr>
            <xdr:cNvSpPr/>
          </xdr:nvSpPr>
          <xdr:spPr bwMode="auto">
            <a:xfrm>
              <a:off x="0" y="0"/>
              <a:ext cx="0" cy="0"/>
            </a:xfrm>
            <a:prstGeom prst="rect">
              <a:avLst/>
            </a:prstGeom>
            <a:noFill/>
            <a:ln w="9525">
              <a:miter lim="800000"/>
              <a:headEnd/>
              <a:tailEnd/>
            </a:ln>
            <a:effectLst/>
            <a:extLst>
              <a:ext uri="{AF507438-7753-43E0-B8FC-AC1667EBCBE1}">
                <a14:hiddenEffects>
                  <a:effectLst>
                    <a:outerShdw dist="35921" dir="2700000" algn="ctr" rotWithShape="0">
                      <a:srgbClr val="808080"/>
                    </a:outerShdw>
                  </a:effectLst>
                </a14:hiddenEffects>
              </a:ext>
            </a:extLst>
          </xdr:spPr>
          <xdr:txBody>
            <a:bodyPr vertOverflow="clip" wrap="square" lIns="36576" tIns="27432" rIns="36576" bIns="27432" anchor="ctr" upright="1"/>
            <a:lstStyle/>
            <a:p>
              <a:pPr algn="ctr" rtl="0">
                <a:defRPr sz="1000"/>
              </a:pPr>
              <a:r>
                <a:rPr lang="en-US" sz="1000" b="1" i="0" u="none" strike="noStrike" baseline="0">
                  <a:solidFill>
                    <a:srgbClr val="000000"/>
                  </a:solidFill>
                  <a:latin typeface="Arial"/>
                  <a:cs typeface="Arial"/>
                </a:rPr>
                <a:t>Print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5</xdr:col>
          <xdr:colOff>937260</xdr:colOff>
          <xdr:row>30</xdr:row>
          <xdr:rowOff>129540</xdr:rowOff>
        </xdr:from>
        <xdr:to>
          <xdr:col>5</xdr:col>
          <xdr:colOff>1508760</xdr:colOff>
          <xdr:row>31</xdr:row>
          <xdr:rowOff>190500</xdr:rowOff>
        </xdr:to>
        <xdr:sp macro="" textlink="">
          <xdr:nvSpPr>
            <xdr:cNvPr id="1093" name="Button 69" hidden="1">
              <a:extLst>
                <a:ext uri="{63B3BB69-23CF-44E3-9099-C40C66FF867C}">
                  <a14:compatExt spid="_x0000_s1093"/>
                </a:ext>
              </a:extLst>
            </xdr:cNvPr>
            <xdr:cNvSpPr/>
          </xdr:nvSpPr>
          <xdr:spPr bwMode="auto">
            <a:xfrm>
              <a:off x="0" y="0"/>
              <a:ext cx="0" cy="0"/>
            </a:xfrm>
            <a:prstGeom prst="rect">
              <a:avLst/>
            </a:prstGeom>
            <a:noFill/>
            <a:ln w="9525">
              <a:miter lim="800000"/>
              <a:headEnd/>
              <a:tailEnd/>
            </a:ln>
            <a:effectLst/>
            <a:extLst>
              <a:ext uri="{AF507438-7753-43E0-B8FC-AC1667EBCBE1}">
                <a14:hiddenEffects>
                  <a:effectLst>
                    <a:outerShdw dist="35921" dir="2700000" algn="ctr" rotWithShape="0">
                      <a:srgbClr val="808080"/>
                    </a:outerShdw>
                  </a:effectLst>
                </a14:hiddenEffects>
              </a:ext>
            </a:extLst>
          </xdr:spPr>
          <xdr:txBody>
            <a:bodyPr vertOverflow="clip" wrap="square" lIns="36576" tIns="27432" rIns="36576" bIns="27432" anchor="ctr" upright="1"/>
            <a:lstStyle/>
            <a:p>
              <a:pPr algn="ctr" rtl="0">
                <a:defRPr sz="1000"/>
              </a:pPr>
              <a:r>
                <a:rPr lang="en-US" sz="1000" b="1" i="0" u="none" strike="noStrike" baseline="0">
                  <a:solidFill>
                    <a:srgbClr val="000000"/>
                  </a:solidFill>
                  <a:latin typeface="Arial"/>
                  <a:cs typeface="Arial"/>
                </a:rPr>
                <a:t>End</a:t>
              </a:r>
            </a:p>
          </xdr:txBody>
        </xdr:sp>
        <xdr:clientData fPrintsWithSheet="0"/>
      </xdr:twoCellAnchor>
    </mc:Choice>
    <mc:Fallback/>
  </mc:AlternateContent>
  <xdr:oneCellAnchor>
    <xdr:from>
      <xdr:col>2</xdr:col>
      <xdr:colOff>1524000</xdr:colOff>
      <xdr:row>35</xdr:row>
      <xdr:rowOff>45720</xdr:rowOff>
    </xdr:from>
    <xdr:ext cx="76200" cy="194833"/>
    <xdr:sp macro="" textlink="">
      <xdr:nvSpPr>
        <xdr:cNvPr id="1111" name="Text Box 87"/>
        <xdr:cNvSpPr txBox="1">
          <a:spLocks noChangeArrowheads="1"/>
        </xdr:cNvSpPr>
      </xdr:nvSpPr>
      <xdr:spPr bwMode="auto">
        <a:xfrm>
          <a:off x="2438400" y="6477000"/>
          <a:ext cx="76200" cy="198120"/>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mc:AlternateContent xmlns:mc="http://schemas.openxmlformats.org/markup-compatibility/2006">
    <mc:Choice xmlns:a14="http://schemas.microsoft.com/office/drawing/2010/main" Requires="a14">
      <xdr:twoCellAnchor>
        <xdr:from>
          <xdr:col>5</xdr:col>
          <xdr:colOff>922020</xdr:colOff>
          <xdr:row>34</xdr:row>
          <xdr:rowOff>45720</xdr:rowOff>
        </xdr:from>
        <xdr:to>
          <xdr:col>5</xdr:col>
          <xdr:colOff>1493520</xdr:colOff>
          <xdr:row>35</xdr:row>
          <xdr:rowOff>121920</xdr:rowOff>
        </xdr:to>
        <xdr:sp macro="" textlink="">
          <xdr:nvSpPr>
            <xdr:cNvPr id="1184" name="Button 160" hidden="1">
              <a:extLst>
                <a:ext uri="{63B3BB69-23CF-44E3-9099-C40C66FF867C}">
                  <a14:compatExt spid="_x0000_s1184"/>
                </a:ext>
              </a:extLst>
            </xdr:cNvPr>
            <xdr:cNvSpPr/>
          </xdr:nvSpPr>
          <xdr:spPr bwMode="auto">
            <a:xfrm>
              <a:off x="0" y="0"/>
              <a:ext cx="0" cy="0"/>
            </a:xfrm>
            <a:prstGeom prst="rect">
              <a:avLst/>
            </a:prstGeom>
            <a:noFill/>
            <a:ln w="9525">
              <a:miter lim="800000"/>
              <a:headEnd/>
              <a:tailEnd/>
            </a:ln>
            <a:effectLst/>
            <a:extLst>
              <a:ext uri="{AF507438-7753-43E0-B8FC-AC1667EBCBE1}">
                <a14:hiddenEffects>
                  <a:effectLst>
                    <a:outerShdw dist="35921" dir="2700000" algn="ctr" rotWithShape="0">
                      <a:srgbClr val="808080"/>
                    </a:outerShdw>
                  </a:effectLst>
                </a14:hiddenEffects>
              </a:ext>
            </a:extLst>
          </xdr:spPr>
          <xdr:txBody>
            <a:bodyPr vertOverflow="clip" wrap="square" lIns="36576" tIns="27432" rIns="36576" bIns="27432" anchor="ctr" upright="1"/>
            <a:lstStyle/>
            <a:p>
              <a:pPr algn="ctr" rtl="0">
                <a:defRPr sz="1000"/>
              </a:pPr>
              <a:r>
                <a:rPr lang="en-US" sz="1000" b="1" i="0" u="none" strike="noStrike" baseline="0">
                  <a:solidFill>
                    <a:srgbClr val="000000"/>
                  </a:solidFill>
                  <a:latin typeface="Arial"/>
                  <a:cs typeface="Arial"/>
                </a:rPr>
                <a:t>Normal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5</xdr:col>
          <xdr:colOff>1600200</xdr:colOff>
          <xdr:row>34</xdr:row>
          <xdr:rowOff>45720</xdr:rowOff>
        </xdr:from>
        <xdr:to>
          <xdr:col>5</xdr:col>
          <xdr:colOff>2179320</xdr:colOff>
          <xdr:row>35</xdr:row>
          <xdr:rowOff>121920</xdr:rowOff>
        </xdr:to>
        <xdr:sp macro="" textlink="">
          <xdr:nvSpPr>
            <xdr:cNvPr id="1185" name="Button 161" hidden="1">
              <a:extLst>
                <a:ext uri="{63B3BB69-23CF-44E3-9099-C40C66FF867C}">
                  <a14:compatExt spid="_x0000_s1185"/>
                </a:ext>
              </a:extLst>
            </xdr:cNvPr>
            <xdr:cNvSpPr/>
          </xdr:nvSpPr>
          <xdr:spPr bwMode="auto">
            <a:xfrm>
              <a:off x="0" y="0"/>
              <a:ext cx="0" cy="0"/>
            </a:xfrm>
            <a:prstGeom prst="rect">
              <a:avLst/>
            </a:prstGeom>
            <a:noFill/>
            <a:ln w="9525">
              <a:miter lim="800000"/>
              <a:headEnd/>
              <a:tailEnd/>
            </a:ln>
            <a:effectLst/>
            <a:extLst>
              <a:ext uri="{AF507438-7753-43E0-B8FC-AC1667EBCBE1}">
                <a14:hiddenEffects>
                  <a:effectLst>
                    <a:outerShdw dist="35921" dir="2700000" algn="ctr" rotWithShape="0">
                      <a:srgbClr val="808080"/>
                    </a:outerShdw>
                  </a:effectLst>
                </a14:hiddenEffects>
              </a:ext>
            </a:extLst>
          </xdr:spPr>
          <xdr:txBody>
            <a:bodyPr vertOverflow="clip" wrap="square" lIns="36576" tIns="27432" rIns="36576" bIns="27432" anchor="ctr" upright="1"/>
            <a:lstStyle/>
            <a:p>
              <a:pPr algn="ctr" rtl="0">
                <a:defRPr sz="1000"/>
              </a:pPr>
              <a:r>
                <a:rPr lang="en-US" sz="1000" b="1" i="0" u="none" strike="noStrike" baseline="0">
                  <a:solidFill>
                    <a:srgbClr val="000000"/>
                  </a:solidFill>
                  <a:latin typeface="Arial"/>
                  <a:cs typeface="Arial"/>
                </a:rPr>
                <a:t>Full</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10</xdr:col>
      <xdr:colOff>556260</xdr:colOff>
      <xdr:row>4</xdr:row>
      <xdr:rowOff>121920</xdr:rowOff>
    </xdr:from>
    <xdr:to>
      <xdr:col>11</xdr:col>
      <xdr:colOff>441960</xdr:colOff>
      <xdr:row>5</xdr:row>
      <xdr:rowOff>175260</xdr:rowOff>
    </xdr:to>
    <xdr:sp macro="" textlink="">
      <xdr:nvSpPr>
        <xdr:cNvPr id="6145" name="Text Box 1"/>
        <xdr:cNvSpPr txBox="1">
          <a:spLocks noChangeArrowheads="1"/>
        </xdr:cNvSpPr>
      </xdr:nvSpPr>
      <xdr:spPr bwMode="auto">
        <a:xfrm>
          <a:off x="10622280" y="708660"/>
          <a:ext cx="510540" cy="220980"/>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36576" tIns="32004" rIns="0" bIns="0" anchor="t" upright="1"/>
        <a:lstStyle/>
        <a:p>
          <a:pPr algn="l" rtl="0">
            <a:defRPr sz="1000"/>
          </a:pPr>
          <a:r>
            <a:rPr lang="en-US" sz="1200" b="1" i="0" u="none" strike="noStrike" baseline="0">
              <a:solidFill>
                <a:srgbClr val="000000"/>
              </a:solidFill>
              <a:latin typeface="Arial"/>
              <a:cs typeface="Arial"/>
            </a:rPr>
            <a:t>C</a:t>
          </a:r>
        </a:p>
      </xdr:txBody>
    </xdr:sp>
    <xdr:clientData/>
  </xdr:twoCellAnchor>
  <xdr:twoCellAnchor>
    <xdr:from>
      <xdr:col>10</xdr:col>
      <xdr:colOff>563880</xdr:colOff>
      <xdr:row>4</xdr:row>
      <xdr:rowOff>129540</xdr:rowOff>
    </xdr:from>
    <xdr:to>
      <xdr:col>11</xdr:col>
      <xdr:colOff>129540</xdr:colOff>
      <xdr:row>5</xdr:row>
      <xdr:rowOff>137160</xdr:rowOff>
    </xdr:to>
    <xdr:sp macro="" textlink="">
      <xdr:nvSpPr>
        <xdr:cNvPr id="6146" name="Oval 2"/>
        <xdr:cNvSpPr>
          <a:spLocks noChangeArrowheads="1"/>
        </xdr:cNvSpPr>
      </xdr:nvSpPr>
      <xdr:spPr bwMode="auto">
        <a:xfrm>
          <a:off x="10629900" y="716280"/>
          <a:ext cx="190500" cy="175260"/>
        </a:xfrm>
        <a:prstGeom prst="ellipse">
          <a:avLst/>
        </a:prstGeom>
        <a:noFill/>
        <a:ln w="19050">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mc:AlternateContent xmlns:mc="http://schemas.openxmlformats.org/markup-compatibility/2006">
    <mc:Choice xmlns:a14="http://schemas.microsoft.com/office/drawing/2010/main" Requires="a14">
      <xdr:twoCellAnchor>
        <xdr:from>
          <xdr:col>4</xdr:col>
          <xdr:colOff>1310640</xdr:colOff>
          <xdr:row>9</xdr:row>
          <xdr:rowOff>7620</xdr:rowOff>
        </xdr:from>
        <xdr:to>
          <xdr:col>4</xdr:col>
          <xdr:colOff>3192780</xdr:colOff>
          <xdr:row>10</xdr:row>
          <xdr:rowOff>160020</xdr:rowOff>
        </xdr:to>
        <xdr:sp macro="" textlink="">
          <xdr:nvSpPr>
            <xdr:cNvPr id="6147" name="Button 3" hidden="1">
              <a:extLst>
                <a:ext uri="{63B3BB69-23CF-44E3-9099-C40C66FF867C}">
                  <a14:compatExt spid="_x0000_s6147"/>
                </a:ext>
              </a:extLst>
            </xdr:cNvPr>
            <xdr:cNvSpPr/>
          </xdr:nvSpPr>
          <xdr:spPr bwMode="auto">
            <a:xfrm>
              <a:off x="0" y="0"/>
              <a:ext cx="0" cy="0"/>
            </a:xfrm>
            <a:prstGeom prst="rect">
              <a:avLst/>
            </a:prstGeom>
            <a:noFill/>
            <a:ln w="9525">
              <a:miter lim="800000"/>
              <a:headEnd/>
              <a:tailEnd/>
            </a:ln>
            <a:effectLst/>
            <a:extLst>
              <a:ext uri="{AF507438-7753-43E0-B8FC-AC1667EBCBE1}">
                <a14:hiddenEffects>
                  <a:effectLst>
                    <a:outerShdw dist="35921" dir="2700000" algn="ctr" rotWithShape="0">
                      <a:srgbClr val="808080"/>
                    </a:outerShdw>
                  </a:effectLst>
                </a14:hiddenEffects>
              </a:ext>
            </a:extLst>
          </xdr:spPr>
          <xdr:txBody>
            <a:bodyPr vertOverflow="clip" wrap="square" lIns="45720" tIns="32004" rIns="45720" bIns="32004" anchor="ctr" upright="1"/>
            <a:lstStyle/>
            <a:p>
              <a:pPr algn="ctr" rtl="0">
                <a:defRPr sz="1000"/>
              </a:pPr>
              <a:r>
                <a:rPr lang="en-US" sz="1400" b="1" i="0" u="none" strike="noStrike" baseline="0">
                  <a:solidFill>
                    <a:srgbClr val="000000"/>
                  </a:solidFill>
                  <a:latin typeface="Arial"/>
                  <a:cs typeface="Arial"/>
                </a:rPr>
                <a:t>S t a r t</a:t>
              </a:r>
            </a:p>
          </xdr:txBody>
        </xdr:sp>
        <xdr:clientData fPrintsWithSheet="0"/>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omments" Target="../comments1.xml"/><Relationship Id="rId3" Type="http://schemas.openxmlformats.org/officeDocument/2006/relationships/vmlDrawing" Target="../drawings/vmlDrawing1.vml"/><Relationship Id="rId7" Type="http://schemas.openxmlformats.org/officeDocument/2006/relationships/ctrlProp" Target="../ctrlProps/ctrlProp4.xml"/><Relationship Id="rId12" Type="http://schemas.openxmlformats.org/officeDocument/2006/relationships/ctrlProp" Target="../ctrlProps/ctrlProp9.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trlProp" Target="../ctrlProps/ctrlProp8.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2.xml"/><Relationship Id="rId1" Type="http://schemas.openxmlformats.org/officeDocument/2006/relationships/printerSettings" Target="../printerSettings/printerSettings4.bin"/><Relationship Id="rId4" Type="http://schemas.openxmlformats.org/officeDocument/2006/relationships/ctrlProp" Target="../ctrlProps/ctrlProp10.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I43"/>
  <sheetViews>
    <sheetView zoomScale="102" workbookViewId="0">
      <selection activeCell="B2" sqref="B2"/>
    </sheetView>
  </sheetViews>
  <sheetFormatPr defaultRowHeight="13.2" x14ac:dyDescent="0.25"/>
  <cols>
    <col min="1" max="1" width="3.6640625" customWidth="1"/>
    <col min="2" max="2" width="9.6640625" customWidth="1"/>
    <col min="3" max="3" width="32.6640625" customWidth="1"/>
    <col min="4" max="4" width="3.6640625" customWidth="1"/>
    <col min="5" max="5" width="9.6640625" customWidth="1"/>
    <col min="6" max="6" width="32.6640625" customWidth="1"/>
    <col min="7" max="7" width="3.6640625" customWidth="1"/>
    <col min="8" max="8" width="9.6640625" customWidth="1"/>
    <col min="9" max="9" width="32.6640625" customWidth="1"/>
    <col min="10" max="10" width="3.6640625" customWidth="1"/>
    <col min="11" max="11" width="10.88671875" customWidth="1"/>
  </cols>
  <sheetData>
    <row r="1" spans="1:8" x14ac:dyDescent="0.25">
      <c r="A1" s="1"/>
    </row>
    <row r="2" spans="1:8" x14ac:dyDescent="0.25">
      <c r="H2" s="2"/>
    </row>
    <row r="3" spans="1:8" x14ac:dyDescent="0.25">
      <c r="H3" s="2"/>
    </row>
    <row r="4" spans="1:8" x14ac:dyDescent="0.25">
      <c r="B4" s="1"/>
    </row>
    <row r="5" spans="1:8" x14ac:dyDescent="0.25">
      <c r="B5" s="3"/>
    </row>
    <row r="6" spans="1:8" x14ac:dyDescent="0.25">
      <c r="B6" s="3"/>
    </row>
    <row r="7" spans="1:8" x14ac:dyDescent="0.25">
      <c r="B7" s="3"/>
    </row>
    <row r="8" spans="1:8" x14ac:dyDescent="0.25">
      <c r="B8" s="3"/>
    </row>
    <row r="9" spans="1:8" x14ac:dyDescent="0.25">
      <c r="B9" s="4"/>
    </row>
    <row r="10" spans="1:8" x14ac:dyDescent="0.25">
      <c r="B10" s="5"/>
      <c r="H10" s="6"/>
    </row>
    <row r="11" spans="1:8" x14ac:dyDescent="0.25">
      <c r="B11" s="3"/>
      <c r="H11" s="7"/>
    </row>
    <row r="12" spans="1:8" x14ac:dyDescent="0.25">
      <c r="B12" s="8"/>
    </row>
    <row r="13" spans="1:8" x14ac:dyDescent="0.25">
      <c r="B13" s="8"/>
    </row>
    <row r="14" spans="1:8" x14ac:dyDescent="0.25">
      <c r="B14" s="10"/>
    </row>
    <row r="15" spans="1:8" x14ac:dyDescent="0.25">
      <c r="B15" s="3"/>
    </row>
    <row r="16" spans="1:8" x14ac:dyDescent="0.25">
      <c r="B16" s="4"/>
    </row>
    <row r="23" spans="1:9" ht="34.5" customHeight="1" x14ac:dyDescent="0.25"/>
    <row r="24" spans="1:9" ht="21.75" customHeight="1" thickBot="1" x14ac:dyDescent="0.35">
      <c r="B24" s="155" t="s">
        <v>226</v>
      </c>
      <c r="C24" s="32"/>
      <c r="D24" s="32"/>
      <c r="E24" s="32"/>
      <c r="F24" s="154"/>
      <c r="G24" s="32"/>
      <c r="H24" s="32"/>
      <c r="I24" s="32"/>
    </row>
    <row r="25" spans="1:9" ht="21.75" customHeight="1" x14ac:dyDescent="0.3">
      <c r="B25" s="41" t="s">
        <v>2</v>
      </c>
      <c r="C25" s="42"/>
      <c r="E25" s="41" t="s">
        <v>3</v>
      </c>
      <c r="F25" s="42"/>
      <c r="G25" s="3"/>
      <c r="H25" s="41" t="s">
        <v>6</v>
      </c>
      <c r="I25" s="42"/>
    </row>
    <row r="26" spans="1:9" ht="13.8" x14ac:dyDescent="0.25">
      <c r="B26" s="149">
        <v>7.0000000000000007E-2</v>
      </c>
      <c r="C26" s="39" t="s">
        <v>100</v>
      </c>
      <c r="D26" s="38"/>
      <c r="E26" s="149">
        <v>7.0000000000000007E-2</v>
      </c>
      <c r="F26" s="39" t="s">
        <v>4</v>
      </c>
      <c r="G26" s="38"/>
      <c r="H26" s="33">
        <f>calcs!C21</f>
        <v>4511.6911149202087</v>
      </c>
      <c r="I26" s="39" t="s">
        <v>176</v>
      </c>
    </row>
    <row r="27" spans="1:9" ht="13.8" x14ac:dyDescent="0.25">
      <c r="B27" s="150">
        <v>10000</v>
      </c>
      <c r="C27" s="40" t="s">
        <v>118</v>
      </c>
      <c r="D27" s="38"/>
      <c r="E27" s="150">
        <v>10000</v>
      </c>
      <c r="F27" s="40" t="s">
        <v>119</v>
      </c>
      <c r="G27" s="38"/>
      <c r="H27" s="34">
        <f>D0g*8760</f>
        <v>34.949219226837158</v>
      </c>
      <c r="I27" s="37" t="s">
        <v>175</v>
      </c>
    </row>
    <row r="28" spans="1:9" ht="14.4" thickBot="1" x14ac:dyDescent="0.3">
      <c r="B28" s="151">
        <v>0</v>
      </c>
      <c r="C28" s="37" t="s">
        <v>212</v>
      </c>
      <c r="D28" s="38"/>
      <c r="E28" s="150">
        <v>99999</v>
      </c>
      <c r="F28" s="40" t="s">
        <v>101</v>
      </c>
      <c r="G28" s="38"/>
      <c r="H28" s="33">
        <f>calcs!C24</f>
        <v>2368.8252834945174</v>
      </c>
      <c r="I28" s="39" t="s">
        <v>181</v>
      </c>
    </row>
    <row r="29" spans="1:9" ht="14.4" thickTop="1" x14ac:dyDescent="0.25">
      <c r="B29" s="152">
        <v>50000</v>
      </c>
      <c r="C29" s="40" t="s">
        <v>127</v>
      </c>
      <c r="D29" s="38"/>
      <c r="E29" s="181">
        <f>(Front!H30-TCU)/G.data!T18</f>
        <v>0</v>
      </c>
      <c r="F29" s="172" t="s">
        <v>250</v>
      </c>
      <c r="G29" s="40"/>
      <c r="H29" s="35">
        <f>FixedCostofPeaker*(AvailableCapacity-PeakLoad)</f>
        <v>11525.448658667563</v>
      </c>
      <c r="I29" s="40" t="s">
        <v>182</v>
      </c>
    </row>
    <row r="30" spans="1:9" ht="14.25" customHeight="1" x14ac:dyDescent="0.25">
      <c r="B30" s="153">
        <v>50</v>
      </c>
      <c r="C30" s="37" t="s">
        <v>114</v>
      </c>
      <c r="D30" s="38"/>
      <c r="E30" s="165">
        <f>G.data!V19</f>
        <v>1</v>
      </c>
      <c r="F30" s="173" t="s">
        <v>193</v>
      </c>
      <c r="G30" s="174"/>
      <c r="H30" s="36">
        <f>TotalPeakerFixedCost+UnReliabilityLoss</f>
        <v>13894.273942162081</v>
      </c>
      <c r="I30" s="37" t="s">
        <v>183</v>
      </c>
    </row>
    <row r="31" spans="1:9" x14ac:dyDescent="0.25">
      <c r="A31" s="21"/>
    </row>
    <row r="32" spans="1:9" ht="15.6" x14ac:dyDescent="0.3">
      <c r="A32" s="21"/>
      <c r="B32" s="16" t="s">
        <v>225</v>
      </c>
    </row>
    <row r="33" spans="1:9" x14ac:dyDescent="0.25">
      <c r="B33" s="29" t="s">
        <v>223</v>
      </c>
      <c r="C33" s="17"/>
      <c r="D33" s="17"/>
      <c r="E33" s="17"/>
      <c r="F33" s="17"/>
      <c r="G33" s="17"/>
      <c r="H33" s="147"/>
      <c r="I33" s="147" t="s">
        <v>213</v>
      </c>
    </row>
    <row r="34" spans="1:9" x14ac:dyDescent="0.25">
      <c r="C34" s="17"/>
      <c r="D34" s="17"/>
      <c r="E34" s="17"/>
      <c r="F34" s="17"/>
      <c r="G34" s="17"/>
      <c r="H34" s="147"/>
      <c r="I34" s="147"/>
    </row>
    <row r="35" spans="1:9" x14ac:dyDescent="0.25">
      <c r="B35" s="29" t="s">
        <v>222</v>
      </c>
      <c r="C35" s="17"/>
      <c r="D35" s="17"/>
      <c r="E35" s="17"/>
      <c r="F35" s="17"/>
      <c r="G35" s="17"/>
      <c r="H35" s="147"/>
      <c r="I35" s="147"/>
    </row>
    <row r="36" spans="1:9" x14ac:dyDescent="0.25">
      <c r="B36" s="29" t="s">
        <v>221</v>
      </c>
      <c r="C36" s="29"/>
      <c r="D36" s="26"/>
      <c r="E36" s="17"/>
      <c r="F36" s="17"/>
      <c r="G36" s="17"/>
      <c r="H36" s="148"/>
      <c r="I36" s="147"/>
    </row>
    <row r="37" spans="1:9" x14ac:dyDescent="0.25">
      <c r="B37" s="17"/>
      <c r="C37" s="17"/>
      <c r="D37" s="17"/>
      <c r="E37" s="17"/>
      <c r="F37" s="17"/>
      <c r="G37" s="17"/>
      <c r="H37" s="17"/>
      <c r="I37" s="17"/>
    </row>
    <row r="38" spans="1:9" x14ac:dyDescent="0.25">
      <c r="B38" s="17"/>
      <c r="C38" s="17"/>
      <c r="D38" s="17"/>
      <c r="E38" s="17"/>
      <c r="F38" s="17"/>
      <c r="G38" s="17"/>
      <c r="H38" s="17"/>
      <c r="I38" s="17"/>
    </row>
    <row r="39" spans="1:9" x14ac:dyDescent="0.25">
      <c r="A39" s="11"/>
      <c r="B39" s="17"/>
      <c r="C39" s="17"/>
      <c r="D39" s="30"/>
      <c r="E39" s="30"/>
      <c r="F39" s="30"/>
      <c r="G39" s="30"/>
      <c r="H39" s="17"/>
      <c r="I39" s="17"/>
    </row>
    <row r="40" spans="1:9" x14ac:dyDescent="0.25">
      <c r="A40" s="3"/>
      <c r="D40" s="12"/>
      <c r="E40" s="13"/>
      <c r="F40" s="14"/>
      <c r="G40" s="14"/>
    </row>
    <row r="41" spans="1:9" x14ac:dyDescent="0.25">
      <c r="A41" s="3"/>
      <c r="E41" s="9"/>
      <c r="F41" s="15"/>
      <c r="G41" s="15"/>
    </row>
    <row r="42" spans="1:9" x14ac:dyDescent="0.25">
      <c r="A42" s="3"/>
      <c r="E42" s="9"/>
      <c r="F42" s="15"/>
      <c r="G42" s="15"/>
    </row>
    <row r="43" spans="1:9" x14ac:dyDescent="0.25">
      <c r="A43" s="3"/>
    </row>
  </sheetData>
  <phoneticPr fontId="0" type="noConversion"/>
  <pageMargins left="0.75" right="0.75" top="2" bottom="1" header="1" footer="0"/>
  <pageSetup scale="87" orientation="landscape" verticalDpi="0" r:id="rId1"/>
  <headerFooter alignWithMargins="0">
    <oddHeader>&amp;C&amp;"Arial,Bold"&amp;18Price-Spike Calculator&amp;"Arial,Regular"&amp;10
&amp;"Arial,Bold"&amp;12Steven Stoft, (c) 2000&amp;"Arial,Regular"&amp;10
&amp;"Arial,Bold"www.stoft.com</oddHeader>
  </headerFooter>
  <drawing r:id="rId2"/>
  <legacyDrawing r:id="rId3"/>
  <mc:AlternateContent xmlns:mc="http://schemas.openxmlformats.org/markup-compatibility/2006">
    <mc:Choice Requires="x14">
      <controls>
        <mc:AlternateContent xmlns:mc="http://schemas.openxmlformats.org/markup-compatibility/2006">
          <mc:Choice Requires="x14">
            <control shapeId="1040" r:id="rId4" name="Button 16">
              <controlPr defaultSize="0" print="0" autoFill="0" autoPict="0" macro="[0]!Module1.Example1">
                <anchor moveWithCells="1" sizeWithCells="1">
                  <from>
                    <xdr:col>2</xdr:col>
                    <xdr:colOff>1554480</xdr:colOff>
                    <xdr:row>30</xdr:row>
                    <xdr:rowOff>99060</xdr:rowOff>
                  </from>
                  <to>
                    <xdr:col>2</xdr:col>
                    <xdr:colOff>1965960</xdr:colOff>
                    <xdr:row>31</xdr:row>
                    <xdr:rowOff>160020</xdr:rowOff>
                  </to>
                </anchor>
              </controlPr>
            </control>
          </mc:Choice>
        </mc:AlternateContent>
        <mc:AlternateContent xmlns:mc="http://schemas.openxmlformats.org/markup-compatibility/2006">
          <mc:Choice Requires="x14">
            <control shapeId="1042" r:id="rId5" name="Button 18">
              <controlPr defaultSize="0" print="0" autoFill="0" autoPict="0" macro="[0]!Module1.Example2">
                <anchor moveWithCells="1" sizeWithCells="1">
                  <from>
                    <xdr:col>2</xdr:col>
                    <xdr:colOff>2057400</xdr:colOff>
                    <xdr:row>30</xdr:row>
                    <xdr:rowOff>99060</xdr:rowOff>
                  </from>
                  <to>
                    <xdr:col>3</xdr:col>
                    <xdr:colOff>182880</xdr:colOff>
                    <xdr:row>31</xdr:row>
                    <xdr:rowOff>160020</xdr:rowOff>
                  </to>
                </anchor>
              </controlPr>
            </control>
          </mc:Choice>
        </mc:AlternateContent>
        <mc:AlternateContent xmlns:mc="http://schemas.openxmlformats.org/markup-compatibility/2006">
          <mc:Choice Requires="x14">
            <control shapeId="1043" r:id="rId6" name="Button 19">
              <controlPr defaultSize="0" print="0" autoFill="0" autoPict="0" macro="[0]!Module1.Example3">
                <anchor moveWithCells="1" sizeWithCells="1">
                  <from>
                    <xdr:col>4</xdr:col>
                    <xdr:colOff>22860</xdr:colOff>
                    <xdr:row>30</xdr:row>
                    <xdr:rowOff>99060</xdr:rowOff>
                  </from>
                  <to>
                    <xdr:col>4</xdr:col>
                    <xdr:colOff>388620</xdr:colOff>
                    <xdr:row>31</xdr:row>
                    <xdr:rowOff>160020</xdr:rowOff>
                  </to>
                </anchor>
              </controlPr>
            </control>
          </mc:Choice>
        </mc:AlternateContent>
        <mc:AlternateContent xmlns:mc="http://schemas.openxmlformats.org/markup-compatibility/2006">
          <mc:Choice Requires="x14">
            <control shapeId="1044" r:id="rId7" name="Button 20">
              <controlPr defaultSize="0" print="0" autoFill="0" autoPict="0" macro="[0]!Module1.Example4">
                <anchor moveWithCells="1" sizeWithCells="1">
                  <from>
                    <xdr:col>4</xdr:col>
                    <xdr:colOff>457200</xdr:colOff>
                    <xdr:row>30</xdr:row>
                    <xdr:rowOff>99060</xdr:rowOff>
                  </from>
                  <to>
                    <xdr:col>5</xdr:col>
                    <xdr:colOff>167640</xdr:colOff>
                    <xdr:row>31</xdr:row>
                    <xdr:rowOff>160020</xdr:rowOff>
                  </to>
                </anchor>
              </controlPr>
            </control>
          </mc:Choice>
        </mc:AlternateContent>
        <mc:AlternateContent xmlns:mc="http://schemas.openxmlformats.org/markup-compatibility/2006">
          <mc:Choice Requires="x14">
            <control shapeId="1077" r:id="rId8" name="Button 53">
              <controlPr defaultSize="0" print="0" autoFill="0" autoPict="0" macro="[0]!_xludf.help">
                <anchor moveWithCells="1" sizeWithCells="1">
                  <from>
                    <xdr:col>5</xdr:col>
                    <xdr:colOff>929640</xdr:colOff>
                    <xdr:row>32</xdr:row>
                    <xdr:rowOff>45720</xdr:rowOff>
                  </from>
                  <to>
                    <xdr:col>5</xdr:col>
                    <xdr:colOff>2179320</xdr:colOff>
                    <xdr:row>33</xdr:row>
                    <xdr:rowOff>137160</xdr:rowOff>
                  </to>
                </anchor>
              </controlPr>
            </control>
          </mc:Choice>
        </mc:AlternateContent>
        <mc:AlternateContent xmlns:mc="http://schemas.openxmlformats.org/markup-compatibility/2006">
          <mc:Choice Requires="x14">
            <control shapeId="1092" r:id="rId9" name="Button 68">
              <controlPr defaultSize="0" print="0" autoFill="0" autoPict="0" macro="[0]!print1">
                <anchor moveWithCells="1" sizeWithCells="1">
                  <from>
                    <xdr:col>5</xdr:col>
                    <xdr:colOff>1600200</xdr:colOff>
                    <xdr:row>30</xdr:row>
                    <xdr:rowOff>129540</xdr:rowOff>
                  </from>
                  <to>
                    <xdr:col>5</xdr:col>
                    <xdr:colOff>2171700</xdr:colOff>
                    <xdr:row>31</xdr:row>
                    <xdr:rowOff>190500</xdr:rowOff>
                  </to>
                </anchor>
              </controlPr>
            </control>
          </mc:Choice>
        </mc:AlternateContent>
        <mc:AlternateContent xmlns:mc="http://schemas.openxmlformats.org/markup-compatibility/2006">
          <mc:Choice Requires="x14">
            <control shapeId="1093" r:id="rId10" name="Button 69">
              <controlPr defaultSize="0" print="0" autoFill="0" autoPict="0" macro="[0]!EndCalc">
                <anchor moveWithCells="1" sizeWithCells="1">
                  <from>
                    <xdr:col>5</xdr:col>
                    <xdr:colOff>937260</xdr:colOff>
                    <xdr:row>30</xdr:row>
                    <xdr:rowOff>129540</xdr:rowOff>
                  </from>
                  <to>
                    <xdr:col>5</xdr:col>
                    <xdr:colOff>1508760</xdr:colOff>
                    <xdr:row>31</xdr:row>
                    <xdr:rowOff>190500</xdr:rowOff>
                  </to>
                </anchor>
              </controlPr>
            </control>
          </mc:Choice>
        </mc:AlternateContent>
        <mc:AlternateContent xmlns:mc="http://schemas.openxmlformats.org/markup-compatibility/2006">
          <mc:Choice Requires="x14">
            <control shapeId="1184" r:id="rId11" name="Button 160">
              <controlPr defaultSize="0" print="0" autoFill="0" autoPict="0" macro="[0]!NormalView">
                <anchor moveWithCells="1" sizeWithCells="1">
                  <from>
                    <xdr:col>5</xdr:col>
                    <xdr:colOff>922020</xdr:colOff>
                    <xdr:row>34</xdr:row>
                    <xdr:rowOff>45720</xdr:rowOff>
                  </from>
                  <to>
                    <xdr:col>5</xdr:col>
                    <xdr:colOff>1493520</xdr:colOff>
                    <xdr:row>35</xdr:row>
                    <xdr:rowOff>121920</xdr:rowOff>
                  </to>
                </anchor>
              </controlPr>
            </control>
          </mc:Choice>
        </mc:AlternateContent>
        <mc:AlternateContent xmlns:mc="http://schemas.openxmlformats.org/markup-compatibility/2006">
          <mc:Choice Requires="x14">
            <control shapeId="1185" r:id="rId12" name="Button 161">
              <controlPr defaultSize="0" print="0" autoFill="0" autoPict="0" macro="[0]!FullView">
                <anchor moveWithCells="1" sizeWithCells="1">
                  <from>
                    <xdr:col>5</xdr:col>
                    <xdr:colOff>1600200</xdr:colOff>
                    <xdr:row>34</xdr:row>
                    <xdr:rowOff>45720</xdr:rowOff>
                  </from>
                  <to>
                    <xdr:col>5</xdr:col>
                    <xdr:colOff>2179320</xdr:colOff>
                    <xdr:row>35</xdr:row>
                    <xdr:rowOff>121920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B1:AF129"/>
  <sheetViews>
    <sheetView topLeftCell="M4" zoomScaleNormal="90" workbookViewId="0">
      <selection activeCell="U22" sqref="U22"/>
    </sheetView>
  </sheetViews>
  <sheetFormatPr defaultRowHeight="13.2" x14ac:dyDescent="0.25"/>
  <cols>
    <col min="2" max="2" width="4.88671875" customWidth="1"/>
    <col min="3" max="3" width="5" customWidth="1"/>
    <col min="4" max="4" width="5.44140625" customWidth="1"/>
    <col min="5" max="5" width="6" customWidth="1"/>
    <col min="7" max="7" width="8.33203125" customWidth="1"/>
    <col min="8" max="9" width="6.109375" customWidth="1"/>
    <col min="10" max="10" width="7.44140625" customWidth="1"/>
    <col min="11" max="11" width="8.44140625" customWidth="1"/>
    <col min="13" max="13" width="7.6640625" style="20" customWidth="1"/>
    <col min="14" max="14" width="8.44140625" customWidth="1"/>
    <col min="15" max="15" width="7.33203125" style="15" customWidth="1"/>
    <col min="17" max="17" width="4.6640625" customWidth="1"/>
    <col min="18" max="18" width="5.109375" customWidth="1"/>
    <col min="20" max="20" width="11.88671875" customWidth="1"/>
  </cols>
  <sheetData>
    <row r="1" spans="2:32" x14ac:dyDescent="0.25">
      <c r="P1">
        <f>0.8*(O2/N2)</f>
        <v>0.36730052426185128</v>
      </c>
    </row>
    <row r="2" spans="2:32" x14ac:dyDescent="0.25">
      <c r="N2" s="18">
        <f>MAX(N4:N104)</f>
        <v>9826.7022601988792</v>
      </c>
      <c r="O2" s="15">
        <f>MAX(O4:O104)</f>
        <v>4511.6911149202087</v>
      </c>
      <c r="P2" s="18">
        <f>MAX(P4:P104)</f>
        <v>3609.3528919361675</v>
      </c>
      <c r="X2" s="1" t="s">
        <v>214</v>
      </c>
    </row>
    <row r="3" spans="2:32" s="23" customFormat="1" ht="40.200000000000003" x14ac:dyDescent="0.3">
      <c r="B3" s="22" t="s">
        <v>1</v>
      </c>
      <c r="C3" s="22" t="s">
        <v>23</v>
      </c>
      <c r="D3" s="22" t="s">
        <v>192</v>
      </c>
      <c r="E3" s="22" t="s">
        <v>10</v>
      </c>
      <c r="G3" s="23" t="s">
        <v>104</v>
      </c>
      <c r="H3" s="23" t="s">
        <v>103</v>
      </c>
      <c r="I3" s="23" t="s">
        <v>106</v>
      </c>
      <c r="J3" s="23" t="s">
        <v>25</v>
      </c>
      <c r="K3" s="23" t="s">
        <v>105</v>
      </c>
      <c r="M3" s="24" t="s">
        <v>1</v>
      </c>
      <c r="N3" s="23" t="s">
        <v>103</v>
      </c>
      <c r="O3" s="25" t="s">
        <v>105</v>
      </c>
      <c r="P3" s="23" t="s">
        <v>107</v>
      </c>
      <c r="Q3" s="23" t="s">
        <v>115</v>
      </c>
      <c r="R3" s="23" t="s">
        <v>8</v>
      </c>
      <c r="T3" s="182" t="s">
        <v>122</v>
      </c>
      <c r="U3" s="182"/>
      <c r="V3" s="182"/>
      <c r="W3" s="182"/>
      <c r="X3" s="183" t="s">
        <v>231</v>
      </c>
      <c r="Y3" s="184"/>
      <c r="Z3" s="184"/>
      <c r="AA3" s="184"/>
      <c r="AB3" s="184"/>
      <c r="AC3" s="184"/>
      <c r="AD3" s="184"/>
      <c r="AE3" s="184"/>
      <c r="AF3" s="184"/>
    </row>
    <row r="4" spans="2:32" ht="13.5" customHeight="1" x14ac:dyDescent="0.25">
      <c r="B4">
        <v>0.1</v>
      </c>
      <c r="C4" s="7">
        <f>C5</f>
        <v>50</v>
      </c>
      <c r="D4" s="7">
        <f>D5</f>
        <v>53.5</v>
      </c>
      <c r="G4" s="20">
        <v>0</v>
      </c>
      <c r="H4">
        <f t="shared" ref="H4:H35" si="0">G4*L0</f>
        <v>0</v>
      </c>
      <c r="I4" s="19">
        <f t="shared" ref="I4:I35" si="1">H4/R0</f>
        <v>0</v>
      </c>
      <c r="J4" s="18">
        <f>IF(I4&gt;1,0,MAX(0,M0*(1-G.data!I4)*(1-beta*G.data!I4)))</f>
        <v>10000</v>
      </c>
      <c r="K4">
        <f>MAX(0,MIN(Pcap,P0-g*G.data!H4))</f>
        <v>10000</v>
      </c>
      <c r="M4" s="20">
        <v>0</v>
      </c>
      <c r="N4" s="18">
        <f t="shared" ref="N4:N35" si="2">MAX(0,K-(L0-Ldif*M4-alph*M4^0.5))</f>
        <v>1920.9081097779272</v>
      </c>
      <c r="O4" s="15">
        <f>MIN(Pcap,MAX(0,P0-g*G.data!N4))</f>
        <v>4511.6911149202087</v>
      </c>
      <c r="P4" s="18">
        <f t="shared" ref="P4:P35" si="3">N4*P$1</f>
        <v>705.55055578027441</v>
      </c>
      <c r="Q4">
        <v>0</v>
      </c>
      <c r="R4">
        <f>R0g*P$1</f>
        <v>1285.5518349164797</v>
      </c>
      <c r="AB4" s="23"/>
      <c r="AC4" s="23"/>
    </row>
    <row r="5" spans="2:32" ht="13.5" customHeight="1" x14ac:dyDescent="0.25">
      <c r="B5" s="19">
        <v>0</v>
      </c>
      <c r="C5" s="7">
        <f t="shared" ref="C5:C28" si="4">(L0-Ldif*B5-alph*B5^0.5)/1000</f>
        <v>50</v>
      </c>
      <c r="D5" s="7">
        <f t="shared" ref="D5:D28" si="5">C5+R0g/1000</f>
        <v>53.5</v>
      </c>
      <c r="E5" s="7">
        <f>K/1000</f>
        <v>51.920908109777926</v>
      </c>
      <c r="G5" s="20">
        <f t="shared" ref="G5:G36" si="6">G4+0.001</f>
        <v>1E-3</v>
      </c>
      <c r="H5">
        <f t="shared" si="0"/>
        <v>50</v>
      </c>
      <c r="I5" s="19">
        <f t="shared" si="1"/>
        <v>1.4285714285714284E-2</v>
      </c>
      <c r="J5" s="18">
        <f>IF(I5&gt;1,0,MAX(0,M0*(1-G.data!I5)*(1-beta*G.data!I5)))</f>
        <v>9857.1428571428569</v>
      </c>
      <c r="K5">
        <f>MAX(0,MIN(Pcap,P0-g*G.data!H5))</f>
        <v>9857.1428571428569</v>
      </c>
      <c r="M5" s="20">
        <f t="shared" ref="M5:M36" si="7">M4+0.001</f>
        <v>1E-3</v>
      </c>
      <c r="N5" s="18">
        <f t="shared" si="2"/>
        <v>2711.4785248200205</v>
      </c>
      <c r="O5" s="15">
        <f>MIN(Pcap,MAX(0,P0-g*G.data!N5))</f>
        <v>2252.9185005142281</v>
      </c>
      <c r="P5" s="18">
        <f t="shared" si="3"/>
        <v>995.92748369114463</v>
      </c>
      <c r="Q5">
        <v>0.1</v>
      </c>
      <c r="R5">
        <f>R0g*P$1</f>
        <v>1285.5518349164797</v>
      </c>
      <c r="T5" s="15">
        <f>calcs!C25</f>
        <v>32321.83047033631</v>
      </c>
      <c r="U5" t="s">
        <v>124</v>
      </c>
      <c r="AB5" s="23"/>
      <c r="AC5" s="23"/>
    </row>
    <row r="6" spans="2:32" ht="13.5" customHeight="1" x14ac:dyDescent="0.4">
      <c r="B6" s="19">
        <f>B5+0.02</f>
        <v>0.02</v>
      </c>
      <c r="C6" s="7">
        <f t="shared" si="4"/>
        <v>46.464446094067263</v>
      </c>
      <c r="D6" s="7">
        <f t="shared" si="5"/>
        <v>49.964446094067263</v>
      </c>
      <c r="E6" s="7">
        <f t="shared" ref="E6:E28" si="8">K/1000</f>
        <v>51.920908109777926</v>
      </c>
      <c r="G6" s="20">
        <f t="shared" si="6"/>
        <v>2E-3</v>
      </c>
      <c r="H6">
        <f t="shared" si="0"/>
        <v>100</v>
      </c>
      <c r="I6" s="19">
        <f t="shared" si="1"/>
        <v>2.8571428571428567E-2</v>
      </c>
      <c r="J6" s="18">
        <f>IF(I6&gt;1,0,MAX(0,M0*(1-G.data!I6)*(1-beta*G.data!I6)))</f>
        <v>9714.2857142857138</v>
      </c>
      <c r="K6">
        <f>MAX(0,MIN(Pcap,P0-g*G.data!H6))</f>
        <v>9714.2857142857138</v>
      </c>
      <c r="M6" s="20">
        <f t="shared" si="7"/>
        <v>2E-3</v>
      </c>
      <c r="N6" s="18">
        <f t="shared" si="2"/>
        <v>3038.9440985278197</v>
      </c>
      <c r="O6" s="15">
        <f>MIN(Pcap,MAX(0,P0-g*G.data!N6))</f>
        <v>1317.3025756348015</v>
      </c>
      <c r="P6" s="18">
        <f t="shared" si="3"/>
        <v>1116.2057605917273</v>
      </c>
      <c r="T6" s="15">
        <f>K</f>
        <v>51920.908109777927</v>
      </c>
      <c r="U6" t="s">
        <v>123</v>
      </c>
      <c r="X6" t="s">
        <v>235</v>
      </c>
      <c r="AA6" s="43"/>
      <c r="AB6" s="23"/>
      <c r="AC6" s="47"/>
    </row>
    <row r="7" spans="2:32" ht="13.5" customHeight="1" x14ac:dyDescent="0.4">
      <c r="B7" s="19">
        <f>B6+0.02</f>
        <v>0.04</v>
      </c>
      <c r="C7" s="7">
        <f t="shared" si="4"/>
        <v>44.999960000000002</v>
      </c>
      <c r="D7" s="7">
        <f t="shared" si="5"/>
        <v>48.499960000000002</v>
      </c>
      <c r="E7" s="7">
        <f t="shared" si="8"/>
        <v>51.920908109777926</v>
      </c>
      <c r="G7" s="20">
        <f t="shared" si="6"/>
        <v>3.0000000000000001E-3</v>
      </c>
      <c r="H7">
        <f t="shared" si="0"/>
        <v>150</v>
      </c>
      <c r="I7" s="19">
        <f t="shared" si="1"/>
        <v>4.2857142857142851E-2</v>
      </c>
      <c r="J7" s="18">
        <f>IF(I7&gt;1,0,MAX(0,M0*(1-G.data!I7)*(1-beta*G.data!I7)))</f>
        <v>9571.4285714285725</v>
      </c>
      <c r="K7">
        <f>MAX(0,MIN(Pcap,P0-g*G.data!H7))</f>
        <v>9571.4285714285706</v>
      </c>
      <c r="M7" s="20">
        <f t="shared" si="7"/>
        <v>3.0000000000000001E-3</v>
      </c>
      <c r="N7" s="18">
        <f t="shared" si="2"/>
        <v>3290.2175035408363</v>
      </c>
      <c r="O7" s="15">
        <f>MIN(Pcap,MAX(0,P0-g*G.data!N7))</f>
        <v>599.37856131189801</v>
      </c>
      <c r="P7" s="18">
        <f t="shared" si="3"/>
        <v>1208.4986139860687</v>
      </c>
      <c r="T7" s="15">
        <f>Kopt</f>
        <v>51920.908109777927</v>
      </c>
      <c r="U7" t="s">
        <v>247</v>
      </c>
      <c r="AA7" s="43"/>
      <c r="AB7" s="23"/>
      <c r="AC7" s="47"/>
    </row>
    <row r="8" spans="2:32" ht="13.5" customHeight="1" x14ac:dyDescent="0.25">
      <c r="B8" s="19">
        <f t="shared" ref="B8:B13" si="9">B7+0.02</f>
        <v>0.06</v>
      </c>
      <c r="C8" s="7">
        <f t="shared" si="4"/>
        <v>43.876215643042059</v>
      </c>
      <c r="D8" s="7">
        <f t="shared" si="5"/>
        <v>47.376215643042059</v>
      </c>
      <c r="E8" s="7">
        <f t="shared" si="8"/>
        <v>51.920908109777926</v>
      </c>
      <c r="G8" s="20">
        <f t="shared" si="6"/>
        <v>4.0000000000000001E-3</v>
      </c>
      <c r="H8">
        <f t="shared" si="0"/>
        <v>200</v>
      </c>
      <c r="I8" s="19">
        <f t="shared" si="1"/>
        <v>5.7142857142857134E-2</v>
      </c>
      <c r="J8" s="18">
        <f>IF(I8&gt;1,0,MAX(0,M0*(1-G.data!I8)*(1-beta*G.data!I8)))</f>
        <v>9428.5714285714275</v>
      </c>
      <c r="K8">
        <f>MAX(0,MIN(Pcap,P0-g*G.data!H8))</f>
        <v>9428.5714285714294</v>
      </c>
      <c r="M8" s="20">
        <f t="shared" si="7"/>
        <v>4.0000000000000001E-3</v>
      </c>
      <c r="N8" s="18">
        <f t="shared" si="2"/>
        <v>3502.0509398621143</v>
      </c>
      <c r="O8" s="15">
        <f>MIN(Pcap,MAX(0,P0-g*G.data!N8))</f>
        <v>0</v>
      </c>
      <c r="P8" s="18">
        <f t="shared" si="3"/>
        <v>1286.3051462030635</v>
      </c>
      <c r="T8" s="15">
        <f>L0</f>
        <v>50000</v>
      </c>
      <c r="U8" t="s">
        <v>125</v>
      </c>
      <c r="X8" s="105" t="s">
        <v>236</v>
      </c>
      <c r="Y8" s="105"/>
      <c r="Z8" s="105"/>
      <c r="AA8" s="105"/>
      <c r="AB8" s="105"/>
      <c r="AC8" s="105"/>
      <c r="AD8" s="105"/>
    </row>
    <row r="9" spans="2:32" ht="13.5" customHeight="1" x14ac:dyDescent="0.4">
      <c r="B9" s="19">
        <f t="shared" si="9"/>
        <v>0.08</v>
      </c>
      <c r="C9" s="7">
        <f t="shared" si="4"/>
        <v>42.92885218813452</v>
      </c>
      <c r="D9" s="7">
        <f t="shared" si="5"/>
        <v>46.42885218813452</v>
      </c>
      <c r="E9" s="7">
        <f t="shared" si="8"/>
        <v>51.920908109777926</v>
      </c>
      <c r="G9" s="20">
        <f t="shared" si="6"/>
        <v>5.0000000000000001E-3</v>
      </c>
      <c r="H9">
        <f t="shared" si="0"/>
        <v>250</v>
      </c>
      <c r="I9" s="19">
        <f t="shared" si="1"/>
        <v>7.1428571428571425E-2</v>
      </c>
      <c r="J9" s="18">
        <f>IF(I9&gt;1,0,MAX(0,M0*(1-G.data!I9)*(1-beta*G.data!I9)))</f>
        <v>9285.7142857142862</v>
      </c>
      <c r="K9">
        <f>MAX(0,MIN(Pcap,P0-g*G.data!H9))</f>
        <v>9285.7142857142862</v>
      </c>
      <c r="M9" s="20">
        <f t="shared" si="7"/>
        <v>5.0000000000000001E-3</v>
      </c>
      <c r="N9" s="18">
        <f t="shared" si="2"/>
        <v>3688.6800627442935</v>
      </c>
      <c r="O9" s="15">
        <f>MIN(Pcap,MAX(0,P0-g*G.data!N9))</f>
        <v>0</v>
      </c>
      <c r="P9" s="18">
        <f t="shared" si="3"/>
        <v>1354.8541208802176</v>
      </c>
      <c r="T9" s="28">
        <f>F</f>
        <v>6</v>
      </c>
      <c r="U9" t="s">
        <v>126</v>
      </c>
      <c r="X9">
        <v>0</v>
      </c>
      <c r="Y9" t="s">
        <v>237</v>
      </c>
      <c r="AA9" s="43"/>
      <c r="AB9" s="23"/>
      <c r="AC9" s="23"/>
    </row>
    <row r="10" spans="2:32" ht="13.5" customHeight="1" x14ac:dyDescent="0.4">
      <c r="B10" s="19">
        <f t="shared" si="9"/>
        <v>0.1</v>
      </c>
      <c r="C10" s="7">
        <f t="shared" si="4"/>
        <v>42.094205849579055</v>
      </c>
      <c r="D10" s="7">
        <f t="shared" si="5"/>
        <v>45.594205849579055</v>
      </c>
      <c r="E10" s="7">
        <f t="shared" si="8"/>
        <v>51.920908109777926</v>
      </c>
      <c r="G10" s="20">
        <f t="shared" si="6"/>
        <v>6.0000000000000001E-3</v>
      </c>
      <c r="H10">
        <f t="shared" si="0"/>
        <v>300</v>
      </c>
      <c r="I10" s="19">
        <f t="shared" si="1"/>
        <v>8.5714285714285701E-2</v>
      </c>
      <c r="J10" s="18">
        <f>IF(I10&gt;1,0,MAX(0,M0*(1-G.data!I10)*(1-beta*G.data!I10)))</f>
        <v>9142.8571428571431</v>
      </c>
      <c r="K10">
        <f>MAX(0,MIN(Pcap,P0-g*G.data!H10))</f>
        <v>9142.8571428571431</v>
      </c>
      <c r="M10" s="20">
        <f t="shared" si="7"/>
        <v>6.0000000000000001E-3</v>
      </c>
      <c r="N10" s="18">
        <f t="shared" si="2"/>
        <v>3857.4057828816367</v>
      </c>
      <c r="O10" s="15">
        <f>MIN(Pcap,MAX(0,P0-g*G.data!N10))</f>
        <v>0</v>
      </c>
      <c r="P10" s="18">
        <f t="shared" si="3"/>
        <v>1416.8271663431219</v>
      </c>
      <c r="T10" s="179">
        <v>12</v>
      </c>
      <c r="U10" t="s">
        <v>232</v>
      </c>
      <c r="X10" s="18">
        <f>L0*BEDur-(BEDur^2)*Ldif/2-alph*(BEDur^1.5)/1.5</f>
        <v>19107.318490112102</v>
      </c>
      <c r="Y10" t="s">
        <v>245</v>
      </c>
      <c r="AA10" s="43"/>
      <c r="AB10" s="23"/>
      <c r="AC10" s="23"/>
    </row>
    <row r="11" spans="2:32" x14ac:dyDescent="0.25">
      <c r="B11" s="19">
        <f t="shared" si="9"/>
        <v>0.12000000000000001</v>
      </c>
      <c r="C11" s="7">
        <f t="shared" si="4"/>
        <v>41.339625962155608</v>
      </c>
      <c r="D11" s="7">
        <f t="shared" si="5"/>
        <v>44.839625962155608</v>
      </c>
      <c r="E11" s="7">
        <f t="shared" si="8"/>
        <v>51.920908109777926</v>
      </c>
      <c r="G11" s="20">
        <f t="shared" si="6"/>
        <v>7.0000000000000001E-3</v>
      </c>
      <c r="H11">
        <f t="shared" si="0"/>
        <v>350</v>
      </c>
      <c r="I11" s="19">
        <f t="shared" si="1"/>
        <v>9.9999999999999992E-2</v>
      </c>
      <c r="J11" s="18">
        <f>IF(I11&gt;1,0,MAX(0,M0*(1-G.data!I11)*(1-beta*G.data!I11)))</f>
        <v>9000</v>
      </c>
      <c r="K11">
        <f>MAX(0,MIN(Pcap,P0-g*G.data!H11))</f>
        <v>9000</v>
      </c>
      <c r="M11" s="20">
        <f t="shared" si="7"/>
        <v>7.0000000000000001E-3</v>
      </c>
      <c r="N11" s="18">
        <f t="shared" si="2"/>
        <v>4012.5651761131157</v>
      </c>
      <c r="O11" s="15">
        <f>MIN(Pcap,MAX(0,P0-g*G.data!N11))</f>
        <v>0</v>
      </c>
      <c r="P11" s="18">
        <f t="shared" si="3"/>
        <v>1473.817292821195</v>
      </c>
      <c r="T11" s="179">
        <v>30</v>
      </c>
      <c r="U11" t="s">
        <v>233</v>
      </c>
      <c r="X11" s="18">
        <f>L0-Ldif/2-alph/1.5</f>
        <v>33332.833333333328</v>
      </c>
      <c r="Y11" t="s">
        <v>238</v>
      </c>
      <c r="Z11" t="s">
        <v>239</v>
      </c>
    </row>
    <row r="12" spans="2:32" x14ac:dyDescent="0.25">
      <c r="B12" s="19">
        <f t="shared" si="9"/>
        <v>0.14000000000000001</v>
      </c>
      <c r="C12" s="7">
        <f t="shared" si="4"/>
        <v>40.645716533065148</v>
      </c>
      <c r="D12" s="7">
        <f t="shared" si="5"/>
        <v>44.145716533065148</v>
      </c>
      <c r="E12" s="7">
        <f t="shared" si="8"/>
        <v>51.920908109777926</v>
      </c>
      <c r="G12" s="20">
        <f t="shared" si="6"/>
        <v>8.0000000000000002E-3</v>
      </c>
      <c r="H12">
        <f t="shared" si="0"/>
        <v>400</v>
      </c>
      <c r="I12" s="19">
        <f t="shared" si="1"/>
        <v>0.11428571428571427</v>
      </c>
      <c r="J12" s="18">
        <f>IF(I12&gt;1,0,MAX(0,M0*(1-G.data!I12)*(1-beta*G.data!I12)))</f>
        <v>8857.1428571428569</v>
      </c>
      <c r="K12">
        <f>MAX(0,MIN(Pcap,P0-g*G.data!H12))</f>
        <v>8857.1428571428569</v>
      </c>
      <c r="M12" s="20">
        <f t="shared" si="7"/>
        <v>8.0000000000000002E-3</v>
      </c>
      <c r="N12" s="18">
        <f t="shared" si="2"/>
        <v>4156.9840872777204</v>
      </c>
      <c r="O12" s="15">
        <f>MIN(Pcap,MAX(0,P0-g*G.data!N12))</f>
        <v>0</v>
      </c>
      <c r="P12" s="18">
        <f t="shared" si="3"/>
        <v>1526.86243460528</v>
      </c>
      <c r="T12" s="179">
        <v>18</v>
      </c>
      <c r="U12" t="s">
        <v>234</v>
      </c>
      <c r="X12" s="18">
        <f>X11-X10</f>
        <v>14225.514843221226</v>
      </c>
      <c r="Y12" t="s">
        <v>246</v>
      </c>
    </row>
    <row r="13" spans="2:32" x14ac:dyDescent="0.25">
      <c r="B13" s="19">
        <f t="shared" si="9"/>
        <v>0.16</v>
      </c>
      <c r="C13" s="7">
        <f t="shared" si="4"/>
        <v>39.999839999999999</v>
      </c>
      <c r="D13" s="7">
        <f t="shared" si="5"/>
        <v>43.499839999999999</v>
      </c>
      <c r="E13" s="7">
        <f t="shared" si="8"/>
        <v>51.920908109777926</v>
      </c>
      <c r="G13" s="20">
        <f t="shared" si="6"/>
        <v>9.0000000000000011E-3</v>
      </c>
      <c r="H13">
        <f t="shared" si="0"/>
        <v>450.00000000000006</v>
      </c>
      <c r="I13" s="19">
        <f t="shared" si="1"/>
        <v>0.12857142857142856</v>
      </c>
      <c r="J13" s="18">
        <f>IF(I13&gt;1,0,MAX(0,M0*(1-G.data!I13)*(1-beta*G.data!I13)))</f>
        <v>8714.2857142857138</v>
      </c>
      <c r="K13">
        <f>MAX(0,MIN(Pcap,P0-g*G.data!H13))</f>
        <v>8714.2857142857138</v>
      </c>
      <c r="M13" s="20">
        <f t="shared" si="7"/>
        <v>9.0000000000000011E-3</v>
      </c>
      <c r="N13" s="18">
        <f t="shared" si="2"/>
        <v>4292.6253549042085</v>
      </c>
      <c r="O13" s="15">
        <f>MIN(Pcap,MAX(0,P0-g*G.data!N13))</f>
        <v>0</v>
      </c>
      <c r="P13" s="18">
        <f t="shared" si="3"/>
        <v>1576.6835433160311</v>
      </c>
      <c r="T13" s="177">
        <f>T12*(BEDur*CapacityOfBaseLoad+X12)</f>
        <v>546955.74141100887</v>
      </c>
      <c r="U13" t="s">
        <v>240</v>
      </c>
    </row>
    <row r="14" spans="2:32" x14ac:dyDescent="0.25">
      <c r="B14" s="19">
        <f>B13+0.02</f>
        <v>0.18</v>
      </c>
      <c r="C14" s="7">
        <f t="shared" si="4"/>
        <v>39.393218282201786</v>
      </c>
      <c r="D14" s="7">
        <f t="shared" si="5"/>
        <v>42.893218282201786</v>
      </c>
      <c r="E14" s="7">
        <f t="shared" si="8"/>
        <v>51.920908109777926</v>
      </c>
      <c r="G14" s="20">
        <f t="shared" si="6"/>
        <v>1.0000000000000002E-2</v>
      </c>
      <c r="H14">
        <f t="shared" si="0"/>
        <v>500.00000000000011</v>
      </c>
      <c r="I14" s="19">
        <f t="shared" si="1"/>
        <v>0.14285714285714288</v>
      </c>
      <c r="J14" s="18">
        <f>IF(I14&gt;1,0,MAX(0,M0*(1-G.data!I14)*(1-beta*G.data!I14)))</f>
        <v>8571.4285714285706</v>
      </c>
      <c r="K14">
        <f>MAX(0,MIN(Pcap,P0-g*G.data!H14))</f>
        <v>8571.4285714285706</v>
      </c>
      <c r="M14" s="20">
        <f t="shared" si="7"/>
        <v>1.0000000000000002E-2</v>
      </c>
      <c r="N14" s="18">
        <f t="shared" si="2"/>
        <v>4420.9181097779292</v>
      </c>
      <c r="O14" s="15">
        <f>MIN(Pcap,MAX(0,P0-g*G.data!N14))</f>
        <v>0</v>
      </c>
      <c r="P14" s="18">
        <f t="shared" si="3"/>
        <v>1623.805539440146</v>
      </c>
      <c r="T14" s="177">
        <f>T11*(X10-BEDur*CapacityOfBaseLoad)</f>
        <v>88392.09764831842</v>
      </c>
      <c r="U14" t="s">
        <v>241</v>
      </c>
      <c r="X14" s="178">
        <f>(T10-FixedCostofPeaker)/(T11-T12)</f>
        <v>0.5</v>
      </c>
      <c r="Y14" t="s">
        <v>244</v>
      </c>
      <c r="Z14" t="s">
        <v>243</v>
      </c>
    </row>
    <row r="15" spans="2:32" x14ac:dyDescent="0.25">
      <c r="B15" s="19">
        <f>B14+0.02</f>
        <v>0.19999999999999998</v>
      </c>
      <c r="C15" s="7">
        <f t="shared" si="4"/>
        <v>38.819460112501055</v>
      </c>
      <c r="D15" s="7">
        <f t="shared" si="5"/>
        <v>42.319460112501055</v>
      </c>
      <c r="E15" s="7">
        <f t="shared" si="8"/>
        <v>51.920908109777926</v>
      </c>
      <c r="G15" s="20">
        <f t="shared" si="6"/>
        <v>1.1000000000000003E-2</v>
      </c>
      <c r="H15">
        <f t="shared" si="0"/>
        <v>550.00000000000011</v>
      </c>
      <c r="I15" s="19">
        <f t="shared" si="1"/>
        <v>0.15714285714285717</v>
      </c>
      <c r="J15" s="18">
        <f>IF(I15&gt;1,0,MAX(0,M0*(1-G.data!I15)*(1-beta*G.data!I15)))</f>
        <v>8428.5714285714294</v>
      </c>
      <c r="K15">
        <f>MAX(0,MIN(Pcap,P0-g*G.data!H15))</f>
        <v>8428.5714285714275</v>
      </c>
      <c r="M15" s="20">
        <f t="shared" si="7"/>
        <v>1.1000000000000003E-2</v>
      </c>
      <c r="N15" s="18">
        <f t="shared" si="2"/>
        <v>4542.9412302033015</v>
      </c>
      <c r="O15" s="15">
        <f>MIN(Pcap,MAX(0,P0-g*G.data!N15))</f>
        <v>0</v>
      </c>
      <c r="P15" s="18">
        <f t="shared" si="3"/>
        <v>1668.6246955444522</v>
      </c>
      <c r="T15" s="177">
        <f>T10*CapacityOfBaseLoad</f>
        <v>387861.96564403572</v>
      </c>
      <c r="U15" t="s">
        <v>242</v>
      </c>
    </row>
    <row r="16" spans="2:32" x14ac:dyDescent="0.25">
      <c r="B16" s="19">
        <f>B15+0.05</f>
        <v>0.25</v>
      </c>
      <c r="C16" s="7">
        <f t="shared" si="4"/>
        <v>37.499749999999999</v>
      </c>
      <c r="D16" s="7">
        <f t="shared" si="5"/>
        <v>40.999749999999999</v>
      </c>
      <c r="E16" s="7">
        <f t="shared" si="8"/>
        <v>51.920908109777926</v>
      </c>
      <c r="G16" s="20">
        <f t="shared" si="6"/>
        <v>1.2000000000000004E-2</v>
      </c>
      <c r="H16">
        <f t="shared" si="0"/>
        <v>600.00000000000023</v>
      </c>
      <c r="I16" s="19">
        <f t="shared" si="1"/>
        <v>0.17142857142857146</v>
      </c>
      <c r="J16" s="18">
        <f>IF(I16&gt;1,0,MAX(0,M0*(1-G.data!I16)*(1-beta*G.data!I16)))</f>
        <v>8285.7142857142844</v>
      </c>
      <c r="K16">
        <f>MAX(0,MIN(Pcap,P0-g*G.data!H16))</f>
        <v>8285.7142857142862</v>
      </c>
      <c r="M16" s="20">
        <f t="shared" si="7"/>
        <v>1.2000000000000004E-2</v>
      </c>
      <c r="N16" s="18">
        <f t="shared" si="2"/>
        <v>4659.5328973037613</v>
      </c>
      <c r="O16" s="15">
        <f>MIN(Pcap,MAX(0,P0-g*G.data!N16))</f>
        <v>0</v>
      </c>
      <c r="P16" s="18">
        <f t="shared" si="3"/>
        <v>1711.4488759950143</v>
      </c>
      <c r="T16" s="177">
        <f>FixedCostofPeaker*(Kopt-CapacityOfBaseLoad)</f>
        <v>117594.4658366497</v>
      </c>
      <c r="U16" t="s">
        <v>241</v>
      </c>
    </row>
    <row r="17" spans="2:25" x14ac:dyDescent="0.25">
      <c r="B17" s="19">
        <f t="shared" ref="B17:B25" si="10">B16+0.05</f>
        <v>0.3</v>
      </c>
      <c r="C17" s="7">
        <f t="shared" si="4"/>
        <v>36.306636062370849</v>
      </c>
      <c r="D17" s="7">
        <f t="shared" si="5"/>
        <v>39.806636062370849</v>
      </c>
      <c r="E17" s="7">
        <f t="shared" si="8"/>
        <v>51.920908109777926</v>
      </c>
      <c r="G17" s="20">
        <f t="shared" si="6"/>
        <v>1.3000000000000005E-2</v>
      </c>
      <c r="H17">
        <f t="shared" si="0"/>
        <v>650.00000000000023</v>
      </c>
      <c r="I17" s="19">
        <f t="shared" si="1"/>
        <v>0.18571428571428575</v>
      </c>
      <c r="J17" s="18">
        <f>IF(I17&gt;1,0,MAX(0,M0*(1-G.data!I17)*(1-beta*G.data!I17)))</f>
        <v>8142.8571428571431</v>
      </c>
      <c r="K17">
        <f>MAX(0,MIN(Pcap,P0-g*G.data!H17))</f>
        <v>8142.8571428571422</v>
      </c>
      <c r="M17" s="20">
        <f t="shared" si="7"/>
        <v>1.3000000000000005E-2</v>
      </c>
      <c r="N17" s="18">
        <f t="shared" si="2"/>
        <v>4771.3596725257739</v>
      </c>
      <c r="O17" s="15">
        <f>MIN(Pcap,MAX(0,P0-g*G.data!N17))</f>
        <v>0</v>
      </c>
      <c r="P17" s="18">
        <f t="shared" si="3"/>
        <v>1752.5229091605718</v>
      </c>
      <c r="T17" s="177">
        <f>CUopt</f>
        <v>2368.8252834945174</v>
      </c>
      <c r="U17" t="s">
        <v>249</v>
      </c>
    </row>
    <row r="18" spans="2:25" x14ac:dyDescent="0.25">
      <c r="B18" s="19">
        <f t="shared" si="10"/>
        <v>0.35</v>
      </c>
      <c r="C18" s="7">
        <f t="shared" si="4"/>
        <v>35.209450542250963</v>
      </c>
      <c r="D18" s="7">
        <f t="shared" si="5"/>
        <v>38.709450542250963</v>
      </c>
      <c r="E18" s="7">
        <f t="shared" si="8"/>
        <v>51.920908109777926</v>
      </c>
      <c r="G18" s="20">
        <f t="shared" si="6"/>
        <v>1.4000000000000005E-2</v>
      </c>
      <c r="H18">
        <f t="shared" si="0"/>
        <v>700.00000000000023</v>
      </c>
      <c r="I18" s="19">
        <f t="shared" si="1"/>
        <v>0.20000000000000004</v>
      </c>
      <c r="J18" s="18">
        <f>IF(I18&gt;1,0,MAX(0,M0*(1-G.data!I18)*(1-beta*G.data!I18)))</f>
        <v>7999.9999999999991</v>
      </c>
      <c r="K18">
        <f>MAX(0,MIN(Pcap,P0-g*G.data!H18))</f>
        <v>8000</v>
      </c>
      <c r="M18" s="20">
        <f t="shared" si="7"/>
        <v>1.4000000000000005E-2</v>
      </c>
      <c r="N18" s="18">
        <f t="shared" si="2"/>
        <v>4878.9620013277381</v>
      </c>
      <c r="O18" s="15">
        <f>MIN(Pcap,MAX(0,P0-g*G.data!N18))</f>
        <v>0</v>
      </c>
      <c r="P18" s="18">
        <f t="shared" si="3"/>
        <v>1792.0453009413293</v>
      </c>
      <c r="T18" s="180">
        <f>SUM(T13:T17)</f>
        <v>1143173.0958235073</v>
      </c>
      <c r="U18" t="s">
        <v>248</v>
      </c>
    </row>
    <row r="19" spans="2:25" x14ac:dyDescent="0.25">
      <c r="B19" s="19">
        <f t="shared" si="10"/>
        <v>0.39999999999999997</v>
      </c>
      <c r="C19" s="7">
        <f t="shared" si="4"/>
        <v>34.188211699158096</v>
      </c>
      <c r="D19" s="7">
        <f t="shared" si="5"/>
        <v>37.688211699158096</v>
      </c>
      <c r="E19" s="7">
        <f t="shared" si="8"/>
        <v>51.920908109777926</v>
      </c>
      <c r="G19" s="20">
        <f t="shared" si="6"/>
        <v>1.5000000000000006E-2</v>
      </c>
      <c r="H19">
        <f t="shared" si="0"/>
        <v>750.00000000000034</v>
      </c>
      <c r="I19" s="19">
        <f t="shared" si="1"/>
        <v>0.21428571428571436</v>
      </c>
      <c r="J19" s="18">
        <f>IF(I19&gt;1,0,MAX(0,M0*(1-G.data!I19)*(1-beta*G.data!I19)))</f>
        <v>7857.142857142856</v>
      </c>
      <c r="K19">
        <f>MAX(0,MIN(Pcap,P0-g*G.data!H19))</f>
        <v>7857.1428571428569</v>
      </c>
      <c r="M19" s="20">
        <f t="shared" si="7"/>
        <v>1.5000000000000006E-2</v>
      </c>
      <c r="N19" s="18">
        <f t="shared" si="2"/>
        <v>4982.7852882568986</v>
      </c>
      <c r="O19" s="15">
        <f>MIN(Pcap,MAX(0,P0-g*G.data!N19))</f>
        <v>0</v>
      </c>
      <c r="P19" s="18">
        <f t="shared" si="3"/>
        <v>1830.1796486609985</v>
      </c>
      <c r="U19" t="s">
        <v>218</v>
      </c>
      <c r="V19" s="7">
        <f>IF(CU&lt;=0,"perfect",CUopt/CU)</f>
        <v>1</v>
      </c>
    </row>
    <row r="20" spans="2:25" x14ac:dyDescent="0.25">
      <c r="B20" s="19">
        <f t="shared" si="10"/>
        <v>0.44999999999999996</v>
      </c>
      <c r="C20" s="7">
        <f t="shared" si="4"/>
        <v>33.229040168751581</v>
      </c>
      <c r="D20" s="7">
        <f t="shared" si="5"/>
        <v>36.729040168751581</v>
      </c>
      <c r="E20" s="7">
        <f t="shared" si="8"/>
        <v>51.920908109777926</v>
      </c>
      <c r="G20" s="20">
        <f t="shared" si="6"/>
        <v>1.6000000000000007E-2</v>
      </c>
      <c r="H20">
        <f t="shared" si="0"/>
        <v>800.00000000000034</v>
      </c>
      <c r="I20" s="19">
        <f t="shared" si="1"/>
        <v>0.22857142857142865</v>
      </c>
      <c r="J20" s="18">
        <f>IF(I20&gt;1,0,MAX(0,M0*(1-G.data!I20)*(1-beta*G.data!I20)))</f>
        <v>7714.2857142857138</v>
      </c>
      <c r="K20">
        <f>MAX(0,MIN(Pcap,P0-g*G.data!H20))</f>
        <v>7714.2857142857138</v>
      </c>
      <c r="M20" s="20">
        <f t="shared" si="7"/>
        <v>1.6000000000000007E-2</v>
      </c>
      <c r="N20" s="18">
        <f t="shared" si="2"/>
        <v>5083.2017699463104</v>
      </c>
      <c r="O20" s="15">
        <f>MIN(Pcap,MAX(0,P0-g*G.data!N20))</f>
        <v>0</v>
      </c>
      <c r="P20" s="18">
        <f t="shared" si="3"/>
        <v>1867.0626750300501</v>
      </c>
    </row>
    <row r="21" spans="2:25" x14ac:dyDescent="0.25">
      <c r="B21" s="19">
        <f t="shared" si="10"/>
        <v>0.49999999999999994</v>
      </c>
      <c r="C21" s="7">
        <f t="shared" si="4"/>
        <v>32.321830470336316</v>
      </c>
      <c r="D21" s="7">
        <f t="shared" si="5"/>
        <v>35.821830470336316</v>
      </c>
      <c r="E21" s="7">
        <f t="shared" si="8"/>
        <v>51.920908109777926</v>
      </c>
      <c r="G21" s="20">
        <f t="shared" si="6"/>
        <v>1.7000000000000008E-2</v>
      </c>
      <c r="H21">
        <f t="shared" si="0"/>
        <v>850.00000000000045</v>
      </c>
      <c r="I21" s="19">
        <f t="shared" si="1"/>
        <v>0.24285714285714297</v>
      </c>
      <c r="J21" s="18">
        <f>IF(I21&gt;1,0,MAX(0,M0*(1-G.data!I21)*(1-beta*G.data!I21)))</f>
        <v>7571.4285714285697</v>
      </c>
      <c r="K21">
        <f>MAX(0,MIN(Pcap,P0-g*G.data!H21))</f>
        <v>7571.4285714285706</v>
      </c>
      <c r="M21" s="20">
        <f t="shared" si="7"/>
        <v>1.7000000000000008E-2</v>
      </c>
      <c r="N21" s="18">
        <f t="shared" si="2"/>
        <v>5180.5263123792538</v>
      </c>
      <c r="O21" s="15">
        <f>MIN(Pcap,MAX(0,P0-g*G.data!N21))</f>
        <v>0</v>
      </c>
      <c r="P21" s="18">
        <f t="shared" si="3"/>
        <v>1902.810030489215</v>
      </c>
    </row>
    <row r="22" spans="2:25" x14ac:dyDescent="0.25">
      <c r="B22" s="19">
        <f t="shared" si="10"/>
        <v>0.54999999999999993</v>
      </c>
      <c r="C22" s="7">
        <f t="shared" si="4"/>
        <v>31.458953782260842</v>
      </c>
      <c r="D22" s="7">
        <f t="shared" si="5"/>
        <v>34.958953782260842</v>
      </c>
      <c r="E22" s="7">
        <f t="shared" si="8"/>
        <v>51.920908109777926</v>
      </c>
      <c r="G22" s="20">
        <f t="shared" si="6"/>
        <v>1.8000000000000009E-2</v>
      </c>
      <c r="H22">
        <f t="shared" si="0"/>
        <v>900.00000000000045</v>
      </c>
      <c r="I22" s="19">
        <f t="shared" si="1"/>
        <v>0.25714285714285723</v>
      </c>
      <c r="J22" s="18">
        <f>IF(I22&gt;1,0,MAX(0,M0*(1-G.data!I22)*(1-beta*G.data!I22)))</f>
        <v>7428.5714285714275</v>
      </c>
      <c r="K22">
        <f>MAX(0,MIN(Pcap,P0-g*G.data!H22))</f>
        <v>7428.5714285714275</v>
      </c>
      <c r="M22" s="20">
        <f t="shared" si="7"/>
        <v>1.8000000000000009E-2</v>
      </c>
      <c r="N22" s="18">
        <f t="shared" si="2"/>
        <v>5275.0280760276073</v>
      </c>
      <c r="O22" s="15">
        <f>MIN(Pcap,MAX(0,P0-g*G.data!N22))</f>
        <v>0</v>
      </c>
      <c r="P22" s="18">
        <f t="shared" si="3"/>
        <v>1937.5205778209249</v>
      </c>
      <c r="T22" t="s">
        <v>203</v>
      </c>
      <c r="U22" t="s">
        <v>226</v>
      </c>
    </row>
    <row r="23" spans="2:25" x14ac:dyDescent="0.25">
      <c r="B23" s="19">
        <f t="shared" si="10"/>
        <v>0.6</v>
      </c>
      <c r="C23" s="7">
        <f t="shared" si="4"/>
        <v>30.634483268962914</v>
      </c>
      <c r="D23" s="7">
        <f t="shared" si="5"/>
        <v>34.134483268962917</v>
      </c>
      <c r="E23" s="7">
        <f t="shared" si="8"/>
        <v>51.920908109777926</v>
      </c>
      <c r="G23" s="20">
        <f t="shared" si="6"/>
        <v>1.900000000000001E-2</v>
      </c>
      <c r="H23">
        <f t="shared" si="0"/>
        <v>950.00000000000045</v>
      </c>
      <c r="I23" s="19">
        <f t="shared" si="1"/>
        <v>0.27142857142857152</v>
      </c>
      <c r="J23" s="18">
        <f>IF(I23&gt;1,0,MAX(0,M0*(1-G.data!I23)*(1-beta*G.data!I23)))</f>
        <v>7285.7142857142844</v>
      </c>
      <c r="K23">
        <f>MAX(0,MIN(Pcap,P0-g*G.data!H23))</f>
        <v>7285.7142857142844</v>
      </c>
      <c r="M23" s="20">
        <f t="shared" si="7"/>
        <v>1.900000000000001E-2</v>
      </c>
      <c r="N23" s="18">
        <f t="shared" si="2"/>
        <v>5366.9392978004835</v>
      </c>
      <c r="O23" s="15">
        <f>MIN(Pcap,MAX(0,P0-g*G.data!N23))</f>
        <v>0</v>
      </c>
      <c r="P23" s="18">
        <f t="shared" si="3"/>
        <v>1971.2796177636496</v>
      </c>
      <c r="T23" t="s">
        <v>205</v>
      </c>
      <c r="U23" t="s">
        <v>229</v>
      </c>
    </row>
    <row r="24" spans="2:25" x14ac:dyDescent="0.25">
      <c r="B24" s="19">
        <f t="shared" si="10"/>
        <v>0.65</v>
      </c>
      <c r="C24" s="7">
        <f t="shared" si="4"/>
        <v>29.843705629253623</v>
      </c>
      <c r="D24" s="7">
        <f t="shared" si="5"/>
        <v>33.343705629253627</v>
      </c>
      <c r="E24" s="7">
        <f t="shared" si="8"/>
        <v>51.920908109777926</v>
      </c>
      <c r="G24" s="20">
        <f t="shared" si="6"/>
        <v>2.0000000000000011E-2</v>
      </c>
      <c r="H24">
        <f t="shared" si="0"/>
        <v>1000.0000000000006</v>
      </c>
      <c r="I24" s="19">
        <f t="shared" si="1"/>
        <v>0.28571428571428586</v>
      </c>
      <c r="J24" s="18">
        <f>IF(I24&gt;1,0,MAX(0,M0*(1-G.data!I24)*(1-beta*G.data!I24)))</f>
        <v>7142.8571428571422</v>
      </c>
      <c r="K24">
        <f>MAX(0,MIN(Pcap,P0-g*G.data!H24))</f>
        <v>7142.8571428571413</v>
      </c>
      <c r="M24" s="20">
        <f t="shared" si="7"/>
        <v>2.0000000000000011E-2</v>
      </c>
      <c r="N24" s="18">
        <f t="shared" si="2"/>
        <v>5456.4620157106619</v>
      </c>
      <c r="O24" s="15">
        <f>MIN(Pcap,MAX(0,P0-g*G.data!N24))</f>
        <v>0</v>
      </c>
      <c r="P24" s="18">
        <f t="shared" si="3"/>
        <v>2004.1613589854039</v>
      </c>
      <c r="T24" t="s">
        <v>206</v>
      </c>
      <c r="U24" t="s">
        <v>230</v>
      </c>
    </row>
    <row r="25" spans="2:25" x14ac:dyDescent="0.25">
      <c r="B25" s="19">
        <f t="shared" si="10"/>
        <v>0.70000000000000007</v>
      </c>
      <c r="C25" s="7">
        <f t="shared" si="4"/>
        <v>29.082799336648112</v>
      </c>
      <c r="D25" s="7">
        <f t="shared" si="5"/>
        <v>32.582799336648115</v>
      </c>
      <c r="E25" s="7">
        <f t="shared" si="8"/>
        <v>51.920908109777926</v>
      </c>
      <c r="G25" s="20">
        <f t="shared" si="6"/>
        <v>2.1000000000000012E-2</v>
      </c>
      <c r="H25">
        <f t="shared" si="0"/>
        <v>1050.0000000000007</v>
      </c>
      <c r="I25" s="19">
        <f t="shared" si="1"/>
        <v>0.30000000000000016</v>
      </c>
      <c r="J25" s="18">
        <f>IF(I25&gt;1,0,MAX(0,M0*(1-G.data!I25)*(1-beta*G.data!I25)))</f>
        <v>6999.9999999999982</v>
      </c>
      <c r="K25">
        <f>MAX(0,MIN(Pcap,P0-g*G.data!H25))</f>
        <v>6999.9999999999982</v>
      </c>
      <c r="M25" s="20">
        <f t="shared" si="7"/>
        <v>2.1000000000000012E-2</v>
      </c>
      <c r="N25" s="18">
        <f t="shared" si="2"/>
        <v>5543.7732963252856</v>
      </c>
      <c r="O25" s="15">
        <f>MIN(Pcap,MAX(0,P0-g*G.data!N25))</f>
        <v>0</v>
      </c>
      <c r="P25" s="18">
        <f t="shared" si="3"/>
        <v>2036.2308381291289</v>
      </c>
      <c r="T25" t="s">
        <v>207</v>
      </c>
      <c r="U25" s="15" t="s">
        <v>251</v>
      </c>
    </row>
    <row r="26" spans="2:25" x14ac:dyDescent="0.25">
      <c r="B26" s="19">
        <f>B25+0.1</f>
        <v>0.8</v>
      </c>
      <c r="C26" s="7">
        <f t="shared" si="4"/>
        <v>27.6385202250021</v>
      </c>
      <c r="D26" s="7">
        <f t="shared" si="5"/>
        <v>31.1385202250021</v>
      </c>
      <c r="E26" s="7">
        <f t="shared" si="8"/>
        <v>51.920908109777926</v>
      </c>
      <c r="G26" s="20">
        <f t="shared" si="6"/>
        <v>2.2000000000000013E-2</v>
      </c>
      <c r="H26">
        <f t="shared" si="0"/>
        <v>1100.0000000000007</v>
      </c>
      <c r="I26" s="19">
        <f t="shared" si="1"/>
        <v>0.31428571428571445</v>
      </c>
      <c r="J26" s="18">
        <f>IF(I26&gt;1,0,MAX(0,M0*(1-G.data!I26)*(1-beta*G.data!I26)))</f>
        <v>6857.1428571428551</v>
      </c>
      <c r="K26">
        <f>MAX(0,MIN(Pcap,P0-g*G.data!H26))</f>
        <v>6857.1428571428551</v>
      </c>
      <c r="M26" s="20">
        <f t="shared" si="7"/>
        <v>2.2000000000000013E-2</v>
      </c>
      <c r="N26" s="18">
        <f t="shared" si="2"/>
        <v>5629.0293533257573</v>
      </c>
      <c r="O26" s="15">
        <f>MIN(Pcap,MAX(0,P0-g*G.data!N26))</f>
        <v>0</v>
      </c>
      <c r="P26" s="18">
        <f t="shared" si="3"/>
        <v>2067.5454325619003</v>
      </c>
      <c r="T26" t="s">
        <v>208</v>
      </c>
    </row>
    <row r="27" spans="2:25" x14ac:dyDescent="0.25">
      <c r="B27" s="19">
        <f>B26+0.1</f>
        <v>0.9</v>
      </c>
      <c r="C27" s="7">
        <f t="shared" si="4"/>
        <v>26.282017548737151</v>
      </c>
      <c r="D27" s="7">
        <f t="shared" si="5"/>
        <v>29.782017548737151</v>
      </c>
      <c r="E27" s="7">
        <f t="shared" si="8"/>
        <v>51.920908109777926</v>
      </c>
      <c r="G27" s="20">
        <f t="shared" si="6"/>
        <v>2.3000000000000013E-2</v>
      </c>
      <c r="H27">
        <f t="shared" si="0"/>
        <v>1150.0000000000007</v>
      </c>
      <c r="I27" s="19">
        <f t="shared" si="1"/>
        <v>0.32857142857142874</v>
      </c>
      <c r="J27" s="18">
        <f>IF(I27&gt;1,0,MAX(0,M0*(1-G.data!I27)*(1-beta*G.data!I27)))</f>
        <v>6714.2857142857129</v>
      </c>
      <c r="K27">
        <f>MAX(0,MIN(Pcap,P0-g*G.data!H27))</f>
        <v>6714.2857142857129</v>
      </c>
      <c r="M27" s="20">
        <f t="shared" si="7"/>
        <v>2.3000000000000013E-2</v>
      </c>
      <c r="N27" s="18">
        <f t="shared" si="2"/>
        <v>5712.3688318037021</v>
      </c>
      <c r="O27" s="15">
        <f>MIN(Pcap,MAX(0,P0-g*G.data!N27))</f>
        <v>0</v>
      </c>
      <c r="P27" s="18">
        <f t="shared" si="3"/>
        <v>2098.1560666985588</v>
      </c>
    </row>
    <row r="28" spans="2:25" x14ac:dyDescent="0.25">
      <c r="B28" s="19">
        <f>B27+0.1</f>
        <v>1</v>
      </c>
      <c r="C28" s="7">
        <f t="shared" si="4"/>
        <v>24.998999999999999</v>
      </c>
      <c r="D28" s="7">
        <f t="shared" si="5"/>
        <v>28.498999999999999</v>
      </c>
      <c r="E28" s="7">
        <f t="shared" si="8"/>
        <v>51.920908109777926</v>
      </c>
      <c r="G28" s="20">
        <f t="shared" si="6"/>
        <v>2.4000000000000014E-2</v>
      </c>
      <c r="H28">
        <f t="shared" si="0"/>
        <v>1200.0000000000007</v>
      </c>
      <c r="I28" s="19">
        <f t="shared" si="1"/>
        <v>0.34285714285714303</v>
      </c>
      <c r="J28" s="18">
        <f>IF(I28&gt;1,0,MAX(0,M0*(1-G.data!I28)*(1-beta*G.data!I28)))</f>
        <v>6571.4285714285706</v>
      </c>
      <c r="K28">
        <f>MAX(0,MIN(Pcap,P0-g*G.data!H28))</f>
        <v>6571.4285714285697</v>
      </c>
      <c r="M28" s="20">
        <f t="shared" si="7"/>
        <v>2.4000000000000014E-2</v>
      </c>
      <c r="N28" s="18">
        <f t="shared" si="2"/>
        <v>5793.9154559853414</v>
      </c>
      <c r="O28" s="15">
        <f>MIN(Pcap,MAX(0,P0-g*G.data!N28))</f>
        <v>0</v>
      </c>
      <c r="P28" s="18">
        <f t="shared" si="3"/>
        <v>2128.108184512259</v>
      </c>
      <c r="U28" t="s">
        <v>202</v>
      </c>
      <c r="V28" t="s">
        <v>204</v>
      </c>
      <c r="W28" t="s">
        <v>209</v>
      </c>
      <c r="X28" t="s">
        <v>210</v>
      </c>
      <c r="Y28" t="s">
        <v>211</v>
      </c>
    </row>
    <row r="29" spans="2:25" x14ac:dyDescent="0.25">
      <c r="B29" s="19">
        <f>1</f>
        <v>1</v>
      </c>
      <c r="C29" s="7">
        <v>0</v>
      </c>
      <c r="D29" s="7"/>
      <c r="E29" s="7"/>
      <c r="G29" s="20">
        <f t="shared" si="6"/>
        <v>2.5000000000000015E-2</v>
      </c>
      <c r="H29">
        <f t="shared" si="0"/>
        <v>1250.0000000000007</v>
      </c>
      <c r="I29" s="19">
        <f t="shared" si="1"/>
        <v>0.35714285714285732</v>
      </c>
      <c r="J29" s="18">
        <f>IF(I29&gt;1,0,MAX(0,M0*(1-G.data!I29)*(1-beta*G.data!I29)))</f>
        <v>6428.5714285714266</v>
      </c>
      <c r="K29">
        <f>MAX(0,MIN(Pcap,P0-g*G.data!H29))</f>
        <v>6428.5714285714275</v>
      </c>
      <c r="M29" s="20">
        <f t="shared" si="7"/>
        <v>2.5000000000000015E-2</v>
      </c>
      <c r="N29" s="18">
        <f t="shared" si="2"/>
        <v>5873.7801849884054</v>
      </c>
      <c r="O29" s="15">
        <f>MIN(Pcap,MAX(0,P0-g*G.data!N29))</f>
        <v>0</v>
      </c>
      <c r="P29" s="18">
        <f t="shared" si="3"/>
        <v>2157.4425413451149</v>
      </c>
      <c r="T29" s="27" t="s">
        <v>194</v>
      </c>
      <c r="U29">
        <v>7.0000000000000007E-2</v>
      </c>
      <c r="V29">
        <v>7.0000000000000007E-2</v>
      </c>
      <c r="W29">
        <v>7.0000000000000007E-2</v>
      </c>
      <c r="X29">
        <v>7.0000000000000007E-2</v>
      </c>
    </row>
    <row r="30" spans="2:25" x14ac:dyDescent="0.25">
      <c r="G30" s="20">
        <f t="shared" si="6"/>
        <v>2.6000000000000016E-2</v>
      </c>
      <c r="H30">
        <f t="shared" si="0"/>
        <v>1300.0000000000009</v>
      </c>
      <c r="I30" s="19">
        <f t="shared" si="1"/>
        <v>0.37142857142857166</v>
      </c>
      <c r="J30" s="18">
        <f>IF(I30&gt;1,0,MAX(0,M0*(1-G.data!I30)*(1-beta*G.data!I30)))</f>
        <v>6285.7142857142835</v>
      </c>
      <c r="K30">
        <f>MAX(0,MIN(Pcap,P0-g*G.data!H30))</f>
        <v>6285.7142857142835</v>
      </c>
      <c r="M30" s="20">
        <f t="shared" si="7"/>
        <v>2.6000000000000016E-2</v>
      </c>
      <c r="N30" s="18">
        <f t="shared" si="2"/>
        <v>5952.0629839272005</v>
      </c>
      <c r="O30" s="15">
        <f>MIN(Pcap,MAX(0,P0-g*G.data!N30))</f>
        <v>0</v>
      </c>
      <c r="P30" s="18">
        <f t="shared" si="3"/>
        <v>2186.1958544360195</v>
      </c>
      <c r="T30" s="27" t="s">
        <v>195</v>
      </c>
      <c r="U30">
        <v>10000</v>
      </c>
      <c r="V30">
        <v>10000</v>
      </c>
      <c r="W30">
        <v>10000</v>
      </c>
      <c r="X30">
        <v>10000</v>
      </c>
    </row>
    <row r="31" spans="2:25" x14ac:dyDescent="0.25">
      <c r="G31" s="20">
        <f t="shared" si="6"/>
        <v>2.7000000000000017E-2</v>
      </c>
      <c r="H31">
        <f t="shared" si="0"/>
        <v>1350.0000000000009</v>
      </c>
      <c r="I31" s="19">
        <f t="shared" si="1"/>
        <v>0.3857142857142859</v>
      </c>
      <c r="J31" s="18">
        <f>IF(I31&gt;1,0,MAX(0,M0*(1-G.data!I31)*(1-beta*G.data!I31)))</f>
        <v>6142.8571428571413</v>
      </c>
      <c r="K31">
        <f>MAX(0,MIN(Pcap,P0-g*G.data!H31))</f>
        <v>6142.8571428571413</v>
      </c>
      <c r="M31" s="20">
        <f t="shared" si="7"/>
        <v>2.7000000000000017E-2</v>
      </c>
      <c r="N31" s="18">
        <f t="shared" si="2"/>
        <v>6028.8542910666729</v>
      </c>
      <c r="O31" s="15">
        <f>MIN(Pcap,MAX(0,P0-g*G.data!N31))</f>
        <v>0</v>
      </c>
      <c r="P31" s="18">
        <f t="shared" si="3"/>
        <v>2214.4013418071008</v>
      </c>
      <c r="T31" s="27" t="s">
        <v>196</v>
      </c>
      <c r="U31">
        <v>0</v>
      </c>
      <c r="V31">
        <v>0</v>
      </c>
      <c r="W31">
        <v>0</v>
      </c>
      <c r="X31">
        <v>0</v>
      </c>
    </row>
    <row r="32" spans="2:25" x14ac:dyDescent="0.25">
      <c r="G32" s="20">
        <f t="shared" si="6"/>
        <v>2.8000000000000018E-2</v>
      </c>
      <c r="H32">
        <f t="shared" si="0"/>
        <v>1400.0000000000009</v>
      </c>
      <c r="I32" s="19">
        <f t="shared" si="1"/>
        <v>0.40000000000000019</v>
      </c>
      <c r="J32" s="18">
        <f>IF(I32&gt;1,0,MAX(0,M0*(1-G.data!I32)*(1-beta*G.data!I32)))</f>
        <v>5999.9999999999991</v>
      </c>
      <c r="K32">
        <f>MAX(0,MIN(Pcap,P0-g*G.data!H32))</f>
        <v>5999.9999999999982</v>
      </c>
      <c r="M32" s="20">
        <f t="shared" si="7"/>
        <v>2.8000000000000018E-2</v>
      </c>
      <c r="N32" s="18">
        <f t="shared" si="2"/>
        <v>6104.2362424483072</v>
      </c>
      <c r="O32" s="15">
        <f>MIN(Pcap,MAX(0,P0-g*G.data!N32))</f>
        <v>0</v>
      </c>
      <c r="P32" s="18">
        <f t="shared" si="3"/>
        <v>2242.0891720694563</v>
      </c>
      <c r="T32" s="31" t="s">
        <v>197</v>
      </c>
      <c r="U32">
        <v>50000</v>
      </c>
      <c r="V32">
        <v>50000</v>
      </c>
      <c r="W32">
        <v>50000</v>
      </c>
      <c r="X32">
        <v>50000</v>
      </c>
    </row>
    <row r="33" spans="7:24" x14ac:dyDescent="0.25">
      <c r="G33" s="20">
        <f t="shared" si="6"/>
        <v>2.9000000000000019E-2</v>
      </c>
      <c r="H33">
        <f t="shared" si="0"/>
        <v>1450.0000000000009</v>
      </c>
      <c r="I33" s="19">
        <f t="shared" si="1"/>
        <v>0.41428571428571448</v>
      </c>
      <c r="J33" s="18">
        <f>IF(I33&gt;1,0,MAX(0,M0*(1-G.data!I33)*(1-beta*G.data!I33)))</f>
        <v>5857.1428571428551</v>
      </c>
      <c r="K33">
        <f>MAX(0,MIN(Pcap,P0-g*G.data!H33))</f>
        <v>5857.1428571428551</v>
      </c>
      <c r="M33" s="20">
        <f t="shared" si="7"/>
        <v>2.9000000000000019E-2</v>
      </c>
      <c r="N33" s="18">
        <f t="shared" si="2"/>
        <v>6178.2837012595337</v>
      </c>
      <c r="O33" s="15">
        <f>MIN(Pcap,MAX(0,P0-g*G.data!N33))</f>
        <v>0</v>
      </c>
      <c r="P33" s="18">
        <f t="shared" si="3"/>
        <v>2269.2868425110778</v>
      </c>
      <c r="T33" s="27" t="s">
        <v>198</v>
      </c>
      <c r="U33">
        <v>50</v>
      </c>
      <c r="V33">
        <v>50</v>
      </c>
      <c r="W33">
        <v>50</v>
      </c>
      <c r="X33">
        <v>0</v>
      </c>
    </row>
    <row r="34" spans="7:24" x14ac:dyDescent="0.25">
      <c r="G34" s="20">
        <f t="shared" si="6"/>
        <v>3.000000000000002E-2</v>
      </c>
      <c r="H34">
        <f t="shared" si="0"/>
        <v>1500.0000000000009</v>
      </c>
      <c r="I34" s="19">
        <f t="shared" si="1"/>
        <v>0.42857142857142877</v>
      </c>
      <c r="J34" s="18">
        <f>IF(I34&gt;1,0,MAX(0,M0*(1-G.data!I34)*(1-beta*G.data!I34)))</f>
        <v>5714.2857142857119</v>
      </c>
      <c r="K34">
        <f>MAX(0,MIN(Pcap,P0-g*G.data!H34))</f>
        <v>5714.2857142857119</v>
      </c>
      <c r="M34" s="20">
        <f t="shared" si="7"/>
        <v>3.000000000000002E-2</v>
      </c>
      <c r="N34" s="18">
        <f t="shared" si="2"/>
        <v>6251.0651287001238</v>
      </c>
      <c r="O34" s="15">
        <f>MIN(Pcap,MAX(0,P0-g*G.data!N34))</f>
        <v>0</v>
      </c>
      <c r="P34" s="18">
        <f t="shared" si="3"/>
        <v>2296.0194989665324</v>
      </c>
      <c r="T34" s="1" t="s">
        <v>199</v>
      </c>
      <c r="U34">
        <v>7.0000000000000007E-2</v>
      </c>
      <c r="V34">
        <v>7.0000000000000007E-2</v>
      </c>
      <c r="W34">
        <v>0.105725</v>
      </c>
      <c r="X34">
        <v>7.0000000000000007E-2</v>
      </c>
    </row>
    <row r="35" spans="7:24" x14ac:dyDescent="0.25">
      <c r="G35" s="20">
        <f t="shared" si="6"/>
        <v>3.1000000000000021E-2</v>
      </c>
      <c r="H35">
        <f t="shared" si="0"/>
        <v>1550.0000000000011</v>
      </c>
      <c r="I35" s="19">
        <f t="shared" si="1"/>
        <v>0.44285714285714312</v>
      </c>
      <c r="J35" s="18">
        <f>IF(I35&gt;1,0,MAX(0,M0*(1-G.data!I35)*(1-beta*G.data!I35)))</f>
        <v>5571.4285714285697</v>
      </c>
      <c r="K35">
        <f>MAX(0,MIN(Pcap,P0-g*G.data!H35))</f>
        <v>5571.4285714285688</v>
      </c>
      <c r="M35" s="20">
        <f t="shared" si="7"/>
        <v>3.1000000000000021E-2</v>
      </c>
      <c r="N35" s="18">
        <f t="shared" si="2"/>
        <v>6322.6433251926792</v>
      </c>
      <c r="O35" s="15">
        <f>MIN(Pcap,MAX(0,P0-g*G.data!N35))</f>
        <v>0</v>
      </c>
      <c r="P35" s="18">
        <f t="shared" si="3"/>
        <v>2322.3102080639655</v>
      </c>
      <c r="T35" s="1" t="s">
        <v>200</v>
      </c>
      <c r="U35">
        <v>10000</v>
      </c>
      <c r="V35">
        <v>10000</v>
      </c>
      <c r="W35">
        <v>10000</v>
      </c>
      <c r="X35">
        <v>10000</v>
      </c>
    </row>
    <row r="36" spans="7:24" x14ac:dyDescent="0.25">
      <c r="G36" s="20">
        <f t="shared" si="6"/>
        <v>3.2000000000000021E-2</v>
      </c>
      <c r="H36">
        <f t="shared" ref="H36:H67" si="11">G36*L0</f>
        <v>1600.0000000000011</v>
      </c>
      <c r="I36" s="19">
        <f t="shared" ref="I36:I67" si="12">H36/R0</f>
        <v>0.45714285714285741</v>
      </c>
      <c r="J36" s="18">
        <f>IF(I36&gt;1,0,MAX(0,M0*(1-G.data!I36)*(1-beta*G.data!I36)))</f>
        <v>5428.5714285714257</v>
      </c>
      <c r="K36">
        <f>MAX(0,MIN(Pcap,P0-g*G.data!H36))</f>
        <v>5428.5714285714257</v>
      </c>
      <c r="M36" s="20">
        <f t="shared" si="7"/>
        <v>3.2000000000000021E-2</v>
      </c>
      <c r="N36" s="18">
        <f t="shared" ref="N36:N67" si="13">MAX(0,K-(L0-Ldif*M36-alph*M36^0.5))</f>
        <v>6393.0760647775096</v>
      </c>
      <c r="O36" s="15">
        <f>MIN(Pcap,MAX(0,P0-g*G.data!N36))</f>
        <v>0</v>
      </c>
      <c r="P36" s="18">
        <f t="shared" ref="P36:P67" si="14">N36*P$1</f>
        <v>2348.1801902386724</v>
      </c>
      <c r="T36" s="1" t="s">
        <v>201</v>
      </c>
      <c r="U36">
        <v>99999</v>
      </c>
      <c r="V36">
        <v>350</v>
      </c>
      <c r="W36">
        <v>350</v>
      </c>
      <c r="X36">
        <v>99999</v>
      </c>
    </row>
    <row r="37" spans="7:24" x14ac:dyDescent="0.25">
      <c r="G37" s="20">
        <f t="shared" ref="G37:G69" si="15">G36+0.001</f>
        <v>3.3000000000000022E-2</v>
      </c>
      <c r="H37">
        <f t="shared" si="11"/>
        <v>1650.0000000000011</v>
      </c>
      <c r="I37" s="19">
        <f t="shared" si="12"/>
        <v>0.4714285714285717</v>
      </c>
      <c r="J37" s="18">
        <f>IF(I37&gt;1,0,MAX(0,M0*(1-G.data!I37)*(1-beta*G.data!I37)))</f>
        <v>5285.7142857142826</v>
      </c>
      <c r="K37">
        <f>MAX(0,MIN(Pcap,P0-g*G.data!H37))</f>
        <v>5285.7142857142835</v>
      </c>
      <c r="M37" s="20">
        <f t="shared" ref="M37:M69" si="16">M36+0.001</f>
        <v>3.3000000000000022E-2</v>
      </c>
      <c r="N37" s="18">
        <f t="shared" si="13"/>
        <v>6462.4166409241734</v>
      </c>
      <c r="O37" s="15">
        <f>MIN(Pcap,MAX(0,P0-g*G.data!N37))</f>
        <v>0</v>
      </c>
      <c r="P37" s="18">
        <f t="shared" si="14"/>
        <v>2373.6490202099608</v>
      </c>
    </row>
    <row r="38" spans="7:24" x14ac:dyDescent="0.25">
      <c r="G38" s="20">
        <f t="shared" si="15"/>
        <v>3.4000000000000023E-2</v>
      </c>
      <c r="H38">
        <f t="shared" si="11"/>
        <v>1700.0000000000011</v>
      </c>
      <c r="I38" s="19">
        <f t="shared" si="12"/>
        <v>0.48571428571428599</v>
      </c>
      <c r="J38" s="18">
        <f>IF(I38&gt;1,0,MAX(0,M0*(1-G.data!I38)*(1-beta*G.data!I38)))</f>
        <v>5142.8571428571404</v>
      </c>
      <c r="K38">
        <f>MAX(0,MIN(Pcap,P0-g*G.data!H38))</f>
        <v>5142.8571428571404</v>
      </c>
      <c r="M38" s="20">
        <f t="shared" si="16"/>
        <v>3.4000000000000023E-2</v>
      </c>
      <c r="N38" s="18">
        <f t="shared" si="13"/>
        <v>6530.7143384243682</v>
      </c>
      <c r="O38" s="15">
        <f>MIN(Pcap,MAX(0,P0-g*G.data!N38))</f>
        <v>0</v>
      </c>
      <c r="P38" s="18">
        <f t="shared" si="14"/>
        <v>2398.7348003076595</v>
      </c>
    </row>
    <row r="39" spans="7:24" x14ac:dyDescent="0.25">
      <c r="G39" s="20">
        <f t="shared" si="15"/>
        <v>3.5000000000000024E-2</v>
      </c>
      <c r="H39">
        <f t="shared" si="11"/>
        <v>1750.0000000000011</v>
      </c>
      <c r="I39" s="19">
        <f t="shared" si="12"/>
        <v>0.50000000000000022</v>
      </c>
      <c r="J39" s="18">
        <f>IF(I39&gt;1,0,MAX(0,M0*(1-G.data!I39)*(1-beta*G.data!I39)))</f>
        <v>4999.9999999999982</v>
      </c>
      <c r="K39">
        <f>MAX(0,MIN(Pcap,P0-g*G.data!H39))</f>
        <v>4999.9999999999973</v>
      </c>
      <c r="M39" s="20">
        <f t="shared" si="16"/>
        <v>3.5000000000000024E-2</v>
      </c>
      <c r="N39" s="18">
        <f t="shared" si="13"/>
        <v>6598.014843245357</v>
      </c>
      <c r="O39" s="15">
        <f>MIN(Pcap,MAX(0,P0-g*G.data!N39))</f>
        <v>0</v>
      </c>
      <c r="P39" s="18">
        <f t="shared" si="14"/>
        <v>2423.454311011496</v>
      </c>
    </row>
    <row r="40" spans="7:24" x14ac:dyDescent="0.25">
      <c r="G40" s="20">
        <f t="shared" si="15"/>
        <v>3.6000000000000025E-2</v>
      </c>
      <c r="H40">
        <f t="shared" si="11"/>
        <v>1800.0000000000014</v>
      </c>
      <c r="I40" s="19">
        <f t="shared" si="12"/>
        <v>0.51428571428571457</v>
      </c>
      <c r="J40" s="18">
        <f>IF(I40&gt;1,0,MAX(0,M0*(1-G.data!I40)*(1-beta*G.data!I40)))</f>
        <v>4857.1428571428542</v>
      </c>
      <c r="K40">
        <f>MAX(0,MIN(Pcap,P0-g*G.data!H40))</f>
        <v>4857.1428571428542</v>
      </c>
      <c r="M40" s="20">
        <f t="shared" si="16"/>
        <v>3.6000000000000025E-2</v>
      </c>
      <c r="N40" s="18">
        <f t="shared" si="13"/>
        <v>6664.3606000305008</v>
      </c>
      <c r="O40" s="15">
        <f>MIN(Pcap,MAX(0,P0-g*G.data!N40))</f>
        <v>0</v>
      </c>
      <c r="P40" s="18">
        <f t="shared" si="14"/>
        <v>2447.8231422612289</v>
      </c>
    </row>
    <row r="41" spans="7:24" x14ac:dyDescent="0.25">
      <c r="G41" s="20">
        <f t="shared" si="15"/>
        <v>3.7000000000000026E-2</v>
      </c>
      <c r="H41">
        <f t="shared" si="11"/>
        <v>1850.0000000000014</v>
      </c>
      <c r="I41" s="19">
        <f t="shared" si="12"/>
        <v>0.52857142857142891</v>
      </c>
      <c r="J41" s="18">
        <f>IF(I41&gt;1,0,MAX(0,M0*(1-G.data!I41)*(1-beta*G.data!I41)))</f>
        <v>4714.285714285711</v>
      </c>
      <c r="K41">
        <f>MAX(0,MIN(Pcap,P0-g*G.data!H41))</f>
        <v>4714.285714285711</v>
      </c>
      <c r="M41" s="20">
        <f t="shared" si="16"/>
        <v>3.7000000000000026E-2</v>
      </c>
      <c r="N41" s="18">
        <f t="shared" si="13"/>
        <v>6729.791125195763</v>
      </c>
      <c r="O41" s="15">
        <f>MIN(Pcap,MAX(0,P0-g*G.data!N41))</f>
        <v>0</v>
      </c>
      <c r="P41" s="18">
        <f t="shared" si="14"/>
        <v>2471.8558084571578</v>
      </c>
    </row>
    <row r="42" spans="7:24" x14ac:dyDescent="0.25">
      <c r="G42" s="20">
        <f t="shared" si="15"/>
        <v>3.8000000000000027E-2</v>
      </c>
      <c r="H42">
        <f t="shared" si="11"/>
        <v>1900.0000000000014</v>
      </c>
      <c r="I42" s="19">
        <f t="shared" si="12"/>
        <v>0.54285714285714315</v>
      </c>
      <c r="J42" s="18">
        <f>IF(I42&gt;1,0,MAX(0,M0*(1-G.data!I42)*(1-beta*G.data!I42)))</f>
        <v>4571.4285714285688</v>
      </c>
      <c r="K42">
        <f>MAX(0,MIN(Pcap,P0-g*G.data!H42))</f>
        <v>4571.4285714285679</v>
      </c>
      <c r="M42" s="20">
        <f t="shared" si="16"/>
        <v>3.8000000000000027E-2</v>
      </c>
      <c r="N42" s="18">
        <f t="shared" si="13"/>
        <v>6794.3432821824099</v>
      </c>
      <c r="O42" s="15">
        <f>MIN(Pcap,MAX(0,P0-g*G.data!N42))</f>
        <v>0</v>
      </c>
      <c r="P42" s="18">
        <f t="shared" si="14"/>
        <v>2495.5658495605867</v>
      </c>
    </row>
    <row r="43" spans="7:24" x14ac:dyDescent="0.25">
      <c r="G43" s="20">
        <f t="shared" si="15"/>
        <v>3.9000000000000028E-2</v>
      </c>
      <c r="H43">
        <f t="shared" si="11"/>
        <v>1950.0000000000014</v>
      </c>
      <c r="I43" s="19">
        <f t="shared" si="12"/>
        <v>0.55714285714285749</v>
      </c>
      <c r="J43" s="18">
        <f>IF(I43&gt;1,0,MAX(0,M0*(1-G.data!I43)*(1-beta*G.data!I43)))</f>
        <v>4428.5714285714248</v>
      </c>
      <c r="K43">
        <f>MAX(0,MIN(Pcap,P0-g*G.data!H43))</f>
        <v>4428.5714285714257</v>
      </c>
      <c r="M43" s="20">
        <f t="shared" si="16"/>
        <v>3.9000000000000028E-2</v>
      </c>
      <c r="N43" s="18">
        <f t="shared" si="13"/>
        <v>6858.0515243108021</v>
      </c>
      <c r="O43" s="15">
        <f>MIN(Pcap,MAX(0,P0-g*G.data!N43))</f>
        <v>0</v>
      </c>
      <c r="P43" s="18">
        <f t="shared" si="14"/>
        <v>2518.9659202941457</v>
      </c>
    </row>
    <row r="44" spans="7:24" x14ac:dyDescent="0.25">
      <c r="G44" s="20">
        <f t="shared" si="15"/>
        <v>4.0000000000000029E-2</v>
      </c>
      <c r="H44">
        <f t="shared" si="11"/>
        <v>2000.0000000000014</v>
      </c>
      <c r="I44" s="19">
        <f t="shared" si="12"/>
        <v>0.57142857142857173</v>
      </c>
      <c r="J44" s="18">
        <f>IF(I44&gt;1,0,MAX(0,M0*(1-G.data!I44)*(1-beta*G.data!I44)))</f>
        <v>4285.7142857142826</v>
      </c>
      <c r="K44">
        <f>MAX(0,MIN(Pcap,P0-g*G.data!H44))</f>
        <v>4285.7142857142826</v>
      </c>
      <c r="M44" s="20">
        <f t="shared" si="16"/>
        <v>4.0000000000000029E-2</v>
      </c>
      <c r="N44" s="18">
        <f t="shared" si="13"/>
        <v>6920.948109777928</v>
      </c>
      <c r="O44" s="15">
        <f>MIN(Pcap,MAX(0,P0-g*G.data!N44))</f>
        <v>0</v>
      </c>
      <c r="P44" s="18">
        <f t="shared" si="14"/>
        <v>2542.0678691105018</v>
      </c>
    </row>
    <row r="45" spans="7:24" x14ac:dyDescent="0.25">
      <c r="G45" s="20">
        <f t="shared" si="15"/>
        <v>4.1000000000000029E-2</v>
      </c>
      <c r="H45">
        <f t="shared" si="11"/>
        <v>2050.0000000000014</v>
      </c>
      <c r="I45" s="19">
        <f t="shared" si="12"/>
        <v>0.58571428571428608</v>
      </c>
      <c r="J45" s="18">
        <f>IF(I45&gt;1,0,MAX(0,M0*(1-G.data!I45)*(1-beta*G.data!I45)))</f>
        <v>4142.8571428571395</v>
      </c>
      <c r="K45">
        <f>MAX(0,MIN(Pcap,P0-g*G.data!H45))</f>
        <v>4142.8571428571395</v>
      </c>
      <c r="M45" s="20">
        <f t="shared" si="16"/>
        <v>4.1000000000000029E-2</v>
      </c>
      <c r="N45" s="18">
        <f t="shared" si="13"/>
        <v>6983.0632926070757</v>
      </c>
      <c r="O45" s="15">
        <f>MIN(Pcap,MAX(0,P0-g*G.data!N45))</f>
        <v>0</v>
      </c>
      <c r="P45" s="18">
        <f t="shared" si="14"/>
        <v>2564.8828083282683</v>
      </c>
    </row>
    <row r="46" spans="7:24" x14ac:dyDescent="0.25">
      <c r="G46" s="20">
        <f t="shared" si="15"/>
        <v>4.200000000000003E-2</v>
      </c>
      <c r="H46">
        <f t="shared" si="11"/>
        <v>2100.0000000000014</v>
      </c>
      <c r="I46" s="19">
        <f t="shared" si="12"/>
        <v>0.60000000000000031</v>
      </c>
      <c r="J46" s="18">
        <f>IF(I46&gt;1,0,MAX(0,M0*(1-G.data!I46)*(1-beta*G.data!I46)))</f>
        <v>3999.9999999999968</v>
      </c>
      <c r="K46">
        <f>MAX(0,MIN(Pcap,P0-g*G.data!H46))</f>
        <v>3999.9999999999973</v>
      </c>
      <c r="M46" s="20">
        <f t="shared" si="16"/>
        <v>4.200000000000003E-2</v>
      </c>
      <c r="N46" s="18">
        <f t="shared" si="13"/>
        <v>7044.4254927577276</v>
      </c>
      <c r="O46" s="15">
        <f>MIN(Pcap,MAX(0,P0-g*G.data!N46))</f>
        <v>0</v>
      </c>
      <c r="P46" s="18">
        <f t="shared" si="14"/>
        <v>2587.4211766134636</v>
      </c>
    </row>
    <row r="47" spans="7:24" x14ac:dyDescent="0.25">
      <c r="G47" s="20">
        <f t="shared" si="15"/>
        <v>4.3000000000000031E-2</v>
      </c>
      <c r="H47">
        <f t="shared" si="11"/>
        <v>2150.0000000000014</v>
      </c>
      <c r="I47" s="19">
        <f t="shared" si="12"/>
        <v>0.61428571428571455</v>
      </c>
      <c r="J47" s="18">
        <f>IF(I47&gt;1,0,MAX(0,M0*(1-G.data!I47)*(1-beta*G.data!I47)))</f>
        <v>3857.1428571428546</v>
      </c>
      <c r="K47">
        <f>MAX(0,MIN(Pcap,P0-g*G.data!H47))</f>
        <v>3857.1428571428542</v>
      </c>
      <c r="M47" s="20">
        <f t="shared" si="16"/>
        <v>4.3000000000000031E-2</v>
      </c>
      <c r="N47" s="18">
        <f t="shared" si="13"/>
        <v>7105.0614481098601</v>
      </c>
      <c r="O47" s="15">
        <f>MIN(Pcap,MAX(0,P0-g*G.data!N47))</f>
        <v>0</v>
      </c>
      <c r="P47" s="18">
        <f t="shared" si="14"/>
        <v>2609.6927948034199</v>
      </c>
    </row>
    <row r="48" spans="7:24" x14ac:dyDescent="0.25">
      <c r="G48" s="20">
        <f t="shared" si="15"/>
        <v>4.4000000000000032E-2</v>
      </c>
      <c r="H48">
        <f t="shared" si="11"/>
        <v>2200.0000000000018</v>
      </c>
      <c r="I48" s="19">
        <f t="shared" si="12"/>
        <v>0.628571428571429</v>
      </c>
      <c r="J48" s="18">
        <f>IF(I48&gt;1,0,MAX(0,M0*(1-G.data!I48)*(1-beta*G.data!I48)))</f>
        <v>3714.2857142857101</v>
      </c>
      <c r="K48">
        <f>MAX(0,MIN(Pcap,P0-g*G.data!H48))</f>
        <v>3714.2857142857101</v>
      </c>
      <c r="M48" s="20">
        <f t="shared" si="16"/>
        <v>4.4000000000000032E-2</v>
      </c>
      <c r="N48" s="18">
        <f t="shared" si="13"/>
        <v>7164.9963506286877</v>
      </c>
      <c r="O48" s="15">
        <f>MIN(Pcap,MAX(0,P0-g*G.data!N48))</f>
        <v>0</v>
      </c>
      <c r="P48" s="18">
        <f t="shared" si="14"/>
        <v>2631.7069159201683</v>
      </c>
    </row>
    <row r="49" spans="7:16" x14ac:dyDescent="0.25">
      <c r="G49" s="20">
        <f t="shared" si="15"/>
        <v>4.5000000000000033E-2</v>
      </c>
      <c r="H49">
        <f t="shared" si="11"/>
        <v>2250.0000000000018</v>
      </c>
      <c r="I49" s="19">
        <f t="shared" si="12"/>
        <v>0.64285714285714335</v>
      </c>
      <c r="J49" s="18">
        <f>IF(I49&gt;1,0,MAX(0,M0*(1-G.data!I49)*(1-beta*G.data!I49)))</f>
        <v>3571.4285714285666</v>
      </c>
      <c r="K49">
        <f>MAX(0,MIN(Pcap,P0-g*G.data!H49))</f>
        <v>3571.428571428567</v>
      </c>
      <c r="M49" s="20">
        <f t="shared" si="16"/>
        <v>4.5000000000000033E-2</v>
      </c>
      <c r="N49" s="18">
        <f t="shared" si="13"/>
        <v>7224.2539686770324</v>
      </c>
      <c r="O49" s="15">
        <f>MIN(Pcap,MAX(0,P0-g*G.data!N49))</f>
        <v>0</v>
      </c>
      <c r="P49" s="18">
        <f t="shared" si="14"/>
        <v>2653.4722700958337</v>
      </c>
    </row>
    <row r="50" spans="7:16" x14ac:dyDescent="0.25">
      <c r="G50" s="20">
        <f t="shared" si="15"/>
        <v>4.6000000000000034E-2</v>
      </c>
      <c r="H50">
        <f t="shared" si="11"/>
        <v>2300.0000000000018</v>
      </c>
      <c r="I50" s="19">
        <f t="shared" si="12"/>
        <v>0.65714285714285758</v>
      </c>
      <c r="J50" s="18">
        <f>IF(I50&gt;1,0,MAX(0,M0*(1-G.data!I50)*(1-beta*G.data!I50)))</f>
        <v>3428.5714285714243</v>
      </c>
      <c r="K50">
        <f>MAX(0,MIN(Pcap,P0-g*G.data!H50))</f>
        <v>3428.5714285714239</v>
      </c>
      <c r="M50" s="20">
        <f t="shared" si="16"/>
        <v>4.6000000000000034E-2</v>
      </c>
      <c r="N50" s="18">
        <f t="shared" si="13"/>
        <v>7282.8567571597378</v>
      </c>
      <c r="O50" s="15">
        <f>MIN(Pcap,MAX(0,P0-g*G.data!N50))</f>
        <v>0</v>
      </c>
      <c r="P50" s="18">
        <f t="shared" si="14"/>
        <v>2674.9971050287377</v>
      </c>
    </row>
    <row r="51" spans="7:16" x14ac:dyDescent="0.25">
      <c r="G51" s="20">
        <f t="shared" si="15"/>
        <v>4.7000000000000035E-2</v>
      </c>
      <c r="H51">
        <f t="shared" si="11"/>
        <v>2350.0000000000018</v>
      </c>
      <c r="I51" s="19">
        <f t="shared" si="12"/>
        <v>0.67142857142857182</v>
      </c>
      <c r="J51" s="18">
        <f>IF(I51&gt;1,0,MAX(0,M0*(1-G.data!I51)*(1-beta*G.data!I51)))</f>
        <v>3285.7142857142817</v>
      </c>
      <c r="K51">
        <f>MAX(0,MIN(Pcap,P0-g*G.data!H51))</f>
        <v>3285.7142857142817</v>
      </c>
      <c r="M51" s="20">
        <f t="shared" si="16"/>
        <v>4.7000000000000035E-2</v>
      </c>
      <c r="N51" s="18">
        <f t="shared" si="13"/>
        <v>7340.8259569476286</v>
      </c>
      <c r="O51" s="15">
        <f>MIN(Pcap,MAX(0,P0-g*G.data!N51))</f>
        <v>0</v>
      </c>
      <c r="P51" s="18">
        <f t="shared" si="14"/>
        <v>2696.28922250187</v>
      </c>
    </row>
    <row r="52" spans="7:16" x14ac:dyDescent="0.25">
      <c r="G52" s="20">
        <f t="shared" si="15"/>
        <v>4.8000000000000036E-2</v>
      </c>
      <c r="H52">
        <f t="shared" si="11"/>
        <v>2400.0000000000018</v>
      </c>
      <c r="I52" s="19">
        <f t="shared" si="12"/>
        <v>0.68571428571428616</v>
      </c>
      <c r="J52" s="18">
        <f>IF(I52&gt;1,0,MAX(0,M0*(1-G.data!I52)*(1-beta*G.data!I52)))</f>
        <v>3142.8571428571386</v>
      </c>
      <c r="K52">
        <f>MAX(0,MIN(Pcap,P0-g*G.data!H52))</f>
        <v>3142.8571428571386</v>
      </c>
      <c r="M52" s="20">
        <f t="shared" si="16"/>
        <v>4.8000000000000036E-2</v>
      </c>
      <c r="N52" s="18">
        <f t="shared" si="13"/>
        <v>7398.181684829593</v>
      </c>
      <c r="O52" s="15">
        <f>MIN(Pcap,MAX(0,P0-g*G.data!N52))</f>
        <v>0</v>
      </c>
      <c r="P52" s="18">
        <f t="shared" si="14"/>
        <v>2717.3560114223355</v>
      </c>
    </row>
    <row r="53" spans="7:16" x14ac:dyDescent="0.25">
      <c r="G53" s="20">
        <f t="shared" si="15"/>
        <v>4.9000000000000037E-2</v>
      </c>
      <c r="H53">
        <f t="shared" si="11"/>
        <v>2450.0000000000018</v>
      </c>
      <c r="I53" s="19">
        <f t="shared" si="12"/>
        <v>0.7000000000000004</v>
      </c>
      <c r="J53" s="18">
        <f>IF(I53&gt;1,0,MAX(0,M0*(1-G.data!I53)*(1-beta*G.data!I53)))</f>
        <v>2999.9999999999959</v>
      </c>
      <c r="K53">
        <f>MAX(0,MIN(Pcap,P0-g*G.data!H53))</f>
        <v>2999.9999999999955</v>
      </c>
      <c r="M53" s="20">
        <f t="shared" si="16"/>
        <v>4.9000000000000037E-2</v>
      </c>
      <c r="N53" s="18">
        <f t="shared" si="13"/>
        <v>7454.9430150725893</v>
      </c>
      <c r="O53" s="15">
        <f>MIN(Pcap,MAX(0,P0-g*G.data!N53))</f>
        <v>0</v>
      </c>
      <c r="P53" s="18">
        <f t="shared" si="14"/>
        <v>2738.2044777783885</v>
      </c>
    </row>
    <row r="54" spans="7:16" x14ac:dyDescent="0.25">
      <c r="G54" s="20">
        <f t="shared" si="15"/>
        <v>5.0000000000000037E-2</v>
      </c>
      <c r="H54">
        <f t="shared" si="11"/>
        <v>2500.0000000000018</v>
      </c>
      <c r="I54" s="19">
        <f t="shared" si="12"/>
        <v>0.71428571428571475</v>
      </c>
      <c r="J54" s="18">
        <f>IF(I54&gt;1,0,MAX(0,M0*(1-G.data!I54)*(1-beta*G.data!I54)))</f>
        <v>2857.1428571428523</v>
      </c>
      <c r="K54">
        <f>MAX(0,MIN(Pcap,P0-g*G.data!H54))</f>
        <v>2857.1428571428532</v>
      </c>
      <c r="M54" s="20">
        <f t="shared" si="16"/>
        <v>5.0000000000000037E-2</v>
      </c>
      <c r="N54" s="18">
        <f t="shared" si="13"/>
        <v>7511.1280535274054</v>
      </c>
      <c r="O54" s="15">
        <f>MIN(Pcap,MAX(0,P0-g*G.data!N54))</f>
        <v>0</v>
      </c>
      <c r="P54" s="18">
        <f t="shared" si="14"/>
        <v>2758.8412718585146</v>
      </c>
    </row>
    <row r="55" spans="7:16" x14ac:dyDescent="0.25">
      <c r="G55" s="20">
        <f t="shared" si="15"/>
        <v>5.1000000000000038E-2</v>
      </c>
      <c r="H55">
        <f t="shared" si="11"/>
        <v>2550.0000000000018</v>
      </c>
      <c r="I55" s="19">
        <f t="shared" si="12"/>
        <v>0.72857142857142898</v>
      </c>
      <c r="J55" s="18">
        <f>IF(I55&gt;1,0,MAX(0,M0*(1-G.data!I55)*(1-beta*G.data!I55)))</f>
        <v>2714.2857142857101</v>
      </c>
      <c r="K55">
        <f>MAX(0,MIN(Pcap,P0-g*G.data!H55))</f>
        <v>2714.2857142857101</v>
      </c>
      <c r="M55" s="20">
        <f t="shared" si="16"/>
        <v>5.1000000000000038E-2</v>
      </c>
      <c r="N55" s="18">
        <f t="shared" si="13"/>
        <v>7566.7540050960379</v>
      </c>
      <c r="O55" s="15">
        <f>MIN(Pcap,MAX(0,P0-g*G.data!N55))</f>
        <v>0</v>
      </c>
      <c r="P55" s="18">
        <f t="shared" si="14"/>
        <v>2779.2727130322378</v>
      </c>
    </row>
    <row r="56" spans="7:16" x14ac:dyDescent="0.25">
      <c r="G56" s="20">
        <f t="shared" si="15"/>
        <v>5.2000000000000039E-2</v>
      </c>
      <c r="H56">
        <f t="shared" si="11"/>
        <v>2600.0000000000018</v>
      </c>
      <c r="I56" s="19">
        <f t="shared" si="12"/>
        <v>0.74285714285714333</v>
      </c>
      <c r="J56" s="18">
        <f>IF(I56&gt;1,0,MAX(0,M0*(1-G.data!I56)*(1-beta*G.data!I56)))</f>
        <v>2571.4285714285666</v>
      </c>
      <c r="K56">
        <f>MAX(0,MIN(Pcap,P0-g*G.data!H56))</f>
        <v>2571.428571428567</v>
      </c>
      <c r="M56" s="20">
        <f t="shared" si="16"/>
        <v>5.2000000000000039E-2</v>
      </c>
      <c r="N56" s="18">
        <f t="shared" si="13"/>
        <v>7621.837235273626</v>
      </c>
      <c r="O56" s="15">
        <f>MIN(Pcap,MAX(0,P0-g*G.data!N56))</f>
        <v>0</v>
      </c>
      <c r="P56" s="18">
        <f t="shared" si="14"/>
        <v>2799.5048123545021</v>
      </c>
    </row>
    <row r="57" spans="7:16" x14ac:dyDescent="0.25">
      <c r="G57" s="20">
        <f t="shared" si="15"/>
        <v>5.300000000000004E-2</v>
      </c>
      <c r="H57">
        <f t="shared" si="11"/>
        <v>2650.0000000000018</v>
      </c>
      <c r="I57" s="19">
        <f t="shared" si="12"/>
        <v>0.75714285714285756</v>
      </c>
      <c r="J57" s="18">
        <f>IF(I57&gt;1,0,MAX(0,M0*(1-G.data!I57)*(1-beta*G.data!I57)))</f>
        <v>2428.5714285714243</v>
      </c>
      <c r="K57">
        <f>MAX(0,MIN(Pcap,P0-g*G.data!H57))</f>
        <v>2428.5714285714248</v>
      </c>
      <c r="M57" s="20">
        <f t="shared" si="16"/>
        <v>5.300000000000004E-2</v>
      </c>
      <c r="N57" s="18">
        <f t="shared" si="13"/>
        <v>7676.3933263885992</v>
      </c>
      <c r="O57" s="15">
        <f>MIN(Pcap,MAX(0,P0-g*G.data!N57))</f>
        <v>0</v>
      </c>
      <c r="P57" s="18">
        <f t="shared" si="14"/>
        <v>2819.5432932227091</v>
      </c>
    </row>
    <row r="58" spans="7:16" x14ac:dyDescent="0.25">
      <c r="G58" s="20">
        <f t="shared" si="15"/>
        <v>5.4000000000000041E-2</v>
      </c>
      <c r="H58">
        <f t="shared" si="11"/>
        <v>2700.0000000000023</v>
      </c>
      <c r="I58" s="19">
        <f t="shared" si="12"/>
        <v>0.77142857142857202</v>
      </c>
      <c r="J58" s="18">
        <f>IF(I58&gt;1,0,MAX(0,M0*(1-G.data!I58)*(1-beta*G.data!I58)))</f>
        <v>2285.7142857142799</v>
      </c>
      <c r="K58">
        <f>MAX(0,MIN(Pcap,P0-g*G.data!H58))</f>
        <v>2285.7142857142799</v>
      </c>
      <c r="M58" s="20">
        <f t="shared" si="16"/>
        <v>5.4000000000000041E-2</v>
      </c>
      <c r="N58" s="18">
        <f t="shared" si="13"/>
        <v>7730.4371290890485</v>
      </c>
      <c r="O58" s="15">
        <f>MIN(Pcap,MAX(0,P0-g*G.data!N58))</f>
        <v>0</v>
      </c>
      <c r="P58" s="18">
        <f t="shared" si="14"/>
        <v>2839.3936102876878</v>
      </c>
    </row>
    <row r="59" spans="7:16" x14ac:dyDescent="0.25">
      <c r="G59" s="20">
        <f t="shared" si="15"/>
        <v>5.5000000000000042E-2</v>
      </c>
      <c r="H59">
        <f t="shared" si="11"/>
        <v>2750.0000000000023</v>
      </c>
      <c r="I59" s="19">
        <f t="shared" si="12"/>
        <v>0.78571428571428625</v>
      </c>
      <c r="J59" s="18">
        <f>IF(I59&gt;1,0,MAX(0,M0*(1-G.data!I59)*(1-beta*G.data!I59)))</f>
        <v>2142.8571428571377</v>
      </c>
      <c r="K59">
        <f>MAX(0,MIN(Pcap,P0-g*G.data!H59))</f>
        <v>2142.8571428571377</v>
      </c>
      <c r="M59" s="20">
        <f t="shared" si="16"/>
        <v>5.5000000000000042E-2</v>
      </c>
      <c r="N59" s="18">
        <f t="shared" si="13"/>
        <v>7783.9828095572157</v>
      </c>
      <c r="O59" s="15">
        <f>MIN(Pcap,MAX(0,P0-g*G.data!N59))</f>
        <v>0</v>
      </c>
      <c r="P59" s="18">
        <f t="shared" si="14"/>
        <v>2859.0609667956032</v>
      </c>
    </row>
    <row r="60" spans="7:16" x14ac:dyDescent="0.25">
      <c r="G60" s="20">
        <f t="shared" si="15"/>
        <v>5.6000000000000043E-2</v>
      </c>
      <c r="H60">
        <f t="shared" si="11"/>
        <v>2800.0000000000023</v>
      </c>
      <c r="I60" s="19">
        <f t="shared" si="12"/>
        <v>0.8000000000000006</v>
      </c>
      <c r="J60" s="18">
        <f>IF(I60&gt;1,0,MAX(0,M0*(1-G.data!I60)*(1-beta*G.data!I60)))</f>
        <v>1999.9999999999941</v>
      </c>
      <c r="K60">
        <f>MAX(0,MIN(Pcap,P0-g*G.data!H60))</f>
        <v>1999.9999999999945</v>
      </c>
      <c r="M60" s="20">
        <f t="shared" si="16"/>
        <v>5.6000000000000043E-2</v>
      </c>
      <c r="N60" s="18">
        <f t="shared" si="13"/>
        <v>7837.0438928775402</v>
      </c>
      <c r="O60" s="15">
        <f>MIN(Pcap,MAX(0,P0-g*G.data!N60))</f>
        <v>0</v>
      </c>
      <c r="P60" s="18">
        <f t="shared" si="14"/>
        <v>2878.5503305170605</v>
      </c>
    </row>
    <row r="61" spans="7:16" x14ac:dyDescent="0.25">
      <c r="G61" s="20">
        <f t="shared" si="15"/>
        <v>5.7000000000000044E-2</v>
      </c>
      <c r="H61">
        <f t="shared" si="11"/>
        <v>2850.0000000000023</v>
      </c>
      <c r="I61" s="19">
        <f t="shared" si="12"/>
        <v>0.81428571428571483</v>
      </c>
      <c r="J61" s="18">
        <f>IF(I61&gt;1,0,MAX(0,M0*(1-G.data!I61)*(1-beta*G.data!I61)))</f>
        <v>1857.1428571428517</v>
      </c>
      <c r="K61">
        <f>MAX(0,MIN(Pcap,P0-g*G.data!H61))</f>
        <v>1857.1428571428514</v>
      </c>
      <c r="M61" s="20">
        <f t="shared" si="16"/>
        <v>5.7000000000000044E-2</v>
      </c>
      <c r="N61" s="18">
        <f t="shared" si="13"/>
        <v>7889.6333029345915</v>
      </c>
      <c r="O61" s="15">
        <f>MIN(Pcap,MAX(0,P0-g*G.data!N61))</f>
        <v>0</v>
      </c>
      <c r="P61" s="18">
        <f t="shared" si="14"/>
        <v>2897.8664484016367</v>
      </c>
    </row>
    <row r="62" spans="7:16" x14ac:dyDescent="0.25">
      <c r="G62" s="20">
        <f t="shared" si="15"/>
        <v>5.8000000000000045E-2</v>
      </c>
      <c r="H62">
        <f t="shared" si="11"/>
        <v>2900.0000000000023</v>
      </c>
      <c r="I62" s="19">
        <f t="shared" si="12"/>
        <v>0.82857142857142907</v>
      </c>
      <c r="J62" s="18">
        <f>IF(I62&gt;1,0,MAX(0,M0*(1-G.data!I62)*(1-beta*G.data!I62)))</f>
        <v>1714.2857142857092</v>
      </c>
      <c r="K62">
        <f>MAX(0,MIN(Pcap,P0-g*G.data!H62))</f>
        <v>1714.2857142857083</v>
      </c>
      <c r="M62" s="20">
        <f t="shared" si="16"/>
        <v>5.8000000000000045E-2</v>
      </c>
      <c r="N62" s="18">
        <f t="shared" si="13"/>
        <v>7941.7633991740731</v>
      </c>
      <c r="O62" s="15">
        <f>MIN(Pcap,MAX(0,P0-g*G.data!N62))</f>
        <v>0</v>
      </c>
      <c r="P62" s="18">
        <f t="shared" si="14"/>
        <v>2917.0138600802193</v>
      </c>
    </row>
    <row r="63" spans="7:16" x14ac:dyDescent="0.25">
      <c r="G63" s="20">
        <f t="shared" si="15"/>
        <v>5.9000000000000045E-2</v>
      </c>
      <c r="H63">
        <f t="shared" si="11"/>
        <v>2950.0000000000023</v>
      </c>
      <c r="I63" s="19">
        <f t="shared" si="12"/>
        <v>0.84285714285714342</v>
      </c>
      <c r="J63" s="18">
        <f>IF(I63&gt;1,0,MAX(0,M0*(1-G.data!I63)*(1-beta*G.data!I63)))</f>
        <v>1571.4285714285659</v>
      </c>
      <c r="K63">
        <f>MAX(0,MIN(Pcap,P0-g*G.data!H63))</f>
        <v>1571.4285714285652</v>
      </c>
      <c r="M63" s="20">
        <f t="shared" si="16"/>
        <v>5.9000000000000045E-2</v>
      </c>
      <c r="N63" s="18">
        <f t="shared" si="13"/>
        <v>7993.4460105234903</v>
      </c>
      <c r="O63" s="15">
        <f>MIN(Pcap,MAX(0,P0-g*G.data!N63))</f>
        <v>0</v>
      </c>
      <c r="P63" s="18">
        <f t="shared" si="14"/>
        <v>2935.9969103240815</v>
      </c>
    </row>
    <row r="64" spans="7:16" x14ac:dyDescent="0.25">
      <c r="G64" s="20">
        <f t="shared" si="15"/>
        <v>6.0000000000000046E-2</v>
      </c>
      <c r="H64">
        <f t="shared" si="11"/>
        <v>3000.0000000000023</v>
      </c>
      <c r="I64" s="19">
        <f t="shared" si="12"/>
        <v>0.85714285714285765</v>
      </c>
      <c r="J64" s="18">
        <f>IF(I64&gt;1,0,MAX(0,M0*(1-G.data!I64)*(1-beta*G.data!I64)))</f>
        <v>1428.5714285714234</v>
      </c>
      <c r="K64">
        <f>MAX(0,MIN(Pcap,P0-g*G.data!H64))</f>
        <v>1428.5714285714239</v>
      </c>
      <c r="M64" s="20">
        <f t="shared" si="16"/>
        <v>6.0000000000000046E-2</v>
      </c>
      <c r="N64" s="18">
        <f t="shared" si="13"/>
        <v>8044.6924667358689</v>
      </c>
      <c r="O64" s="15">
        <f>MIN(Pcap,MAX(0,P0-g*G.data!N64))</f>
        <v>0</v>
      </c>
      <c r="P64" s="18">
        <f t="shared" si="14"/>
        <v>2954.8197605574501</v>
      </c>
    </row>
    <row r="65" spans="7:16" x14ac:dyDescent="0.25">
      <c r="G65" s="20">
        <f t="shared" si="15"/>
        <v>6.1000000000000047E-2</v>
      </c>
      <c r="H65">
        <f t="shared" si="11"/>
        <v>3050.0000000000023</v>
      </c>
      <c r="I65" s="19">
        <f t="shared" si="12"/>
        <v>0.871428571428572</v>
      </c>
      <c r="J65" s="18">
        <f>IF(I65&gt;1,0,MAX(0,M0*(1-G.data!I65)*(1-beta*G.data!I65)))</f>
        <v>1285.7142857142801</v>
      </c>
      <c r="K65">
        <f>MAX(0,MIN(Pcap,P0-g*G.data!H65))</f>
        <v>1285.7142857142808</v>
      </c>
      <c r="M65" s="20">
        <f t="shared" si="16"/>
        <v>6.1000000000000047E-2</v>
      </c>
      <c r="N65" s="18">
        <f t="shared" si="13"/>
        <v>8095.5136273921671</v>
      </c>
      <c r="O65" s="15">
        <f>MIN(Pcap,MAX(0,P0-g*G.data!N65))</f>
        <v>0</v>
      </c>
      <c r="P65" s="18">
        <f t="shared" si="14"/>
        <v>2973.4863995101045</v>
      </c>
    </row>
    <row r="66" spans="7:16" x14ac:dyDescent="0.25">
      <c r="G66" s="20">
        <f t="shared" si="15"/>
        <v>6.2000000000000048E-2</v>
      </c>
      <c r="H66">
        <f t="shared" si="11"/>
        <v>3100.0000000000023</v>
      </c>
      <c r="I66" s="19">
        <f t="shared" si="12"/>
        <v>0.88571428571428623</v>
      </c>
      <c r="J66" s="18">
        <f>IF(I66&gt;1,0,MAX(0,M0*(1-G.data!I66)*(1-beta*G.data!I66)))</f>
        <v>1142.8571428571377</v>
      </c>
      <c r="K66">
        <f>MAX(0,MIN(Pcap,P0-g*G.data!H66))</f>
        <v>1142.8571428571377</v>
      </c>
      <c r="M66" s="20">
        <f t="shared" si="16"/>
        <v>6.2000000000000048E-2</v>
      </c>
      <c r="N66" s="18">
        <f t="shared" si="13"/>
        <v>8145.9199087722955</v>
      </c>
      <c r="O66" s="15">
        <f>MIN(Pcap,MAX(0,P0-g*G.data!N66))</f>
        <v>0</v>
      </c>
      <c r="P66" s="18">
        <f t="shared" si="14"/>
        <v>2992.000653087116</v>
      </c>
    </row>
    <row r="67" spans="7:16" x14ac:dyDescent="0.25">
      <c r="G67" s="20">
        <f t="shared" si="15"/>
        <v>6.3000000000000042E-2</v>
      </c>
      <c r="H67">
        <f t="shared" si="11"/>
        <v>3150.0000000000023</v>
      </c>
      <c r="I67" s="19">
        <f t="shared" si="12"/>
        <v>0.90000000000000058</v>
      </c>
      <c r="J67" s="18">
        <f>IF(I67&gt;1,0,MAX(0,M0*(1-G.data!I67)*(1-beta*G.data!I67)))</f>
        <v>999.9999999999942</v>
      </c>
      <c r="K67">
        <f>MAX(0,MIN(Pcap,P0-g*G.data!H67))</f>
        <v>999.99999999999454</v>
      </c>
      <c r="M67" s="20">
        <f t="shared" si="16"/>
        <v>6.3000000000000042E-2</v>
      </c>
      <c r="N67" s="18">
        <f t="shared" si="13"/>
        <v>8195.9213087834942</v>
      </c>
      <c r="O67" s="15">
        <f>MIN(Pcap,MAX(0,P0-g*G.data!N67))</f>
        <v>0</v>
      </c>
      <c r="P67" s="18">
        <f t="shared" si="14"/>
        <v>3010.3661935250557</v>
      </c>
    </row>
    <row r="68" spans="7:16" x14ac:dyDescent="0.25">
      <c r="G68" s="20">
        <f t="shared" si="15"/>
        <v>6.4000000000000043E-2</v>
      </c>
      <c r="H68">
        <f>G68*L0</f>
        <v>3200.0000000000023</v>
      </c>
      <c r="I68" s="19">
        <f>H68/R0</f>
        <v>0.91428571428571481</v>
      </c>
      <c r="J68" s="18">
        <f>IF(I68&gt;1,0,MAX(0,M0*(1-G.data!I68)*(1-beta*G.data!I68)))</f>
        <v>857.14285714285188</v>
      </c>
      <c r="K68">
        <f>MAX(0,MIN(Pcap,P0-g*G.data!H68))</f>
        <v>857.14285714285143</v>
      </c>
      <c r="M68" s="20">
        <f t="shared" si="16"/>
        <v>6.4000000000000043E-2</v>
      </c>
      <c r="N68" s="18">
        <f>MAX(0,K-(L0-Ldif*M68-alph*M68^0.5))</f>
        <v>8245.5274301146856</v>
      </c>
      <c r="O68" s="15">
        <f>MIN(Pcap,MAX(0,P0-g*G.data!N68))</f>
        <v>0</v>
      </c>
      <c r="P68" s="18">
        <f t="shared" ref="P68:P104" si="17">N68*P$1</f>
        <v>3028.5865478965993</v>
      </c>
    </row>
    <row r="69" spans="7:16" x14ac:dyDescent="0.25">
      <c r="G69" s="20">
        <f t="shared" si="15"/>
        <v>6.5000000000000044E-2</v>
      </c>
      <c r="H69">
        <f t="shared" ref="H69:H124" si="18">G69*L0</f>
        <v>3250.0000000000023</v>
      </c>
      <c r="I69" s="19">
        <f t="shared" ref="I69:I124" si="19">H69/R0</f>
        <v>0.92857142857142905</v>
      </c>
      <c r="J69" s="18">
        <f>IF(I69&gt;1,0,MAX(0,M0*(1-G.data!I69)*(1-beta*G.data!I69)))</f>
        <v>714.28571428570956</v>
      </c>
      <c r="K69">
        <f>MAX(0,MIN(Pcap,P0-g*G.data!H69))</f>
        <v>714.28571428570831</v>
      </c>
      <c r="M69" s="20">
        <f t="shared" si="16"/>
        <v>6.5000000000000044E-2</v>
      </c>
      <c r="N69" s="18">
        <f t="shared" ref="N69:N104" si="20">MAX(0,K-(L0-Ldif*M69-alph*M69^0.5))</f>
        <v>8294.7475017689139</v>
      </c>
      <c r="O69" s="15">
        <f>MIN(Pcap,MAX(0,P0-g*G.data!N69))</f>
        <v>0</v>
      </c>
      <c r="P69" s="18">
        <f t="shared" si="17"/>
        <v>3046.6651060194031</v>
      </c>
    </row>
    <row r="70" spans="7:16" x14ac:dyDescent="0.25">
      <c r="G70" s="20">
        <f t="shared" ref="G70:G104" si="21">G69+0.001</f>
        <v>6.6000000000000045E-2</v>
      </c>
      <c r="H70">
        <f t="shared" si="18"/>
        <v>3300.0000000000023</v>
      </c>
      <c r="I70" s="19">
        <f t="shared" si="19"/>
        <v>0.94285714285714339</v>
      </c>
      <c r="J70" s="18">
        <f>IF(I70&gt;1,0,MAX(0,M0*(1-G.data!I70)*(1-beta*G.data!I70)))</f>
        <v>571.4285714285661</v>
      </c>
      <c r="K70">
        <f>MAX(0,MIN(Pcap,P0-g*G.data!H70))</f>
        <v>571.42857142856701</v>
      </c>
      <c r="M70" s="20">
        <f t="shared" ref="M70:M104" si="22">M69+0.001</f>
        <v>6.6000000000000045E-2</v>
      </c>
      <c r="N70" s="18">
        <f t="shared" si="20"/>
        <v>8343.5903991104933</v>
      </c>
      <c r="O70" s="15">
        <f>MIN(Pcap,MAX(0,P0-g*G.data!N70))</f>
        <v>0</v>
      </c>
      <c r="P70" s="18">
        <f t="shared" si="17"/>
        <v>3064.6051278194332</v>
      </c>
    </row>
    <row r="71" spans="7:16" x14ac:dyDescent="0.25">
      <c r="G71" s="20">
        <f t="shared" si="21"/>
        <v>6.7000000000000046E-2</v>
      </c>
      <c r="H71">
        <f t="shared" si="18"/>
        <v>3350.0000000000023</v>
      </c>
      <c r="I71" s="19">
        <f t="shared" si="19"/>
        <v>0.95714285714285763</v>
      </c>
      <c r="J71" s="18">
        <f>IF(I71&gt;1,0,MAX(0,M0*(1-G.data!I71)*(1-beta*G.data!I71)))</f>
        <v>428.57142857142372</v>
      </c>
      <c r="K71">
        <f>MAX(0,MIN(Pcap,P0-g*G.data!H71))</f>
        <v>428.57142857142389</v>
      </c>
      <c r="M71" s="20">
        <f t="shared" si="22"/>
        <v>6.7000000000000046E-2</v>
      </c>
      <c r="N71" s="18">
        <f t="shared" si="20"/>
        <v>8392.0646625503214</v>
      </c>
      <c r="O71" s="15">
        <f>MIN(Pcap,MAX(0,P0-g*G.data!N71))</f>
        <v>0</v>
      </c>
      <c r="P71" s="18">
        <f t="shared" si="17"/>
        <v>3082.4097501940892</v>
      </c>
    </row>
    <row r="72" spans="7:16" x14ac:dyDescent="0.25">
      <c r="G72" s="20">
        <f t="shared" si="21"/>
        <v>6.8000000000000047E-2</v>
      </c>
      <c r="H72">
        <f t="shared" si="18"/>
        <v>3400.0000000000023</v>
      </c>
      <c r="I72" s="19">
        <f t="shared" si="19"/>
        <v>0.97142857142857197</v>
      </c>
      <c r="J72" s="18">
        <f>IF(I72&gt;1,0,MAX(0,M0*(1-G.data!I72)*(1-beta*G.data!I72)))</f>
        <v>285.71428571428027</v>
      </c>
      <c r="K72">
        <f>MAX(0,MIN(Pcap,P0-g*G.data!H72))</f>
        <v>285.71428571428078</v>
      </c>
      <c r="M72" s="20">
        <f t="shared" si="22"/>
        <v>6.8000000000000047E-2</v>
      </c>
      <c r="N72" s="18">
        <f t="shared" si="20"/>
        <v>8440.1785149805801</v>
      </c>
      <c r="O72" s="15">
        <f>MIN(Pcap,MAX(0,P0-g*G.data!N72))</f>
        <v>0</v>
      </c>
      <c r="P72" s="18">
        <f t="shared" si="17"/>
        <v>3100.0819934159804</v>
      </c>
    </row>
    <row r="73" spans="7:16" x14ac:dyDescent="0.25">
      <c r="G73" s="20">
        <f t="shared" si="21"/>
        <v>6.9000000000000047E-2</v>
      </c>
      <c r="H73">
        <f t="shared" si="18"/>
        <v>3450.0000000000023</v>
      </c>
      <c r="I73" s="19">
        <f t="shared" si="19"/>
        <v>0.98571428571428621</v>
      </c>
      <c r="J73" s="18">
        <f>IF(I73&gt;1,0,MAX(0,M0*(1-G.data!I73)*(1-beta*G.data!I73)))</f>
        <v>142.85714285713792</v>
      </c>
      <c r="K73">
        <f>MAX(0,MIN(Pcap,P0-g*G.data!H73))</f>
        <v>142.85714285713766</v>
      </c>
      <c r="M73" s="20">
        <f t="shared" si="22"/>
        <v>6.9000000000000047E-2</v>
      </c>
      <c r="N73" s="18">
        <f t="shared" si="20"/>
        <v>8487.939878059784</v>
      </c>
      <c r="O73" s="15">
        <f>MIN(Pcap,MAX(0,P0-g*G.data!N73))</f>
        <v>0</v>
      </c>
      <c r="P73" s="18">
        <f t="shared" si="17"/>
        <v>3117.6247671144329</v>
      </c>
    </row>
    <row r="74" spans="7:16" x14ac:dyDescent="0.25">
      <c r="G74" s="20">
        <f t="shared" si="21"/>
        <v>7.0000000000000048E-2</v>
      </c>
      <c r="H74">
        <f t="shared" si="18"/>
        <v>3500.0000000000023</v>
      </c>
      <c r="I74" s="19">
        <f t="shared" si="19"/>
        <v>1.0000000000000004</v>
      </c>
      <c r="J74" s="18">
        <f>IF(I74&gt;1,0,MAX(0,M0*(1-G.data!I74)*(1-beta*G.data!I74)))</f>
        <v>0</v>
      </c>
      <c r="K74">
        <f>MAX(0,MIN(Pcap,P0-g*G.data!H74))</f>
        <v>0</v>
      </c>
      <c r="M74" s="20">
        <f t="shared" si="22"/>
        <v>7.0000000000000048E-2</v>
      </c>
      <c r="N74" s="18">
        <f t="shared" si="20"/>
        <v>8535.3563874394022</v>
      </c>
      <c r="O74" s="15">
        <f>MIN(Pcap,MAX(0,P0-g*G.data!N74))</f>
        <v>0</v>
      </c>
      <c r="P74" s="18">
        <f t="shared" si="17"/>
        <v>3135.0408758682333</v>
      </c>
    </row>
    <row r="75" spans="7:16" x14ac:dyDescent="0.25">
      <c r="G75" s="20">
        <f t="shared" si="21"/>
        <v>7.1000000000000049E-2</v>
      </c>
      <c r="H75">
        <f t="shared" si="18"/>
        <v>3550.0000000000023</v>
      </c>
      <c r="I75" s="19">
        <f t="shared" si="19"/>
        <v>1.0142857142857149</v>
      </c>
      <c r="J75" s="18">
        <f>IF(I75&gt;1,0,MAX(0,M0*(1-G.data!I75)*(1-beta*G.data!I75)))</f>
        <v>0</v>
      </c>
      <c r="K75">
        <f>MAX(0,MIN(Pcap,P0-g*G.data!H75))</f>
        <v>0</v>
      </c>
      <c r="M75" s="20">
        <f t="shared" si="22"/>
        <v>7.1000000000000049E-2</v>
      </c>
      <c r="N75" s="18">
        <f t="shared" si="20"/>
        <v>8582.4354070150439</v>
      </c>
      <c r="O75" s="15">
        <f>MIN(Pcap,MAX(0,P0-g*G.data!N75))</f>
        <v>0</v>
      </c>
      <c r="P75" s="18">
        <f t="shared" si="17"/>
        <v>3152.3330244401004</v>
      </c>
    </row>
    <row r="76" spans="7:16" x14ac:dyDescent="0.25">
      <c r="G76" s="20">
        <f t="shared" si="21"/>
        <v>7.200000000000005E-2</v>
      </c>
      <c r="H76">
        <f t="shared" si="18"/>
        <v>3600.0000000000027</v>
      </c>
      <c r="I76" s="19">
        <f t="shared" si="19"/>
        <v>1.0285714285714291</v>
      </c>
      <c r="J76" s="18">
        <f>IF(I76&gt;1,0,MAX(0,M0*(1-G.data!I76)*(1-beta*G.data!I76)))</f>
        <v>0</v>
      </c>
      <c r="K76">
        <f>MAX(0,MIN(Pcap,P0-g*G.data!H76))</f>
        <v>0</v>
      </c>
      <c r="M76" s="20">
        <f t="shared" si="22"/>
        <v>7.200000000000005E-2</v>
      </c>
      <c r="N76" s="18">
        <f t="shared" si="20"/>
        <v>8629.1840422772948</v>
      </c>
      <c r="O76" s="15">
        <f>MIN(Pcap,MAX(0,P0-g*G.data!N76))</f>
        <v>0</v>
      </c>
      <c r="P76" s="18">
        <f t="shared" si="17"/>
        <v>3169.5038226804513</v>
      </c>
    </row>
    <row r="77" spans="7:16" x14ac:dyDescent="0.25">
      <c r="G77" s="20">
        <f t="shared" si="21"/>
        <v>7.3000000000000051E-2</v>
      </c>
      <c r="H77">
        <f t="shared" si="18"/>
        <v>3650.0000000000027</v>
      </c>
      <c r="I77" s="19">
        <f t="shared" si="19"/>
        <v>1.0428571428571436</v>
      </c>
      <c r="J77" s="18">
        <f>IF(I77&gt;1,0,MAX(0,M0*(1-G.data!I77)*(1-beta*G.data!I77)))</f>
        <v>0</v>
      </c>
      <c r="K77">
        <f>MAX(0,MIN(Pcap,P0-g*G.data!H77))</f>
        <v>0</v>
      </c>
      <c r="M77" s="20">
        <f t="shared" si="22"/>
        <v>7.3000000000000051E-2</v>
      </c>
      <c r="N77" s="18">
        <f t="shared" si="20"/>
        <v>8675.6091528310717</v>
      </c>
      <c r="O77" s="15">
        <f>MIN(Pcap,MAX(0,P0-g*G.data!N77))</f>
        <v>0</v>
      </c>
      <c r="P77" s="18">
        <f t="shared" si="17"/>
        <v>3186.555790125768</v>
      </c>
    </row>
    <row r="78" spans="7:16" x14ac:dyDescent="0.25">
      <c r="G78" s="20">
        <f t="shared" si="21"/>
        <v>7.4000000000000052E-2</v>
      </c>
      <c r="H78">
        <f t="shared" si="18"/>
        <v>3700.0000000000027</v>
      </c>
      <c r="I78" s="19">
        <f t="shared" si="19"/>
        <v>1.0571428571428578</v>
      </c>
      <c r="J78" s="18">
        <f>IF(I78&gt;1,0,MAX(0,M0*(1-G.data!I78)*(1-beta*G.data!I78)))</f>
        <v>0</v>
      </c>
      <c r="K78">
        <f>MAX(0,MIN(Pcap,P0-g*G.data!H78))</f>
        <v>0</v>
      </c>
      <c r="M78" s="20">
        <f t="shared" si="22"/>
        <v>7.4000000000000052E-2</v>
      </c>
      <c r="N78" s="18">
        <f t="shared" si="20"/>
        <v>8721.7173641456538</v>
      </c>
      <c r="O78" s="15">
        <f>MIN(Pcap,MAX(0,P0-g*G.data!N78))</f>
        <v>0</v>
      </c>
      <c r="P78" s="18">
        <f t="shared" si="17"/>
        <v>3203.4913603143905</v>
      </c>
    </row>
    <row r="79" spans="7:16" x14ac:dyDescent="0.25">
      <c r="G79" s="20">
        <f t="shared" si="21"/>
        <v>7.5000000000000053E-2</v>
      </c>
      <c r="H79">
        <f t="shared" si="18"/>
        <v>3750.0000000000027</v>
      </c>
      <c r="I79" s="19">
        <f t="shared" si="19"/>
        <v>1.0714285714285721</v>
      </c>
      <c r="J79" s="18">
        <f>IF(I79&gt;1,0,MAX(0,M0*(1-G.data!I79)*(1-beta*G.data!I79)))</f>
        <v>0</v>
      </c>
      <c r="K79">
        <f>MAX(0,MIN(Pcap,P0-g*G.data!H79))</f>
        <v>0</v>
      </c>
      <c r="M79" s="20">
        <f t="shared" si="22"/>
        <v>7.5000000000000053E-2</v>
      </c>
      <c r="N79" s="18">
        <f t="shared" si="20"/>
        <v>8767.5150785925071</v>
      </c>
      <c r="O79" s="15">
        <f>MIN(Pcap,MAX(0,P0-g*G.data!N79))</f>
        <v>0</v>
      </c>
      <c r="P79" s="18">
        <f t="shared" si="17"/>
        <v>3220.3128848407141</v>
      </c>
    </row>
    <row r="80" spans="7:16" x14ac:dyDescent="0.25">
      <c r="G80" s="20">
        <f t="shared" si="21"/>
        <v>7.6000000000000054E-2</v>
      </c>
      <c r="H80">
        <f t="shared" si="18"/>
        <v>3800.0000000000027</v>
      </c>
      <c r="I80" s="19">
        <f t="shared" si="19"/>
        <v>1.0857142857142863</v>
      </c>
      <c r="J80" s="18">
        <f>IF(I80&gt;1,0,MAX(0,M0*(1-G.data!I80)*(1-beta*G.data!I80)))</f>
        <v>0</v>
      </c>
      <c r="K80">
        <f>MAX(0,MIN(Pcap,P0-g*G.data!H80))</f>
        <v>0</v>
      </c>
      <c r="M80" s="20">
        <f t="shared" si="22"/>
        <v>7.6000000000000054E-2</v>
      </c>
      <c r="N80" s="18">
        <f t="shared" si="20"/>
        <v>8813.0084858230402</v>
      </c>
      <c r="O80" s="15">
        <f>MIN(Pcap,MAX(0,P0-g*G.data!N80))</f>
        <v>0</v>
      </c>
      <c r="P80" s="18">
        <f t="shared" si="17"/>
        <v>3237.0226371669469</v>
      </c>
    </row>
    <row r="81" spans="7:16" x14ac:dyDescent="0.25">
      <c r="G81" s="20">
        <f t="shared" si="21"/>
        <v>7.7000000000000055E-2</v>
      </c>
      <c r="H81">
        <f t="shared" si="18"/>
        <v>3850.0000000000027</v>
      </c>
      <c r="I81" s="19">
        <f t="shared" si="19"/>
        <v>1.1000000000000005</v>
      </c>
      <c r="J81" s="18">
        <f>IF(I81&gt;1,0,MAX(0,M0*(1-G.data!I81)*(1-beta*G.data!I81)))</f>
        <v>0</v>
      </c>
      <c r="K81">
        <f>MAX(0,MIN(Pcap,P0-g*G.data!H81))</f>
        <v>0</v>
      </c>
      <c r="M81" s="20">
        <f t="shared" si="22"/>
        <v>7.7000000000000055E-2</v>
      </c>
      <c r="N81" s="18">
        <f t="shared" si="20"/>
        <v>8858.2035725337337</v>
      </c>
      <c r="O81" s="15">
        <f>MIN(Pcap,MAX(0,P0-g*G.data!N81))</f>
        <v>0</v>
      </c>
      <c r="P81" s="18">
        <f t="shared" si="17"/>
        <v>3253.6228162098441</v>
      </c>
    </row>
    <row r="82" spans="7:16" x14ac:dyDescent="0.25">
      <c r="G82" s="20">
        <f t="shared" si="21"/>
        <v>7.8000000000000055E-2</v>
      </c>
      <c r="H82">
        <f t="shared" si="18"/>
        <v>3900.0000000000027</v>
      </c>
      <c r="I82" s="19">
        <f t="shared" si="19"/>
        <v>1.114285714285715</v>
      </c>
      <c r="J82" s="18">
        <f>IF(I82&gt;1,0,MAX(0,M0*(1-G.data!I82)*(1-beta*G.data!I82)))</f>
        <v>0</v>
      </c>
      <c r="K82">
        <f>MAX(0,MIN(Pcap,P0-g*G.data!H82))</f>
        <v>0</v>
      </c>
      <c r="M82" s="20">
        <f t="shared" si="22"/>
        <v>7.8000000000000055E-2</v>
      </c>
      <c r="N82" s="18">
        <f t="shared" si="20"/>
        <v>8903.1061316624036</v>
      </c>
      <c r="O82" s="15">
        <f>MIN(Pcap,MAX(0,P0-g*G.data!N82))</f>
        <v>0</v>
      </c>
      <c r="P82" s="18">
        <f t="shared" si="17"/>
        <v>3270.1155497185036</v>
      </c>
    </row>
    <row r="83" spans="7:16" x14ac:dyDescent="0.25">
      <c r="G83" s="20">
        <f t="shared" si="21"/>
        <v>7.9000000000000056E-2</v>
      </c>
      <c r="H83">
        <f t="shared" si="18"/>
        <v>3950.0000000000027</v>
      </c>
      <c r="I83" s="19">
        <f t="shared" si="19"/>
        <v>1.1285714285714292</v>
      </c>
      <c r="J83" s="18">
        <f>IF(I83&gt;1,0,MAX(0,M0*(1-G.data!I83)*(1-beta*G.data!I83)))</f>
        <v>0</v>
      </c>
      <c r="K83">
        <f>MAX(0,MIN(Pcap,P0-g*G.data!H83))</f>
        <v>0</v>
      </c>
      <c r="M83" s="20">
        <f t="shared" si="22"/>
        <v>7.9000000000000056E-2</v>
      </c>
      <c r="N83" s="18">
        <f t="shared" si="20"/>
        <v>8947.7217710555269</v>
      </c>
      <c r="O83" s="15">
        <f>MIN(Pcap,MAX(0,P0-g*G.data!N83))</f>
        <v>0</v>
      </c>
      <c r="P83" s="18">
        <f t="shared" si="17"/>
        <v>3286.5028974578754</v>
      </c>
    </row>
    <row r="84" spans="7:16" x14ac:dyDescent="0.25">
      <c r="G84" s="20">
        <f t="shared" si="21"/>
        <v>8.0000000000000057E-2</v>
      </c>
      <c r="H84">
        <f t="shared" si="18"/>
        <v>4000.0000000000027</v>
      </c>
      <c r="I84" s="19">
        <f t="shared" si="19"/>
        <v>1.1428571428571435</v>
      </c>
      <c r="J84" s="18">
        <f>IF(I84&gt;1,0,MAX(0,M0*(1-G.data!I84)*(1-beta*G.data!I84)))</f>
        <v>0</v>
      </c>
      <c r="K84">
        <f>MAX(0,MIN(Pcap,P0-g*G.data!H84))</f>
        <v>0</v>
      </c>
      <c r="M84" s="20">
        <f t="shared" si="22"/>
        <v>8.0000000000000057E-2</v>
      </c>
      <c r="N84" s="18">
        <f t="shared" si="20"/>
        <v>8992.0559216434049</v>
      </c>
      <c r="O84" s="15">
        <f>MIN(Pcap,MAX(0,P0-g*G.data!N84))</f>
        <v>0</v>
      </c>
      <c r="P84" s="18">
        <f t="shared" si="17"/>
        <v>3302.786854211507</v>
      </c>
    </row>
    <row r="85" spans="7:16" x14ac:dyDescent="0.25">
      <c r="G85" s="20">
        <f t="shared" si="21"/>
        <v>8.1000000000000058E-2</v>
      </c>
      <c r="H85">
        <f t="shared" si="18"/>
        <v>4050.0000000000027</v>
      </c>
      <c r="I85" s="19">
        <f t="shared" si="19"/>
        <v>1.1571428571428577</v>
      </c>
      <c r="J85" s="18">
        <f>IF(I85&gt;1,0,MAX(0,M0*(1-G.data!I85)*(1-beta*G.data!I85)))</f>
        <v>0</v>
      </c>
      <c r="K85">
        <f>MAX(0,MIN(Pcap,P0-g*G.data!H85))</f>
        <v>0</v>
      </c>
      <c r="M85" s="20">
        <f t="shared" si="22"/>
        <v>8.1000000000000058E-2</v>
      </c>
      <c r="N85" s="18">
        <f t="shared" si="20"/>
        <v>9036.1138451567822</v>
      </c>
      <c r="O85" s="15">
        <f>MIN(Pcap,MAX(0,P0-g*G.data!N85))</f>
        <v>0</v>
      </c>
      <c r="P85" s="18">
        <f t="shared" si="17"/>
        <v>3318.969352615859</v>
      </c>
    </row>
    <row r="86" spans="7:16" x14ac:dyDescent="0.25">
      <c r="G86" s="20">
        <f t="shared" si="21"/>
        <v>8.2000000000000059E-2</v>
      </c>
      <c r="H86">
        <f t="shared" si="18"/>
        <v>4100.0000000000027</v>
      </c>
      <c r="I86" s="19">
        <f t="shared" si="19"/>
        <v>1.1714285714285722</v>
      </c>
      <c r="J86" s="18">
        <f>IF(I86&gt;1,0,MAX(0,M0*(1-G.data!I86)*(1-beta*G.data!I86)))</f>
        <v>0</v>
      </c>
      <c r="K86">
        <f>MAX(0,MIN(Pcap,P0-g*G.data!H86))</f>
        <v>0</v>
      </c>
      <c r="M86" s="20">
        <f t="shared" si="22"/>
        <v>8.2000000000000059E-2</v>
      </c>
      <c r="N86" s="18">
        <f t="shared" si="20"/>
        <v>9079.9006414161122</v>
      </c>
      <c r="O86" s="15">
        <f>MIN(Pcap,MAX(0,P0-g*G.data!N86))</f>
        <v>0</v>
      </c>
      <c r="P86" s="18">
        <f t="shared" si="17"/>
        <v>3335.0522658376576</v>
      </c>
    </row>
    <row r="87" spans="7:16" x14ac:dyDescent="0.25">
      <c r="G87" s="20">
        <f t="shared" si="21"/>
        <v>8.300000000000006E-2</v>
      </c>
      <c r="H87">
        <f t="shared" si="18"/>
        <v>4150.0000000000027</v>
      </c>
      <c r="I87" s="19">
        <f t="shared" si="19"/>
        <v>1.1857142857142864</v>
      </c>
      <c r="J87" s="18">
        <f>IF(I87&gt;1,0,MAX(0,M0*(1-G.data!I87)*(1-beta*G.data!I87)))</f>
        <v>0</v>
      </c>
      <c r="K87">
        <f>MAX(0,MIN(Pcap,P0-g*G.data!H87))</f>
        <v>0</v>
      </c>
      <c r="M87" s="20">
        <f t="shared" si="22"/>
        <v>8.300000000000006E-2</v>
      </c>
      <c r="N87" s="18">
        <f t="shared" si="20"/>
        <v>9123.421255221896</v>
      </c>
      <c r="O87" s="15">
        <f>MIN(Pcap,MAX(0,P0-g*G.data!N87))</f>
        <v>0</v>
      </c>
      <c r="P87" s="18">
        <f t="shared" si="17"/>
        <v>3351.0374101047196</v>
      </c>
    </row>
    <row r="88" spans="7:16" x14ac:dyDescent="0.25">
      <c r="G88" s="20">
        <f t="shared" si="21"/>
        <v>8.4000000000000061E-2</v>
      </c>
      <c r="H88">
        <f t="shared" si="18"/>
        <v>4200.0000000000027</v>
      </c>
      <c r="I88" s="19">
        <f t="shared" si="19"/>
        <v>1.2000000000000006</v>
      </c>
      <c r="J88" s="18">
        <f>IF(I88&gt;1,0,MAX(0,M0*(1-G.data!I88)*(1-beta*G.data!I88)))</f>
        <v>0</v>
      </c>
      <c r="K88">
        <f>MAX(0,MIN(Pcap,P0-g*G.data!H88))</f>
        <v>0</v>
      </c>
      <c r="M88" s="20">
        <f t="shared" si="22"/>
        <v>8.4000000000000061E-2</v>
      </c>
      <c r="N88" s="18">
        <f t="shared" si="20"/>
        <v>9166.6804828726526</v>
      </c>
      <c r="O88" s="15">
        <f>MIN(Pcap,MAX(0,P0-g*G.data!N88))</f>
        <v>0</v>
      </c>
      <c r="P88" s="18">
        <f t="shared" si="17"/>
        <v>3366.9265471000053</v>
      </c>
    </row>
    <row r="89" spans="7:16" x14ac:dyDescent="0.25">
      <c r="G89" s="20">
        <f t="shared" si="21"/>
        <v>8.5000000000000062E-2</v>
      </c>
      <c r="H89">
        <f t="shared" si="18"/>
        <v>4250.0000000000027</v>
      </c>
      <c r="I89" s="19">
        <f t="shared" si="19"/>
        <v>1.2142857142857149</v>
      </c>
      <c r="J89" s="18">
        <f>IF(I89&gt;1,0,MAX(0,M0*(1-G.data!I89)*(1-beta*G.data!I89)))</f>
        <v>0</v>
      </c>
      <c r="K89">
        <f>MAX(0,MIN(Pcap,P0-g*G.data!H89))</f>
        <v>0</v>
      </c>
      <c r="M89" s="20">
        <f t="shared" si="22"/>
        <v>8.5000000000000062E-2</v>
      </c>
      <c r="N89" s="18">
        <f t="shared" si="20"/>
        <v>9209.6829783345529</v>
      </c>
      <c r="O89" s="15">
        <f>MIN(Pcap,MAX(0,P0-g*G.data!N89))</f>
        <v>0</v>
      </c>
      <c r="P89" s="18">
        <f t="shared" si="17"/>
        <v>3382.721386227729</v>
      </c>
    </row>
    <row r="90" spans="7:16" x14ac:dyDescent="0.25">
      <c r="G90" s="20">
        <f t="shared" si="21"/>
        <v>8.6000000000000063E-2</v>
      </c>
      <c r="H90">
        <f t="shared" si="18"/>
        <v>4300.0000000000027</v>
      </c>
      <c r="I90" s="19">
        <f t="shared" si="19"/>
        <v>1.2285714285714291</v>
      </c>
      <c r="J90" s="18">
        <f>IF(I90&gt;1,0,MAX(0,M0*(1-G.data!I90)*(1-beta*G.data!I90)))</f>
        <v>0</v>
      </c>
      <c r="K90">
        <f>MAX(0,MIN(Pcap,P0-g*G.data!H90))</f>
        <v>0</v>
      </c>
      <c r="M90" s="20">
        <f t="shared" si="22"/>
        <v>8.6000000000000063E-2</v>
      </c>
      <c r="N90" s="18">
        <f t="shared" si="20"/>
        <v>9252.4332590855265</v>
      </c>
      <c r="O90" s="15">
        <f>MIN(Pcap,MAX(0,P0-g*G.data!N90))</f>
        <v>0</v>
      </c>
      <c r="P90" s="18">
        <f t="shared" si="17"/>
        <v>3398.4235867599032</v>
      </c>
    </row>
    <row r="91" spans="7:16" x14ac:dyDescent="0.25">
      <c r="G91" s="20">
        <f t="shared" si="21"/>
        <v>8.7000000000000063E-2</v>
      </c>
      <c r="H91">
        <f t="shared" si="18"/>
        <v>4350.0000000000027</v>
      </c>
      <c r="I91" s="19">
        <f t="shared" si="19"/>
        <v>1.2428571428571435</v>
      </c>
      <c r="J91" s="18">
        <f>IF(I91&gt;1,0,MAX(0,M0*(1-G.data!I91)*(1-beta*G.data!I91)))</f>
        <v>0</v>
      </c>
      <c r="K91">
        <f>MAX(0,MIN(Pcap,P0-g*G.data!H91))</f>
        <v>0</v>
      </c>
      <c r="M91" s="20">
        <f t="shared" si="22"/>
        <v>8.7000000000000063E-2</v>
      </c>
      <c r="N91" s="18">
        <f t="shared" si="20"/>
        <v>9294.9357116542378</v>
      </c>
      <c r="O91" s="15">
        <f>MIN(Pcap,MAX(0,P0-g*G.data!N91))</f>
        <v>0</v>
      </c>
      <c r="P91" s="18">
        <f t="shared" si="17"/>
        <v>3414.0347598708054</v>
      </c>
    </row>
    <row r="92" spans="7:16" x14ac:dyDescent="0.25">
      <c r="G92" s="20">
        <f t="shared" si="21"/>
        <v>8.8000000000000064E-2</v>
      </c>
      <c r="H92">
        <f t="shared" si="18"/>
        <v>4400.0000000000036</v>
      </c>
      <c r="I92" s="19">
        <f t="shared" si="19"/>
        <v>1.257142857142858</v>
      </c>
      <c r="J92" s="18">
        <f>IF(I92&gt;1,0,MAX(0,M0*(1-G.data!I92)*(1-beta*G.data!I92)))</f>
        <v>0</v>
      </c>
      <c r="K92">
        <f>MAX(0,MIN(Pcap,P0-g*G.data!H92))</f>
        <v>0</v>
      </c>
      <c r="M92" s="20">
        <f t="shared" si="22"/>
        <v>8.8000000000000064E-2</v>
      </c>
      <c r="N92" s="18">
        <f t="shared" si="20"/>
        <v>9337.1945968735963</v>
      </c>
      <c r="O92" s="15">
        <f>MIN(Pcap,MAX(0,P0-g*G.data!N92))</f>
        <v>0</v>
      </c>
      <c r="P92" s="18">
        <f t="shared" si="17"/>
        <v>3429.556470566597</v>
      </c>
    </row>
    <row r="93" spans="7:16" x14ac:dyDescent="0.25">
      <c r="G93" s="20">
        <f t="shared" si="21"/>
        <v>8.9000000000000065E-2</v>
      </c>
      <c r="H93">
        <f t="shared" si="18"/>
        <v>4450.0000000000036</v>
      </c>
      <c r="I93" s="19">
        <f t="shared" si="19"/>
        <v>1.2714285714285722</v>
      </c>
      <c r="J93" s="18">
        <f>IF(I93&gt;1,0,MAX(0,M0*(1-G.data!I93)*(1-beta*G.data!I93)))</f>
        <v>0</v>
      </c>
      <c r="K93">
        <f>MAX(0,MIN(Pcap,P0-g*G.data!H93))</f>
        <v>0</v>
      </c>
      <c r="M93" s="20">
        <f t="shared" si="22"/>
        <v>8.9000000000000065E-2</v>
      </c>
      <c r="N93" s="18">
        <f t="shared" si="20"/>
        <v>9379.2140548660827</v>
      </c>
      <c r="O93" s="15">
        <f>MIN(Pcap,MAX(0,P0-g*G.data!N93))</f>
        <v>0</v>
      </c>
      <c r="P93" s="18">
        <f t="shared" si="17"/>
        <v>3444.9902395164363</v>
      </c>
    </row>
    <row r="94" spans="7:16" x14ac:dyDescent="0.25">
      <c r="G94" s="20">
        <f t="shared" si="21"/>
        <v>9.0000000000000066E-2</v>
      </c>
      <c r="H94">
        <f t="shared" si="18"/>
        <v>4500.0000000000036</v>
      </c>
      <c r="I94" s="19">
        <f t="shared" si="19"/>
        <v>1.2857142857142867</v>
      </c>
      <c r="J94" s="18">
        <f>IF(I94&gt;1,0,MAX(0,M0*(1-G.data!I94)*(1-beta*G.data!I94)))</f>
        <v>0</v>
      </c>
      <c r="K94">
        <f>MAX(0,MIN(Pcap,P0-g*G.data!H94))</f>
        <v>0</v>
      </c>
      <c r="M94" s="20">
        <f t="shared" si="22"/>
        <v>9.0000000000000066E-2</v>
      </c>
      <c r="N94" s="18">
        <f t="shared" si="20"/>
        <v>9420.9981097779237</v>
      </c>
      <c r="O94" s="15">
        <f>MIN(Pcap,MAX(0,P0-g*G.data!N94))</f>
        <v>0</v>
      </c>
      <c r="P94" s="18">
        <f t="shared" si="17"/>
        <v>3460.3375447913413</v>
      </c>
    </row>
    <row r="95" spans="7:16" x14ac:dyDescent="0.25">
      <c r="G95" s="20">
        <f t="shared" si="21"/>
        <v>9.1000000000000067E-2</v>
      </c>
      <c r="H95">
        <f t="shared" si="18"/>
        <v>4550.0000000000036</v>
      </c>
      <c r="I95" s="19">
        <f t="shared" si="19"/>
        <v>1.3000000000000009</v>
      </c>
      <c r="J95" s="18">
        <f>IF(I95&gt;1,0,MAX(0,M0*(1-G.data!I95)*(1-beta*G.data!I95)))</f>
        <v>0</v>
      </c>
      <c r="K95">
        <f>MAX(0,MIN(Pcap,P0-g*G.data!H95))</f>
        <v>0</v>
      </c>
      <c r="M95" s="20">
        <f t="shared" si="22"/>
        <v>9.1000000000000067E-2</v>
      </c>
      <c r="N95" s="18">
        <f t="shared" si="20"/>
        <v>9462.5506742771104</v>
      </c>
      <c r="O95" s="15">
        <f>MIN(Pcap,MAX(0,P0-g*G.data!N95))</f>
        <v>0</v>
      </c>
      <c r="P95" s="18">
        <f t="shared" si="17"/>
        <v>3475.599823516317</v>
      </c>
    </row>
    <row r="96" spans="7:16" x14ac:dyDescent="0.25">
      <c r="G96" s="20">
        <f t="shared" si="21"/>
        <v>9.2000000000000068E-2</v>
      </c>
      <c r="H96">
        <f t="shared" si="18"/>
        <v>4600.0000000000036</v>
      </c>
      <c r="I96" s="19">
        <f t="shared" si="19"/>
        <v>1.3142857142857152</v>
      </c>
      <c r="J96" s="18">
        <f>IF(I96&gt;1,0,MAX(0,M0*(1-G.data!I96)*(1-beta*G.data!I96)))</f>
        <v>0</v>
      </c>
      <c r="K96">
        <f>MAX(0,MIN(Pcap,P0-g*G.data!H96))</f>
        <v>0</v>
      </c>
      <c r="M96" s="20">
        <f t="shared" si="22"/>
        <v>9.2000000000000068E-2</v>
      </c>
      <c r="N96" s="18">
        <f t="shared" si="20"/>
        <v>9503.875553829479</v>
      </c>
      <c r="O96" s="15">
        <f>MIN(Pcap,MAX(0,P0-g*G.data!N96))</f>
        <v>0</v>
      </c>
      <c r="P96" s="18">
        <f t="shared" si="17"/>
        <v>3490.7784734409597</v>
      </c>
    </row>
    <row r="97" spans="7:16" x14ac:dyDescent="0.25">
      <c r="G97" s="20">
        <f t="shared" si="21"/>
        <v>9.3000000000000069E-2</v>
      </c>
      <c r="H97">
        <f t="shared" si="18"/>
        <v>4650.0000000000036</v>
      </c>
      <c r="I97" s="19">
        <f t="shared" si="19"/>
        <v>1.3285714285714294</v>
      </c>
      <c r="J97" s="18">
        <f>IF(I97&gt;1,0,MAX(0,M0*(1-G.data!I97)*(1-beta*G.data!I97)))</f>
        <v>0</v>
      </c>
      <c r="K97">
        <f>MAX(0,MIN(Pcap,P0-g*G.data!H97))</f>
        <v>0</v>
      </c>
      <c r="M97" s="20">
        <f t="shared" si="22"/>
        <v>9.3000000000000069E-2</v>
      </c>
      <c r="N97" s="18">
        <f t="shared" si="20"/>
        <v>9544.9764507663858</v>
      </c>
      <c r="O97" s="15">
        <f>MIN(Pcap,MAX(0,P0-g*G.data!N97))</f>
        <v>0</v>
      </c>
      <c r="P97" s="18">
        <f t="shared" si="17"/>
        <v>3505.8748544335181</v>
      </c>
    </row>
    <row r="98" spans="7:16" x14ac:dyDescent="0.25">
      <c r="G98" s="20">
        <f t="shared" si="21"/>
        <v>9.400000000000007E-2</v>
      </c>
      <c r="H98">
        <f t="shared" si="18"/>
        <v>4700.0000000000036</v>
      </c>
      <c r="I98" s="19">
        <f t="shared" si="19"/>
        <v>1.3428571428571436</v>
      </c>
      <c r="J98" s="18">
        <f>IF(I98&gt;1,0,MAX(0,M0*(1-G.data!I98)*(1-beta*G.data!I98)))</f>
        <v>0</v>
      </c>
      <c r="K98">
        <f>MAX(0,MIN(Pcap,P0-g*G.data!H98))</f>
        <v>0</v>
      </c>
      <c r="M98" s="20">
        <f t="shared" si="22"/>
        <v>9.400000000000007E-2</v>
      </c>
      <c r="N98" s="18">
        <f t="shared" si="20"/>
        <v>9585.8569681558729</v>
      </c>
      <c r="O98" s="15">
        <f>MIN(Pcap,MAX(0,P0-g*G.data!N98))</f>
        <v>0</v>
      </c>
      <c r="P98" s="18">
        <f t="shared" si="17"/>
        <v>3520.8902899027726</v>
      </c>
    </row>
    <row r="99" spans="7:16" x14ac:dyDescent="0.25">
      <c r="G99" s="20">
        <f t="shared" si="21"/>
        <v>9.500000000000007E-2</v>
      </c>
      <c r="H99">
        <f t="shared" si="18"/>
        <v>4750.0000000000036</v>
      </c>
      <c r="I99" s="19">
        <f t="shared" si="19"/>
        <v>1.3571428571428581</v>
      </c>
      <c r="J99" s="18">
        <f>IF(I99&gt;1,0,MAX(0,M0*(1-G.data!I99)*(1-beta*G.data!I99)))</f>
        <v>0</v>
      </c>
      <c r="K99">
        <f>MAX(0,MIN(Pcap,P0-g*G.data!H99))</f>
        <v>0</v>
      </c>
      <c r="M99" s="20">
        <f t="shared" si="22"/>
        <v>9.500000000000007E-2</v>
      </c>
      <c r="N99" s="18">
        <f t="shared" si="20"/>
        <v>9626.5206134891487</v>
      </c>
      <c r="O99" s="15">
        <f>MIN(Pcap,MAX(0,P0-g*G.data!N99))</f>
        <v>0</v>
      </c>
      <c r="P99" s="18">
        <f t="shared" si="17"/>
        <v>3535.8260681520824</v>
      </c>
    </row>
    <row r="100" spans="7:16" x14ac:dyDescent="0.25">
      <c r="G100" s="20">
        <f t="shared" si="21"/>
        <v>9.6000000000000071E-2</v>
      </c>
      <c r="H100">
        <f t="shared" si="18"/>
        <v>4800.0000000000036</v>
      </c>
      <c r="I100" s="19">
        <f t="shared" si="19"/>
        <v>1.3714285714285723</v>
      </c>
      <c r="J100" s="18">
        <f>IF(I100&gt;1,0,MAX(0,M0*(1-G.data!I100)*(1-beta*G.data!I100)))</f>
        <v>0</v>
      </c>
      <c r="K100">
        <f>MAX(0,MIN(Pcap,P0-g*G.data!H100))</f>
        <v>0</v>
      </c>
      <c r="M100" s="20">
        <f t="shared" si="22"/>
        <v>9.6000000000000071E-2</v>
      </c>
      <c r="N100" s="18">
        <f t="shared" si="20"/>
        <v>9666.9708021927654</v>
      </c>
      <c r="O100" s="15">
        <f>MIN(Pcap,MAX(0,P0-g*G.data!N100))</f>
        <v>0</v>
      </c>
      <c r="P100" s="18">
        <f t="shared" si="17"/>
        <v>3550.6834436694116</v>
      </c>
    </row>
    <row r="101" spans="7:16" x14ac:dyDescent="0.25">
      <c r="G101" s="20">
        <f t="shared" si="21"/>
        <v>9.7000000000000072E-2</v>
      </c>
      <c r="H101">
        <f t="shared" si="18"/>
        <v>4850.0000000000036</v>
      </c>
      <c r="I101" s="19">
        <f t="shared" si="19"/>
        <v>1.3857142857142866</v>
      </c>
      <c r="J101" s="18">
        <f>IF(I101&gt;1,0,MAX(0,M0*(1-G.data!I101)*(1-beta*G.data!I101)))</f>
        <v>0</v>
      </c>
      <c r="K101">
        <f>MAX(0,MIN(Pcap,P0-g*G.data!H101))</f>
        <v>0</v>
      </c>
      <c r="M101" s="20">
        <f t="shared" si="22"/>
        <v>9.7000000000000072E-2</v>
      </c>
      <c r="N101" s="18">
        <f t="shared" si="20"/>
        <v>9707.210860976651</v>
      </c>
      <c r="O101" s="15">
        <f>MIN(Pcap,MAX(0,P0-g*G.data!N101))</f>
        <v>0</v>
      </c>
      <c r="P101" s="18">
        <f t="shared" si="17"/>
        <v>3565.4636383570605</v>
      </c>
    </row>
    <row r="102" spans="7:16" x14ac:dyDescent="0.25">
      <c r="G102" s="20">
        <f t="shared" si="21"/>
        <v>9.8000000000000073E-2</v>
      </c>
      <c r="H102">
        <f t="shared" si="18"/>
        <v>4900.0000000000036</v>
      </c>
      <c r="I102" s="19">
        <f t="shared" si="19"/>
        <v>1.4000000000000008</v>
      </c>
      <c r="J102" s="18">
        <f>IF(I102&gt;1,0,MAX(0,M0*(1-G.data!I102)*(1-beta*G.data!I102)))</f>
        <v>0</v>
      </c>
      <c r="K102">
        <f>MAX(0,MIN(Pcap,P0-g*G.data!H102))</f>
        <v>0</v>
      </c>
      <c r="M102" s="20">
        <f t="shared" si="22"/>
        <v>9.8000000000000073E-2</v>
      </c>
      <c r="N102" s="18">
        <f t="shared" si="20"/>
        <v>9747.2440310271922</v>
      </c>
      <c r="O102" s="15">
        <f>MIN(Pcap,MAX(0,P0-g*G.data!N102))</f>
        <v>0</v>
      </c>
      <c r="P102" s="18">
        <f t="shared" si="17"/>
        <v>3580.1678427044885</v>
      </c>
    </row>
    <row r="103" spans="7:16" x14ac:dyDescent="0.25">
      <c r="G103" s="20">
        <f t="shared" si="21"/>
        <v>9.9000000000000074E-2</v>
      </c>
      <c r="H103">
        <f t="shared" si="18"/>
        <v>4950.0000000000036</v>
      </c>
      <c r="I103" s="19">
        <f t="shared" si="19"/>
        <v>1.414285714285715</v>
      </c>
      <c r="J103" s="18">
        <f>IF(I103&gt;1,0,MAX(0,M0*(1-G.data!I103)*(1-beta*G.data!I103)))</f>
        <v>0</v>
      </c>
      <c r="K103">
        <f>MAX(0,MIN(Pcap,P0-g*G.data!H103))</f>
        <v>0</v>
      </c>
      <c r="M103" s="20">
        <f t="shared" si="22"/>
        <v>9.9000000000000074E-2</v>
      </c>
      <c r="N103" s="18">
        <f t="shared" si="20"/>
        <v>9787.073471054071</v>
      </c>
      <c r="O103" s="15">
        <f>MIN(Pcap,MAX(0,P0-g*G.data!N103))</f>
        <v>0</v>
      </c>
      <c r="P103" s="18">
        <f t="shared" si="17"/>
        <v>3594.7972169074169</v>
      </c>
    </row>
    <row r="104" spans="7:16" x14ac:dyDescent="0.25">
      <c r="G104" s="20">
        <f t="shared" si="21"/>
        <v>0.10000000000000007</v>
      </c>
      <c r="H104">
        <f t="shared" si="18"/>
        <v>5000.0000000000036</v>
      </c>
      <c r="I104" s="19">
        <f t="shared" si="19"/>
        <v>1.4285714285714295</v>
      </c>
      <c r="J104" s="18">
        <f>IF(I104&gt;1,0,MAX(0,M0*(1-G.data!I104)*(1-beta*G.data!I104)))</f>
        <v>0</v>
      </c>
      <c r="K104">
        <f>MAX(0,MIN(Pcap,P0-g*G.data!H104))</f>
        <v>0</v>
      </c>
      <c r="M104" s="20">
        <f t="shared" si="22"/>
        <v>0.10000000000000007</v>
      </c>
      <c r="N104" s="18">
        <f t="shared" si="20"/>
        <v>9826.7022601988792</v>
      </c>
      <c r="O104" s="15">
        <f>MIN(Pcap,MAX(0,P0-g*G.data!N104))</f>
        <v>0</v>
      </c>
      <c r="P104" s="18">
        <f t="shared" si="17"/>
        <v>3609.3528919361675</v>
      </c>
    </row>
    <row r="105" spans="7:16" x14ac:dyDescent="0.25">
      <c r="G105" s="20">
        <f t="shared" ref="G105:G124" si="23">G104+0.001</f>
        <v>0.10100000000000008</v>
      </c>
      <c r="H105">
        <f t="shared" si="18"/>
        <v>5050.0000000000036</v>
      </c>
      <c r="I105" s="19">
        <f t="shared" si="19"/>
        <v>1.4428571428571437</v>
      </c>
      <c r="J105" s="18">
        <f>IF(I105&gt;1,0,MAX(0,M0*(1-G.data!I105)*(1-beta*G.data!I105)))</f>
        <v>0</v>
      </c>
      <c r="K105">
        <f>MAX(0,MIN(Pcap,P0-g*G.data!H105))</f>
        <v>0</v>
      </c>
      <c r="N105" s="18"/>
      <c r="P105" s="18"/>
    </row>
    <row r="106" spans="7:16" x14ac:dyDescent="0.25">
      <c r="G106" s="20">
        <f t="shared" si="23"/>
        <v>0.10200000000000008</v>
      </c>
      <c r="H106">
        <f t="shared" si="18"/>
        <v>5100.0000000000036</v>
      </c>
      <c r="I106" s="19">
        <f t="shared" si="19"/>
        <v>1.457142857142858</v>
      </c>
      <c r="J106" s="18">
        <f>IF(I106&gt;1,0,MAX(0,M0*(1-G.data!I106)*(1-beta*G.data!I106)))</f>
        <v>0</v>
      </c>
      <c r="K106">
        <f>MAX(0,MIN(Pcap,P0-g*G.data!H106))</f>
        <v>0</v>
      </c>
      <c r="N106" s="18"/>
      <c r="P106" s="18"/>
    </row>
    <row r="107" spans="7:16" x14ac:dyDescent="0.25">
      <c r="G107" s="20">
        <f t="shared" si="23"/>
        <v>0.10300000000000008</v>
      </c>
      <c r="H107">
        <f t="shared" si="18"/>
        <v>5150.0000000000036</v>
      </c>
      <c r="I107" s="19">
        <f t="shared" si="19"/>
        <v>1.4714285714285722</v>
      </c>
      <c r="J107" s="18">
        <f>IF(I107&gt;1,0,MAX(0,M0*(1-G.data!I107)*(1-beta*G.data!I107)))</f>
        <v>0</v>
      </c>
      <c r="K107">
        <f>MAX(0,MIN(Pcap,P0-g*G.data!H107))</f>
        <v>0</v>
      </c>
      <c r="N107" s="18"/>
      <c r="P107" s="18"/>
    </row>
    <row r="108" spans="7:16" x14ac:dyDescent="0.25">
      <c r="G108" s="20">
        <f t="shared" si="23"/>
        <v>0.10400000000000008</v>
      </c>
      <c r="H108">
        <f t="shared" si="18"/>
        <v>5200.0000000000036</v>
      </c>
      <c r="I108" s="19">
        <f t="shared" si="19"/>
        <v>1.4857142857142867</v>
      </c>
      <c r="J108" s="18">
        <f>IF(I108&gt;1,0,MAX(0,M0*(1-G.data!I108)*(1-beta*G.data!I108)))</f>
        <v>0</v>
      </c>
      <c r="K108">
        <f>MAX(0,MIN(Pcap,P0-g*G.data!H108))</f>
        <v>0</v>
      </c>
      <c r="N108" s="18"/>
      <c r="P108" s="18"/>
    </row>
    <row r="109" spans="7:16" x14ac:dyDescent="0.25">
      <c r="G109" s="20">
        <f t="shared" si="23"/>
        <v>0.10500000000000008</v>
      </c>
      <c r="H109">
        <f t="shared" si="18"/>
        <v>5250.0000000000036</v>
      </c>
      <c r="I109" s="19">
        <f t="shared" si="19"/>
        <v>1.5000000000000009</v>
      </c>
      <c r="J109" s="18">
        <f>IF(I109&gt;1,0,MAX(0,M0*(1-G.data!I109)*(1-beta*G.data!I109)))</f>
        <v>0</v>
      </c>
      <c r="K109">
        <f>MAX(0,MIN(Pcap,P0-g*G.data!H109))</f>
        <v>0</v>
      </c>
    </row>
    <row r="110" spans="7:16" x14ac:dyDescent="0.25">
      <c r="G110" s="20">
        <f t="shared" si="23"/>
        <v>0.10600000000000008</v>
      </c>
      <c r="H110">
        <f t="shared" si="18"/>
        <v>5300.0000000000036</v>
      </c>
      <c r="I110" s="19">
        <f t="shared" si="19"/>
        <v>1.5142857142857151</v>
      </c>
      <c r="J110" s="18">
        <f>IF(I110&gt;1,0,MAX(0,M0*(1-G.data!I110)*(1-beta*G.data!I110)))</f>
        <v>0</v>
      </c>
      <c r="K110">
        <f>MAX(0,MIN(Pcap,P0-g*G.data!H110))</f>
        <v>0</v>
      </c>
    </row>
    <row r="111" spans="7:16" x14ac:dyDescent="0.25">
      <c r="G111" s="20">
        <f t="shared" si="23"/>
        <v>0.10700000000000008</v>
      </c>
      <c r="H111">
        <f t="shared" si="18"/>
        <v>5350.0000000000036</v>
      </c>
      <c r="I111" s="19">
        <f t="shared" si="19"/>
        <v>1.5285714285714294</v>
      </c>
      <c r="J111" s="18">
        <f>IF(I111&gt;1,0,MAX(0,M0*(1-G.data!I111)*(1-beta*G.data!I111)))</f>
        <v>0</v>
      </c>
      <c r="K111">
        <f>MAX(0,MIN(Pcap,P0-g*G.data!H111))</f>
        <v>0</v>
      </c>
    </row>
    <row r="112" spans="7:16" x14ac:dyDescent="0.25">
      <c r="G112" s="20">
        <f t="shared" si="23"/>
        <v>0.10800000000000008</v>
      </c>
      <c r="H112">
        <f t="shared" si="18"/>
        <v>5400.0000000000045</v>
      </c>
      <c r="I112" s="19">
        <f t="shared" si="19"/>
        <v>1.542857142857144</v>
      </c>
      <c r="J112" s="18">
        <f>IF(I112&gt;1,0,MAX(0,M0*(1-G.data!I112)*(1-beta*G.data!I112)))</f>
        <v>0</v>
      </c>
      <c r="K112">
        <f>MAX(0,MIN(Pcap,P0-g*G.data!H112))</f>
        <v>0</v>
      </c>
      <c r="N112" s="18"/>
      <c r="P112" s="18"/>
    </row>
    <row r="113" spans="7:16" x14ac:dyDescent="0.25">
      <c r="G113" s="20">
        <f t="shared" si="23"/>
        <v>0.10900000000000008</v>
      </c>
      <c r="H113">
        <f t="shared" si="18"/>
        <v>5450.0000000000045</v>
      </c>
      <c r="I113" s="19">
        <f t="shared" si="19"/>
        <v>1.5571428571428583</v>
      </c>
      <c r="J113" s="18">
        <f>IF(I113&gt;1,0,MAX(0,M0*(1-G.data!I113)*(1-beta*G.data!I113)))</f>
        <v>0</v>
      </c>
      <c r="K113">
        <f>MAX(0,MIN(Pcap,P0-g*G.data!H113))</f>
        <v>0</v>
      </c>
      <c r="N113" s="18"/>
      <c r="P113" s="18"/>
    </row>
    <row r="114" spans="7:16" x14ac:dyDescent="0.25">
      <c r="G114" s="20">
        <f t="shared" si="23"/>
        <v>0.11000000000000008</v>
      </c>
      <c r="H114">
        <f t="shared" si="18"/>
        <v>5500.0000000000045</v>
      </c>
      <c r="I114" s="19">
        <f t="shared" si="19"/>
        <v>1.5714285714285725</v>
      </c>
      <c r="J114" s="18">
        <f>IF(I114&gt;1,0,MAX(0,M0*(1-G.data!I114)*(1-beta*G.data!I114)))</f>
        <v>0</v>
      </c>
      <c r="K114">
        <f>MAX(0,MIN(Pcap,P0-g*G.data!H114))</f>
        <v>0</v>
      </c>
      <c r="N114" s="18"/>
      <c r="P114" s="18"/>
    </row>
    <row r="115" spans="7:16" x14ac:dyDescent="0.25">
      <c r="G115" s="20">
        <f t="shared" si="23"/>
        <v>0.11100000000000008</v>
      </c>
      <c r="H115">
        <f t="shared" si="18"/>
        <v>5550.0000000000045</v>
      </c>
      <c r="I115" s="19">
        <f t="shared" si="19"/>
        <v>1.5857142857142867</v>
      </c>
      <c r="J115" s="18">
        <f>IF(I115&gt;1,0,MAX(0,M0*(1-G.data!I115)*(1-beta*G.data!I115)))</f>
        <v>0</v>
      </c>
      <c r="K115">
        <f>MAX(0,MIN(Pcap,P0-g*G.data!H115))</f>
        <v>0</v>
      </c>
      <c r="N115" s="18"/>
      <c r="P115" s="18"/>
    </row>
    <row r="116" spans="7:16" x14ac:dyDescent="0.25">
      <c r="G116" s="20">
        <f t="shared" si="23"/>
        <v>0.11200000000000009</v>
      </c>
      <c r="H116">
        <f t="shared" si="18"/>
        <v>5600.0000000000045</v>
      </c>
      <c r="I116" s="19">
        <f t="shared" si="19"/>
        <v>1.6000000000000012</v>
      </c>
      <c r="J116" s="18">
        <f>IF(I116&gt;1,0,MAX(0,M0*(1-G.data!I116)*(1-beta*G.data!I116)))</f>
        <v>0</v>
      </c>
      <c r="K116">
        <f>MAX(0,MIN(Pcap,P0-g*G.data!H116))</f>
        <v>0</v>
      </c>
      <c r="N116" s="18"/>
      <c r="P116" s="18"/>
    </row>
    <row r="117" spans="7:16" x14ac:dyDescent="0.25">
      <c r="G117" s="20">
        <f t="shared" si="23"/>
        <v>0.11300000000000009</v>
      </c>
      <c r="H117">
        <f t="shared" si="18"/>
        <v>5650.0000000000045</v>
      </c>
      <c r="I117" s="19">
        <f t="shared" si="19"/>
        <v>1.6142857142857154</v>
      </c>
      <c r="J117" s="18">
        <f>IF(I117&gt;1,0,MAX(0,M0*(1-G.data!I117)*(1-beta*G.data!I117)))</f>
        <v>0</v>
      </c>
      <c r="K117">
        <f>MAX(0,MIN(Pcap,P0-g*G.data!H117))</f>
        <v>0</v>
      </c>
      <c r="N117" s="18"/>
      <c r="P117" s="18"/>
    </row>
    <row r="118" spans="7:16" x14ac:dyDescent="0.25">
      <c r="G118" s="20">
        <f t="shared" si="23"/>
        <v>0.11400000000000009</v>
      </c>
      <c r="H118">
        <f t="shared" si="18"/>
        <v>5700.0000000000045</v>
      </c>
      <c r="I118" s="19">
        <f t="shared" si="19"/>
        <v>1.6285714285714297</v>
      </c>
      <c r="J118" s="18">
        <f>IF(I118&gt;1,0,MAX(0,M0*(1-G.data!I118)*(1-beta*G.data!I118)))</f>
        <v>0</v>
      </c>
      <c r="K118">
        <f>MAX(0,MIN(Pcap,P0-g*G.data!H118))</f>
        <v>0</v>
      </c>
      <c r="N118" s="18"/>
      <c r="P118" s="18"/>
    </row>
    <row r="119" spans="7:16" x14ac:dyDescent="0.25">
      <c r="G119" s="20">
        <f t="shared" si="23"/>
        <v>0.11500000000000009</v>
      </c>
      <c r="H119">
        <f t="shared" si="18"/>
        <v>5750.0000000000045</v>
      </c>
      <c r="I119" s="19">
        <f t="shared" si="19"/>
        <v>1.6428571428571439</v>
      </c>
      <c r="J119" s="18">
        <f>IF(I119&gt;1,0,MAX(0,M0*(1-G.data!I119)*(1-beta*G.data!I119)))</f>
        <v>0</v>
      </c>
      <c r="K119">
        <f>MAX(0,MIN(Pcap,P0-g*G.data!H119))</f>
        <v>0</v>
      </c>
      <c r="N119" s="18"/>
      <c r="P119" s="18"/>
    </row>
    <row r="120" spans="7:16" x14ac:dyDescent="0.25">
      <c r="G120" s="20">
        <f t="shared" si="23"/>
        <v>0.11600000000000009</v>
      </c>
      <c r="H120">
        <f t="shared" si="18"/>
        <v>5800.0000000000045</v>
      </c>
      <c r="I120" s="19">
        <f t="shared" si="19"/>
        <v>1.6571428571428581</v>
      </c>
      <c r="J120" s="18">
        <f>IF(I120&gt;1,0,MAX(0,M0*(1-G.data!I120)*(1-beta*G.data!I120)))</f>
        <v>0</v>
      </c>
      <c r="K120">
        <f>MAX(0,MIN(Pcap,P0-g*G.data!H120))</f>
        <v>0</v>
      </c>
      <c r="N120" s="18"/>
      <c r="P120" s="18"/>
    </row>
    <row r="121" spans="7:16" x14ac:dyDescent="0.25">
      <c r="G121" s="20">
        <f t="shared" si="23"/>
        <v>0.11700000000000009</v>
      </c>
      <c r="H121">
        <f t="shared" si="18"/>
        <v>5850.0000000000045</v>
      </c>
      <c r="I121" s="19">
        <f t="shared" si="19"/>
        <v>1.6714285714285726</v>
      </c>
      <c r="J121" s="18">
        <f>IF(I121&gt;1,0,MAX(0,M0*(1-G.data!I121)*(1-beta*G.data!I121)))</f>
        <v>0</v>
      </c>
      <c r="K121">
        <f>MAX(0,MIN(Pcap,P0-g*G.data!H121))</f>
        <v>0</v>
      </c>
      <c r="N121" s="18"/>
      <c r="P121" s="18"/>
    </row>
    <row r="122" spans="7:16" x14ac:dyDescent="0.25">
      <c r="G122" s="20">
        <f t="shared" si="23"/>
        <v>0.11800000000000009</v>
      </c>
      <c r="H122">
        <f t="shared" si="18"/>
        <v>5900.0000000000045</v>
      </c>
      <c r="I122" s="19">
        <f t="shared" si="19"/>
        <v>1.6857142857142868</v>
      </c>
      <c r="J122" s="18">
        <f>IF(I122&gt;1,0,MAX(0,M0*(1-G.data!I122)*(1-beta*G.data!I122)))</f>
        <v>0</v>
      </c>
      <c r="K122">
        <f>MAX(0,MIN(Pcap,P0-g*G.data!H122))</f>
        <v>0</v>
      </c>
      <c r="N122" s="18"/>
      <c r="P122" s="18"/>
    </row>
    <row r="123" spans="7:16" x14ac:dyDescent="0.25">
      <c r="G123" s="20">
        <f t="shared" si="23"/>
        <v>0.11900000000000009</v>
      </c>
      <c r="H123">
        <f t="shared" si="18"/>
        <v>5950.0000000000045</v>
      </c>
      <c r="I123" s="19">
        <f t="shared" si="19"/>
        <v>1.7000000000000011</v>
      </c>
      <c r="J123" s="18">
        <f>IF(I123&gt;1,0,MAX(0,M0*(1-G.data!I123)*(1-beta*G.data!I123)))</f>
        <v>0</v>
      </c>
      <c r="K123">
        <f>MAX(0,MIN(Pcap,P0-g*G.data!H123))</f>
        <v>0</v>
      </c>
      <c r="N123" s="18"/>
      <c r="P123" s="18"/>
    </row>
    <row r="124" spans="7:16" x14ac:dyDescent="0.25">
      <c r="G124" s="20">
        <f t="shared" si="23"/>
        <v>0.12000000000000009</v>
      </c>
      <c r="H124">
        <f t="shared" si="18"/>
        <v>6000.0000000000045</v>
      </c>
      <c r="I124" s="19">
        <f t="shared" si="19"/>
        <v>1.7142857142857153</v>
      </c>
      <c r="J124" s="18">
        <f>IF(I124&gt;1,0,MAX(0,M0*(1-G.data!I124)*(1-beta*G.data!I124)))</f>
        <v>0</v>
      </c>
      <c r="K124">
        <f>MAX(0,MIN(Pcap,P0-g*G.data!H124))</f>
        <v>0</v>
      </c>
      <c r="N124" s="18"/>
      <c r="P124" s="18"/>
    </row>
    <row r="125" spans="7:16" x14ac:dyDescent="0.25">
      <c r="G125" s="20"/>
      <c r="I125" s="19"/>
      <c r="J125" s="18"/>
      <c r="N125" s="18"/>
      <c r="P125" s="18"/>
    </row>
    <row r="126" spans="7:16" x14ac:dyDescent="0.25">
      <c r="G126" s="20"/>
      <c r="I126" s="19"/>
      <c r="J126" s="18"/>
      <c r="N126" s="18"/>
      <c r="P126" s="18"/>
    </row>
    <row r="127" spans="7:16" x14ac:dyDescent="0.25">
      <c r="G127" s="20"/>
      <c r="I127" s="19"/>
      <c r="J127" s="18"/>
      <c r="N127" s="18"/>
      <c r="P127" s="18"/>
    </row>
    <row r="128" spans="7:16" x14ac:dyDescent="0.25">
      <c r="G128" s="20"/>
      <c r="I128" s="19"/>
      <c r="J128" s="18"/>
    </row>
    <row r="129" spans="7:10" x14ac:dyDescent="0.25">
      <c r="G129" s="20"/>
      <c r="I129" s="19"/>
      <c r="J129" s="18"/>
    </row>
  </sheetData>
  <mergeCells count="2">
    <mergeCell ref="T3:W3"/>
    <mergeCell ref="X3:AF3"/>
  </mergeCells>
  <phoneticPr fontId="0" type="noConversion"/>
  <pageMargins left="0.75" right="0.75" top="1" bottom="1" header="0.5" footer="0.5"/>
  <pageSetup orientation="portrait" verticalDpi="0" r:id="rId1"/>
  <headerFooter alignWithMargins="0"/>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AV1183"/>
  <sheetViews>
    <sheetView workbookViewId="0">
      <selection activeCell="C28" sqref="C28"/>
    </sheetView>
  </sheetViews>
  <sheetFormatPr defaultColWidth="9.109375" defaultRowHeight="13.2" x14ac:dyDescent="0.25"/>
  <cols>
    <col min="1" max="1" width="9.109375" style="47"/>
    <col min="2" max="2" width="9.33203125" style="47" customWidth="1"/>
    <col min="3" max="3" width="9.109375" style="47"/>
    <col min="4" max="4" width="10.44140625" style="47" customWidth="1"/>
    <col min="5" max="5" width="7.5546875" style="47" customWidth="1"/>
    <col min="6" max="7" width="9.109375" style="47"/>
    <col min="8" max="8" width="5.44140625" style="47" customWidth="1"/>
    <col min="9" max="9" width="3.44140625" style="169" customWidth="1"/>
    <col min="10" max="10" width="9.109375" style="52"/>
    <col min="11" max="11" width="5.33203125" style="52" customWidth="1"/>
    <col min="12" max="14" width="8.5546875" style="53" customWidth="1"/>
    <col min="15" max="15" width="7.6640625" style="52" customWidth="1"/>
    <col min="16" max="16" width="8" style="52" customWidth="1"/>
    <col min="17" max="18" width="7.6640625" style="52" customWidth="1"/>
    <col min="19" max="19" width="7" style="52" customWidth="1"/>
    <col min="20" max="20" width="13" style="55" customWidth="1"/>
    <col min="21" max="21" width="9.88671875" style="56" customWidth="1"/>
    <col min="22" max="22" width="8.109375" style="56" customWidth="1"/>
    <col min="23" max="23" width="4.109375" style="57" customWidth="1"/>
    <col min="24" max="24" width="6.88671875" style="59" customWidth="1"/>
    <col min="25" max="25" width="8" style="59" customWidth="1"/>
    <col min="26" max="27" width="9.109375" style="59"/>
    <col min="28" max="28" width="9.5546875" style="59" customWidth="1"/>
    <col min="29" max="29" width="9.109375" style="59"/>
    <col min="30" max="30" width="10.109375" style="59" bestFit="1" customWidth="1"/>
    <col min="31" max="31" width="6.6640625" style="60" customWidth="1"/>
    <col min="32" max="32" width="9.109375" style="47"/>
    <col min="33" max="33" width="9.109375" style="48"/>
    <col min="34" max="34" width="6.88671875" style="47" customWidth="1"/>
    <col min="35" max="36" width="7.5546875" style="47" customWidth="1"/>
    <col min="37" max="37" width="9.5546875" style="47" customWidth="1"/>
    <col min="38" max="44" width="6.33203125" style="47" customWidth="1"/>
    <col min="45" max="45" width="7.88671875" style="47" customWidth="1"/>
    <col min="46" max="46" width="9.33203125" style="49" customWidth="1"/>
    <col min="47" max="47" width="6.6640625" style="49" customWidth="1"/>
    <col min="48" max="16384" width="9.109375" style="47"/>
  </cols>
  <sheetData>
    <row r="1" spans="1:39" ht="13.8" thickTop="1" x14ac:dyDescent="0.25">
      <c r="B1" s="47" t="s">
        <v>46</v>
      </c>
      <c r="F1" s="47" t="s">
        <v>40</v>
      </c>
      <c r="I1" s="185" t="s">
        <v>128</v>
      </c>
      <c r="J1" s="186"/>
      <c r="K1" s="186"/>
      <c r="L1" s="186"/>
      <c r="M1" s="186"/>
      <c r="N1" s="186"/>
      <c r="O1" s="186"/>
      <c r="P1" s="186"/>
      <c r="Q1" s="186"/>
      <c r="R1" s="186"/>
      <c r="S1" s="186"/>
      <c r="T1" s="186"/>
      <c r="U1" s="186"/>
      <c r="V1" s="186"/>
      <c r="W1" s="189" t="s">
        <v>178</v>
      </c>
      <c r="X1" s="190"/>
      <c r="Y1" s="190"/>
      <c r="Z1" s="190"/>
      <c r="AA1" s="190"/>
      <c r="AB1" s="190"/>
      <c r="AC1" s="190"/>
      <c r="AD1" s="190"/>
      <c r="AE1" s="191"/>
    </row>
    <row r="2" spans="1:39" ht="13.8" thickBot="1" x14ac:dyDescent="0.3">
      <c r="B2" s="47" t="s">
        <v>17</v>
      </c>
      <c r="F2" s="47" t="s">
        <v>227</v>
      </c>
      <c r="I2" s="187"/>
      <c r="J2" s="188"/>
      <c r="K2" s="188"/>
      <c r="L2" s="188"/>
      <c r="M2" s="188"/>
      <c r="N2" s="188"/>
      <c r="O2" s="188"/>
      <c r="P2" s="188"/>
      <c r="Q2" s="188"/>
      <c r="R2" s="188"/>
      <c r="S2" s="188"/>
      <c r="T2" s="188"/>
      <c r="U2" s="188"/>
      <c r="V2" s="188"/>
      <c r="W2" s="192"/>
      <c r="X2" s="193"/>
      <c r="Y2" s="193"/>
      <c r="Z2" s="193"/>
      <c r="AA2" s="193"/>
      <c r="AB2" s="193"/>
      <c r="AC2" s="193"/>
      <c r="AD2" s="193"/>
      <c r="AE2" s="194"/>
    </row>
    <row r="3" spans="1:39" ht="13.8" thickTop="1" x14ac:dyDescent="0.25">
      <c r="B3" s="47" t="s">
        <v>177</v>
      </c>
      <c r="F3" s="47" t="s">
        <v>228</v>
      </c>
      <c r="J3" s="51" t="s">
        <v>86</v>
      </c>
      <c r="N3" s="54" t="s">
        <v>87</v>
      </c>
      <c r="X3" s="58" t="s">
        <v>51</v>
      </c>
    </row>
    <row r="4" spans="1:39" x14ac:dyDescent="0.25">
      <c r="B4" s="47" t="s">
        <v>10</v>
      </c>
      <c r="F4" s="47" t="s">
        <v>11</v>
      </c>
      <c r="J4" s="61" t="s">
        <v>39</v>
      </c>
      <c r="N4" s="62" t="s">
        <v>62</v>
      </c>
    </row>
    <row r="5" spans="1:39" x14ac:dyDescent="0.25">
      <c r="J5" s="61" t="s">
        <v>61</v>
      </c>
      <c r="N5" s="62" t="s">
        <v>63</v>
      </c>
      <c r="X5" s="59" t="s">
        <v>52</v>
      </c>
      <c r="AG5" s="48" t="s">
        <v>129</v>
      </c>
    </row>
    <row r="6" spans="1:39" x14ac:dyDescent="0.25">
      <c r="A6" s="63" t="s">
        <v>42</v>
      </c>
      <c r="B6" s="64" t="s">
        <v>9</v>
      </c>
      <c r="C6" s="65">
        <v>6</v>
      </c>
      <c r="D6" s="64"/>
      <c r="E6" s="64"/>
      <c r="F6" s="64" t="s">
        <v>5</v>
      </c>
      <c r="G6" s="64"/>
      <c r="H6" s="64"/>
      <c r="J6" s="61"/>
      <c r="N6" s="62" t="s">
        <v>64</v>
      </c>
      <c r="X6" s="59" t="s">
        <v>53</v>
      </c>
      <c r="AG6" s="48" t="s">
        <v>130</v>
      </c>
    </row>
    <row r="7" spans="1:39" x14ac:dyDescent="0.25">
      <c r="A7" s="66" t="s">
        <v>23</v>
      </c>
      <c r="B7" s="67" t="s">
        <v>12</v>
      </c>
      <c r="C7" s="68">
        <f>Front!B29</f>
        <v>50000</v>
      </c>
      <c r="D7" s="67" t="s">
        <v>13</v>
      </c>
      <c r="E7" s="67"/>
      <c r="F7" s="67"/>
      <c r="G7" s="67"/>
      <c r="H7" s="67"/>
      <c r="J7" s="69" t="s">
        <v>65</v>
      </c>
      <c r="X7" s="59" t="s">
        <v>54</v>
      </c>
      <c r="AG7" s="70" t="s">
        <v>71</v>
      </c>
    </row>
    <row r="8" spans="1:39" x14ac:dyDescent="0.25">
      <c r="A8" s="71"/>
      <c r="B8" s="59"/>
      <c r="C8" s="61">
        <v>0.5</v>
      </c>
      <c r="D8" s="72" t="s">
        <v>112</v>
      </c>
      <c r="E8" s="59"/>
      <c r="F8" s="59"/>
      <c r="G8" s="59"/>
      <c r="H8" s="59"/>
      <c r="J8" s="61" t="s">
        <v>66</v>
      </c>
      <c r="X8" s="59" t="s">
        <v>55</v>
      </c>
      <c r="AG8" s="70" t="s">
        <v>131</v>
      </c>
    </row>
    <row r="9" spans="1:39" x14ac:dyDescent="0.25">
      <c r="A9" s="71"/>
      <c r="B9" s="73" t="s">
        <v>113</v>
      </c>
      <c r="C9" s="61">
        <f>C8*Front!B29</f>
        <v>25000</v>
      </c>
      <c r="D9" s="59"/>
      <c r="E9" s="59"/>
      <c r="F9" s="59"/>
      <c r="G9" s="59"/>
      <c r="H9" s="59"/>
      <c r="J9" s="61" t="s">
        <v>67</v>
      </c>
      <c r="X9" s="59" t="s">
        <v>108</v>
      </c>
      <c r="AG9" s="70" t="s">
        <v>73</v>
      </c>
      <c r="AI9" s="47" t="s">
        <v>132</v>
      </c>
    </row>
    <row r="10" spans="1:39" x14ac:dyDescent="0.25">
      <c r="A10" s="71"/>
      <c r="B10" s="59" t="s">
        <v>45</v>
      </c>
      <c r="C10" s="61">
        <f>IF(ABS(Front!B29-C9-alph)&lt;1,1,Front!B29-C9-alph)</f>
        <v>1</v>
      </c>
      <c r="D10" s="59" t="s">
        <v>20</v>
      </c>
      <c r="E10" s="59"/>
      <c r="F10" s="59"/>
      <c r="G10" s="59"/>
      <c r="H10" s="59"/>
      <c r="J10" s="61" t="s">
        <v>70</v>
      </c>
      <c r="X10" s="59" t="s">
        <v>117</v>
      </c>
      <c r="AG10" s="74" t="s">
        <v>137</v>
      </c>
    </row>
    <row r="11" spans="1:39" x14ac:dyDescent="0.25">
      <c r="A11" s="75"/>
      <c r="B11" s="76" t="s">
        <v>14</v>
      </c>
      <c r="C11" s="77">
        <f>MIN(L0,4*MAX(Front!B30*(L0/400),0.1))</f>
        <v>25000</v>
      </c>
      <c r="D11" s="76" t="s">
        <v>15</v>
      </c>
      <c r="E11" s="76"/>
      <c r="F11" s="76"/>
      <c r="G11" s="76"/>
      <c r="H11" s="76"/>
      <c r="J11" s="61" t="s">
        <v>68</v>
      </c>
      <c r="AM11" s="47" t="s">
        <v>171</v>
      </c>
    </row>
    <row r="12" spans="1:39" x14ac:dyDescent="0.25">
      <c r="A12" s="66" t="s">
        <v>24</v>
      </c>
      <c r="B12" s="67" t="s">
        <v>18</v>
      </c>
      <c r="C12" s="68">
        <f>Front!B27</f>
        <v>10000</v>
      </c>
      <c r="D12" s="67" t="s">
        <v>19</v>
      </c>
      <c r="E12" s="67"/>
      <c r="F12" s="67"/>
      <c r="G12" s="67"/>
      <c r="H12" s="67"/>
      <c r="J12" s="61" t="s">
        <v>69</v>
      </c>
      <c r="AG12" s="74" t="s">
        <v>138</v>
      </c>
      <c r="AM12" s="47" t="s">
        <v>172</v>
      </c>
    </row>
    <row r="13" spans="1:39" x14ac:dyDescent="0.25">
      <c r="A13" s="71" t="s">
        <v>25</v>
      </c>
      <c r="B13" s="59" t="s">
        <v>8</v>
      </c>
      <c r="C13" s="61">
        <f>Front!B26*L0</f>
        <v>3500.0000000000005</v>
      </c>
      <c r="D13" s="59" t="s">
        <v>28</v>
      </c>
      <c r="E13" s="59"/>
      <c r="F13" s="59"/>
      <c r="G13" s="59"/>
      <c r="H13" s="59"/>
      <c r="J13" s="61" t="s">
        <v>71</v>
      </c>
      <c r="X13" s="59" t="s">
        <v>109</v>
      </c>
      <c r="Y13" s="59" t="s">
        <v>110</v>
      </c>
      <c r="Z13" s="59" t="s">
        <v>111</v>
      </c>
      <c r="AB13" s="83"/>
      <c r="AG13" s="74" t="s">
        <v>139</v>
      </c>
      <c r="AM13" s="47" t="s">
        <v>169</v>
      </c>
    </row>
    <row r="14" spans="1:39" x14ac:dyDescent="0.25">
      <c r="A14" s="75"/>
      <c r="B14" s="76" t="s">
        <v>16</v>
      </c>
      <c r="C14" s="78">
        <f>MAX(0,MIN(1,Front!B28/100))</f>
        <v>0</v>
      </c>
      <c r="D14" s="76" t="s">
        <v>31</v>
      </c>
      <c r="E14" s="76"/>
      <c r="F14" s="76"/>
      <c r="G14" s="76"/>
      <c r="H14" s="76"/>
      <c r="J14" s="61" t="s">
        <v>72</v>
      </c>
      <c r="X14" s="59">
        <f>M0*R0</f>
        <v>35000000.000000007</v>
      </c>
      <c r="Y14" s="59">
        <f>(1+beta)/2</f>
        <v>0.5</v>
      </c>
      <c r="Z14" s="59">
        <f>beta/3</f>
        <v>0</v>
      </c>
      <c r="AB14" s="83"/>
      <c r="AC14" s="59" t="s">
        <v>173</v>
      </c>
      <c r="AD14" s="59">
        <f>Kopt</f>
        <v>51920.908109777927</v>
      </c>
      <c r="AG14" s="74" t="s">
        <v>140</v>
      </c>
      <c r="AM14" s="47" t="s">
        <v>170</v>
      </c>
    </row>
    <row r="15" spans="1:39" x14ac:dyDescent="0.25">
      <c r="A15" s="66" t="s">
        <v>29</v>
      </c>
      <c r="B15" s="67" t="s">
        <v>21</v>
      </c>
      <c r="C15" s="68">
        <f>Front!E27</f>
        <v>10000</v>
      </c>
      <c r="D15" s="67" t="s">
        <v>22</v>
      </c>
      <c r="E15" s="67"/>
      <c r="F15" s="67"/>
      <c r="G15" s="67"/>
      <c r="H15" s="67"/>
      <c r="J15" s="61" t="s">
        <v>73</v>
      </c>
      <c r="S15" s="61"/>
      <c r="AB15" s="163">
        <f>AB17/1000</f>
        <v>3.9896368980407716E-6</v>
      </c>
      <c r="AC15" s="59" t="s">
        <v>180</v>
      </c>
      <c r="AG15" s="74" t="s">
        <v>166</v>
      </c>
    </row>
    <row r="16" spans="1:39" ht="13.8" x14ac:dyDescent="0.3">
      <c r="A16" s="71" t="s">
        <v>30</v>
      </c>
      <c r="B16" s="59" t="s">
        <v>26</v>
      </c>
      <c r="C16" s="61">
        <f>Front!E26*L0</f>
        <v>3500.0000000000005</v>
      </c>
      <c r="D16" s="59" t="s">
        <v>27</v>
      </c>
      <c r="E16" s="59"/>
      <c r="F16" s="59"/>
      <c r="G16" s="59"/>
      <c r="H16" s="59"/>
      <c r="S16" s="61"/>
      <c r="X16" s="79" t="s">
        <v>58</v>
      </c>
      <c r="Y16" s="59">
        <f>Y17/X19</f>
        <v>3.9896368980407716E-6</v>
      </c>
      <c r="Z16" s="80" t="s">
        <v>98</v>
      </c>
      <c r="AA16" s="81">
        <f>Y16*(SUM(AA20:AA1018)+(AA19+AA1019)/2)</f>
        <v>2368.8252834945174</v>
      </c>
      <c r="AB16" s="71" t="s">
        <v>219</v>
      </c>
      <c r="AC16" s="80" t="s">
        <v>98</v>
      </c>
      <c r="AD16" s="81">
        <f>AB15*(SUM(AD20:AD1018)+(AD19+AD1019)/2)</f>
        <v>2368.8252834945174</v>
      </c>
      <c r="AG16" s="82" t="s">
        <v>141</v>
      </c>
    </row>
    <row r="17" spans="1:47" ht="13.8" x14ac:dyDescent="0.3">
      <c r="A17" s="83"/>
      <c r="B17" s="73" t="s">
        <v>41</v>
      </c>
      <c r="C17" s="61">
        <f>P0/R0g</f>
        <v>2.8571428571428568</v>
      </c>
      <c r="D17" s="73" t="s">
        <v>78</v>
      </c>
      <c r="E17" s="59"/>
      <c r="F17" s="59"/>
      <c r="G17" s="59"/>
      <c r="H17" s="59"/>
      <c r="S17" s="84"/>
      <c r="U17" s="85"/>
      <c r="X17" s="79" t="s">
        <v>57</v>
      </c>
      <c r="Y17" s="59">
        <f>D0</f>
        <v>3.9896368980407715E-3</v>
      </c>
      <c r="AB17" s="162">
        <f>D0opt</f>
        <v>3.9896368980407715E-3</v>
      </c>
      <c r="AG17" s="82" t="s">
        <v>143</v>
      </c>
      <c r="AH17" s="86"/>
      <c r="AI17" s="86"/>
      <c r="AJ17" s="86" t="s">
        <v>167</v>
      </c>
      <c r="AK17" s="86"/>
      <c r="AL17" s="86" t="s">
        <v>168</v>
      </c>
    </row>
    <row r="18" spans="1:47" ht="13.8" x14ac:dyDescent="0.3">
      <c r="A18" s="87"/>
      <c r="B18" s="76" t="s">
        <v>59</v>
      </c>
      <c r="C18" s="77">
        <f>Front!E28</f>
        <v>99999</v>
      </c>
      <c r="D18" s="76" t="s">
        <v>60</v>
      </c>
      <c r="E18" s="76"/>
      <c r="F18" s="76"/>
      <c r="G18" s="76"/>
      <c r="H18" s="76"/>
      <c r="J18" s="69" t="s">
        <v>44</v>
      </c>
      <c r="M18" s="88"/>
      <c r="N18" s="89">
        <f>F</f>
        <v>6</v>
      </c>
      <c r="Q18" s="69"/>
      <c r="R18" s="69"/>
      <c r="S18" s="69"/>
      <c r="U18" s="85"/>
      <c r="Y18" s="52" t="s">
        <v>0</v>
      </c>
      <c r="Z18" s="52" t="s">
        <v>116</v>
      </c>
      <c r="AA18" s="52" t="s">
        <v>56</v>
      </c>
      <c r="AB18" s="83"/>
      <c r="AC18" s="52" t="s">
        <v>179</v>
      </c>
      <c r="AD18" s="52" t="s">
        <v>56</v>
      </c>
      <c r="AG18" s="82" t="s">
        <v>145</v>
      </c>
      <c r="AH18" s="86"/>
      <c r="AI18" s="86"/>
      <c r="AJ18" s="86" t="s">
        <v>144</v>
      </c>
      <c r="AK18" s="86"/>
      <c r="AL18" s="86" t="s">
        <v>142</v>
      </c>
    </row>
    <row r="19" spans="1:47" ht="12.75" customHeight="1" x14ac:dyDescent="0.25">
      <c r="A19" s="90" t="s">
        <v>32</v>
      </c>
      <c r="B19" s="91" t="s">
        <v>10</v>
      </c>
      <c r="C19" s="92">
        <f>J84</f>
        <v>51920.908109777927</v>
      </c>
      <c r="D19" s="91" t="s">
        <v>48</v>
      </c>
      <c r="E19" s="67"/>
      <c r="F19" s="67"/>
      <c r="G19" s="67"/>
      <c r="H19" s="67"/>
      <c r="J19" s="52" t="s">
        <v>90</v>
      </c>
      <c r="K19" s="52" t="s">
        <v>88</v>
      </c>
      <c r="L19" s="53" t="s">
        <v>35</v>
      </c>
      <c r="M19" s="53" t="s">
        <v>37</v>
      </c>
      <c r="N19" s="53" t="s">
        <v>36</v>
      </c>
      <c r="O19" s="52" t="s">
        <v>91</v>
      </c>
      <c r="P19" s="52" t="s">
        <v>89</v>
      </c>
      <c r="Q19" s="52" t="s">
        <v>84</v>
      </c>
      <c r="R19" s="52" t="s">
        <v>85</v>
      </c>
      <c r="S19" s="52" t="s">
        <v>92</v>
      </c>
      <c r="T19" s="93" t="s">
        <v>43</v>
      </c>
      <c r="U19" s="94">
        <f>MAX(U21:U30)</f>
        <v>50999.9</v>
      </c>
      <c r="V19" s="94">
        <f>MAX(V20:V29)</f>
        <v>53500</v>
      </c>
      <c r="X19" s="84">
        <v>1000</v>
      </c>
      <c r="Y19" s="95">
        <v>0</v>
      </c>
      <c r="Z19" s="96">
        <f>(K-(L0-Y19*Ldif-alph*Y19^0.5))/R0</f>
        <v>0.54883088850797912</v>
      </c>
      <c r="AA19" s="94">
        <f>IF(Z19&lt;1,X$14*((1-r.1)-Y$14*(1-r.1^2)+Z$14*(1-r.1^3)),0)</f>
        <v>3562187.4253787431</v>
      </c>
      <c r="AB19" s="161">
        <v>0</v>
      </c>
      <c r="AC19" s="96">
        <f>(Kopt-(L0-AB19*Ldif-alph*AB19^0.5))/R0</f>
        <v>0.54883088850797912</v>
      </c>
      <c r="AD19" s="94">
        <f t="shared" ref="AD19:AD82" si="0">IF(AC19&lt;1,X$14*((1-ropt)-Y$14*(1-ropt^2)+Z$14*(1-ropt^3)),0)</f>
        <v>3562187.4253787431</v>
      </c>
      <c r="AE19" s="97"/>
    </row>
    <row r="20" spans="1:47" s="105" customFormat="1" ht="12.75" customHeight="1" x14ac:dyDescent="0.3">
      <c r="A20" s="98" t="s">
        <v>33</v>
      </c>
      <c r="B20" s="73" t="s">
        <v>95</v>
      </c>
      <c r="C20" s="99">
        <f>K-L0</f>
        <v>1920.9081097779272</v>
      </c>
      <c r="D20" s="73" t="s">
        <v>96</v>
      </c>
      <c r="E20" s="59"/>
      <c r="F20" s="59"/>
      <c r="G20" s="59"/>
      <c r="H20" s="59"/>
      <c r="I20" s="170">
        <v>10</v>
      </c>
      <c r="J20" s="100">
        <f>L0+R0g</f>
        <v>53500</v>
      </c>
      <c r="K20" s="52">
        <f>L0+R0g-KK</f>
        <v>0</v>
      </c>
      <c r="L20" s="53">
        <f t="shared" ref="L20:L30" si="1">Ldif^2</f>
        <v>1</v>
      </c>
      <c r="M20" s="53">
        <f>-(alph^2)-2*S.1*Ldif</f>
        <v>-625000000</v>
      </c>
      <c r="N20" s="53">
        <f>S.1^2</f>
        <v>0</v>
      </c>
      <c r="O20" s="101">
        <f>(-b.1-SQRT(b.1^2-4*a.1*c.1))/(2*a.1)</f>
        <v>0</v>
      </c>
      <c r="P20" s="102">
        <f>L0-KK+(P0-Pcap)/g</f>
        <v>-34999.650000000009</v>
      </c>
      <c r="Q20" s="53">
        <f>-(alph^2)-2*S.2*Ldif</f>
        <v>-624930000.70000005</v>
      </c>
      <c r="R20" s="53">
        <f>S.2^2</f>
        <v>1224975500.1225007</v>
      </c>
      <c r="S20" s="101">
        <f>IF(S.2&lt;0,0,(-b.2-SQRT(b.2^2-4*a.1*c.2))/(2*a.1))</f>
        <v>0</v>
      </c>
      <c r="T20" s="103">
        <f>Pcap*DDc+(P0+g*(L0-KK))*(DDg-DDc)-g*((DDg^2-DDc^2)*Ldif/2+alph*(DDg^1.5-DDc^1.5)/1.5)</f>
        <v>0</v>
      </c>
      <c r="U20" s="56"/>
      <c r="V20" s="56">
        <f t="shared" ref="V20:V29" si="2">IF(AND(T20&lt;F,T21&gt;F),J20,0)</f>
        <v>53500</v>
      </c>
      <c r="W20" s="57"/>
      <c r="X20" s="84">
        <v>999</v>
      </c>
      <c r="Y20" s="104">
        <f>Y19+Y$16</f>
        <v>3.9896368980407716E-6</v>
      </c>
      <c r="Z20" s="96">
        <f t="shared" ref="Z20:Z83" si="3">(K-(L0-Y20*Ldif-alph*Y20^0.5))/R0</f>
        <v>0.56309808639290182</v>
      </c>
      <c r="AA20" s="94">
        <f t="shared" ref="AA20:AA83" si="4">IF(Z20&lt;1,X$14*((1-r.1)-Y$14*(1-r.1^2)+Z$14*(1-r.1^3)),0)</f>
        <v>3340457.4369870247</v>
      </c>
      <c r="AB20" s="163">
        <f>AB19+AB$15</f>
        <v>3.9896368980407716E-6</v>
      </c>
      <c r="AC20" s="96">
        <f t="shared" ref="AC20:AC83" si="5">(Kopt-(L0-AB20*Ldif-alph*AB20^0.5))/R0</f>
        <v>0.56309808639290182</v>
      </c>
      <c r="AD20" s="94">
        <f t="shared" si="0"/>
        <v>3340457.4369870247</v>
      </c>
      <c r="AE20" s="60"/>
      <c r="AG20" s="82" t="s">
        <v>165</v>
      </c>
      <c r="AT20" s="106"/>
      <c r="AU20" s="106"/>
    </row>
    <row r="21" spans="1:47" s="105" customFormat="1" ht="12.75" customHeight="1" x14ac:dyDescent="0.3">
      <c r="A21" s="83"/>
      <c r="B21" s="73" t="s">
        <v>94</v>
      </c>
      <c r="C21" s="107">
        <f>MIN(Pcap,P0-g*C20)</f>
        <v>4511.6911149202087</v>
      </c>
      <c r="D21" s="73" t="s">
        <v>97</v>
      </c>
      <c r="E21" s="59"/>
      <c r="F21" s="59"/>
      <c r="G21" s="59"/>
      <c r="H21" s="59"/>
      <c r="I21" s="170">
        <v>9</v>
      </c>
      <c r="J21" s="100">
        <f t="shared" ref="J21:J29" si="6">J$30+(I21/10)*(J$20-J$30)</f>
        <v>50999.9</v>
      </c>
      <c r="K21" s="52">
        <f t="shared" ref="K21:K30" si="7">L0+R0g-KK</f>
        <v>2500.0999999999985</v>
      </c>
      <c r="L21" s="53">
        <f t="shared" si="1"/>
        <v>1</v>
      </c>
      <c r="M21" s="53">
        <f t="shared" ref="M21:M30" si="8">-(alph^2)-2*S.1*Ldif</f>
        <v>-625005000.20000005</v>
      </c>
      <c r="N21" s="53">
        <f t="shared" ref="N21:N30" si="9">S.1^2</f>
        <v>6250500.0099999923</v>
      </c>
      <c r="O21" s="101">
        <f t="shared" ref="O21:O30" si="10">(-b.1-SQRT(b.1^2-4*a.1*c.1))/(2*a.1)</f>
        <v>1.0000705718994141E-2</v>
      </c>
      <c r="P21" s="102">
        <f t="shared" ref="P21:P30" si="11">L0-KK+(P0-Pcap)/g</f>
        <v>-32499.550000000007</v>
      </c>
      <c r="Q21" s="53">
        <f t="shared" ref="Q21:Q30" si="12">-(alph^2)-2*S.2*Ldif</f>
        <v>-624935000.89999998</v>
      </c>
      <c r="R21" s="53">
        <f t="shared" ref="R21:R30" si="13">S.2^2</f>
        <v>1056220750.2025005</v>
      </c>
      <c r="S21" s="101">
        <f>IF(S.2&lt;0,0,(-b.2-SQRT(b.2^2-4*a.1*c.2))/(2*a.1))</f>
        <v>0</v>
      </c>
      <c r="T21" s="103">
        <f t="shared" ref="T21:T30" si="14">Pcap*DDc+(P0+g*(L0-KK))*(DDg-DDc)-g*((DDg^2-DDc^2)*Ldif/2+alph*(DDg^1.5-DDc^1.5)/1.5)</f>
        <v>23.812238187773438</v>
      </c>
      <c r="U21" s="56">
        <f t="shared" ref="U21:U30" si="15">IF(AND(T21&gt;F,T20&lt;F),J21,0)</f>
        <v>50999.9</v>
      </c>
      <c r="V21" s="56">
        <f t="shared" si="2"/>
        <v>0</v>
      </c>
      <c r="W21" s="57"/>
      <c r="X21" s="84">
        <v>998</v>
      </c>
      <c r="Y21" s="104">
        <f t="shared" ref="Y21:Y31" si="16">Y20+Y$16</f>
        <v>7.9792737960815432E-6</v>
      </c>
      <c r="Z21" s="96">
        <f t="shared" si="3"/>
        <v>0.56900775392163105</v>
      </c>
      <c r="AA21" s="94">
        <f t="shared" si="4"/>
        <v>3250700.5331443534</v>
      </c>
      <c r="AB21" s="163">
        <f t="shared" ref="AB21:AB84" si="17">AB20+AB$15</f>
        <v>7.9792737960815432E-6</v>
      </c>
      <c r="AC21" s="96">
        <f t="shared" si="5"/>
        <v>0.56900775392163105</v>
      </c>
      <c r="AD21" s="94">
        <f t="shared" si="0"/>
        <v>3250700.5331443534</v>
      </c>
      <c r="AE21" s="60"/>
      <c r="AG21" s="82" t="s">
        <v>152</v>
      </c>
      <c r="AH21" s="86" t="s">
        <v>153</v>
      </c>
      <c r="AI21" s="86"/>
      <c r="AJ21" s="86" t="s">
        <v>154</v>
      </c>
      <c r="AK21" s="86"/>
      <c r="AM21" s="86" t="s">
        <v>155</v>
      </c>
      <c r="AN21" s="86"/>
      <c r="AO21" s="86" t="s">
        <v>156</v>
      </c>
      <c r="AT21" s="106"/>
      <c r="AU21" s="106"/>
    </row>
    <row r="22" spans="1:47" s="105" customFormat="1" ht="12.75" customHeight="1" x14ac:dyDescent="0.25">
      <c r="A22" s="83"/>
      <c r="B22" s="108" t="s">
        <v>7</v>
      </c>
      <c r="C22" s="109">
        <f>O88</f>
        <v>3.9896368980407715E-3</v>
      </c>
      <c r="D22" s="73" t="s">
        <v>184</v>
      </c>
      <c r="E22" s="59"/>
      <c r="F22" s="59"/>
      <c r="G22" s="59"/>
      <c r="H22" s="59"/>
      <c r="I22" s="170">
        <v>8</v>
      </c>
      <c r="J22" s="100">
        <f t="shared" si="6"/>
        <v>48499.8</v>
      </c>
      <c r="K22" s="52">
        <f t="shared" si="7"/>
        <v>5000.1999999999971</v>
      </c>
      <c r="L22" s="53">
        <f t="shared" si="1"/>
        <v>1</v>
      </c>
      <c r="M22" s="53">
        <f t="shared" si="8"/>
        <v>-625010000.39999998</v>
      </c>
      <c r="N22" s="53">
        <f t="shared" si="9"/>
        <v>25002000.039999969</v>
      </c>
      <c r="O22" s="101">
        <f t="shared" si="10"/>
        <v>4.0002524852752686E-2</v>
      </c>
      <c r="P22" s="102">
        <f t="shared" si="11"/>
        <v>-29999.450000000008</v>
      </c>
      <c r="Q22" s="53">
        <f t="shared" si="12"/>
        <v>-624940001.10000002</v>
      </c>
      <c r="R22" s="53">
        <f t="shared" si="13"/>
        <v>899967000.30250049</v>
      </c>
      <c r="S22" s="101">
        <f t="shared" ref="S22:S30" si="18">IF(S.2&lt;0,0,(-b.2-SQRT(b.2^2-4*a.1*c.2))/(2*a.1))</f>
        <v>0</v>
      </c>
      <c r="T22" s="103">
        <f t="shared" si="14"/>
        <v>190.49676248979108</v>
      </c>
      <c r="U22" s="56">
        <f t="shared" si="15"/>
        <v>0</v>
      </c>
      <c r="V22" s="56">
        <f t="shared" si="2"/>
        <v>0</v>
      </c>
      <c r="W22" s="57"/>
      <c r="X22" s="84">
        <v>997</v>
      </c>
      <c r="Y22" s="104">
        <f t="shared" si="16"/>
        <v>1.1968910694122315E-5</v>
      </c>
      <c r="Z22" s="96">
        <f t="shared" si="3"/>
        <v>0.57354240157163328</v>
      </c>
      <c r="AA22" s="94">
        <f t="shared" si="4"/>
        <v>3182656.4570025764</v>
      </c>
      <c r="AB22" s="163">
        <f t="shared" si="17"/>
        <v>1.1968910694122315E-5</v>
      </c>
      <c r="AC22" s="96">
        <f t="shared" si="5"/>
        <v>0.57354240157163328</v>
      </c>
      <c r="AD22" s="94">
        <f t="shared" si="0"/>
        <v>3182656.4570025764</v>
      </c>
      <c r="AE22" s="60"/>
      <c r="AG22" s="110"/>
      <c r="AT22" s="106"/>
      <c r="AU22" s="106"/>
    </row>
    <row r="23" spans="1:47" s="105" customFormat="1" ht="12.75" customHeight="1" x14ac:dyDescent="0.3">
      <c r="A23" s="164"/>
      <c r="B23" s="73" t="s">
        <v>34</v>
      </c>
      <c r="C23" s="111">
        <f>O84</f>
        <v>3.9896368980407715E-3</v>
      </c>
      <c r="D23" s="73" t="s">
        <v>185</v>
      </c>
      <c r="E23" s="59"/>
      <c r="F23" s="59"/>
      <c r="G23" s="59"/>
      <c r="H23" s="59"/>
      <c r="I23" s="170">
        <v>7</v>
      </c>
      <c r="J23" s="100">
        <f t="shared" si="6"/>
        <v>45999.7</v>
      </c>
      <c r="K23" s="52">
        <f t="shared" si="7"/>
        <v>7500.3000000000029</v>
      </c>
      <c r="L23" s="53">
        <f t="shared" si="1"/>
        <v>1</v>
      </c>
      <c r="M23" s="53">
        <f t="shared" si="8"/>
        <v>-625015000.60000002</v>
      </c>
      <c r="N23" s="53">
        <f t="shared" si="9"/>
        <v>56254500.090000041</v>
      </c>
      <c r="O23" s="101">
        <f t="shared" si="10"/>
        <v>9.0005040168762207E-2</v>
      </c>
      <c r="P23" s="102">
        <f t="shared" si="11"/>
        <v>-27499.350000000002</v>
      </c>
      <c r="Q23" s="53">
        <f t="shared" si="12"/>
        <v>-624945001.29999995</v>
      </c>
      <c r="R23" s="53">
        <f t="shared" si="13"/>
        <v>756214250.42250013</v>
      </c>
      <c r="S23" s="101">
        <f t="shared" si="18"/>
        <v>0</v>
      </c>
      <c r="T23" s="103">
        <f t="shared" si="14"/>
        <v>642.92271579769317</v>
      </c>
      <c r="U23" s="56">
        <f t="shared" si="15"/>
        <v>0</v>
      </c>
      <c r="V23" s="56">
        <f t="shared" si="2"/>
        <v>0</v>
      </c>
      <c r="W23" s="57"/>
      <c r="X23" s="84">
        <v>996</v>
      </c>
      <c r="Y23" s="104">
        <f t="shared" si="16"/>
        <v>1.5958547592163086E-5</v>
      </c>
      <c r="Z23" s="96">
        <f t="shared" si="3"/>
        <v>0.57736528655761499</v>
      </c>
      <c r="AA23" s="94">
        <f t="shared" si="4"/>
        <v>3125851.7676142217</v>
      </c>
      <c r="AB23" s="163">
        <f t="shared" si="17"/>
        <v>1.5958547592163086E-5</v>
      </c>
      <c r="AC23" s="96">
        <f t="shared" si="5"/>
        <v>0.57736528655761499</v>
      </c>
      <c r="AD23" s="94">
        <f t="shared" si="0"/>
        <v>3125851.7676142217</v>
      </c>
      <c r="AE23" s="60"/>
      <c r="AG23" s="82" t="s">
        <v>162</v>
      </c>
      <c r="AT23" s="106"/>
      <c r="AU23" s="106"/>
    </row>
    <row r="24" spans="1:47" s="105" customFormat="1" ht="12.75" customHeight="1" x14ac:dyDescent="0.25">
      <c r="A24" s="112"/>
      <c r="B24" s="113" t="s">
        <v>98</v>
      </c>
      <c r="C24" s="107">
        <f>AA16</f>
        <v>2368.8252834945174</v>
      </c>
      <c r="D24" s="73" t="s">
        <v>99</v>
      </c>
      <c r="E24" s="59"/>
      <c r="F24" s="59"/>
      <c r="G24" s="59"/>
      <c r="H24" s="59"/>
      <c r="I24" s="170">
        <v>6</v>
      </c>
      <c r="J24" s="100">
        <f t="shared" si="6"/>
        <v>43499.6</v>
      </c>
      <c r="K24" s="52">
        <f t="shared" si="7"/>
        <v>10000.400000000001</v>
      </c>
      <c r="L24" s="53">
        <f t="shared" si="1"/>
        <v>1</v>
      </c>
      <c r="M24" s="53">
        <f t="shared" si="8"/>
        <v>-625020000.79999995</v>
      </c>
      <c r="N24" s="53">
        <f t="shared" si="9"/>
        <v>100008000.16000003</v>
      </c>
      <c r="O24" s="101">
        <f t="shared" si="10"/>
        <v>0.16000765562057495</v>
      </c>
      <c r="P24" s="102">
        <f t="shared" si="11"/>
        <v>-24999.250000000004</v>
      </c>
      <c r="Q24" s="53">
        <f t="shared" si="12"/>
        <v>-624950001.5</v>
      </c>
      <c r="R24" s="53">
        <f t="shared" si="13"/>
        <v>624962500.56250024</v>
      </c>
      <c r="S24" s="101">
        <f t="shared" si="18"/>
        <v>0</v>
      </c>
      <c r="T24" s="103">
        <f t="shared" si="14"/>
        <v>1523.9558121568643</v>
      </c>
      <c r="U24" s="56">
        <f t="shared" si="15"/>
        <v>0</v>
      </c>
      <c r="V24" s="56">
        <f t="shared" si="2"/>
        <v>0</v>
      </c>
      <c r="W24" s="57"/>
      <c r="X24" s="84">
        <v>995</v>
      </c>
      <c r="Y24" s="104">
        <f t="shared" si="16"/>
        <v>1.9948184490203858E-5</v>
      </c>
      <c r="Z24" s="96">
        <f t="shared" si="3"/>
        <v>0.58073331597770228</v>
      </c>
      <c r="AA24" s="94">
        <f t="shared" si="4"/>
        <v>3076229.6657934329</v>
      </c>
      <c r="AB24" s="163">
        <f t="shared" si="17"/>
        <v>1.9948184490203858E-5</v>
      </c>
      <c r="AC24" s="96">
        <f t="shared" si="5"/>
        <v>0.58073331597770228</v>
      </c>
      <c r="AD24" s="94">
        <f t="shared" si="0"/>
        <v>3076229.6657934329</v>
      </c>
      <c r="AE24" s="60"/>
      <c r="AG24" s="110"/>
      <c r="AT24" s="106"/>
      <c r="AU24" s="106"/>
    </row>
    <row r="25" spans="1:47" s="105" customFormat="1" ht="12.75" customHeight="1" x14ac:dyDescent="0.25">
      <c r="A25" s="114"/>
      <c r="B25" s="115" t="s">
        <v>120</v>
      </c>
      <c r="C25" s="116">
        <f>L0-Ldif/2-alph*SQRT(0.5)</f>
        <v>32321.83047033631</v>
      </c>
      <c r="D25" s="115" t="s">
        <v>121</v>
      </c>
      <c r="E25" s="117"/>
      <c r="F25" s="117"/>
      <c r="G25" s="117"/>
      <c r="H25" s="117"/>
      <c r="I25" s="170">
        <v>5</v>
      </c>
      <c r="J25" s="100">
        <f t="shared" si="6"/>
        <v>40999.5</v>
      </c>
      <c r="K25" s="52">
        <f t="shared" si="7"/>
        <v>12500.5</v>
      </c>
      <c r="L25" s="53">
        <f t="shared" si="1"/>
        <v>1</v>
      </c>
      <c r="M25" s="53">
        <f t="shared" si="8"/>
        <v>-625025001</v>
      </c>
      <c r="N25" s="53">
        <f t="shared" si="9"/>
        <v>156262500.25</v>
      </c>
      <c r="O25" s="101">
        <f t="shared" si="10"/>
        <v>0.25001001358032227</v>
      </c>
      <c r="P25" s="102">
        <f t="shared" si="11"/>
        <v>-22499.150000000005</v>
      </c>
      <c r="Q25" s="53">
        <f t="shared" si="12"/>
        <v>-624955001.70000005</v>
      </c>
      <c r="R25" s="53">
        <f t="shared" si="13"/>
        <v>506211750.72250021</v>
      </c>
      <c r="S25" s="101">
        <f t="shared" si="18"/>
        <v>0</v>
      </c>
      <c r="T25" s="103">
        <f t="shared" si="14"/>
        <v>2976.458336904635</v>
      </c>
      <c r="U25" s="56">
        <f t="shared" si="15"/>
        <v>0</v>
      </c>
      <c r="V25" s="56">
        <f t="shared" si="2"/>
        <v>0</v>
      </c>
      <c r="W25" s="57"/>
      <c r="X25" s="84">
        <v>994</v>
      </c>
      <c r="Y25" s="104">
        <f t="shared" si="16"/>
        <v>2.393782138824463E-5</v>
      </c>
      <c r="Z25" s="96">
        <f t="shared" si="3"/>
        <v>0.5837782474325649</v>
      </c>
      <c r="AA25" s="94">
        <f t="shared" si="4"/>
        <v>3031709.5779303755</v>
      </c>
      <c r="AB25" s="163">
        <f t="shared" si="17"/>
        <v>2.393782138824463E-5</v>
      </c>
      <c r="AC25" s="96">
        <f t="shared" si="5"/>
        <v>0.5837782474325649</v>
      </c>
      <c r="AD25" s="94">
        <f t="shared" si="0"/>
        <v>3031709.5779303755</v>
      </c>
      <c r="AE25" s="60"/>
      <c r="AG25" s="110"/>
      <c r="AT25" s="106"/>
      <c r="AU25" s="106"/>
    </row>
    <row r="26" spans="1:47" s="105" customFormat="1" ht="12.75" customHeight="1" x14ac:dyDescent="0.25">
      <c r="A26" s="66" t="s">
        <v>180</v>
      </c>
      <c r="B26" s="91" t="s">
        <v>173</v>
      </c>
      <c r="C26" s="92">
        <f>AG96</f>
        <v>51920.908109777927</v>
      </c>
      <c r="D26" s="91" t="s">
        <v>174</v>
      </c>
      <c r="E26" s="118"/>
      <c r="F26" s="118"/>
      <c r="G26" s="118"/>
      <c r="H26" s="118"/>
      <c r="I26" s="170">
        <v>4</v>
      </c>
      <c r="J26" s="100">
        <f t="shared" si="6"/>
        <v>38499.4</v>
      </c>
      <c r="K26" s="52">
        <f t="shared" si="7"/>
        <v>15000.599999999999</v>
      </c>
      <c r="L26" s="53">
        <f t="shared" si="1"/>
        <v>1</v>
      </c>
      <c r="M26" s="53">
        <f t="shared" si="8"/>
        <v>-625030001.20000005</v>
      </c>
      <c r="N26" s="53">
        <f t="shared" si="9"/>
        <v>225018000.35999995</v>
      </c>
      <c r="O26" s="101">
        <f t="shared" si="10"/>
        <v>0.3600115180015564</v>
      </c>
      <c r="P26" s="102">
        <f t="shared" si="11"/>
        <v>-19999.050000000007</v>
      </c>
      <c r="Q26" s="53">
        <f t="shared" si="12"/>
        <v>-624960001.89999998</v>
      </c>
      <c r="R26" s="53">
        <f t="shared" si="13"/>
        <v>399962000.90250027</v>
      </c>
      <c r="S26" s="101">
        <f t="shared" si="18"/>
        <v>0</v>
      </c>
      <c r="T26" s="103">
        <f t="shared" si="14"/>
        <v>5143.2891468066864</v>
      </c>
      <c r="U26" s="56">
        <f t="shared" si="15"/>
        <v>0</v>
      </c>
      <c r="V26" s="56">
        <f t="shared" si="2"/>
        <v>0</v>
      </c>
      <c r="W26" s="57"/>
      <c r="X26" s="84">
        <v>993</v>
      </c>
      <c r="Y26" s="104">
        <f t="shared" si="16"/>
        <v>2.7927458286285401E-5</v>
      </c>
      <c r="Z26" s="96">
        <f t="shared" si="3"/>
        <v>0.5865783509806205</v>
      </c>
      <c r="AA26" s="94">
        <f t="shared" si="4"/>
        <v>2991055.5478633046</v>
      </c>
      <c r="AB26" s="163">
        <f t="shared" si="17"/>
        <v>2.7927458286285401E-5</v>
      </c>
      <c r="AC26" s="96">
        <f t="shared" si="5"/>
        <v>0.5865783509806205</v>
      </c>
      <c r="AD26" s="94">
        <f t="shared" si="0"/>
        <v>2991055.5478633046</v>
      </c>
      <c r="AE26" s="60"/>
      <c r="AG26" s="110"/>
      <c r="AT26" s="106"/>
      <c r="AU26" s="106"/>
    </row>
    <row r="27" spans="1:47" s="105" customFormat="1" ht="12.75" customHeight="1" x14ac:dyDescent="0.25">
      <c r="A27" s="71" t="s">
        <v>32</v>
      </c>
      <c r="B27" s="73" t="s">
        <v>219</v>
      </c>
      <c r="C27" s="160">
        <f>AK96</f>
        <v>3.9896368980407715E-3</v>
      </c>
      <c r="D27" s="73" t="s">
        <v>220</v>
      </c>
      <c r="E27" s="84"/>
      <c r="F27" s="84"/>
      <c r="G27" s="84"/>
      <c r="H27" s="84"/>
      <c r="I27" s="170">
        <v>3</v>
      </c>
      <c r="J27" s="100">
        <f t="shared" si="6"/>
        <v>35999.300000000003</v>
      </c>
      <c r="K27" s="52">
        <f t="shared" si="7"/>
        <v>17500.699999999997</v>
      </c>
      <c r="L27" s="53">
        <f t="shared" si="1"/>
        <v>1</v>
      </c>
      <c r="M27" s="53">
        <f t="shared" si="8"/>
        <v>-625035001.39999998</v>
      </c>
      <c r="N27" s="53">
        <f t="shared" si="9"/>
        <v>306274500.48999989</v>
      </c>
      <c r="O27" s="101">
        <f t="shared" si="10"/>
        <v>0.49001175165176392</v>
      </c>
      <c r="P27" s="102">
        <f t="shared" si="11"/>
        <v>-17498.950000000008</v>
      </c>
      <c r="Q27" s="53">
        <f t="shared" si="12"/>
        <v>-624965002.10000002</v>
      </c>
      <c r="R27" s="53">
        <f t="shared" si="13"/>
        <v>306213251.10250026</v>
      </c>
      <c r="S27" s="101">
        <f t="shared" si="18"/>
        <v>0</v>
      </c>
      <c r="T27" s="103">
        <f t="shared" si="14"/>
        <v>8167.3036701944729</v>
      </c>
      <c r="U27" s="56">
        <f t="shared" si="15"/>
        <v>0</v>
      </c>
      <c r="V27" s="56">
        <f t="shared" si="2"/>
        <v>0</v>
      </c>
      <c r="W27" s="119"/>
      <c r="X27" s="84">
        <v>992</v>
      </c>
      <c r="Y27" s="104">
        <f t="shared" si="16"/>
        <v>3.1917095184326173E-5</v>
      </c>
      <c r="Z27" s="96">
        <f t="shared" si="3"/>
        <v>0.58918462389486992</v>
      </c>
      <c r="AA27" s="94">
        <f t="shared" si="4"/>
        <v>2953462.2817769917</v>
      </c>
      <c r="AB27" s="163">
        <f t="shared" si="17"/>
        <v>3.1917095184326173E-5</v>
      </c>
      <c r="AC27" s="96">
        <f t="shared" si="5"/>
        <v>0.58918462389486992</v>
      </c>
      <c r="AD27" s="94">
        <f t="shared" si="0"/>
        <v>2953462.2817769917</v>
      </c>
      <c r="AE27" s="120"/>
      <c r="AG27" s="110">
        <f>50000+3750</f>
        <v>53750</v>
      </c>
      <c r="AT27" s="106"/>
      <c r="AU27" s="106"/>
    </row>
    <row r="28" spans="1:47" s="105" customFormat="1" ht="12.75" customHeight="1" x14ac:dyDescent="0.3">
      <c r="A28" s="71" t="s">
        <v>33</v>
      </c>
      <c r="B28" s="73" t="s">
        <v>186</v>
      </c>
      <c r="C28" s="70">
        <f>AD16</f>
        <v>2368.8252834945174</v>
      </c>
      <c r="D28" s="73" t="s">
        <v>187</v>
      </c>
      <c r="E28" s="84"/>
      <c r="F28" s="84"/>
      <c r="G28" s="84"/>
      <c r="H28" s="84"/>
      <c r="I28" s="170">
        <v>2</v>
      </c>
      <c r="J28" s="100">
        <f t="shared" si="6"/>
        <v>33499.199999999997</v>
      </c>
      <c r="K28" s="52">
        <f t="shared" si="7"/>
        <v>20000.800000000003</v>
      </c>
      <c r="L28" s="53">
        <f t="shared" si="1"/>
        <v>1</v>
      </c>
      <c r="M28" s="53">
        <f t="shared" si="8"/>
        <v>-625040001.60000002</v>
      </c>
      <c r="N28" s="53">
        <f t="shared" si="9"/>
        <v>400032000.6400001</v>
      </c>
      <c r="O28" s="101">
        <f t="shared" si="10"/>
        <v>0.64001023769378662</v>
      </c>
      <c r="P28" s="102">
        <f t="shared" si="11"/>
        <v>-14998.850000000002</v>
      </c>
      <c r="Q28" s="53">
        <f t="shared" si="12"/>
        <v>-624970002.29999995</v>
      </c>
      <c r="R28" s="53">
        <f t="shared" si="13"/>
        <v>224965501.32250008</v>
      </c>
      <c r="S28" s="101">
        <f t="shared" si="18"/>
        <v>0</v>
      </c>
      <c r="T28" s="103">
        <f t="shared" si="14"/>
        <v>12191.353907102341</v>
      </c>
      <c r="U28" s="56">
        <f t="shared" si="15"/>
        <v>0</v>
      </c>
      <c r="V28" s="56">
        <f t="shared" si="2"/>
        <v>0</v>
      </c>
      <c r="W28" s="119"/>
      <c r="X28" s="84">
        <v>991</v>
      </c>
      <c r="Y28" s="104">
        <f t="shared" si="16"/>
        <v>3.5906732082366941E-5</v>
      </c>
      <c r="Z28" s="96">
        <f t="shared" si="3"/>
        <v>0.59163248900212262</v>
      </c>
      <c r="AA28" s="94">
        <f t="shared" si="4"/>
        <v>2918370.4206755264</v>
      </c>
      <c r="AB28" s="163">
        <f t="shared" si="17"/>
        <v>3.5906732082366941E-5</v>
      </c>
      <c r="AC28" s="96">
        <f t="shared" si="5"/>
        <v>0.59163248900212262</v>
      </c>
      <c r="AD28" s="94">
        <f t="shared" si="0"/>
        <v>2918370.4206755264</v>
      </c>
      <c r="AE28" s="120"/>
      <c r="AG28" s="121">
        <v>52009.401767293421</v>
      </c>
      <c r="AH28" s="122"/>
      <c r="AI28" s="122" t="s">
        <v>133</v>
      </c>
      <c r="AJ28" s="122"/>
      <c r="AK28" s="122"/>
      <c r="AL28" s="123" t="s">
        <v>147</v>
      </c>
      <c r="AM28" s="123" t="s">
        <v>148</v>
      </c>
      <c r="AN28" s="123" t="s">
        <v>150</v>
      </c>
      <c r="AO28" s="123" t="s">
        <v>151</v>
      </c>
      <c r="AT28" s="106"/>
      <c r="AU28" s="106"/>
    </row>
    <row r="29" spans="1:47" s="105" customFormat="1" ht="12.75" customHeight="1" x14ac:dyDescent="0.25">
      <c r="B29" s="73" t="s">
        <v>188</v>
      </c>
      <c r="C29" s="70">
        <f>(Kopt-L0)*F</f>
        <v>11525.448658667563</v>
      </c>
      <c r="D29" s="73" t="s">
        <v>189</v>
      </c>
      <c r="E29" s="84"/>
      <c r="F29" s="84"/>
      <c r="G29" s="84"/>
      <c r="H29" s="84"/>
      <c r="I29" s="170">
        <v>1</v>
      </c>
      <c r="J29" s="100">
        <f t="shared" si="6"/>
        <v>30999.1</v>
      </c>
      <c r="K29" s="52">
        <f t="shared" si="7"/>
        <v>22500.9</v>
      </c>
      <c r="L29" s="53">
        <f t="shared" si="1"/>
        <v>1</v>
      </c>
      <c r="M29" s="53">
        <f t="shared" si="8"/>
        <v>-625045001.79999995</v>
      </c>
      <c r="N29" s="53">
        <f t="shared" si="9"/>
        <v>506290500.81000006</v>
      </c>
      <c r="O29" s="101">
        <f t="shared" si="10"/>
        <v>0.81000649929046631</v>
      </c>
      <c r="P29" s="102">
        <f t="shared" si="11"/>
        <v>-12498.750000000004</v>
      </c>
      <c r="Q29" s="53">
        <f t="shared" si="12"/>
        <v>-624975002.5</v>
      </c>
      <c r="R29" s="53">
        <f t="shared" si="13"/>
        <v>156218751.56250009</v>
      </c>
      <c r="S29" s="101">
        <f t="shared" si="18"/>
        <v>0</v>
      </c>
      <c r="T29" s="103">
        <f t="shared" si="14"/>
        <v>17358.2884294045</v>
      </c>
      <c r="U29" s="56">
        <f t="shared" si="15"/>
        <v>0</v>
      </c>
      <c r="V29" s="56">
        <f t="shared" si="2"/>
        <v>0</v>
      </c>
      <c r="W29" s="119"/>
      <c r="X29" s="84">
        <v>990</v>
      </c>
      <c r="Y29" s="104">
        <f t="shared" si="16"/>
        <v>3.9896368980407709E-5</v>
      </c>
      <c r="Z29" s="96">
        <f t="shared" si="3"/>
        <v>0.59394773744696117</v>
      </c>
      <c r="AA29" s="94">
        <f t="shared" si="4"/>
        <v>2885372.6986777368</v>
      </c>
      <c r="AB29" s="163">
        <f t="shared" si="17"/>
        <v>3.9896368980407709E-5</v>
      </c>
      <c r="AC29" s="96">
        <f t="shared" si="5"/>
        <v>0.59394773744696117</v>
      </c>
      <c r="AD29" s="94">
        <f t="shared" si="0"/>
        <v>2885372.6986777368</v>
      </c>
      <c r="AE29" s="120"/>
      <c r="AG29" s="121"/>
      <c r="AH29" s="122"/>
      <c r="AI29" s="125">
        <f>Ldif^2</f>
        <v>1</v>
      </c>
      <c r="AJ29" s="122"/>
      <c r="AK29" s="122"/>
      <c r="AL29" s="126">
        <f>-alph/R0</f>
        <v>-7.1428571428571423</v>
      </c>
      <c r="AM29" s="126">
        <f>-Ldif/R0</f>
        <v>-2.8571428571428568E-4</v>
      </c>
      <c r="AN29" s="126">
        <f>beta*g.3</f>
        <v>0</v>
      </c>
      <c r="AO29" s="126">
        <f>beta*h.3</f>
        <v>0</v>
      </c>
      <c r="AT29" s="106"/>
      <c r="AU29" s="106"/>
    </row>
    <row r="30" spans="1:47" s="105" customFormat="1" ht="12.75" customHeight="1" x14ac:dyDescent="0.25">
      <c r="A30" s="112"/>
      <c r="B30" s="113" t="s">
        <v>190</v>
      </c>
      <c r="C30" s="175">
        <f>C28+C29</f>
        <v>13894.273942162081</v>
      </c>
      <c r="D30" s="113" t="s">
        <v>191</v>
      </c>
      <c r="E30" s="84"/>
      <c r="F30" s="84"/>
      <c r="G30" s="84"/>
      <c r="H30" s="84"/>
      <c r="I30" s="170">
        <v>0</v>
      </c>
      <c r="J30" s="100">
        <f>L0-Ldif-alph+R0g</f>
        <v>28499</v>
      </c>
      <c r="K30" s="52">
        <f t="shared" si="7"/>
        <v>25001</v>
      </c>
      <c r="L30" s="53">
        <f t="shared" si="1"/>
        <v>1</v>
      </c>
      <c r="M30" s="53">
        <f t="shared" si="8"/>
        <v>-625050002</v>
      </c>
      <c r="N30" s="53">
        <f t="shared" si="9"/>
        <v>625050001</v>
      </c>
      <c r="O30" s="101">
        <f t="shared" si="10"/>
        <v>1</v>
      </c>
      <c r="P30" s="102">
        <f t="shared" si="11"/>
        <v>-9998.6500000000051</v>
      </c>
      <c r="Q30" s="53">
        <f t="shared" si="12"/>
        <v>-624980002.70000005</v>
      </c>
      <c r="R30" s="53">
        <f t="shared" si="13"/>
        <v>99973001.822500095</v>
      </c>
      <c r="S30" s="101">
        <f t="shared" si="18"/>
        <v>0</v>
      </c>
      <c r="T30" s="103">
        <f t="shared" si="14"/>
        <v>23810.952380952374</v>
      </c>
      <c r="U30" s="56">
        <f t="shared" si="15"/>
        <v>0</v>
      </c>
      <c r="V30" s="56"/>
      <c r="W30" s="119"/>
      <c r="X30" s="84">
        <v>989</v>
      </c>
      <c r="Y30" s="104">
        <f t="shared" si="16"/>
        <v>4.3886005878448478E-5</v>
      </c>
      <c r="Z30" s="96">
        <f t="shared" si="3"/>
        <v>0.59614983946026756</v>
      </c>
      <c r="AA30" s="94">
        <f t="shared" si="4"/>
        <v>2854161.6629394344</v>
      </c>
      <c r="AB30" s="163">
        <f t="shared" si="17"/>
        <v>4.3886005878448478E-5</v>
      </c>
      <c r="AC30" s="96">
        <f t="shared" si="5"/>
        <v>0.59614983946026756</v>
      </c>
      <c r="AD30" s="94">
        <f t="shared" si="0"/>
        <v>2854161.6629394344</v>
      </c>
      <c r="AE30" s="120"/>
      <c r="AG30" s="121" t="s">
        <v>163</v>
      </c>
      <c r="AH30" s="122" t="s">
        <v>136</v>
      </c>
      <c r="AI30" s="122" t="s">
        <v>134</v>
      </c>
      <c r="AJ30" s="127" t="s">
        <v>135</v>
      </c>
      <c r="AK30" s="122" t="s">
        <v>164</v>
      </c>
      <c r="AL30" s="122" t="s">
        <v>146</v>
      </c>
      <c r="AM30" s="122" t="s">
        <v>149</v>
      </c>
      <c r="AN30" s="122" t="s">
        <v>157</v>
      </c>
      <c r="AO30" s="122" t="s">
        <v>158</v>
      </c>
      <c r="AP30" s="122" t="s">
        <v>159</v>
      </c>
      <c r="AQ30" s="122" t="s">
        <v>160</v>
      </c>
      <c r="AR30" s="122" t="s">
        <v>161</v>
      </c>
      <c r="AT30" s="128">
        <f>MAX(AT31:AT40)</f>
        <v>53500</v>
      </c>
      <c r="AU30" s="128">
        <f>MAX(AU32:AU41)</f>
        <v>50999.9</v>
      </c>
    </row>
    <row r="31" spans="1:47" s="105" customFormat="1" ht="12.75" customHeight="1" x14ac:dyDescent="0.25">
      <c r="A31" s="117"/>
      <c r="B31" s="117"/>
      <c r="C31" s="117"/>
      <c r="D31" s="117"/>
      <c r="E31" s="117"/>
      <c r="F31" s="117"/>
      <c r="G31" s="117"/>
      <c r="H31" s="176"/>
      <c r="I31" s="171"/>
      <c r="J31" s="56"/>
      <c r="K31" s="56"/>
      <c r="L31" s="130"/>
      <c r="M31" s="130"/>
      <c r="N31" s="88"/>
      <c r="O31" s="84"/>
      <c r="P31" s="84"/>
      <c r="Q31" s="84"/>
      <c r="R31" s="84"/>
      <c r="S31" s="84"/>
      <c r="T31" s="84"/>
      <c r="U31" s="84"/>
      <c r="V31" s="84"/>
      <c r="W31" s="119"/>
      <c r="X31" s="84">
        <v>988</v>
      </c>
      <c r="Y31" s="104">
        <f t="shared" si="16"/>
        <v>4.7875642776489246E-5</v>
      </c>
      <c r="Z31" s="96">
        <f t="shared" si="3"/>
        <v>0.59825392147466472</v>
      </c>
      <c r="AA31" s="94">
        <f t="shared" si="4"/>
        <v>2824498.4531834852</v>
      </c>
      <c r="AB31" s="163">
        <f t="shared" si="17"/>
        <v>4.7875642776489246E-5</v>
      </c>
      <c r="AC31" s="96">
        <f t="shared" si="5"/>
        <v>0.59825392147466472</v>
      </c>
      <c r="AD31" s="94">
        <f t="shared" si="0"/>
        <v>2824498.4531834852</v>
      </c>
      <c r="AE31" s="120"/>
      <c r="AF31" s="124">
        <v>10</v>
      </c>
      <c r="AG31" s="121">
        <f>L0+R0</f>
        <v>53500</v>
      </c>
      <c r="AH31" s="131">
        <f>L0+R0-KK.3</f>
        <v>0</v>
      </c>
      <c r="AI31" s="125">
        <f>-(alph^2)-2*S.3*Ldif</f>
        <v>-625000000</v>
      </c>
      <c r="AJ31" s="125">
        <f>S.3^2</f>
        <v>0</v>
      </c>
      <c r="AK31" s="132">
        <f>(-b.3-SQRT(b.3^2-4*a.3*c.3))/(2*a.3)</f>
        <v>0</v>
      </c>
      <c r="AL31" s="126">
        <f>1-(KK.3-L0)/R0</f>
        <v>0</v>
      </c>
      <c r="AM31" s="126">
        <f>1-beta*(1-f.3)</f>
        <v>1</v>
      </c>
      <c r="AN31" s="133">
        <f>f.3*j.3</f>
        <v>0</v>
      </c>
      <c r="AO31" s="133">
        <f>f.3*k.3+j.3*g.3</f>
        <v>-7.1428571428571423</v>
      </c>
      <c r="AP31" s="133">
        <f>g.3*k.3+j.3*h.3+f.3*l.3</f>
        <v>-2.8571428571428568E-4</v>
      </c>
      <c r="AQ31" s="133">
        <f>g.3*l.3*h.3*k.3</f>
        <v>0</v>
      </c>
      <c r="AR31" s="133">
        <f>h.3*l.3</f>
        <v>0</v>
      </c>
      <c r="AS31" s="134">
        <f>M0*D0.3*(m.3+(n.3*D0.3^0.5)/1.5+p.3*D0.3/2+(q.3*D0.3^1.5)/2.5+(r.3*D0.3^2)/3)</f>
        <v>0</v>
      </c>
      <c r="AT31" s="135">
        <f>IF(AND(AS31&lt;F,F&lt;AS32),AG31,0)</f>
        <v>53500</v>
      </c>
      <c r="AU31" s="135"/>
    </row>
    <row r="32" spans="1:47" s="105" customFormat="1" ht="12.75" customHeight="1" x14ac:dyDescent="0.25">
      <c r="I32" s="171"/>
      <c r="J32" s="56"/>
      <c r="K32" s="56"/>
      <c r="L32" s="130"/>
      <c r="M32" s="130"/>
      <c r="N32" s="88"/>
      <c r="O32" s="84"/>
      <c r="P32" s="84"/>
      <c r="Q32" s="84"/>
      <c r="R32" s="84"/>
      <c r="S32" s="84"/>
      <c r="T32" s="84"/>
      <c r="U32" s="94">
        <f>MAX(U34:U43)</f>
        <v>51749.93</v>
      </c>
      <c r="V32" s="94">
        <f>MAX(V33:V42)</f>
        <v>51999.94</v>
      </c>
      <c r="W32" s="119"/>
      <c r="X32" s="84">
        <v>987</v>
      </c>
      <c r="Y32" s="104">
        <f t="shared" ref="Y32:Y95" si="19">Y31+Y$16</f>
        <v>5.1865279674530014E-5</v>
      </c>
      <c r="Z32" s="96">
        <f t="shared" si="3"/>
        <v>0.60027201274795305</v>
      </c>
      <c r="AA32" s="94">
        <f t="shared" si="4"/>
        <v>2796193.1163700223</v>
      </c>
      <c r="AB32" s="163">
        <f t="shared" si="17"/>
        <v>5.1865279674530014E-5</v>
      </c>
      <c r="AC32" s="96">
        <f t="shared" si="5"/>
        <v>0.60027201274795305</v>
      </c>
      <c r="AD32" s="94">
        <f t="shared" si="0"/>
        <v>2796193.1163700223</v>
      </c>
      <c r="AE32" s="120"/>
      <c r="AF32" s="124">
        <v>9</v>
      </c>
      <c r="AG32" s="100">
        <f t="shared" ref="AG32:AG39" si="20">AG$41+(AF32/10)*(AG$31-AG$41)</f>
        <v>50999.9</v>
      </c>
      <c r="AH32" s="131">
        <f t="shared" ref="AH32:AH41" si="21">L0+R0-KK.3</f>
        <v>2500.0999999999985</v>
      </c>
      <c r="AI32" s="125">
        <f t="shared" ref="AI32:AI41" si="22">-(alph^2)-2*S.3*Ldif</f>
        <v>-625005000.20000005</v>
      </c>
      <c r="AJ32" s="125">
        <f t="shared" ref="AJ32:AJ41" si="23">S.3^2</f>
        <v>6250500.0099999923</v>
      </c>
      <c r="AK32" s="132">
        <f t="shared" ref="AK32:AK41" si="24">(-b.3-SQRT(b.3^2-4*a.3*c.3))/(2*a.3)</f>
        <v>1.0000705718994141E-2</v>
      </c>
      <c r="AL32" s="126">
        <f t="shared" ref="AL32:AL41" si="25">1-(KK.3-L0)/R0</f>
        <v>0.71431428571428535</v>
      </c>
      <c r="AM32" s="126">
        <f t="shared" ref="AM32:AM41" si="26">1-beta*(1-f.3)</f>
        <v>1</v>
      </c>
      <c r="AN32" s="133">
        <f t="shared" ref="AN32:AN41" si="27">f.3*j.3</f>
        <v>0.71431428571428535</v>
      </c>
      <c r="AO32" s="133">
        <f t="shared" ref="AO32:AO41" si="28">f.3*k.3+j.3*g.3</f>
        <v>-7.1428571428571423</v>
      </c>
      <c r="AP32" s="133">
        <f t="shared" ref="AP32:AP41" si="29">g.3*k.3+j.3*h.3+f.3*l.3</f>
        <v>-2.8571428571428568E-4</v>
      </c>
      <c r="AQ32" s="133">
        <f t="shared" ref="AQ32:AQ41" si="30">g.3*l.3*h.3*k.3</f>
        <v>0</v>
      </c>
      <c r="AR32" s="133">
        <f t="shared" ref="AR32:AR41" si="31">h.3*l.3</f>
        <v>0</v>
      </c>
      <c r="AS32" s="134">
        <f t="shared" ref="AS32:AS41" si="32">M0*D0.3*(m.3+(n.3*D0.3^0.5)/1.5+p.3*D0.3/2+(q.3*D0.3^1.5)/2.5+(r.3*D0.3^2)/3)</f>
        <v>23.81223818777341</v>
      </c>
      <c r="AT32" s="135">
        <f>IF(AND(AS32&lt;F,F&lt;AS33),AG32,0)</f>
        <v>0</v>
      </c>
      <c r="AU32" s="135">
        <f>IF(AND(AS31&lt;F,F&lt;AS32),AG32,0)</f>
        <v>50999.9</v>
      </c>
    </row>
    <row r="33" spans="1:47" x14ac:dyDescent="0.25">
      <c r="A33" s="105"/>
      <c r="B33" s="129" t="s">
        <v>74</v>
      </c>
      <c r="C33" s="105"/>
      <c r="D33" s="105"/>
      <c r="E33" s="105"/>
      <c r="F33" s="105"/>
      <c r="G33" s="105"/>
      <c r="H33" s="105"/>
      <c r="I33" s="170">
        <v>10</v>
      </c>
      <c r="J33" s="56">
        <f>V19</f>
        <v>53500</v>
      </c>
      <c r="K33" s="52">
        <f t="shared" ref="K33:K43" si="33">L0+R0g-KK</f>
        <v>0</v>
      </c>
      <c r="L33" s="53">
        <f t="shared" ref="L33:L43" si="34">Ldif^2</f>
        <v>1</v>
      </c>
      <c r="M33" s="53">
        <f t="shared" ref="M33:M43" si="35">-(alph^2)-2*S.1*Ldif</f>
        <v>-625000000</v>
      </c>
      <c r="N33" s="53">
        <f t="shared" ref="N33:N43" si="36">S.1^2</f>
        <v>0</v>
      </c>
      <c r="O33" s="101">
        <f t="shared" ref="O33:O43" si="37">(-b.1-SQRT(b.1^2-4*a.1*c.1))/(2*a.1)</f>
        <v>0</v>
      </c>
      <c r="P33" s="102">
        <f t="shared" ref="P33:P43" si="38">L0-KK+(P0-Pcap)/g</f>
        <v>-34999.650000000009</v>
      </c>
      <c r="Q33" s="53">
        <f t="shared" ref="Q33:Q43" si="39">-(alph^2)-2*S.2*Ldif</f>
        <v>-624930000.70000005</v>
      </c>
      <c r="R33" s="53">
        <f t="shared" ref="R33:R43" si="40">S.2^2</f>
        <v>1224975500.1225007</v>
      </c>
      <c r="S33" s="101">
        <f t="shared" ref="S33:S43" si="41">IF(S.2&lt;0,0,(-b.2-SQRT(b.2^2-4*a.1*c.2))/(2*a.1))</f>
        <v>0</v>
      </c>
      <c r="T33" s="103">
        <f t="shared" ref="T33:T43" si="42">Pcap*DDc+(P0+g*(L0-KK))*(DDg-DDc)-g*((DDg^2-DDc^2)*Ldif/2+alph*(DDg^1.5-DDc^1.5)/1.5)</f>
        <v>0</v>
      </c>
      <c r="V33" s="56">
        <f t="shared" ref="V33:V42" si="43">IF(AND(T33&lt;F,T34&gt;F),J33,0)</f>
        <v>0</v>
      </c>
      <c r="W33" s="119"/>
      <c r="X33" s="84">
        <v>986</v>
      </c>
      <c r="Y33" s="104">
        <f t="shared" si="19"/>
        <v>5.5854916572570782E-5</v>
      </c>
      <c r="Z33" s="96">
        <f t="shared" si="3"/>
        <v>0.60221386655610687</v>
      </c>
      <c r="AA33" s="94">
        <f t="shared" si="4"/>
        <v>2769091.6393042491</v>
      </c>
      <c r="AB33" s="163">
        <f t="shared" si="17"/>
        <v>5.5854916572570782E-5</v>
      </c>
      <c r="AC33" s="96">
        <f t="shared" si="5"/>
        <v>0.60221386655610687</v>
      </c>
      <c r="AD33" s="94">
        <f t="shared" si="0"/>
        <v>2769091.6393042491</v>
      </c>
      <c r="AE33" s="120"/>
      <c r="AF33" s="124">
        <v>8</v>
      </c>
      <c r="AG33" s="100">
        <f t="shared" si="20"/>
        <v>48499.8</v>
      </c>
      <c r="AH33" s="131">
        <f t="shared" si="21"/>
        <v>5000.1999999999971</v>
      </c>
      <c r="AI33" s="125">
        <f t="shared" si="22"/>
        <v>-625010000.39999998</v>
      </c>
      <c r="AJ33" s="125">
        <f t="shared" si="23"/>
        <v>25002000.039999969</v>
      </c>
      <c r="AK33" s="132">
        <f t="shared" si="24"/>
        <v>4.0002524852752686E-2</v>
      </c>
      <c r="AL33" s="126">
        <f t="shared" si="25"/>
        <v>1.4286285714285705</v>
      </c>
      <c r="AM33" s="126">
        <f t="shared" si="26"/>
        <v>1</v>
      </c>
      <c r="AN33" s="133">
        <f t="shared" si="27"/>
        <v>1.4286285714285705</v>
      </c>
      <c r="AO33" s="133">
        <f t="shared" si="28"/>
        <v>-7.1428571428571423</v>
      </c>
      <c r="AP33" s="133">
        <f t="shared" si="29"/>
        <v>-2.8571428571428568E-4</v>
      </c>
      <c r="AQ33" s="133">
        <f t="shared" si="30"/>
        <v>0</v>
      </c>
      <c r="AR33" s="133">
        <f t="shared" si="31"/>
        <v>0</v>
      </c>
      <c r="AS33" s="134">
        <f t="shared" si="32"/>
        <v>190.496762489791</v>
      </c>
      <c r="AT33" s="135">
        <f t="shared" ref="AT33:AT40" si="44">IF(AND(AS33&lt;F,F&lt;AS34),AG33,0)</f>
        <v>0</v>
      </c>
      <c r="AU33" s="135">
        <f t="shared" ref="AU33:AU41" si="45">IF(AND(AS32&lt;F,F&lt;AS33),AG33,0)</f>
        <v>0</v>
      </c>
    </row>
    <row r="34" spans="1:47" x14ac:dyDescent="0.25">
      <c r="A34" s="105"/>
      <c r="B34" s="105" t="s">
        <v>75</v>
      </c>
      <c r="C34" s="105"/>
      <c r="D34" s="105"/>
      <c r="E34" s="105"/>
      <c r="F34" s="105"/>
      <c r="G34" s="105"/>
      <c r="H34" s="105"/>
      <c r="I34" s="170">
        <v>9</v>
      </c>
      <c r="J34" s="100">
        <f t="shared" ref="J34:J42" si="46">J$43+(I34/10)*(J$33-J$43)</f>
        <v>53249.99</v>
      </c>
      <c r="K34" s="52">
        <f t="shared" si="33"/>
        <v>250.01000000000204</v>
      </c>
      <c r="L34" s="53">
        <f t="shared" si="34"/>
        <v>1</v>
      </c>
      <c r="M34" s="53">
        <f t="shared" si="35"/>
        <v>-625000500.01999998</v>
      </c>
      <c r="N34" s="53">
        <f t="shared" si="36"/>
        <v>62505.000100001016</v>
      </c>
      <c r="O34" s="101">
        <f t="shared" si="37"/>
        <v>1.0001659393310547E-4</v>
      </c>
      <c r="P34" s="102">
        <f t="shared" si="38"/>
        <v>-34749.64</v>
      </c>
      <c r="Q34" s="53">
        <f t="shared" si="39"/>
        <v>-624930500.72000003</v>
      </c>
      <c r="R34" s="53">
        <f t="shared" si="40"/>
        <v>1207537480.1296</v>
      </c>
      <c r="S34" s="101">
        <f t="shared" si="41"/>
        <v>0</v>
      </c>
      <c r="T34" s="103">
        <f t="shared" si="42"/>
        <v>2.3812366644339923E-2</v>
      </c>
      <c r="U34" s="56">
        <f t="shared" ref="U34:U43" si="47">IF(AND(T34&gt;F,T33&lt;F),J34,0)</f>
        <v>0</v>
      </c>
      <c r="V34" s="56">
        <f t="shared" si="43"/>
        <v>0</v>
      </c>
      <c r="W34" s="119"/>
      <c r="X34" s="84">
        <v>985</v>
      </c>
      <c r="Y34" s="104">
        <f t="shared" si="19"/>
        <v>5.9844553470611551E-5</v>
      </c>
      <c r="Z34" s="96">
        <f t="shared" si="3"/>
        <v>0.60408752099697127</v>
      </c>
      <c r="AA34" s="94">
        <f t="shared" si="4"/>
        <v>2743067.0930306651</v>
      </c>
      <c r="AB34" s="163">
        <f t="shared" si="17"/>
        <v>5.9844553470611551E-5</v>
      </c>
      <c r="AC34" s="96">
        <f t="shared" si="5"/>
        <v>0.60408752099697127</v>
      </c>
      <c r="AD34" s="94">
        <f t="shared" si="0"/>
        <v>2743067.0930306651</v>
      </c>
      <c r="AE34" s="120"/>
      <c r="AF34" s="124">
        <v>7</v>
      </c>
      <c r="AG34" s="100">
        <f t="shared" si="20"/>
        <v>45999.7</v>
      </c>
      <c r="AH34" s="131">
        <f t="shared" si="21"/>
        <v>7500.3000000000029</v>
      </c>
      <c r="AI34" s="125">
        <f t="shared" si="22"/>
        <v>-625015000.60000002</v>
      </c>
      <c r="AJ34" s="125">
        <f t="shared" si="23"/>
        <v>56254500.090000041</v>
      </c>
      <c r="AK34" s="132">
        <f t="shared" si="24"/>
        <v>9.0005040168762207E-2</v>
      </c>
      <c r="AL34" s="126">
        <f t="shared" si="25"/>
        <v>2.1429428571428577</v>
      </c>
      <c r="AM34" s="126">
        <f t="shared" si="26"/>
        <v>1</v>
      </c>
      <c r="AN34" s="133">
        <f t="shared" si="27"/>
        <v>2.1429428571428577</v>
      </c>
      <c r="AO34" s="133">
        <f t="shared" si="28"/>
        <v>-7.1428571428571423</v>
      </c>
      <c r="AP34" s="133">
        <f t="shared" si="29"/>
        <v>-2.8571428571428568E-4</v>
      </c>
      <c r="AQ34" s="133">
        <f t="shared" si="30"/>
        <v>0</v>
      </c>
      <c r="AR34" s="133">
        <f t="shared" si="31"/>
        <v>0</v>
      </c>
      <c r="AS34" s="134">
        <f t="shared" si="32"/>
        <v>642.92271579769283</v>
      </c>
      <c r="AT34" s="135">
        <f t="shared" si="44"/>
        <v>0</v>
      </c>
      <c r="AU34" s="135">
        <f t="shared" si="45"/>
        <v>0</v>
      </c>
    </row>
    <row r="35" spans="1:47" x14ac:dyDescent="0.25">
      <c r="A35" s="105"/>
      <c r="B35" s="105" t="s">
        <v>76</v>
      </c>
      <c r="C35" s="105"/>
      <c r="D35" s="105"/>
      <c r="E35" s="105"/>
      <c r="F35" s="105"/>
      <c r="G35" s="105"/>
      <c r="H35" s="105"/>
      <c r="I35" s="170">
        <v>8</v>
      </c>
      <c r="J35" s="100">
        <f t="shared" si="46"/>
        <v>52999.98</v>
      </c>
      <c r="K35" s="52">
        <f t="shared" si="33"/>
        <v>500.0199999999968</v>
      </c>
      <c r="L35" s="53">
        <f t="shared" si="34"/>
        <v>1</v>
      </c>
      <c r="M35" s="53">
        <f t="shared" si="35"/>
        <v>-625001000.03999996</v>
      </c>
      <c r="N35" s="53">
        <f t="shared" si="36"/>
        <v>250020.00039999679</v>
      </c>
      <c r="O35" s="101">
        <f t="shared" si="37"/>
        <v>4.0000677108764648E-4</v>
      </c>
      <c r="P35" s="102">
        <f t="shared" si="38"/>
        <v>-34499.630000000005</v>
      </c>
      <c r="Q35" s="53">
        <f t="shared" si="39"/>
        <v>-624931000.74000001</v>
      </c>
      <c r="R35" s="53">
        <f t="shared" si="40"/>
        <v>1190224470.1369004</v>
      </c>
      <c r="S35" s="101">
        <f t="shared" si="41"/>
        <v>0</v>
      </c>
      <c r="T35" s="103">
        <f t="shared" si="42"/>
        <v>0.19049881938586172</v>
      </c>
      <c r="U35" s="56">
        <f t="shared" si="47"/>
        <v>0</v>
      </c>
      <c r="V35" s="56">
        <f t="shared" si="43"/>
        <v>0</v>
      </c>
      <c r="W35" s="119"/>
      <c r="X35" s="84">
        <v>984</v>
      </c>
      <c r="Y35" s="104">
        <f t="shared" si="19"/>
        <v>6.3834190368652319E-5</v>
      </c>
      <c r="Z35" s="96">
        <f t="shared" si="3"/>
        <v>0.6058996937264205</v>
      </c>
      <c r="AA35" s="94">
        <f t="shared" si="4"/>
        <v>2718013.3995862613</v>
      </c>
      <c r="AB35" s="163">
        <f t="shared" si="17"/>
        <v>6.3834190368652319E-5</v>
      </c>
      <c r="AC35" s="96">
        <f t="shared" si="5"/>
        <v>0.6058996937264205</v>
      </c>
      <c r="AD35" s="94">
        <f t="shared" si="0"/>
        <v>2718013.3995862613</v>
      </c>
      <c r="AE35" s="120"/>
      <c r="AF35" s="124">
        <v>6</v>
      </c>
      <c r="AG35" s="100">
        <f t="shared" si="20"/>
        <v>43499.6</v>
      </c>
      <c r="AH35" s="131">
        <f t="shared" si="21"/>
        <v>10000.400000000001</v>
      </c>
      <c r="AI35" s="125">
        <f t="shared" si="22"/>
        <v>-625020000.79999995</v>
      </c>
      <c r="AJ35" s="125">
        <f t="shared" si="23"/>
        <v>100008000.16000003</v>
      </c>
      <c r="AK35" s="132">
        <f t="shared" si="24"/>
        <v>0.16000765562057495</v>
      </c>
      <c r="AL35" s="126">
        <f t="shared" si="25"/>
        <v>2.8572571428571427</v>
      </c>
      <c r="AM35" s="126">
        <f t="shared" si="26"/>
        <v>1</v>
      </c>
      <c r="AN35" s="133">
        <f t="shared" si="27"/>
        <v>2.8572571428571427</v>
      </c>
      <c r="AO35" s="133">
        <f t="shared" si="28"/>
        <v>-7.1428571428571423</v>
      </c>
      <c r="AP35" s="133">
        <f t="shared" si="29"/>
        <v>-2.8571428571428568E-4</v>
      </c>
      <c r="AQ35" s="133">
        <f t="shared" si="30"/>
        <v>0</v>
      </c>
      <c r="AR35" s="133">
        <f t="shared" si="31"/>
        <v>0</v>
      </c>
      <c r="AS35" s="134">
        <f t="shared" si="32"/>
        <v>1523.955812156863</v>
      </c>
      <c r="AT35" s="135">
        <f t="shared" si="44"/>
        <v>0</v>
      </c>
      <c r="AU35" s="135">
        <f t="shared" si="45"/>
        <v>0</v>
      </c>
    </row>
    <row r="36" spans="1:47" x14ac:dyDescent="0.25">
      <c r="A36" s="105"/>
      <c r="B36" s="105" t="s">
        <v>77</v>
      </c>
      <c r="C36" s="105"/>
      <c r="D36" s="105"/>
      <c r="E36" s="105"/>
      <c r="F36" s="105"/>
      <c r="G36" s="105"/>
      <c r="H36" s="105"/>
      <c r="I36" s="170">
        <v>7</v>
      </c>
      <c r="J36" s="100">
        <f t="shared" si="46"/>
        <v>52749.97</v>
      </c>
      <c r="K36" s="52">
        <f t="shared" si="33"/>
        <v>750.02999999999884</v>
      </c>
      <c r="L36" s="53">
        <f t="shared" si="34"/>
        <v>1</v>
      </c>
      <c r="M36" s="53">
        <f t="shared" si="35"/>
        <v>-625001500.05999994</v>
      </c>
      <c r="N36" s="53">
        <f t="shared" si="36"/>
        <v>562545.00089999824</v>
      </c>
      <c r="O36" s="101">
        <f t="shared" si="37"/>
        <v>9.0008974075317383E-4</v>
      </c>
      <c r="P36" s="102">
        <f t="shared" si="38"/>
        <v>-34249.62000000001</v>
      </c>
      <c r="Q36" s="53">
        <f t="shared" si="39"/>
        <v>-624931500.75999999</v>
      </c>
      <c r="R36" s="53">
        <f t="shared" si="40"/>
        <v>1173036470.1444006</v>
      </c>
      <c r="S36" s="101">
        <f t="shared" si="41"/>
        <v>0</v>
      </c>
      <c r="T36" s="103">
        <f t="shared" si="42"/>
        <v>0.64293313123910711</v>
      </c>
      <c r="U36" s="56">
        <f t="shared" si="47"/>
        <v>0</v>
      </c>
      <c r="V36" s="56">
        <f t="shared" si="43"/>
        <v>0</v>
      </c>
      <c r="W36" s="119"/>
      <c r="X36" s="84">
        <v>983</v>
      </c>
      <c r="Y36" s="104">
        <f t="shared" si="19"/>
        <v>6.7823827266693087E-5</v>
      </c>
      <c r="Z36" s="96">
        <f t="shared" si="3"/>
        <v>0.60765606704742403</v>
      </c>
      <c r="AA36" s="94">
        <f t="shared" si="4"/>
        <v>2693840.8301821705</v>
      </c>
      <c r="AB36" s="163">
        <f t="shared" si="17"/>
        <v>6.7823827266693087E-5</v>
      </c>
      <c r="AC36" s="96">
        <f t="shared" si="5"/>
        <v>0.60765606704742403</v>
      </c>
      <c r="AD36" s="94">
        <f t="shared" si="0"/>
        <v>2693840.8301821705</v>
      </c>
      <c r="AE36" s="120"/>
      <c r="AF36" s="124">
        <v>5</v>
      </c>
      <c r="AG36" s="100">
        <f t="shared" si="20"/>
        <v>40999.5</v>
      </c>
      <c r="AH36" s="131">
        <f t="shared" si="21"/>
        <v>12500.5</v>
      </c>
      <c r="AI36" s="125">
        <f t="shared" si="22"/>
        <v>-625025001</v>
      </c>
      <c r="AJ36" s="125">
        <f t="shared" si="23"/>
        <v>156262500.25</v>
      </c>
      <c r="AK36" s="132">
        <f t="shared" si="24"/>
        <v>0.25001001358032227</v>
      </c>
      <c r="AL36" s="126">
        <f t="shared" si="25"/>
        <v>3.5715714285714282</v>
      </c>
      <c r="AM36" s="126">
        <f t="shared" si="26"/>
        <v>1</v>
      </c>
      <c r="AN36" s="133">
        <f t="shared" si="27"/>
        <v>3.5715714285714282</v>
      </c>
      <c r="AO36" s="133">
        <f t="shared" si="28"/>
        <v>-7.1428571428571423</v>
      </c>
      <c r="AP36" s="133">
        <f t="shared" si="29"/>
        <v>-2.8571428571428568E-4</v>
      </c>
      <c r="AQ36" s="133">
        <f t="shared" si="30"/>
        <v>0</v>
      </c>
      <c r="AR36" s="133">
        <f t="shared" si="31"/>
        <v>0</v>
      </c>
      <c r="AS36" s="134">
        <f t="shared" si="32"/>
        <v>2976.4583369046354</v>
      </c>
      <c r="AT36" s="135">
        <f t="shared" si="44"/>
        <v>0</v>
      </c>
      <c r="AU36" s="135">
        <f t="shared" si="45"/>
        <v>0</v>
      </c>
    </row>
    <row r="37" spans="1:47" x14ac:dyDescent="0.25">
      <c r="A37" s="105"/>
      <c r="B37" s="105" t="s">
        <v>79</v>
      </c>
      <c r="C37" s="105"/>
      <c r="D37" s="105"/>
      <c r="E37" s="105"/>
      <c r="F37" s="105"/>
      <c r="G37" s="105"/>
      <c r="H37" s="105"/>
      <c r="I37" s="170">
        <v>6</v>
      </c>
      <c r="J37" s="100">
        <f t="shared" si="46"/>
        <v>52499.96</v>
      </c>
      <c r="K37" s="52">
        <f t="shared" si="33"/>
        <v>1000.0400000000009</v>
      </c>
      <c r="L37" s="53">
        <f t="shared" si="34"/>
        <v>1</v>
      </c>
      <c r="M37" s="53">
        <f t="shared" si="35"/>
        <v>-625002000.08000004</v>
      </c>
      <c r="N37" s="53">
        <f t="shared" si="36"/>
        <v>1000080.0016000017</v>
      </c>
      <c r="O37" s="101">
        <f t="shared" si="37"/>
        <v>1.6001462936401367E-3</v>
      </c>
      <c r="P37" s="102">
        <f t="shared" si="38"/>
        <v>-33999.61</v>
      </c>
      <c r="Q37" s="53">
        <f t="shared" si="39"/>
        <v>-624932000.77999997</v>
      </c>
      <c r="R37" s="53">
        <f t="shared" si="40"/>
        <v>1155973480.1521001</v>
      </c>
      <c r="S37" s="101">
        <f t="shared" si="41"/>
        <v>0</v>
      </c>
      <c r="T37" s="103">
        <f t="shared" si="42"/>
        <v>1.5239887303057622</v>
      </c>
      <c r="U37" s="56">
        <f t="shared" si="47"/>
        <v>0</v>
      </c>
      <c r="V37" s="56">
        <f t="shared" si="43"/>
        <v>0</v>
      </c>
      <c r="W37" s="119"/>
      <c r="X37" s="84">
        <v>982</v>
      </c>
      <c r="Y37" s="104">
        <f t="shared" si="19"/>
        <v>7.1813464164733855E-5</v>
      </c>
      <c r="Z37" s="96">
        <f t="shared" si="3"/>
        <v>0.60936149842769161</v>
      </c>
      <c r="AA37" s="94">
        <f t="shared" si="4"/>
        <v>2670472.6809365223</v>
      </c>
      <c r="AB37" s="163">
        <f t="shared" si="17"/>
        <v>7.1813464164733855E-5</v>
      </c>
      <c r="AC37" s="96">
        <f t="shared" si="5"/>
        <v>0.60936149842769161</v>
      </c>
      <c r="AD37" s="94">
        <f t="shared" si="0"/>
        <v>2670472.6809365223</v>
      </c>
      <c r="AE37" s="120"/>
      <c r="AF37" s="124">
        <v>4</v>
      </c>
      <c r="AG37" s="100">
        <f t="shared" si="20"/>
        <v>38499.4</v>
      </c>
      <c r="AH37" s="131">
        <f t="shared" si="21"/>
        <v>15000.599999999999</v>
      </c>
      <c r="AI37" s="125">
        <f t="shared" si="22"/>
        <v>-625030001.20000005</v>
      </c>
      <c r="AJ37" s="125">
        <f t="shared" si="23"/>
        <v>225018000.35999995</v>
      </c>
      <c r="AK37" s="132">
        <f t="shared" si="24"/>
        <v>0.3600115180015564</v>
      </c>
      <c r="AL37" s="126">
        <f t="shared" si="25"/>
        <v>4.2858857142857136</v>
      </c>
      <c r="AM37" s="126">
        <f t="shared" si="26"/>
        <v>1</v>
      </c>
      <c r="AN37" s="133">
        <f t="shared" si="27"/>
        <v>4.2858857142857136</v>
      </c>
      <c r="AO37" s="133">
        <f t="shared" si="28"/>
        <v>-7.1428571428571423</v>
      </c>
      <c r="AP37" s="133">
        <f t="shared" si="29"/>
        <v>-2.8571428571428568E-4</v>
      </c>
      <c r="AQ37" s="133">
        <f t="shared" si="30"/>
        <v>0</v>
      </c>
      <c r="AR37" s="133">
        <f t="shared" si="31"/>
        <v>0</v>
      </c>
      <c r="AS37" s="134">
        <f t="shared" si="32"/>
        <v>5143.2891468066882</v>
      </c>
      <c r="AT37" s="135">
        <f t="shared" si="44"/>
        <v>0</v>
      </c>
      <c r="AU37" s="135">
        <f t="shared" si="45"/>
        <v>0</v>
      </c>
    </row>
    <row r="38" spans="1:47" x14ac:dyDescent="0.25">
      <c r="A38" s="105"/>
      <c r="B38" s="105" t="s">
        <v>80</v>
      </c>
      <c r="C38" s="105"/>
      <c r="D38" s="105"/>
      <c r="E38" s="105"/>
      <c r="F38" s="105"/>
      <c r="G38" s="105"/>
      <c r="H38" s="105"/>
      <c r="I38" s="170">
        <v>5</v>
      </c>
      <c r="J38" s="100">
        <f t="shared" si="46"/>
        <v>52249.95</v>
      </c>
      <c r="K38" s="52">
        <f t="shared" si="33"/>
        <v>1250.0500000000029</v>
      </c>
      <c r="L38" s="53">
        <f t="shared" si="34"/>
        <v>1</v>
      </c>
      <c r="M38" s="53">
        <f t="shared" si="35"/>
        <v>-625002500.10000002</v>
      </c>
      <c r="N38" s="53">
        <f t="shared" si="36"/>
        <v>1562625.0025000072</v>
      </c>
      <c r="O38" s="101">
        <f t="shared" si="37"/>
        <v>2.5001764297485352E-3</v>
      </c>
      <c r="P38" s="102">
        <f t="shared" si="38"/>
        <v>-33749.600000000006</v>
      </c>
      <c r="Q38" s="53">
        <f t="shared" si="39"/>
        <v>-624932500.79999995</v>
      </c>
      <c r="R38" s="53">
        <f t="shared" si="40"/>
        <v>1139035500.1600003</v>
      </c>
      <c r="S38" s="101">
        <f t="shared" si="41"/>
        <v>0</v>
      </c>
      <c r="T38" s="103">
        <f t="shared" si="42"/>
        <v>2.9765387033033885</v>
      </c>
      <c r="U38" s="56">
        <f t="shared" si="47"/>
        <v>0</v>
      </c>
      <c r="V38" s="56">
        <f t="shared" si="43"/>
        <v>0</v>
      </c>
      <c r="W38" s="119"/>
      <c r="X38" s="84">
        <v>981</v>
      </c>
      <c r="Y38" s="104">
        <f t="shared" si="19"/>
        <v>7.5803101062774624E-5</v>
      </c>
      <c r="Z38" s="96">
        <f t="shared" si="3"/>
        <v>0.61102017898518735</v>
      </c>
      <c r="AA38" s="94">
        <f t="shared" si="4"/>
        <v>2647842.7702425253</v>
      </c>
      <c r="AB38" s="163">
        <f t="shared" si="17"/>
        <v>7.5803101062774624E-5</v>
      </c>
      <c r="AC38" s="96">
        <f t="shared" si="5"/>
        <v>0.61102017898518735</v>
      </c>
      <c r="AD38" s="94">
        <f t="shared" si="0"/>
        <v>2647842.7702425253</v>
      </c>
      <c r="AE38" s="120"/>
      <c r="AF38" s="124">
        <v>3</v>
      </c>
      <c r="AG38" s="100">
        <f t="shared" si="20"/>
        <v>35999.300000000003</v>
      </c>
      <c r="AH38" s="131">
        <f t="shared" si="21"/>
        <v>17500.699999999997</v>
      </c>
      <c r="AI38" s="125">
        <f t="shared" si="22"/>
        <v>-625035001.39999998</v>
      </c>
      <c r="AJ38" s="125">
        <f t="shared" si="23"/>
        <v>306274500.48999989</v>
      </c>
      <c r="AK38" s="132">
        <f t="shared" si="24"/>
        <v>0.49001175165176392</v>
      </c>
      <c r="AL38" s="126">
        <f t="shared" si="25"/>
        <v>5.0001999999999986</v>
      </c>
      <c r="AM38" s="126">
        <f t="shared" si="26"/>
        <v>1</v>
      </c>
      <c r="AN38" s="133">
        <f t="shared" si="27"/>
        <v>5.0001999999999986</v>
      </c>
      <c r="AO38" s="133">
        <f t="shared" si="28"/>
        <v>-7.1428571428571423</v>
      </c>
      <c r="AP38" s="133">
        <f t="shared" si="29"/>
        <v>-2.8571428571428568E-4</v>
      </c>
      <c r="AQ38" s="133">
        <f t="shared" si="30"/>
        <v>0</v>
      </c>
      <c r="AR38" s="133">
        <f t="shared" si="31"/>
        <v>0</v>
      </c>
      <c r="AS38" s="134">
        <f t="shared" si="32"/>
        <v>8167.3036701944766</v>
      </c>
      <c r="AT38" s="135">
        <f t="shared" si="44"/>
        <v>0</v>
      </c>
      <c r="AU38" s="135">
        <f t="shared" si="45"/>
        <v>0</v>
      </c>
    </row>
    <row r="39" spans="1:47" x14ac:dyDescent="0.25">
      <c r="A39" s="105"/>
      <c r="B39" s="105" t="s">
        <v>81</v>
      </c>
      <c r="C39" s="105"/>
      <c r="D39" s="105"/>
      <c r="E39" s="105"/>
      <c r="F39" s="105"/>
      <c r="G39" s="105"/>
      <c r="H39" s="105"/>
      <c r="I39" s="170">
        <v>4</v>
      </c>
      <c r="J39" s="100">
        <f t="shared" si="46"/>
        <v>51999.94</v>
      </c>
      <c r="K39" s="52">
        <f t="shared" si="33"/>
        <v>1500.0599999999977</v>
      </c>
      <c r="L39" s="53">
        <f t="shared" si="34"/>
        <v>1</v>
      </c>
      <c r="M39" s="53">
        <f t="shared" si="35"/>
        <v>-625003000.12</v>
      </c>
      <c r="N39" s="53">
        <f t="shared" si="36"/>
        <v>2250180.003599993</v>
      </c>
      <c r="O39" s="101">
        <f t="shared" si="37"/>
        <v>3.6002993583679199E-3</v>
      </c>
      <c r="P39" s="102">
        <f t="shared" si="38"/>
        <v>-33499.590000000011</v>
      </c>
      <c r="Q39" s="53">
        <f t="shared" si="39"/>
        <v>-624933000.82000005</v>
      </c>
      <c r="R39" s="53">
        <f t="shared" si="40"/>
        <v>1122222530.1681008</v>
      </c>
      <c r="S39" s="101">
        <f t="shared" si="41"/>
        <v>0</v>
      </c>
      <c r="T39" s="103">
        <f t="shared" si="42"/>
        <v>5.1434557929970008</v>
      </c>
      <c r="U39" s="56">
        <f t="shared" si="47"/>
        <v>0</v>
      </c>
      <c r="V39" s="56">
        <f t="shared" si="43"/>
        <v>51999.94</v>
      </c>
      <c r="W39" s="119"/>
      <c r="X39" s="84">
        <v>980</v>
      </c>
      <c r="Y39" s="104">
        <f t="shared" si="19"/>
        <v>7.9792737960815392E-5</v>
      </c>
      <c r="Z39" s="96">
        <f t="shared" si="3"/>
        <v>0.61263575484638355</v>
      </c>
      <c r="AA39" s="94">
        <f t="shared" si="4"/>
        <v>2625893.5224100454</v>
      </c>
      <c r="AB39" s="163">
        <f t="shared" si="17"/>
        <v>7.9792737960815392E-5</v>
      </c>
      <c r="AC39" s="96">
        <f t="shared" si="5"/>
        <v>0.61263575484638355</v>
      </c>
      <c r="AD39" s="94">
        <f t="shared" si="0"/>
        <v>2625893.5224100454</v>
      </c>
      <c r="AE39" s="120"/>
      <c r="AF39" s="124">
        <v>2</v>
      </c>
      <c r="AG39" s="100">
        <f t="shared" si="20"/>
        <v>33499.199999999997</v>
      </c>
      <c r="AH39" s="131">
        <f t="shared" si="21"/>
        <v>20000.800000000003</v>
      </c>
      <c r="AI39" s="125">
        <f t="shared" si="22"/>
        <v>-625040001.60000002</v>
      </c>
      <c r="AJ39" s="125">
        <f t="shared" si="23"/>
        <v>400032000.6400001</v>
      </c>
      <c r="AK39" s="132">
        <f t="shared" si="24"/>
        <v>0.64001023769378662</v>
      </c>
      <c r="AL39" s="126">
        <f t="shared" si="25"/>
        <v>5.7145142857142863</v>
      </c>
      <c r="AM39" s="126">
        <f t="shared" si="26"/>
        <v>1</v>
      </c>
      <c r="AN39" s="133">
        <f t="shared" si="27"/>
        <v>5.7145142857142863</v>
      </c>
      <c r="AO39" s="133">
        <f t="shared" si="28"/>
        <v>-7.1428571428571423</v>
      </c>
      <c r="AP39" s="133">
        <f t="shared" si="29"/>
        <v>-2.8571428571428568E-4</v>
      </c>
      <c r="AQ39" s="133">
        <f t="shared" si="30"/>
        <v>0</v>
      </c>
      <c r="AR39" s="133">
        <f t="shared" si="31"/>
        <v>0</v>
      </c>
      <c r="AS39" s="134">
        <f t="shared" si="32"/>
        <v>12191.353907102339</v>
      </c>
      <c r="AT39" s="135">
        <f t="shared" si="44"/>
        <v>0</v>
      </c>
      <c r="AU39" s="135">
        <f t="shared" si="45"/>
        <v>0</v>
      </c>
    </row>
    <row r="40" spans="1:47" x14ac:dyDescent="0.25">
      <c r="A40" s="105"/>
      <c r="B40" s="105" t="s">
        <v>82</v>
      </c>
      <c r="C40" s="105"/>
      <c r="D40" s="105"/>
      <c r="E40" s="105"/>
      <c r="F40" s="105"/>
      <c r="G40" s="105"/>
      <c r="H40" s="105"/>
      <c r="I40" s="170">
        <v>3</v>
      </c>
      <c r="J40" s="100">
        <f t="shared" si="46"/>
        <v>51749.93</v>
      </c>
      <c r="K40" s="52">
        <f t="shared" si="33"/>
        <v>1750.0699999999997</v>
      </c>
      <c r="L40" s="53">
        <f t="shared" si="34"/>
        <v>1</v>
      </c>
      <c r="M40" s="53">
        <f t="shared" si="35"/>
        <v>-625003500.13999999</v>
      </c>
      <c r="N40" s="53">
        <f t="shared" si="36"/>
        <v>3062745.0048999991</v>
      </c>
      <c r="O40" s="101">
        <f t="shared" si="37"/>
        <v>4.9003958702087402E-3</v>
      </c>
      <c r="P40" s="102">
        <f t="shared" si="38"/>
        <v>-33249.58</v>
      </c>
      <c r="Q40" s="53">
        <f t="shared" si="39"/>
        <v>-624933500.84000003</v>
      </c>
      <c r="R40" s="53">
        <f t="shared" si="40"/>
        <v>1105534570.1764002</v>
      </c>
      <c r="S40" s="101">
        <f t="shared" si="41"/>
        <v>0</v>
      </c>
      <c r="T40" s="103">
        <f t="shared" si="42"/>
        <v>8.1676124003209871</v>
      </c>
      <c r="U40" s="56">
        <f t="shared" si="47"/>
        <v>51749.93</v>
      </c>
      <c r="V40" s="56">
        <f t="shared" si="43"/>
        <v>0</v>
      </c>
      <c r="W40" s="50"/>
      <c r="X40" s="84">
        <v>979</v>
      </c>
      <c r="Y40" s="104">
        <f t="shared" si="19"/>
        <v>8.378237485885616E-5</v>
      </c>
      <c r="Z40" s="96">
        <f t="shared" si="3"/>
        <v>0.61421142148470753</v>
      </c>
      <c r="AA40" s="94">
        <f t="shared" si="4"/>
        <v>2604574.4779748749</v>
      </c>
      <c r="AB40" s="163">
        <f t="shared" si="17"/>
        <v>8.378237485885616E-5</v>
      </c>
      <c r="AC40" s="96">
        <f t="shared" si="5"/>
        <v>0.61421142148470753</v>
      </c>
      <c r="AD40" s="94">
        <f t="shared" si="0"/>
        <v>2604574.4779748749</v>
      </c>
      <c r="AF40" s="124">
        <v>1</v>
      </c>
      <c r="AG40" s="100">
        <f>AG$41+(AF40/10)*(AG$31-AG$41)</f>
        <v>30999.1</v>
      </c>
      <c r="AH40" s="131">
        <f t="shared" si="21"/>
        <v>22500.9</v>
      </c>
      <c r="AI40" s="125">
        <f t="shared" si="22"/>
        <v>-625045001.79999995</v>
      </c>
      <c r="AJ40" s="125">
        <f t="shared" si="23"/>
        <v>506290500.81000006</v>
      </c>
      <c r="AK40" s="132">
        <f t="shared" si="24"/>
        <v>0.81000649929046631</v>
      </c>
      <c r="AL40" s="126">
        <f t="shared" si="25"/>
        <v>6.4288285714285713</v>
      </c>
      <c r="AM40" s="126">
        <f t="shared" si="26"/>
        <v>1</v>
      </c>
      <c r="AN40" s="133">
        <f t="shared" si="27"/>
        <v>6.4288285714285713</v>
      </c>
      <c r="AO40" s="133">
        <f t="shared" si="28"/>
        <v>-7.1428571428571423</v>
      </c>
      <c r="AP40" s="133">
        <f t="shared" si="29"/>
        <v>-2.8571428571428568E-4</v>
      </c>
      <c r="AQ40" s="133">
        <f t="shared" si="30"/>
        <v>0</v>
      </c>
      <c r="AR40" s="133">
        <f t="shared" si="31"/>
        <v>0</v>
      </c>
      <c r="AS40" s="134">
        <f t="shared" si="32"/>
        <v>17358.288429404503</v>
      </c>
      <c r="AT40" s="135">
        <f t="shared" si="44"/>
        <v>0</v>
      </c>
      <c r="AU40" s="135">
        <f t="shared" si="45"/>
        <v>0</v>
      </c>
    </row>
    <row r="41" spans="1:47" x14ac:dyDescent="0.25">
      <c r="B41" s="105"/>
      <c r="C41" s="105"/>
      <c r="D41" s="105"/>
      <c r="E41" s="105"/>
      <c r="F41" s="105"/>
      <c r="G41" s="105"/>
      <c r="H41" s="105"/>
      <c r="I41" s="170">
        <v>2</v>
      </c>
      <c r="J41" s="100">
        <f t="shared" si="46"/>
        <v>51499.92</v>
      </c>
      <c r="K41" s="52">
        <f t="shared" si="33"/>
        <v>2000.0800000000017</v>
      </c>
      <c r="L41" s="53">
        <f t="shared" si="34"/>
        <v>1</v>
      </c>
      <c r="M41" s="53">
        <f t="shared" si="35"/>
        <v>-625004000.15999997</v>
      </c>
      <c r="N41" s="53">
        <f t="shared" si="36"/>
        <v>4000320.0064000068</v>
      </c>
      <c r="O41" s="101">
        <f t="shared" si="37"/>
        <v>6.4004659652709961E-3</v>
      </c>
      <c r="P41" s="102">
        <f t="shared" si="38"/>
        <v>-32999.570000000007</v>
      </c>
      <c r="Q41" s="53">
        <f t="shared" si="39"/>
        <v>-624934000.86000001</v>
      </c>
      <c r="R41" s="53">
        <f t="shared" si="40"/>
        <v>1088971620.1849005</v>
      </c>
      <c r="S41" s="101">
        <f t="shared" si="41"/>
        <v>0</v>
      </c>
      <c r="T41" s="103">
        <f t="shared" si="42"/>
        <v>12.191880582854374</v>
      </c>
      <c r="U41" s="56">
        <f t="shared" si="47"/>
        <v>0</v>
      </c>
      <c r="V41" s="56">
        <f t="shared" si="43"/>
        <v>0</v>
      </c>
      <c r="W41" s="50"/>
      <c r="X41" s="84">
        <v>978</v>
      </c>
      <c r="Y41" s="104">
        <f t="shared" si="19"/>
        <v>8.7772011756896928E-5</v>
      </c>
      <c r="Z41" s="96">
        <f t="shared" si="3"/>
        <v>0.61574999804706432</v>
      </c>
      <c r="AA41" s="94">
        <f t="shared" si="4"/>
        <v>2583841.1200145446</v>
      </c>
      <c r="AB41" s="163">
        <f t="shared" si="17"/>
        <v>8.7772011756896928E-5</v>
      </c>
      <c r="AC41" s="96">
        <f t="shared" si="5"/>
        <v>0.61574999804706432</v>
      </c>
      <c r="AD41" s="94">
        <f t="shared" si="0"/>
        <v>2583841.1200145446</v>
      </c>
      <c r="AF41" s="124">
        <v>0</v>
      </c>
      <c r="AG41" s="100">
        <f>L0-Ldif-alph+R0</f>
        <v>28499</v>
      </c>
      <c r="AH41" s="131">
        <f t="shared" si="21"/>
        <v>25001</v>
      </c>
      <c r="AI41" s="125">
        <f t="shared" si="22"/>
        <v>-625050002</v>
      </c>
      <c r="AJ41" s="125">
        <f t="shared" si="23"/>
        <v>625050001</v>
      </c>
      <c r="AK41" s="132">
        <f t="shared" si="24"/>
        <v>1</v>
      </c>
      <c r="AL41" s="126">
        <f t="shared" si="25"/>
        <v>7.1431428571428564</v>
      </c>
      <c r="AM41" s="126">
        <f t="shared" si="26"/>
        <v>1</v>
      </c>
      <c r="AN41" s="133">
        <f t="shared" si="27"/>
        <v>7.1431428571428564</v>
      </c>
      <c r="AO41" s="133">
        <f t="shared" si="28"/>
        <v>-7.1428571428571423</v>
      </c>
      <c r="AP41" s="133">
        <f t="shared" si="29"/>
        <v>-2.8571428571428568E-4</v>
      </c>
      <c r="AQ41" s="133">
        <f t="shared" si="30"/>
        <v>0</v>
      </c>
      <c r="AR41" s="133">
        <f t="shared" si="31"/>
        <v>0</v>
      </c>
      <c r="AS41" s="134">
        <f t="shared" si="32"/>
        <v>23810.952380952374</v>
      </c>
      <c r="AT41" s="135"/>
      <c r="AU41" s="135">
        <f t="shared" si="45"/>
        <v>0</v>
      </c>
    </row>
    <row r="42" spans="1:47" x14ac:dyDescent="0.25">
      <c r="B42" s="105" t="s">
        <v>83</v>
      </c>
      <c r="C42" s="105"/>
      <c r="D42" s="105"/>
      <c r="I42" s="170">
        <v>1</v>
      </c>
      <c r="J42" s="100">
        <f t="shared" si="46"/>
        <v>51249.91</v>
      </c>
      <c r="K42" s="52">
        <f t="shared" si="33"/>
        <v>2250.0899999999965</v>
      </c>
      <c r="L42" s="53">
        <f t="shared" si="34"/>
        <v>1</v>
      </c>
      <c r="M42" s="53">
        <f t="shared" si="35"/>
        <v>-625004500.17999995</v>
      </c>
      <c r="N42" s="53">
        <f t="shared" si="36"/>
        <v>5062905.0080999844</v>
      </c>
      <c r="O42" s="101">
        <f t="shared" si="37"/>
        <v>8.1005692481994629E-3</v>
      </c>
      <c r="P42" s="102">
        <f t="shared" si="38"/>
        <v>-32749.560000000009</v>
      </c>
      <c r="Q42" s="53">
        <f t="shared" si="39"/>
        <v>-624934500.88</v>
      </c>
      <c r="R42" s="53">
        <f t="shared" si="40"/>
        <v>1072533680.1936005</v>
      </c>
      <c r="S42" s="101">
        <f t="shared" si="41"/>
        <v>0</v>
      </c>
      <c r="T42" s="103">
        <f t="shared" si="42"/>
        <v>17.359132054624254</v>
      </c>
      <c r="U42" s="56">
        <f t="shared" si="47"/>
        <v>0</v>
      </c>
      <c r="V42" s="56">
        <f t="shared" si="43"/>
        <v>0</v>
      </c>
      <c r="W42" s="50"/>
      <c r="X42" s="84">
        <v>977</v>
      </c>
      <c r="Y42" s="104">
        <f t="shared" si="19"/>
        <v>9.1761648654937696E-5</v>
      </c>
      <c r="Z42" s="96">
        <f t="shared" si="3"/>
        <v>0.617253986624691</v>
      </c>
      <c r="AA42" s="94">
        <f t="shared" si="4"/>
        <v>2563653.9382071146</v>
      </c>
      <c r="AB42" s="163">
        <f t="shared" si="17"/>
        <v>9.1761648654937696E-5</v>
      </c>
      <c r="AC42" s="96">
        <f t="shared" si="5"/>
        <v>0.617253986624691</v>
      </c>
      <c r="AD42" s="94">
        <f t="shared" si="0"/>
        <v>2563653.9382071146</v>
      </c>
    </row>
    <row r="43" spans="1:47" x14ac:dyDescent="0.25">
      <c r="B43" s="105" t="s">
        <v>93</v>
      </c>
      <c r="I43" s="170">
        <v>0</v>
      </c>
      <c r="J43" s="56">
        <f>U19</f>
        <v>50999.9</v>
      </c>
      <c r="K43" s="52">
        <f t="shared" si="33"/>
        <v>2500.0999999999985</v>
      </c>
      <c r="L43" s="53">
        <f t="shared" si="34"/>
        <v>1</v>
      </c>
      <c r="M43" s="53">
        <f t="shared" si="35"/>
        <v>-625005000.20000005</v>
      </c>
      <c r="N43" s="53">
        <f t="shared" si="36"/>
        <v>6250500.0099999923</v>
      </c>
      <c r="O43" s="101">
        <f t="shared" si="37"/>
        <v>1.0000705718994141E-2</v>
      </c>
      <c r="P43" s="102">
        <f t="shared" si="38"/>
        <v>-32499.550000000007</v>
      </c>
      <c r="Q43" s="53">
        <f t="shared" si="39"/>
        <v>-624935000.89999998</v>
      </c>
      <c r="R43" s="53">
        <f t="shared" si="40"/>
        <v>1056220750.2025005</v>
      </c>
      <c r="S43" s="101">
        <f t="shared" si="41"/>
        <v>0</v>
      </c>
      <c r="T43" s="103">
        <f t="shared" si="42"/>
        <v>23.812238187773438</v>
      </c>
      <c r="U43" s="56">
        <f t="shared" si="47"/>
        <v>0</v>
      </c>
      <c r="W43" s="50"/>
      <c r="X43" s="84">
        <v>976</v>
      </c>
      <c r="Y43" s="104">
        <f t="shared" si="19"/>
        <v>9.5751285552978465E-5</v>
      </c>
      <c r="Z43" s="96">
        <f t="shared" si="3"/>
        <v>0.61872562003590736</v>
      </c>
      <c r="AA43" s="94">
        <f t="shared" si="4"/>
        <v>2543977.6742975577</v>
      </c>
      <c r="AB43" s="163">
        <f t="shared" si="17"/>
        <v>9.5751285552978465E-5</v>
      </c>
      <c r="AC43" s="96">
        <f t="shared" si="5"/>
        <v>0.61872562003590736</v>
      </c>
      <c r="AD43" s="94">
        <f t="shared" si="0"/>
        <v>2543977.6742975577</v>
      </c>
      <c r="AF43" s="105"/>
      <c r="AG43" s="121" t="s">
        <v>163</v>
      </c>
      <c r="AH43" s="122" t="s">
        <v>136</v>
      </c>
      <c r="AI43" s="122" t="s">
        <v>134</v>
      </c>
      <c r="AJ43" s="127" t="s">
        <v>135</v>
      </c>
      <c r="AK43" s="122" t="s">
        <v>164</v>
      </c>
      <c r="AL43" s="122" t="s">
        <v>146</v>
      </c>
      <c r="AM43" s="122" t="s">
        <v>149</v>
      </c>
      <c r="AN43" s="122" t="s">
        <v>157</v>
      </c>
      <c r="AO43" s="122" t="s">
        <v>158</v>
      </c>
      <c r="AP43" s="122" t="s">
        <v>159</v>
      </c>
      <c r="AQ43" s="122" t="s">
        <v>160</v>
      </c>
      <c r="AR43" s="122" t="s">
        <v>161</v>
      </c>
      <c r="AS43" s="105"/>
      <c r="AT43" s="128">
        <f>MAX(AT44:AT53)</f>
        <v>51999.94</v>
      </c>
      <c r="AU43" s="128">
        <f>MAX(AU45:AU54)</f>
        <v>51749.93</v>
      </c>
    </row>
    <row r="44" spans="1:47" x14ac:dyDescent="0.25">
      <c r="J44" s="56"/>
      <c r="K44" s="56"/>
      <c r="L44" s="130"/>
      <c r="M44" s="130"/>
      <c r="N44" s="130"/>
      <c r="O44" s="59"/>
      <c r="P44" s="59"/>
      <c r="Q44" s="59"/>
      <c r="R44" s="59"/>
      <c r="S44" s="59"/>
      <c r="T44" s="59"/>
      <c r="U44" s="59"/>
      <c r="V44" s="59"/>
      <c r="W44" s="50"/>
      <c r="X44" s="84">
        <v>975</v>
      </c>
      <c r="Y44" s="104">
        <f t="shared" si="19"/>
        <v>9.9740922451019233E-5</v>
      </c>
      <c r="Z44" s="96">
        <f t="shared" si="3"/>
        <v>0.62016690073051295</v>
      </c>
      <c r="AA44" s="94">
        <f t="shared" si="4"/>
        <v>2524780.707761622</v>
      </c>
      <c r="AB44" s="163">
        <f t="shared" si="17"/>
        <v>9.9740922451019233E-5</v>
      </c>
      <c r="AC44" s="96">
        <f t="shared" si="5"/>
        <v>0.62016690073051295</v>
      </c>
      <c r="AD44" s="94">
        <f t="shared" si="0"/>
        <v>2524780.707761622</v>
      </c>
      <c r="AF44" s="124">
        <v>10</v>
      </c>
      <c r="AG44" s="121">
        <f>AT30</f>
        <v>53500</v>
      </c>
      <c r="AH44" s="131">
        <f>L0+R0-KK.3</f>
        <v>0</v>
      </c>
      <c r="AI44" s="125">
        <f>-(alph^2)-2*S.3*Ldif</f>
        <v>-625000000</v>
      </c>
      <c r="AJ44" s="125">
        <f>S.3^2</f>
        <v>0</v>
      </c>
      <c r="AK44" s="132">
        <f>(-b.3-SQRT(b.3^2-4*a.3*c.3))/(2*a.3)</f>
        <v>0</v>
      </c>
      <c r="AL44" s="126">
        <f>1-(KK.3-L0)/R0</f>
        <v>0</v>
      </c>
      <c r="AM44" s="126">
        <f>1-beta*(1-f.3)</f>
        <v>1</v>
      </c>
      <c r="AN44" s="133">
        <f>f.3*j.3</f>
        <v>0</v>
      </c>
      <c r="AO44" s="133">
        <f>f.3*k.3+j.3*g.3</f>
        <v>-7.1428571428571423</v>
      </c>
      <c r="AP44" s="133">
        <f>g.3*k.3+j.3*h.3+f.3*l.3</f>
        <v>-2.8571428571428568E-4</v>
      </c>
      <c r="AQ44" s="133">
        <f>g.3*l.3*h.3*k.3</f>
        <v>0</v>
      </c>
      <c r="AR44" s="133">
        <f>h.3*l.3</f>
        <v>0</v>
      </c>
      <c r="AS44" s="134">
        <f>M0*D0.3*(m.3+(n.3*D0.3^0.5)/1.5+p.3*D0.3/2+(q.3*D0.3^1.5)/2.5+(r.3*D0.3^2)/3)</f>
        <v>0</v>
      </c>
      <c r="AT44" s="135">
        <f>IF(AND(AS44&lt;F,F&lt;AS45),AG44,0)</f>
        <v>0</v>
      </c>
      <c r="AU44" s="135"/>
    </row>
    <row r="45" spans="1:47" x14ac:dyDescent="0.25">
      <c r="I45" s="171"/>
      <c r="J45" s="56"/>
      <c r="K45" s="56"/>
      <c r="L45" s="130"/>
      <c r="M45" s="130"/>
      <c r="N45" s="88"/>
      <c r="O45" s="84"/>
      <c r="P45" s="84"/>
      <c r="Q45" s="84"/>
      <c r="R45" s="84"/>
      <c r="S45" s="84"/>
      <c r="T45" s="84"/>
      <c r="U45" s="94">
        <f>MAX(U47:U56)</f>
        <v>51899.936000000002</v>
      </c>
      <c r="V45" s="94">
        <f>MAX(V46:V55)</f>
        <v>51924.937000000005</v>
      </c>
      <c r="W45" s="50"/>
      <c r="X45" s="84">
        <v>974</v>
      </c>
      <c r="Y45" s="104">
        <f t="shared" si="19"/>
        <v>1.0373055934906E-4</v>
      </c>
      <c r="Z45" s="96">
        <f t="shared" si="3"/>
        <v>0.62157963275243566</v>
      </c>
      <c r="AA45" s="94">
        <f t="shared" si="4"/>
        <v>2506034.5510861767</v>
      </c>
      <c r="AB45" s="163">
        <f t="shared" si="17"/>
        <v>1.0373055934906E-4</v>
      </c>
      <c r="AC45" s="96">
        <f t="shared" si="5"/>
        <v>0.62157963275243566</v>
      </c>
      <c r="AD45" s="94">
        <f t="shared" si="0"/>
        <v>2506034.5510861767</v>
      </c>
      <c r="AF45" s="124">
        <v>9</v>
      </c>
      <c r="AG45" s="100">
        <f>AG$54+(AF45/10)*(AG$44-AG$54)</f>
        <v>53249.99</v>
      </c>
      <c r="AH45" s="131">
        <f t="shared" ref="AH45:AH54" si="48">L0+R0-KK.3</f>
        <v>250.01000000000204</v>
      </c>
      <c r="AI45" s="125">
        <f t="shared" ref="AI45:AI54" si="49">-(alph^2)-2*S.3*Ldif</f>
        <v>-625000500.01999998</v>
      </c>
      <c r="AJ45" s="125">
        <f t="shared" ref="AJ45:AJ54" si="50">S.3^2</f>
        <v>62505.000100001016</v>
      </c>
      <c r="AK45" s="132">
        <f t="shared" ref="AK45:AK54" si="51">(-b.3-SQRT(b.3^2-4*a.3*c.3))/(2*a.3)</f>
        <v>1.0001659393310547E-4</v>
      </c>
      <c r="AL45" s="126">
        <f t="shared" ref="AL45:AL54" si="52">1-(KK.3-L0)/R0</f>
        <v>7.1431428571429256E-2</v>
      </c>
      <c r="AM45" s="126">
        <f t="shared" ref="AM45:AM54" si="53">1-beta*(1-f.3)</f>
        <v>1</v>
      </c>
      <c r="AN45" s="133">
        <f t="shared" ref="AN45:AN54" si="54">f.3*j.3</f>
        <v>7.1431428571429256E-2</v>
      </c>
      <c r="AO45" s="133">
        <f t="shared" ref="AO45:AO54" si="55">f.3*k.3+j.3*g.3</f>
        <v>-7.1428571428571423</v>
      </c>
      <c r="AP45" s="133">
        <f t="shared" ref="AP45:AP54" si="56">g.3*k.3+j.3*h.3+f.3*l.3</f>
        <v>-2.8571428571428568E-4</v>
      </c>
      <c r="AQ45" s="133">
        <f t="shared" ref="AQ45:AQ54" si="57">g.3*l.3*h.3*k.3</f>
        <v>0</v>
      </c>
      <c r="AR45" s="133">
        <f t="shared" ref="AR45:AR54" si="58">h.3*l.3</f>
        <v>0</v>
      </c>
      <c r="AS45" s="134">
        <f t="shared" ref="AS45:AS54" si="59">M0*D0.3*(m.3+(n.3*D0.3^0.5)/1.5+p.3*D0.3/2+(q.3*D0.3^1.5)/2.5+(r.3*D0.3^2)/3)</f>
        <v>2.3812366644339996E-2</v>
      </c>
      <c r="AT45" s="135">
        <f>IF(AND(AS45&lt;F,F&lt;AS46),AG45,0)</f>
        <v>0</v>
      </c>
      <c r="AU45" s="135">
        <f>IF(AND(AS44&lt;F,F&lt;AS45),AG45,0)</f>
        <v>0</v>
      </c>
    </row>
    <row r="46" spans="1:47" x14ac:dyDescent="0.25">
      <c r="B46" s="105"/>
      <c r="I46" s="170">
        <v>10</v>
      </c>
      <c r="J46" s="56">
        <f>V32</f>
        <v>51999.94</v>
      </c>
      <c r="K46" s="52">
        <f t="shared" ref="K46:K56" si="60">L0+R0g-KK</f>
        <v>1500.0599999999977</v>
      </c>
      <c r="L46" s="53">
        <f t="shared" ref="L46:L56" si="61">Ldif^2</f>
        <v>1</v>
      </c>
      <c r="M46" s="53">
        <f t="shared" ref="M46:M56" si="62">-(alph^2)-2*S.1*Ldif</f>
        <v>-625003000.12</v>
      </c>
      <c r="N46" s="53">
        <f t="shared" ref="N46:N56" si="63">S.1^2</f>
        <v>2250180.003599993</v>
      </c>
      <c r="O46" s="101">
        <f t="shared" ref="O46:O56" si="64">(-b.1-SQRT(b.1^2-4*a.1*c.1))/(2*a.1)</f>
        <v>3.6002993583679199E-3</v>
      </c>
      <c r="P46" s="102">
        <f t="shared" ref="P46:P56" si="65">L0-KK+(P0-Pcap)/g</f>
        <v>-33499.590000000011</v>
      </c>
      <c r="Q46" s="53">
        <f t="shared" ref="Q46:Q56" si="66">-(alph^2)-2*S.2*Ldif</f>
        <v>-624933000.82000005</v>
      </c>
      <c r="R46" s="53">
        <f t="shared" ref="R46:R56" si="67">S.2^2</f>
        <v>1122222530.1681008</v>
      </c>
      <c r="S46" s="101">
        <f t="shared" ref="S46:S56" si="68">IF(S.2&lt;0,0,(-b.2-SQRT(b.2^2-4*a.1*c.2))/(2*a.1))</f>
        <v>0</v>
      </c>
      <c r="T46" s="103">
        <f t="shared" ref="T46:T56" si="69">Pcap*DDc+(P0+g*(L0-KK))*(DDg-DDc)-g*((DDg^2-DDc^2)*Ldif/2+alph*(DDg^1.5-DDc^1.5)/1.5)</f>
        <v>5.1434557929970008</v>
      </c>
      <c r="V46" s="56">
        <f t="shared" ref="V46:V55" si="70">IF(AND(T46&lt;F,T47&gt;F),J46,0)</f>
        <v>0</v>
      </c>
      <c r="W46" s="50"/>
      <c r="X46" s="84">
        <v>973</v>
      </c>
      <c r="Y46" s="104">
        <f t="shared" si="19"/>
        <v>1.0772019624710077E-4</v>
      </c>
      <c r="Z46" s="96">
        <f t="shared" si="3"/>
        <v>0.62296544821707345</v>
      </c>
      <c r="AA46" s="94">
        <f t="shared" si="4"/>
        <v>2487713.4316676669</v>
      </c>
      <c r="AB46" s="163">
        <f t="shared" si="17"/>
        <v>1.0772019624710077E-4</v>
      </c>
      <c r="AC46" s="96">
        <f t="shared" si="5"/>
        <v>0.62296544821707345</v>
      </c>
      <c r="AD46" s="94">
        <f t="shared" si="0"/>
        <v>2487713.4316676669</v>
      </c>
      <c r="AF46" s="124">
        <v>8</v>
      </c>
      <c r="AG46" s="100">
        <f t="shared" ref="AG46:AG53" si="71">AG$54+(AF46/10)*(AG$44-AG$54)</f>
        <v>52999.98</v>
      </c>
      <c r="AH46" s="131">
        <f t="shared" si="48"/>
        <v>500.0199999999968</v>
      </c>
      <c r="AI46" s="125">
        <f t="shared" si="49"/>
        <v>-625001000.03999996</v>
      </c>
      <c r="AJ46" s="125">
        <f t="shared" si="50"/>
        <v>250020.00039999679</v>
      </c>
      <c r="AK46" s="132">
        <f t="shared" si="51"/>
        <v>4.0000677108764648E-4</v>
      </c>
      <c r="AL46" s="126">
        <f t="shared" si="52"/>
        <v>0.14286285714285629</v>
      </c>
      <c r="AM46" s="126">
        <f t="shared" si="53"/>
        <v>1</v>
      </c>
      <c r="AN46" s="133">
        <f t="shared" si="54"/>
        <v>0.14286285714285629</v>
      </c>
      <c r="AO46" s="133">
        <f t="shared" si="55"/>
        <v>-7.1428571428571423</v>
      </c>
      <c r="AP46" s="133">
        <f t="shared" si="56"/>
        <v>-2.8571428571428568E-4</v>
      </c>
      <c r="AQ46" s="133">
        <f t="shared" si="57"/>
        <v>0</v>
      </c>
      <c r="AR46" s="133">
        <f t="shared" si="58"/>
        <v>0</v>
      </c>
      <c r="AS46" s="134">
        <f t="shared" si="59"/>
        <v>0.19049881938586119</v>
      </c>
      <c r="AT46" s="135">
        <f t="shared" ref="AT46:AT53" si="72">IF(AND(AS46&lt;F,F&lt;AS47),AG46,0)</f>
        <v>0</v>
      </c>
      <c r="AU46" s="135">
        <f t="shared" ref="AU46:AU54" si="73">IF(AND(AS45&lt;F,F&lt;AS46),AG46,0)</f>
        <v>0</v>
      </c>
    </row>
    <row r="47" spans="1:47" x14ac:dyDescent="0.25">
      <c r="B47" s="105"/>
      <c r="I47" s="170">
        <v>9</v>
      </c>
      <c r="J47" s="100">
        <f t="shared" ref="J47:J55" si="74">J$56+(I47/10)*(J$46-J$56)</f>
        <v>51974.938999999998</v>
      </c>
      <c r="K47" s="52">
        <f t="shared" si="60"/>
        <v>1525.0610000000015</v>
      </c>
      <c r="L47" s="53">
        <f t="shared" si="61"/>
        <v>1</v>
      </c>
      <c r="M47" s="53">
        <f t="shared" si="62"/>
        <v>-625003050.12199998</v>
      </c>
      <c r="N47" s="53">
        <f t="shared" si="63"/>
        <v>2325811.0537210046</v>
      </c>
      <c r="O47" s="101">
        <f t="shared" si="64"/>
        <v>3.7212967872619629E-3</v>
      </c>
      <c r="P47" s="102">
        <f t="shared" si="65"/>
        <v>-33474.589000000007</v>
      </c>
      <c r="Q47" s="53">
        <f t="shared" si="66"/>
        <v>-624933050.82200003</v>
      </c>
      <c r="R47" s="53">
        <f t="shared" si="67"/>
        <v>1120548108.7189214</v>
      </c>
      <c r="S47" s="101">
        <f t="shared" si="68"/>
        <v>0</v>
      </c>
      <c r="T47" s="103">
        <f t="shared" si="69"/>
        <v>5.4049382839649471</v>
      </c>
      <c r="U47" s="56">
        <f t="shared" ref="U47:U56" si="75">IF(AND(T47&gt;F,T46&lt;F),J47,0)</f>
        <v>0</v>
      </c>
      <c r="V47" s="56">
        <f t="shared" si="70"/>
        <v>0</v>
      </c>
      <c r="W47" s="50"/>
      <c r="X47" s="84">
        <v>972</v>
      </c>
      <c r="Y47" s="104">
        <f t="shared" si="19"/>
        <v>1.1170983314514154E-4</v>
      </c>
      <c r="Z47" s="96">
        <f t="shared" si="3"/>
        <v>0.62432582941181103</v>
      </c>
      <c r="AA47" s="94">
        <f t="shared" si="4"/>
        <v>2469793.942824665</v>
      </c>
      <c r="AB47" s="163">
        <f t="shared" si="17"/>
        <v>1.1170983314514154E-4</v>
      </c>
      <c r="AC47" s="96">
        <f t="shared" si="5"/>
        <v>0.62432582941181103</v>
      </c>
      <c r="AD47" s="94">
        <f t="shared" si="0"/>
        <v>2469793.942824665</v>
      </c>
      <c r="AF47" s="124">
        <v>7</v>
      </c>
      <c r="AG47" s="100">
        <f t="shared" si="71"/>
        <v>52749.97</v>
      </c>
      <c r="AH47" s="131">
        <f t="shared" si="48"/>
        <v>750.02999999999884</v>
      </c>
      <c r="AI47" s="125">
        <f t="shared" si="49"/>
        <v>-625001500.05999994</v>
      </c>
      <c r="AJ47" s="125">
        <f t="shared" si="50"/>
        <v>562545.00089999824</v>
      </c>
      <c r="AK47" s="132">
        <f t="shared" si="51"/>
        <v>9.0008974075317383E-4</v>
      </c>
      <c r="AL47" s="126">
        <f t="shared" si="52"/>
        <v>0.21429428571428544</v>
      </c>
      <c r="AM47" s="126">
        <f t="shared" si="53"/>
        <v>1</v>
      </c>
      <c r="AN47" s="133">
        <f t="shared" si="54"/>
        <v>0.21429428571428544</v>
      </c>
      <c r="AO47" s="133">
        <f t="shared" si="55"/>
        <v>-7.1428571428571423</v>
      </c>
      <c r="AP47" s="133">
        <f t="shared" si="56"/>
        <v>-2.8571428571428568E-4</v>
      </c>
      <c r="AQ47" s="133">
        <f t="shared" si="57"/>
        <v>0</v>
      </c>
      <c r="AR47" s="133">
        <f t="shared" si="58"/>
        <v>0</v>
      </c>
      <c r="AS47" s="134">
        <f t="shared" si="59"/>
        <v>0.642933131239105</v>
      </c>
      <c r="AT47" s="135">
        <f t="shared" si="72"/>
        <v>0</v>
      </c>
      <c r="AU47" s="135">
        <f t="shared" si="73"/>
        <v>0</v>
      </c>
    </row>
    <row r="48" spans="1:47" x14ac:dyDescent="0.25">
      <c r="B48" s="105"/>
      <c r="I48" s="170">
        <v>8</v>
      </c>
      <c r="J48" s="100">
        <f t="shared" si="74"/>
        <v>51949.938000000002</v>
      </c>
      <c r="K48" s="52">
        <f t="shared" si="60"/>
        <v>1550.0619999999981</v>
      </c>
      <c r="L48" s="53">
        <f t="shared" si="61"/>
        <v>1</v>
      </c>
      <c r="M48" s="53">
        <f t="shared" si="62"/>
        <v>-625003100.12399995</v>
      </c>
      <c r="N48" s="53">
        <f t="shared" si="63"/>
        <v>2402692.2038439941</v>
      </c>
      <c r="O48" s="101">
        <f t="shared" si="64"/>
        <v>3.8442611694335938E-3</v>
      </c>
      <c r="P48" s="102">
        <f t="shared" si="65"/>
        <v>-33449.588000000003</v>
      </c>
      <c r="Q48" s="53">
        <f t="shared" si="66"/>
        <v>-624933100.824</v>
      </c>
      <c r="R48" s="53">
        <f t="shared" si="67"/>
        <v>1118874937.3697443</v>
      </c>
      <c r="S48" s="101">
        <f t="shared" si="68"/>
        <v>0</v>
      </c>
      <c r="T48" s="103">
        <f t="shared" si="69"/>
        <v>5.6751360423180515</v>
      </c>
      <c r="U48" s="56">
        <f t="shared" si="75"/>
        <v>0</v>
      </c>
      <c r="V48" s="56">
        <f t="shared" si="70"/>
        <v>0</v>
      </c>
      <c r="W48" s="50"/>
      <c r="X48" s="84">
        <v>971</v>
      </c>
      <c r="Y48" s="104">
        <f t="shared" si="19"/>
        <v>1.1569947004318231E-4</v>
      </c>
      <c r="Z48" s="96">
        <f t="shared" si="3"/>
        <v>0.62566212737274418</v>
      </c>
      <c r="AA48" s="94">
        <f t="shared" si="4"/>
        <v>2452254.7504542428</v>
      </c>
      <c r="AB48" s="163">
        <f t="shared" si="17"/>
        <v>1.1569947004318231E-4</v>
      </c>
      <c r="AC48" s="96">
        <f t="shared" si="5"/>
        <v>0.62566212737274418</v>
      </c>
      <c r="AD48" s="94">
        <f t="shared" si="0"/>
        <v>2452254.7504542428</v>
      </c>
      <c r="AF48" s="124">
        <v>6</v>
      </c>
      <c r="AG48" s="100">
        <f t="shared" si="71"/>
        <v>52499.96</v>
      </c>
      <c r="AH48" s="131">
        <f t="shared" si="48"/>
        <v>1000.0400000000009</v>
      </c>
      <c r="AI48" s="125">
        <f t="shared" si="49"/>
        <v>-625002000.08000004</v>
      </c>
      <c r="AJ48" s="125">
        <f t="shared" si="50"/>
        <v>1000080.0016000017</v>
      </c>
      <c r="AK48" s="132">
        <f t="shared" si="51"/>
        <v>1.6001462936401367E-3</v>
      </c>
      <c r="AL48" s="126">
        <f t="shared" si="52"/>
        <v>0.28572571428571458</v>
      </c>
      <c r="AM48" s="126">
        <f t="shared" si="53"/>
        <v>1</v>
      </c>
      <c r="AN48" s="133">
        <f t="shared" si="54"/>
        <v>0.28572571428571458</v>
      </c>
      <c r="AO48" s="133">
        <f t="shared" si="55"/>
        <v>-7.1428571428571423</v>
      </c>
      <c r="AP48" s="133">
        <f t="shared" si="56"/>
        <v>-2.8571428571428568E-4</v>
      </c>
      <c r="AQ48" s="133">
        <f t="shared" si="57"/>
        <v>0</v>
      </c>
      <c r="AR48" s="133">
        <f t="shared" si="58"/>
        <v>0</v>
      </c>
      <c r="AS48" s="134">
        <f t="shared" si="59"/>
        <v>1.5239887303057584</v>
      </c>
      <c r="AT48" s="135">
        <f t="shared" si="72"/>
        <v>0</v>
      </c>
      <c r="AU48" s="135">
        <f t="shared" si="73"/>
        <v>0</v>
      </c>
    </row>
    <row r="49" spans="9:47" x14ac:dyDescent="0.25">
      <c r="I49" s="170">
        <v>7</v>
      </c>
      <c r="J49" s="100">
        <f t="shared" si="74"/>
        <v>51924.937000000005</v>
      </c>
      <c r="K49" s="52">
        <f t="shared" si="60"/>
        <v>1575.0629999999946</v>
      </c>
      <c r="L49" s="53">
        <f t="shared" si="61"/>
        <v>1</v>
      </c>
      <c r="M49" s="53">
        <f t="shared" si="62"/>
        <v>-625003150.12600005</v>
      </c>
      <c r="N49" s="53">
        <f t="shared" si="63"/>
        <v>2480823.4539689831</v>
      </c>
      <c r="O49" s="101">
        <f t="shared" si="64"/>
        <v>3.9693117141723633E-3</v>
      </c>
      <c r="P49" s="102">
        <f t="shared" si="65"/>
        <v>-33424.587000000014</v>
      </c>
      <c r="Q49" s="53">
        <f t="shared" si="66"/>
        <v>-624933150.82599998</v>
      </c>
      <c r="R49" s="53">
        <f t="shared" si="67"/>
        <v>1117203016.1205699</v>
      </c>
      <c r="S49" s="101">
        <f t="shared" si="68"/>
        <v>0</v>
      </c>
      <c r="T49" s="103">
        <f t="shared" si="69"/>
        <v>5.9541919408025841</v>
      </c>
      <c r="U49" s="56">
        <f t="shared" si="75"/>
        <v>0</v>
      </c>
      <c r="V49" s="56">
        <f t="shared" si="70"/>
        <v>51924.937000000005</v>
      </c>
      <c r="W49" s="50"/>
      <c r="X49" s="84">
        <v>970</v>
      </c>
      <c r="Y49" s="104">
        <f t="shared" si="19"/>
        <v>1.1968910694122307E-4</v>
      </c>
      <c r="Z49" s="96">
        <f t="shared" si="3"/>
        <v>0.6269755776010153</v>
      </c>
      <c r="AA49" s="94">
        <f t="shared" si="4"/>
        <v>2435076.3448566827</v>
      </c>
      <c r="AB49" s="163">
        <f t="shared" si="17"/>
        <v>1.1968910694122307E-4</v>
      </c>
      <c r="AC49" s="96">
        <f t="shared" si="5"/>
        <v>0.6269755776010153</v>
      </c>
      <c r="AD49" s="94">
        <f t="shared" si="0"/>
        <v>2435076.3448566827</v>
      </c>
      <c r="AF49" s="124">
        <v>5</v>
      </c>
      <c r="AG49" s="100">
        <f t="shared" si="71"/>
        <v>52249.95</v>
      </c>
      <c r="AH49" s="131">
        <f t="shared" si="48"/>
        <v>1250.0500000000029</v>
      </c>
      <c r="AI49" s="125">
        <f t="shared" si="49"/>
        <v>-625002500.10000002</v>
      </c>
      <c r="AJ49" s="125">
        <f t="shared" si="50"/>
        <v>1562625.0025000072</v>
      </c>
      <c r="AK49" s="132">
        <f t="shared" si="51"/>
        <v>2.5001764297485352E-3</v>
      </c>
      <c r="AL49" s="126">
        <f t="shared" si="52"/>
        <v>0.35715714285714373</v>
      </c>
      <c r="AM49" s="126">
        <f t="shared" si="53"/>
        <v>1</v>
      </c>
      <c r="AN49" s="133">
        <f t="shared" si="54"/>
        <v>0.35715714285714373</v>
      </c>
      <c r="AO49" s="133">
        <f t="shared" si="55"/>
        <v>-7.1428571428571423</v>
      </c>
      <c r="AP49" s="133">
        <f t="shared" si="56"/>
        <v>-2.8571428571428568E-4</v>
      </c>
      <c r="AQ49" s="133">
        <f t="shared" si="57"/>
        <v>0</v>
      </c>
      <c r="AR49" s="133">
        <f t="shared" si="58"/>
        <v>0</v>
      </c>
      <c r="AS49" s="134">
        <f t="shared" si="59"/>
        <v>2.9765387033033881</v>
      </c>
      <c r="AT49" s="135">
        <f t="shared" si="72"/>
        <v>0</v>
      </c>
      <c r="AU49" s="135">
        <f t="shared" si="73"/>
        <v>0</v>
      </c>
    </row>
    <row r="50" spans="9:47" x14ac:dyDescent="0.25">
      <c r="I50" s="170">
        <v>6</v>
      </c>
      <c r="J50" s="100">
        <f t="shared" si="74"/>
        <v>51899.936000000002</v>
      </c>
      <c r="K50" s="52">
        <f t="shared" si="60"/>
        <v>1600.0639999999985</v>
      </c>
      <c r="L50" s="53">
        <f t="shared" si="61"/>
        <v>1</v>
      </c>
      <c r="M50" s="53">
        <f t="shared" si="62"/>
        <v>-625003200.12800002</v>
      </c>
      <c r="N50" s="53">
        <f t="shared" si="63"/>
        <v>2560204.8040959951</v>
      </c>
      <c r="O50" s="101">
        <f t="shared" si="64"/>
        <v>4.0963292121887207E-3</v>
      </c>
      <c r="P50" s="102">
        <f t="shared" si="65"/>
        <v>-33399.58600000001</v>
      </c>
      <c r="Q50" s="53">
        <f t="shared" si="66"/>
        <v>-624933200.82799995</v>
      </c>
      <c r="R50" s="53">
        <f t="shared" si="67"/>
        <v>1115532344.9713967</v>
      </c>
      <c r="S50" s="101">
        <f t="shared" si="68"/>
        <v>0</v>
      </c>
      <c r="T50" s="103">
        <f t="shared" si="69"/>
        <v>6.242248851035697</v>
      </c>
      <c r="U50" s="56">
        <f t="shared" si="75"/>
        <v>51899.936000000002</v>
      </c>
      <c r="V50" s="56">
        <f t="shared" si="70"/>
        <v>0</v>
      </c>
      <c r="W50" s="50"/>
      <c r="X50" s="84">
        <v>969</v>
      </c>
      <c r="Y50" s="104">
        <f t="shared" si="19"/>
        <v>1.2367874383926384E-4</v>
      </c>
      <c r="Z50" s="96">
        <f t="shared" si="3"/>
        <v>0.62826731343919939</v>
      </c>
      <c r="AA50" s="94">
        <f t="shared" si="4"/>
        <v>2418240.8295099339</v>
      </c>
      <c r="AB50" s="163">
        <f t="shared" si="17"/>
        <v>1.2367874383926384E-4</v>
      </c>
      <c r="AC50" s="96">
        <f t="shared" si="5"/>
        <v>0.62826731343919939</v>
      </c>
      <c r="AD50" s="94">
        <f t="shared" si="0"/>
        <v>2418240.8295099339</v>
      </c>
      <c r="AF50" s="124">
        <v>4</v>
      </c>
      <c r="AG50" s="100">
        <f t="shared" si="71"/>
        <v>51999.94</v>
      </c>
      <c r="AH50" s="131">
        <f t="shared" si="48"/>
        <v>1500.0599999999977</v>
      </c>
      <c r="AI50" s="125">
        <f t="shared" si="49"/>
        <v>-625003000.12</v>
      </c>
      <c r="AJ50" s="125">
        <f t="shared" si="50"/>
        <v>2250180.003599993</v>
      </c>
      <c r="AK50" s="132">
        <f t="shared" si="51"/>
        <v>3.6002993583679199E-3</v>
      </c>
      <c r="AL50" s="126">
        <f t="shared" si="52"/>
        <v>0.42858857142857087</v>
      </c>
      <c r="AM50" s="126">
        <f t="shared" si="53"/>
        <v>1</v>
      </c>
      <c r="AN50" s="133">
        <f t="shared" si="54"/>
        <v>0.42858857142857087</v>
      </c>
      <c r="AO50" s="133">
        <f t="shared" si="55"/>
        <v>-7.1428571428571423</v>
      </c>
      <c r="AP50" s="133">
        <f t="shared" si="56"/>
        <v>-2.8571428571428568E-4</v>
      </c>
      <c r="AQ50" s="133">
        <f t="shared" si="57"/>
        <v>0</v>
      </c>
      <c r="AR50" s="133">
        <f t="shared" si="58"/>
        <v>0</v>
      </c>
      <c r="AS50" s="134">
        <f t="shared" si="59"/>
        <v>5.1434557929969955</v>
      </c>
      <c r="AT50" s="135">
        <f t="shared" si="72"/>
        <v>51999.94</v>
      </c>
      <c r="AU50" s="135">
        <f t="shared" si="73"/>
        <v>0</v>
      </c>
    </row>
    <row r="51" spans="9:47" x14ac:dyDescent="0.25">
      <c r="I51" s="170">
        <v>5</v>
      </c>
      <c r="J51" s="100">
        <f t="shared" si="74"/>
        <v>51874.934999999998</v>
      </c>
      <c r="K51" s="52">
        <f t="shared" si="60"/>
        <v>1625.0650000000023</v>
      </c>
      <c r="L51" s="53">
        <f t="shared" si="61"/>
        <v>1</v>
      </c>
      <c r="M51" s="53">
        <f t="shared" si="62"/>
        <v>-625003250.13</v>
      </c>
      <c r="N51" s="53">
        <f t="shared" si="63"/>
        <v>2640836.2542250077</v>
      </c>
      <c r="O51" s="101">
        <f t="shared" si="64"/>
        <v>4.225313663482666E-3</v>
      </c>
      <c r="P51" s="102">
        <f t="shared" si="65"/>
        <v>-33374.585000000006</v>
      </c>
      <c r="Q51" s="53">
        <f t="shared" si="66"/>
        <v>-624933250.83000004</v>
      </c>
      <c r="R51" s="53">
        <f t="shared" si="67"/>
        <v>1113862923.9222255</v>
      </c>
      <c r="S51" s="101">
        <f t="shared" si="68"/>
        <v>0</v>
      </c>
      <c r="T51" s="103">
        <f t="shared" si="69"/>
        <v>6.5394496455916364</v>
      </c>
      <c r="U51" s="56">
        <f t="shared" si="75"/>
        <v>0</v>
      </c>
      <c r="V51" s="56">
        <f t="shared" si="70"/>
        <v>0</v>
      </c>
      <c r="W51" s="50"/>
      <c r="X51" s="84">
        <v>968</v>
      </c>
      <c r="Y51" s="104">
        <f t="shared" si="19"/>
        <v>1.2766838073730461E-4</v>
      </c>
      <c r="Z51" s="96">
        <f t="shared" si="3"/>
        <v>0.62953837752010011</v>
      </c>
      <c r="AA51" s="94">
        <f t="shared" si="4"/>
        <v>2401731.7402826981</v>
      </c>
      <c r="AB51" s="163">
        <f t="shared" si="17"/>
        <v>1.2766838073730461E-4</v>
      </c>
      <c r="AC51" s="96">
        <f t="shared" si="5"/>
        <v>0.62953837752010011</v>
      </c>
      <c r="AD51" s="94">
        <f t="shared" si="0"/>
        <v>2401731.7402826981</v>
      </c>
      <c r="AF51" s="124">
        <v>3</v>
      </c>
      <c r="AG51" s="100">
        <f t="shared" si="71"/>
        <v>51749.93</v>
      </c>
      <c r="AH51" s="131">
        <f t="shared" si="48"/>
        <v>1750.0699999999997</v>
      </c>
      <c r="AI51" s="125">
        <f t="shared" si="49"/>
        <v>-625003500.13999999</v>
      </c>
      <c r="AJ51" s="125">
        <f t="shared" si="50"/>
        <v>3062745.0048999991</v>
      </c>
      <c r="AK51" s="132">
        <f t="shared" si="51"/>
        <v>4.9003958702087402E-3</v>
      </c>
      <c r="AL51" s="126">
        <f t="shared" si="52"/>
        <v>0.50001999999999991</v>
      </c>
      <c r="AM51" s="126">
        <f t="shared" si="53"/>
        <v>1</v>
      </c>
      <c r="AN51" s="133">
        <f t="shared" si="54"/>
        <v>0.50001999999999991</v>
      </c>
      <c r="AO51" s="133">
        <f t="shared" si="55"/>
        <v>-7.1428571428571423</v>
      </c>
      <c r="AP51" s="133">
        <f t="shared" si="56"/>
        <v>-2.8571428571428568E-4</v>
      </c>
      <c r="AQ51" s="133">
        <f t="shared" si="57"/>
        <v>0</v>
      </c>
      <c r="AR51" s="133">
        <f t="shared" si="58"/>
        <v>0</v>
      </c>
      <c r="AS51" s="134">
        <f t="shared" si="59"/>
        <v>8.1676124003209747</v>
      </c>
      <c r="AT51" s="135">
        <f t="shared" si="72"/>
        <v>0</v>
      </c>
      <c r="AU51" s="135">
        <f t="shared" si="73"/>
        <v>51749.93</v>
      </c>
    </row>
    <row r="52" spans="9:47" x14ac:dyDescent="0.25">
      <c r="I52" s="170">
        <v>4</v>
      </c>
      <c r="J52" s="100">
        <f t="shared" si="74"/>
        <v>51849.934000000001</v>
      </c>
      <c r="K52" s="52">
        <f t="shared" si="60"/>
        <v>1650.0659999999989</v>
      </c>
      <c r="L52" s="53">
        <f t="shared" si="61"/>
        <v>1</v>
      </c>
      <c r="M52" s="53">
        <f t="shared" si="62"/>
        <v>-625003300.13199997</v>
      </c>
      <c r="N52" s="53">
        <f t="shared" si="63"/>
        <v>2722717.8043559962</v>
      </c>
      <c r="O52" s="101">
        <f t="shared" si="64"/>
        <v>4.3563246726989746E-3</v>
      </c>
      <c r="P52" s="102">
        <f t="shared" si="65"/>
        <v>-33349.584000000003</v>
      </c>
      <c r="Q52" s="53">
        <f t="shared" si="66"/>
        <v>-624933300.83200002</v>
      </c>
      <c r="R52" s="53">
        <f t="shared" si="67"/>
        <v>1112194752.9730561</v>
      </c>
      <c r="S52" s="101">
        <f t="shared" si="68"/>
        <v>0</v>
      </c>
      <c r="T52" s="103">
        <f t="shared" si="69"/>
        <v>6.8459371961827422</v>
      </c>
      <c r="U52" s="56">
        <f t="shared" si="75"/>
        <v>0</v>
      </c>
      <c r="V52" s="56">
        <f t="shared" si="70"/>
        <v>0</v>
      </c>
      <c r="W52" s="50"/>
      <c r="X52" s="84">
        <v>967</v>
      </c>
      <c r="Y52" s="104">
        <f t="shared" si="19"/>
        <v>1.3165801763534538E-4</v>
      </c>
      <c r="Z52" s="96">
        <f t="shared" si="3"/>
        <v>0.63078973161683816</v>
      </c>
      <c r="AA52" s="94">
        <f t="shared" si="4"/>
        <v>2385533.8898924128</v>
      </c>
      <c r="AB52" s="163">
        <f t="shared" si="17"/>
        <v>1.3165801763534538E-4</v>
      </c>
      <c r="AC52" s="96">
        <f t="shared" si="5"/>
        <v>0.63078973161683816</v>
      </c>
      <c r="AD52" s="94">
        <f t="shared" si="0"/>
        <v>2385533.8898924128</v>
      </c>
      <c r="AF52" s="124">
        <v>2</v>
      </c>
      <c r="AG52" s="100">
        <f t="shared" si="71"/>
        <v>51499.92</v>
      </c>
      <c r="AH52" s="131">
        <f t="shared" si="48"/>
        <v>2000.0800000000017</v>
      </c>
      <c r="AI52" s="125">
        <f t="shared" si="49"/>
        <v>-625004000.15999997</v>
      </c>
      <c r="AJ52" s="125">
        <f t="shared" si="50"/>
        <v>4000320.0064000068</v>
      </c>
      <c r="AK52" s="132">
        <f t="shared" si="51"/>
        <v>6.4004659652709961E-3</v>
      </c>
      <c r="AL52" s="126">
        <f t="shared" si="52"/>
        <v>0.57145142857142917</v>
      </c>
      <c r="AM52" s="126">
        <f t="shared" si="53"/>
        <v>1</v>
      </c>
      <c r="AN52" s="133">
        <f t="shared" si="54"/>
        <v>0.57145142857142917</v>
      </c>
      <c r="AO52" s="133">
        <f t="shared" si="55"/>
        <v>-7.1428571428571423</v>
      </c>
      <c r="AP52" s="133">
        <f t="shared" si="56"/>
        <v>-2.8571428571428568E-4</v>
      </c>
      <c r="AQ52" s="133">
        <f t="shared" si="57"/>
        <v>0</v>
      </c>
      <c r="AR52" s="133">
        <f t="shared" si="58"/>
        <v>0</v>
      </c>
      <c r="AS52" s="134">
        <f t="shared" si="59"/>
        <v>12.191880582854393</v>
      </c>
      <c r="AT52" s="135">
        <f t="shared" si="72"/>
        <v>0</v>
      </c>
      <c r="AU52" s="135">
        <f t="shared" si="73"/>
        <v>0</v>
      </c>
    </row>
    <row r="53" spans="9:47" x14ac:dyDescent="0.25">
      <c r="I53" s="170">
        <v>3</v>
      </c>
      <c r="J53" s="100">
        <f t="shared" si="74"/>
        <v>51824.933000000005</v>
      </c>
      <c r="K53" s="52">
        <f t="shared" si="60"/>
        <v>1675.0669999999955</v>
      </c>
      <c r="L53" s="53">
        <f t="shared" si="61"/>
        <v>1</v>
      </c>
      <c r="M53" s="53">
        <f t="shared" si="62"/>
        <v>-625003350.13399994</v>
      </c>
      <c r="N53" s="53">
        <f t="shared" si="63"/>
        <v>2805849.4544889848</v>
      </c>
      <c r="O53" s="101">
        <f t="shared" si="64"/>
        <v>4.4893622398376465E-3</v>
      </c>
      <c r="P53" s="102">
        <f t="shared" si="65"/>
        <v>-33324.583000000013</v>
      </c>
      <c r="Q53" s="53">
        <f t="shared" si="66"/>
        <v>-624933350.83399999</v>
      </c>
      <c r="R53" s="53">
        <f t="shared" si="67"/>
        <v>1110527832.1238899</v>
      </c>
      <c r="S53" s="101">
        <f t="shared" si="68"/>
        <v>0</v>
      </c>
      <c r="T53" s="103">
        <f t="shared" si="69"/>
        <v>7.1618543747898187</v>
      </c>
      <c r="U53" s="56">
        <f t="shared" si="75"/>
        <v>0</v>
      </c>
      <c r="V53" s="56">
        <f t="shared" si="70"/>
        <v>0</v>
      </c>
      <c r="W53" s="50"/>
      <c r="X53" s="84">
        <v>966</v>
      </c>
      <c r="Y53" s="104">
        <f t="shared" si="19"/>
        <v>1.3564765453338615E-4</v>
      </c>
      <c r="Z53" s="96">
        <f t="shared" si="3"/>
        <v>0.63202226515898852</v>
      </c>
      <c r="AA53" s="94">
        <f t="shared" si="4"/>
        <v>2369633.2334276312</v>
      </c>
      <c r="AB53" s="163">
        <f t="shared" si="17"/>
        <v>1.3564765453338615E-4</v>
      </c>
      <c r="AC53" s="96">
        <f t="shared" si="5"/>
        <v>0.63202226515898852</v>
      </c>
      <c r="AD53" s="94">
        <f t="shared" si="0"/>
        <v>2369633.2334276312</v>
      </c>
      <c r="AF53" s="124">
        <v>1</v>
      </c>
      <c r="AG53" s="100">
        <f t="shared" si="71"/>
        <v>51249.91</v>
      </c>
      <c r="AH53" s="131">
        <f t="shared" si="48"/>
        <v>2250.0899999999965</v>
      </c>
      <c r="AI53" s="125">
        <f t="shared" si="49"/>
        <v>-625004500.17999995</v>
      </c>
      <c r="AJ53" s="125">
        <f t="shared" si="50"/>
        <v>5062905.0080999844</v>
      </c>
      <c r="AK53" s="132">
        <f t="shared" si="51"/>
        <v>8.1005692481994629E-3</v>
      </c>
      <c r="AL53" s="126">
        <f t="shared" si="52"/>
        <v>0.6428828571428562</v>
      </c>
      <c r="AM53" s="126">
        <f t="shared" si="53"/>
        <v>1</v>
      </c>
      <c r="AN53" s="133">
        <f t="shared" si="54"/>
        <v>0.6428828571428562</v>
      </c>
      <c r="AO53" s="133">
        <f t="shared" si="55"/>
        <v>-7.1428571428571423</v>
      </c>
      <c r="AP53" s="133">
        <f t="shared" si="56"/>
        <v>-2.8571428571428568E-4</v>
      </c>
      <c r="AQ53" s="133">
        <f t="shared" si="57"/>
        <v>0</v>
      </c>
      <c r="AR53" s="133">
        <f t="shared" si="58"/>
        <v>0</v>
      </c>
      <c r="AS53" s="134">
        <f t="shared" si="59"/>
        <v>17.359132054624233</v>
      </c>
      <c r="AT53" s="135">
        <f t="shared" si="72"/>
        <v>0</v>
      </c>
      <c r="AU53" s="135">
        <f t="shared" si="73"/>
        <v>0</v>
      </c>
    </row>
    <row r="54" spans="9:47" x14ac:dyDescent="0.25">
      <c r="I54" s="170">
        <v>2</v>
      </c>
      <c r="J54" s="100">
        <f t="shared" si="74"/>
        <v>51799.932000000001</v>
      </c>
      <c r="K54" s="52">
        <f t="shared" si="60"/>
        <v>1700.0679999999993</v>
      </c>
      <c r="L54" s="53">
        <f t="shared" si="61"/>
        <v>1</v>
      </c>
      <c r="M54" s="53">
        <f t="shared" si="62"/>
        <v>-625003400.13600004</v>
      </c>
      <c r="N54" s="53">
        <f t="shared" si="63"/>
        <v>2890231.2046239977</v>
      </c>
      <c r="O54" s="101">
        <f t="shared" si="64"/>
        <v>4.6243667602539063E-3</v>
      </c>
      <c r="P54" s="102">
        <f t="shared" si="65"/>
        <v>-33299.582000000009</v>
      </c>
      <c r="Q54" s="53">
        <f t="shared" si="66"/>
        <v>-624933400.83599997</v>
      </c>
      <c r="R54" s="53">
        <f t="shared" si="67"/>
        <v>1108862161.3747246</v>
      </c>
      <c r="S54" s="101">
        <f t="shared" si="68"/>
        <v>0</v>
      </c>
      <c r="T54" s="103">
        <f t="shared" si="69"/>
        <v>7.4873440538835059</v>
      </c>
      <c r="U54" s="56">
        <f t="shared" si="75"/>
        <v>0</v>
      </c>
      <c r="V54" s="56">
        <f t="shared" si="70"/>
        <v>0</v>
      </c>
      <c r="W54" s="50"/>
      <c r="X54" s="84">
        <v>965</v>
      </c>
      <c r="Y54" s="104">
        <f t="shared" si="19"/>
        <v>1.3963729143142692E-4</v>
      </c>
      <c r="Z54" s="96">
        <f t="shared" si="3"/>
        <v>0.63323680262909732</v>
      </c>
      <c r="AA54" s="94">
        <f t="shared" si="4"/>
        <v>2354016.7515502353</v>
      </c>
      <c r="AB54" s="163">
        <f t="shared" si="17"/>
        <v>1.3963729143142692E-4</v>
      </c>
      <c r="AC54" s="96">
        <f t="shared" si="5"/>
        <v>0.63323680262909732</v>
      </c>
      <c r="AD54" s="94">
        <f t="shared" si="0"/>
        <v>2354016.7515502353</v>
      </c>
      <c r="AF54" s="124">
        <v>0</v>
      </c>
      <c r="AG54" s="100">
        <f>AU30</f>
        <v>50999.9</v>
      </c>
      <c r="AH54" s="131">
        <f t="shared" si="48"/>
        <v>2500.0999999999985</v>
      </c>
      <c r="AI54" s="125">
        <f t="shared" si="49"/>
        <v>-625005000.20000005</v>
      </c>
      <c r="AJ54" s="125">
        <f t="shared" si="50"/>
        <v>6250500.0099999923</v>
      </c>
      <c r="AK54" s="132">
        <f t="shared" si="51"/>
        <v>1.0000705718994141E-2</v>
      </c>
      <c r="AL54" s="126">
        <f t="shared" si="52"/>
        <v>0.71431428571428535</v>
      </c>
      <c r="AM54" s="126">
        <f t="shared" si="53"/>
        <v>1</v>
      </c>
      <c r="AN54" s="133">
        <f t="shared" si="54"/>
        <v>0.71431428571428535</v>
      </c>
      <c r="AO54" s="133">
        <f t="shared" si="55"/>
        <v>-7.1428571428571423</v>
      </c>
      <c r="AP54" s="133">
        <f t="shared" si="56"/>
        <v>-2.8571428571428568E-4</v>
      </c>
      <c r="AQ54" s="133">
        <f t="shared" si="57"/>
        <v>0</v>
      </c>
      <c r="AR54" s="133">
        <f t="shared" si="58"/>
        <v>0</v>
      </c>
      <c r="AS54" s="134">
        <f t="shared" si="59"/>
        <v>23.81223818777341</v>
      </c>
      <c r="AT54" s="135"/>
      <c r="AU54" s="135">
        <f t="shared" si="73"/>
        <v>0</v>
      </c>
    </row>
    <row r="55" spans="9:47" x14ac:dyDescent="0.25">
      <c r="I55" s="170">
        <v>1</v>
      </c>
      <c r="J55" s="100">
        <f t="shared" si="74"/>
        <v>51774.930999999997</v>
      </c>
      <c r="K55" s="52">
        <f t="shared" si="60"/>
        <v>1725.0690000000031</v>
      </c>
      <c r="L55" s="53">
        <f t="shared" si="61"/>
        <v>1</v>
      </c>
      <c r="M55" s="53">
        <f t="shared" si="62"/>
        <v>-625003450.13800001</v>
      </c>
      <c r="N55" s="53">
        <f t="shared" si="63"/>
        <v>2975863.0547610107</v>
      </c>
      <c r="O55" s="101">
        <f t="shared" si="64"/>
        <v>4.7613382339477539E-3</v>
      </c>
      <c r="P55" s="102">
        <f t="shared" si="65"/>
        <v>-33274.581000000006</v>
      </c>
      <c r="Q55" s="53">
        <f t="shared" si="66"/>
        <v>-624933450.83800006</v>
      </c>
      <c r="R55" s="53">
        <f t="shared" si="67"/>
        <v>1107197740.7255614</v>
      </c>
      <c r="S55" s="101">
        <f t="shared" si="68"/>
        <v>0</v>
      </c>
      <c r="T55" s="103">
        <f t="shared" si="69"/>
        <v>7.8225491051567708</v>
      </c>
      <c r="U55" s="56">
        <f t="shared" si="75"/>
        <v>0</v>
      </c>
      <c r="V55" s="56">
        <f t="shared" si="70"/>
        <v>0</v>
      </c>
      <c r="W55" s="50"/>
      <c r="X55" s="84">
        <v>964</v>
      </c>
      <c r="Y55" s="104">
        <f t="shared" si="19"/>
        <v>1.4362692832946768E-4</v>
      </c>
      <c r="Z55" s="96">
        <f t="shared" si="3"/>
        <v>0.63443411001439787</v>
      </c>
      <c r="AA55" s="94">
        <f t="shared" si="4"/>
        <v>2338672.3486168943</v>
      </c>
      <c r="AB55" s="163">
        <f t="shared" si="17"/>
        <v>1.4362692832946768E-4</v>
      </c>
      <c r="AC55" s="96">
        <f t="shared" si="5"/>
        <v>0.63443411001439787</v>
      </c>
      <c r="AD55" s="94">
        <f t="shared" si="0"/>
        <v>2338672.3486168943</v>
      </c>
    </row>
    <row r="56" spans="9:47" x14ac:dyDescent="0.25">
      <c r="I56" s="170">
        <v>0</v>
      </c>
      <c r="J56" s="56">
        <f>U32</f>
        <v>51749.93</v>
      </c>
      <c r="K56" s="52">
        <f t="shared" si="60"/>
        <v>1750.0699999999997</v>
      </c>
      <c r="L56" s="53">
        <f t="shared" si="61"/>
        <v>1</v>
      </c>
      <c r="M56" s="53">
        <f t="shared" si="62"/>
        <v>-625003500.13999999</v>
      </c>
      <c r="N56" s="53">
        <f t="shared" si="63"/>
        <v>3062745.0048999991</v>
      </c>
      <c r="O56" s="101">
        <f t="shared" si="64"/>
        <v>4.9003958702087402E-3</v>
      </c>
      <c r="P56" s="102">
        <f t="shared" si="65"/>
        <v>-33249.58</v>
      </c>
      <c r="Q56" s="53">
        <f t="shared" si="66"/>
        <v>-624933500.84000003</v>
      </c>
      <c r="R56" s="53">
        <f t="shared" si="67"/>
        <v>1105534570.1764002</v>
      </c>
      <c r="S56" s="101">
        <f t="shared" si="68"/>
        <v>0</v>
      </c>
      <c r="T56" s="103">
        <f t="shared" si="69"/>
        <v>8.1676124003209871</v>
      </c>
      <c r="U56" s="56">
        <f t="shared" si="75"/>
        <v>0</v>
      </c>
      <c r="W56" s="50"/>
      <c r="X56" s="84">
        <v>963</v>
      </c>
      <c r="Y56" s="104">
        <f t="shared" si="19"/>
        <v>1.4761656522750845E-4</v>
      </c>
      <c r="Z56" s="96">
        <f t="shared" si="3"/>
        <v>0.63561490045717373</v>
      </c>
      <c r="AA56" s="94">
        <f t="shared" si="4"/>
        <v>2323588.7634546203</v>
      </c>
      <c r="AB56" s="163">
        <f t="shared" si="17"/>
        <v>1.4761656522750845E-4</v>
      </c>
      <c r="AC56" s="96">
        <f t="shared" si="5"/>
        <v>0.63561490045717373</v>
      </c>
      <c r="AD56" s="94">
        <f t="shared" si="0"/>
        <v>2323588.7634546203</v>
      </c>
      <c r="AF56" s="105"/>
      <c r="AG56" s="121" t="s">
        <v>163</v>
      </c>
      <c r="AH56" s="122" t="s">
        <v>136</v>
      </c>
      <c r="AI56" s="122" t="s">
        <v>134</v>
      </c>
      <c r="AJ56" s="127" t="s">
        <v>135</v>
      </c>
      <c r="AK56" s="122" t="s">
        <v>164</v>
      </c>
      <c r="AL56" s="122" t="s">
        <v>146</v>
      </c>
      <c r="AM56" s="122" t="s">
        <v>149</v>
      </c>
      <c r="AN56" s="122" t="s">
        <v>157</v>
      </c>
      <c r="AO56" s="122" t="s">
        <v>158</v>
      </c>
      <c r="AP56" s="122" t="s">
        <v>159</v>
      </c>
      <c r="AQ56" s="122" t="s">
        <v>160</v>
      </c>
      <c r="AR56" s="122" t="s">
        <v>161</v>
      </c>
      <c r="AS56" s="105"/>
      <c r="AT56" s="128">
        <f>MAX(AT57:AT66)</f>
        <v>51924.937000000005</v>
      </c>
      <c r="AU56" s="128">
        <f>MAX(AU58:AU67)</f>
        <v>51899.936000000002</v>
      </c>
    </row>
    <row r="57" spans="9:47" x14ac:dyDescent="0.25">
      <c r="J57" s="56"/>
      <c r="K57" s="56"/>
      <c r="L57" s="130"/>
      <c r="M57" s="130"/>
      <c r="N57" s="130"/>
      <c r="O57" s="59"/>
      <c r="P57" s="59"/>
      <c r="Q57" s="59"/>
      <c r="R57" s="59"/>
      <c r="S57" s="59"/>
      <c r="T57" s="59"/>
      <c r="U57" s="59"/>
      <c r="V57" s="59"/>
      <c r="W57" s="50"/>
      <c r="X57" s="84">
        <v>962</v>
      </c>
      <c r="Y57" s="104">
        <f t="shared" si="19"/>
        <v>1.5160620212554922E-4</v>
      </c>
      <c r="Z57" s="96">
        <f t="shared" si="3"/>
        <v>0.63677983922218628</v>
      </c>
      <c r="AA57" s="94">
        <f t="shared" si="4"/>
        <v>2308755.4909205656</v>
      </c>
      <c r="AB57" s="163">
        <f t="shared" si="17"/>
        <v>1.5160620212554922E-4</v>
      </c>
      <c r="AC57" s="96">
        <f t="shared" si="5"/>
        <v>0.63677983922218628</v>
      </c>
      <c r="AD57" s="94">
        <f t="shared" si="0"/>
        <v>2308755.4909205656</v>
      </c>
      <c r="AF57" s="124">
        <v>10</v>
      </c>
      <c r="AG57" s="121">
        <f>AT43</f>
        <v>51999.94</v>
      </c>
      <c r="AH57" s="131">
        <f>L0+R0-KK.3</f>
        <v>1500.0599999999977</v>
      </c>
      <c r="AI57" s="125">
        <f>-(alph^2)-2*S.3*Ldif</f>
        <v>-625003000.12</v>
      </c>
      <c r="AJ57" s="125">
        <f>S.3^2</f>
        <v>2250180.003599993</v>
      </c>
      <c r="AK57" s="132">
        <f>(-b.3-SQRT(b.3^2-4*a.3*c.3))/(2*a.3)</f>
        <v>3.6002993583679199E-3</v>
      </c>
      <c r="AL57" s="126">
        <f>1-(KK.3-L0)/R0</f>
        <v>0.42858857142857087</v>
      </c>
      <c r="AM57" s="126">
        <f>1-beta*(1-f.3)</f>
        <v>1</v>
      </c>
      <c r="AN57" s="133">
        <f>f.3*j.3</f>
        <v>0.42858857142857087</v>
      </c>
      <c r="AO57" s="133">
        <f>f.3*k.3+j.3*g.3</f>
        <v>-7.1428571428571423</v>
      </c>
      <c r="AP57" s="133">
        <f>g.3*k.3+j.3*h.3+f.3*l.3</f>
        <v>-2.8571428571428568E-4</v>
      </c>
      <c r="AQ57" s="133">
        <f>g.3*l.3*h.3*k.3</f>
        <v>0</v>
      </c>
      <c r="AR57" s="133">
        <f>h.3*l.3</f>
        <v>0</v>
      </c>
      <c r="AS57" s="134">
        <f>M0*D0.3*(m.3+(n.3*D0.3^0.5)/1.5+p.3*D0.3/2+(q.3*D0.3^1.5)/2.5+(r.3*D0.3^2)/3)</f>
        <v>5.1434557929969955</v>
      </c>
      <c r="AT57" s="135">
        <f>IF(AND(AS57&lt;F,F&lt;AS58),AG57,0)</f>
        <v>0</v>
      </c>
      <c r="AU57" s="135"/>
    </row>
    <row r="58" spans="9:47" x14ac:dyDescent="0.25">
      <c r="I58" s="171"/>
      <c r="J58" s="56"/>
      <c r="K58" s="56"/>
      <c r="L58" s="130"/>
      <c r="M58" s="130"/>
      <c r="N58" s="88"/>
      <c r="O58" s="84"/>
      <c r="P58" s="84"/>
      <c r="Q58" s="84"/>
      <c r="R58" s="84"/>
      <c r="S58" s="84"/>
      <c r="T58" s="84"/>
      <c r="U58" s="136">
        <f>MAX(U60:U69)</f>
        <v>51919.936800000003</v>
      </c>
      <c r="V58" s="136">
        <f>MAX(V59:V68)</f>
        <v>51922.436900000008</v>
      </c>
      <c r="W58" s="50"/>
      <c r="X58" s="84">
        <v>961</v>
      </c>
      <c r="Y58" s="104">
        <f t="shared" si="19"/>
        <v>1.5559583902358999E-4</v>
      </c>
      <c r="Z58" s="96">
        <f t="shared" si="3"/>
        <v>0.63792954807937241</v>
      </c>
      <c r="AA58" s="94">
        <f t="shared" si="4"/>
        <v>2294162.7126951325</v>
      </c>
      <c r="AB58" s="163">
        <f t="shared" si="17"/>
        <v>1.5559583902358999E-4</v>
      </c>
      <c r="AC58" s="96">
        <f t="shared" si="5"/>
        <v>0.63792954807937241</v>
      </c>
      <c r="AD58" s="94">
        <f t="shared" si="0"/>
        <v>2294162.7126951325</v>
      </c>
      <c r="AF58" s="124">
        <v>9</v>
      </c>
      <c r="AG58" s="100">
        <f>AG$67+(AF58/10)*(AG$57-AG$67)</f>
        <v>51974.938999999998</v>
      </c>
      <c r="AH58" s="131">
        <f t="shared" ref="AH58:AH67" si="76">L0+R0-KK.3</f>
        <v>1525.0610000000015</v>
      </c>
      <c r="AI58" s="125">
        <f t="shared" ref="AI58:AI67" si="77">-(alph^2)-2*S.3*Ldif</f>
        <v>-625003050.12199998</v>
      </c>
      <c r="AJ58" s="125">
        <f t="shared" ref="AJ58:AJ67" si="78">S.3^2</f>
        <v>2325811.0537210046</v>
      </c>
      <c r="AK58" s="132">
        <f t="shared" ref="AK58:AK67" si="79">(-b.3-SQRT(b.3^2-4*a.3*c.3))/(2*a.3)</f>
        <v>3.7212967872619629E-3</v>
      </c>
      <c r="AL58" s="126">
        <f t="shared" ref="AL58:AL67" si="80">1-(KK.3-L0)/R0</f>
        <v>0.43573171428571478</v>
      </c>
      <c r="AM58" s="126">
        <f t="shared" ref="AM58:AM67" si="81">1-beta*(1-f.3)</f>
        <v>1</v>
      </c>
      <c r="AN58" s="133">
        <f t="shared" ref="AN58:AN67" si="82">f.3*j.3</f>
        <v>0.43573171428571478</v>
      </c>
      <c r="AO58" s="133">
        <f t="shared" ref="AO58:AO67" si="83">f.3*k.3+j.3*g.3</f>
        <v>-7.1428571428571423</v>
      </c>
      <c r="AP58" s="133">
        <f t="shared" ref="AP58:AP67" si="84">g.3*k.3+j.3*h.3+f.3*l.3</f>
        <v>-2.8571428571428568E-4</v>
      </c>
      <c r="AQ58" s="133">
        <f t="shared" ref="AQ58:AQ67" si="85">g.3*l.3*h.3*k.3</f>
        <v>0</v>
      </c>
      <c r="AR58" s="133">
        <f t="shared" ref="AR58:AR67" si="86">h.3*l.3</f>
        <v>0</v>
      </c>
      <c r="AS58" s="134">
        <f t="shared" ref="AS58:AS67" si="87">M0*D0.3*(m.3+(n.3*D0.3^0.5)/1.5+p.3*D0.3/2+(q.3*D0.3^1.5)/2.5+(r.3*D0.3^2)/3)</f>
        <v>5.4049382839649383</v>
      </c>
      <c r="AT58" s="135">
        <f>IF(AND(AS58&lt;F,F&lt;AS59),AG58,0)</f>
        <v>0</v>
      </c>
      <c r="AU58" s="135">
        <f>IF(AND(AS57&lt;F,F&lt;AS58),AG58,0)</f>
        <v>0</v>
      </c>
    </row>
    <row r="59" spans="9:47" x14ac:dyDescent="0.25">
      <c r="I59" s="170">
        <v>10</v>
      </c>
      <c r="J59" s="56">
        <f>V45</f>
        <v>51924.937000000005</v>
      </c>
      <c r="K59" s="52">
        <f t="shared" ref="K59:K69" si="88">L0+R0g-KK</f>
        <v>1575.0629999999946</v>
      </c>
      <c r="L59" s="53">
        <f t="shared" ref="L59:L69" si="89">Ldif^2</f>
        <v>1</v>
      </c>
      <c r="M59" s="53">
        <f t="shared" ref="M59:M69" si="90">-(alph^2)-2*S.1*Ldif</f>
        <v>-625003150.12600005</v>
      </c>
      <c r="N59" s="53">
        <f t="shared" ref="N59:N69" si="91">S.1^2</f>
        <v>2480823.4539689831</v>
      </c>
      <c r="O59" s="101">
        <f t="shared" ref="O59:O69" si="92">(-b.1-SQRT(b.1^2-4*a.1*c.1))/(2*a.1)</f>
        <v>3.9693117141723633E-3</v>
      </c>
      <c r="P59" s="102">
        <f t="shared" ref="P59:P69" si="93">L0-KK+(P0-Pcap)/g</f>
        <v>-33424.587000000014</v>
      </c>
      <c r="Q59" s="53">
        <f t="shared" ref="Q59:Q69" si="94">-(alph^2)-2*S.2*Ldif</f>
        <v>-624933150.82599998</v>
      </c>
      <c r="R59" s="53">
        <f t="shared" ref="R59:R69" si="95">S.2^2</f>
        <v>1117203016.1205699</v>
      </c>
      <c r="S59" s="101">
        <f t="shared" ref="S59:S69" si="96">IF(S.2&lt;0,0,(-b.2-SQRT(b.2^2-4*a.1*c.2))/(2*a.1))</f>
        <v>0</v>
      </c>
      <c r="T59" s="103">
        <f t="shared" ref="T59:T69" si="97">Pcap*DDc+(P0+g*(L0-KK))*(DDg-DDc)-g*((DDg^2-DDc^2)*Ldif/2+alph*(DDg^1.5-DDc^1.5)/1.5)</f>
        <v>5.9541919408025841</v>
      </c>
      <c r="U59" s="137"/>
      <c r="V59" s="137">
        <f t="shared" ref="V59:V68" si="98">IF(AND(T59&lt;F,T60&gt;F),J59,0)</f>
        <v>0</v>
      </c>
      <c r="W59" s="50"/>
      <c r="X59" s="84">
        <v>960</v>
      </c>
      <c r="Y59" s="104">
        <f t="shared" si="19"/>
        <v>1.5958547592163076E-4</v>
      </c>
      <c r="Z59" s="96">
        <f t="shared" si="3"/>
        <v>0.63906460918387153</v>
      </c>
      <c r="AA59" s="94">
        <f t="shared" si="4"/>
        <v>2279801.2360128504</v>
      </c>
      <c r="AB59" s="163">
        <f t="shared" si="17"/>
        <v>1.5958547592163076E-4</v>
      </c>
      <c r="AC59" s="96">
        <f t="shared" si="5"/>
        <v>0.63906460918387153</v>
      </c>
      <c r="AD59" s="94">
        <f t="shared" si="0"/>
        <v>2279801.2360128504</v>
      </c>
      <c r="AF59" s="124">
        <v>8</v>
      </c>
      <c r="AG59" s="100">
        <f t="shared" ref="AG59:AG66" si="99">AG$67+(AF59/10)*(AG$57-AG$67)</f>
        <v>51949.938000000002</v>
      </c>
      <c r="AH59" s="131">
        <f t="shared" si="76"/>
        <v>1550.0619999999981</v>
      </c>
      <c r="AI59" s="125">
        <f t="shared" si="77"/>
        <v>-625003100.12399995</v>
      </c>
      <c r="AJ59" s="125">
        <f t="shared" si="78"/>
        <v>2402692.2038439941</v>
      </c>
      <c r="AK59" s="132">
        <f t="shared" si="79"/>
        <v>3.8442611694335938E-3</v>
      </c>
      <c r="AL59" s="126">
        <f t="shared" si="80"/>
        <v>0.44287485714285668</v>
      </c>
      <c r="AM59" s="126">
        <f t="shared" si="81"/>
        <v>1</v>
      </c>
      <c r="AN59" s="133">
        <f t="shared" si="82"/>
        <v>0.44287485714285668</v>
      </c>
      <c r="AO59" s="133">
        <f t="shared" si="83"/>
        <v>-7.1428571428571423</v>
      </c>
      <c r="AP59" s="133">
        <f t="shared" si="84"/>
        <v>-2.8571428571428568E-4</v>
      </c>
      <c r="AQ59" s="133">
        <f t="shared" si="85"/>
        <v>0</v>
      </c>
      <c r="AR59" s="133">
        <f t="shared" si="86"/>
        <v>0</v>
      </c>
      <c r="AS59" s="134">
        <f t="shared" si="87"/>
        <v>5.6751360423180541</v>
      </c>
      <c r="AT59" s="135">
        <f t="shared" ref="AT59:AT66" si="100">IF(AND(AS59&lt;F,F&lt;AS60),AG59,0)</f>
        <v>0</v>
      </c>
      <c r="AU59" s="135">
        <f t="shared" ref="AU59:AU67" si="101">IF(AND(AS58&lt;F,F&lt;AS59),AG59,0)</f>
        <v>0</v>
      </c>
    </row>
    <row r="60" spans="9:47" x14ac:dyDescent="0.25">
      <c r="I60" s="170">
        <v>9</v>
      </c>
      <c r="J60" s="100">
        <f t="shared" ref="J60:J68" si="102">J$69+(I60/10)*(J$59-J$69)</f>
        <v>51922.436900000008</v>
      </c>
      <c r="K60" s="52">
        <f t="shared" si="88"/>
        <v>1577.5630999999921</v>
      </c>
      <c r="L60" s="53">
        <f t="shared" si="89"/>
        <v>1</v>
      </c>
      <c r="M60" s="53">
        <f t="shared" si="90"/>
        <v>-625003155.12619996</v>
      </c>
      <c r="N60" s="53">
        <f t="shared" si="91"/>
        <v>2488705.3344815853</v>
      </c>
      <c r="O60" s="101">
        <f t="shared" si="92"/>
        <v>3.9818882942199707E-3</v>
      </c>
      <c r="P60" s="102">
        <f t="shared" si="93"/>
        <v>-33422.086900000009</v>
      </c>
      <c r="Q60" s="53">
        <f t="shared" si="94"/>
        <v>-624933155.82620001</v>
      </c>
      <c r="R60" s="53">
        <f t="shared" si="95"/>
        <v>1117035892.7511523</v>
      </c>
      <c r="S60" s="101">
        <f t="shared" si="96"/>
        <v>0</v>
      </c>
      <c r="T60" s="103">
        <f t="shared" si="97"/>
        <v>5.9825902288469752</v>
      </c>
      <c r="U60" s="137">
        <f t="shared" ref="U60:U69" si="103">IF(AND(T60&gt;F,T59&lt;F),J60,0)</f>
        <v>0</v>
      </c>
      <c r="V60" s="137">
        <f t="shared" si="98"/>
        <v>51922.436900000008</v>
      </c>
      <c r="W60" s="50"/>
      <c r="X60" s="84">
        <v>959</v>
      </c>
      <c r="Y60" s="104">
        <f t="shared" si="19"/>
        <v>1.6357511281967152E-4</v>
      </c>
      <c r="Z60" s="96">
        <f t="shared" si="3"/>
        <v>0.64018556852201947</v>
      </c>
      <c r="AA60" s="94">
        <f t="shared" si="4"/>
        <v>2265662.4392468911</v>
      </c>
      <c r="AB60" s="163">
        <f t="shared" si="17"/>
        <v>1.6357511281967152E-4</v>
      </c>
      <c r="AC60" s="96">
        <f t="shared" si="5"/>
        <v>0.64018556852201947</v>
      </c>
      <c r="AD60" s="94">
        <f t="shared" si="0"/>
        <v>2265662.4392468911</v>
      </c>
      <c r="AF60" s="124">
        <v>7</v>
      </c>
      <c r="AG60" s="100">
        <f t="shared" si="99"/>
        <v>51924.937000000005</v>
      </c>
      <c r="AH60" s="131">
        <f t="shared" si="76"/>
        <v>1575.0629999999946</v>
      </c>
      <c r="AI60" s="125">
        <f t="shared" si="77"/>
        <v>-625003150.12600005</v>
      </c>
      <c r="AJ60" s="125">
        <f t="shared" si="78"/>
        <v>2480823.4539689831</v>
      </c>
      <c r="AK60" s="132">
        <f t="shared" si="79"/>
        <v>3.9693117141723633E-3</v>
      </c>
      <c r="AL60" s="126">
        <f t="shared" si="80"/>
        <v>0.45001799999999859</v>
      </c>
      <c r="AM60" s="126">
        <f t="shared" si="81"/>
        <v>1</v>
      </c>
      <c r="AN60" s="133">
        <f t="shared" si="82"/>
        <v>0.45001799999999859</v>
      </c>
      <c r="AO60" s="133">
        <f t="shared" si="83"/>
        <v>-7.1428571428571423</v>
      </c>
      <c r="AP60" s="133">
        <f t="shared" si="84"/>
        <v>-2.8571428571428568E-4</v>
      </c>
      <c r="AQ60" s="133">
        <f t="shared" si="85"/>
        <v>0</v>
      </c>
      <c r="AR60" s="133">
        <f t="shared" si="86"/>
        <v>0</v>
      </c>
      <c r="AS60" s="134">
        <f t="shared" si="87"/>
        <v>5.9541919408025752</v>
      </c>
      <c r="AT60" s="135">
        <f t="shared" si="100"/>
        <v>51924.937000000005</v>
      </c>
      <c r="AU60" s="135">
        <f t="shared" si="101"/>
        <v>0</v>
      </c>
    </row>
    <row r="61" spans="9:47" x14ac:dyDescent="0.25">
      <c r="I61" s="170">
        <v>8</v>
      </c>
      <c r="J61" s="100">
        <f t="shared" si="102"/>
        <v>51919.936800000003</v>
      </c>
      <c r="K61" s="52">
        <f t="shared" si="88"/>
        <v>1580.0631999999969</v>
      </c>
      <c r="L61" s="53">
        <f>Ldif^2</f>
        <v>1</v>
      </c>
      <c r="M61" s="53">
        <f>-(alph^2)-2*S.1*Ldif</f>
        <v>-625003160.12639999</v>
      </c>
      <c r="N61" s="53">
        <f>S.1^2</f>
        <v>2496599.71599423</v>
      </c>
      <c r="O61" s="101">
        <f t="shared" si="92"/>
        <v>3.9945244789123535E-3</v>
      </c>
      <c r="P61" s="102">
        <f t="shared" si="93"/>
        <v>-33419.586800000005</v>
      </c>
      <c r="Q61" s="53">
        <f t="shared" si="94"/>
        <v>-624933160.82640004</v>
      </c>
      <c r="R61" s="53">
        <f t="shared" si="95"/>
        <v>1116868781.8827345</v>
      </c>
      <c r="S61" s="101">
        <f t="shared" si="96"/>
        <v>0</v>
      </c>
      <c r="T61" s="103">
        <f t="shared" si="97"/>
        <v>6.0110786699934984</v>
      </c>
      <c r="U61" s="137">
        <f t="shared" si="103"/>
        <v>51919.936800000003</v>
      </c>
      <c r="V61" s="137">
        <f t="shared" si="98"/>
        <v>0</v>
      </c>
      <c r="W61" s="50"/>
      <c r="X61" s="84">
        <v>958</v>
      </c>
      <c r="Y61" s="104">
        <f t="shared" si="19"/>
        <v>1.6756474971771229E-4</v>
      </c>
      <c r="Z61" s="96">
        <f t="shared" si="3"/>
        <v>0.6412929389813008</v>
      </c>
      <c r="AA61" s="94">
        <f t="shared" si="4"/>
        <v>2251738.2234317744</v>
      </c>
      <c r="AB61" s="163">
        <f t="shared" si="17"/>
        <v>1.6756474971771229E-4</v>
      </c>
      <c r="AC61" s="96">
        <f t="shared" si="5"/>
        <v>0.6412929389813008</v>
      </c>
      <c r="AD61" s="94">
        <f t="shared" si="0"/>
        <v>2251738.2234317744</v>
      </c>
      <c r="AF61" s="124">
        <v>6</v>
      </c>
      <c r="AG61" s="100">
        <f t="shared" si="99"/>
        <v>51899.936000000002</v>
      </c>
      <c r="AH61" s="131">
        <f t="shared" si="76"/>
        <v>1600.0639999999985</v>
      </c>
      <c r="AI61" s="125">
        <f t="shared" si="77"/>
        <v>-625003200.12800002</v>
      </c>
      <c r="AJ61" s="125">
        <f t="shared" si="78"/>
        <v>2560204.8040959951</v>
      </c>
      <c r="AK61" s="132">
        <f t="shared" si="79"/>
        <v>4.0963292121887207E-3</v>
      </c>
      <c r="AL61" s="126">
        <f t="shared" si="80"/>
        <v>0.45716114285714249</v>
      </c>
      <c r="AM61" s="126">
        <f t="shared" si="81"/>
        <v>1</v>
      </c>
      <c r="AN61" s="133">
        <f t="shared" si="82"/>
        <v>0.45716114285714249</v>
      </c>
      <c r="AO61" s="133">
        <f t="shared" si="83"/>
        <v>-7.1428571428571423</v>
      </c>
      <c r="AP61" s="133">
        <f t="shared" si="84"/>
        <v>-2.8571428571428568E-4</v>
      </c>
      <c r="AQ61" s="133">
        <f t="shared" si="85"/>
        <v>0</v>
      </c>
      <c r="AR61" s="133">
        <f t="shared" si="86"/>
        <v>0</v>
      </c>
      <c r="AS61" s="134">
        <f t="shared" si="87"/>
        <v>6.2422488510356962</v>
      </c>
      <c r="AT61" s="135">
        <f t="shared" si="100"/>
        <v>0</v>
      </c>
      <c r="AU61" s="135">
        <f t="shared" si="101"/>
        <v>51899.936000000002</v>
      </c>
    </row>
    <row r="62" spans="9:47" x14ac:dyDescent="0.25">
      <c r="I62" s="170">
        <v>7</v>
      </c>
      <c r="J62" s="100">
        <f t="shared" si="102"/>
        <v>51917.436700000006</v>
      </c>
      <c r="K62" s="52">
        <f t="shared" si="88"/>
        <v>1582.5632999999943</v>
      </c>
      <c r="L62" s="53">
        <f t="shared" si="89"/>
        <v>1</v>
      </c>
      <c r="M62" s="53">
        <f t="shared" si="90"/>
        <v>-625003165.12660003</v>
      </c>
      <c r="N62" s="53">
        <f t="shared" si="91"/>
        <v>2504506.5985068721</v>
      </c>
      <c r="O62" s="101">
        <f t="shared" si="92"/>
        <v>4.0072202682495117E-3</v>
      </c>
      <c r="P62" s="102">
        <f t="shared" si="93"/>
        <v>-33417.086700000014</v>
      </c>
      <c r="Q62" s="53">
        <f t="shared" si="94"/>
        <v>-624933165.82659996</v>
      </c>
      <c r="R62" s="53">
        <f t="shared" si="95"/>
        <v>1116701683.5153179</v>
      </c>
      <c r="S62" s="101">
        <f t="shared" si="96"/>
        <v>0</v>
      </c>
      <c r="T62" s="103">
        <f t="shared" si="97"/>
        <v>6.0396574067603179</v>
      </c>
      <c r="U62" s="137">
        <f t="shared" si="103"/>
        <v>0</v>
      </c>
      <c r="V62" s="137">
        <f t="shared" si="98"/>
        <v>0</v>
      </c>
      <c r="W62" s="50"/>
      <c r="X62" s="84">
        <v>957</v>
      </c>
      <c r="Y62" s="104">
        <f t="shared" si="19"/>
        <v>1.7155438661575306E-4</v>
      </c>
      <c r="Z62" s="96">
        <f t="shared" si="3"/>
        <v>0.64238720309314412</v>
      </c>
      <c r="AA62" s="94">
        <f t="shared" si="4"/>
        <v>2238020.9689520234</v>
      </c>
      <c r="AB62" s="163">
        <f t="shared" si="17"/>
        <v>1.7155438661575306E-4</v>
      </c>
      <c r="AC62" s="96">
        <f t="shared" si="5"/>
        <v>0.64238720309314412</v>
      </c>
      <c r="AD62" s="94">
        <f t="shared" si="0"/>
        <v>2238020.9689520234</v>
      </c>
      <c r="AF62" s="124">
        <v>5</v>
      </c>
      <c r="AG62" s="100">
        <f t="shared" si="99"/>
        <v>51874.934999999998</v>
      </c>
      <c r="AH62" s="131">
        <f t="shared" si="76"/>
        <v>1625.0650000000023</v>
      </c>
      <c r="AI62" s="125">
        <f t="shared" si="77"/>
        <v>-625003250.13</v>
      </c>
      <c r="AJ62" s="125">
        <f t="shared" si="78"/>
        <v>2640836.2542250077</v>
      </c>
      <c r="AK62" s="132">
        <f t="shared" si="79"/>
        <v>4.225313663482666E-3</v>
      </c>
      <c r="AL62" s="126">
        <f t="shared" si="80"/>
        <v>0.4643042857142865</v>
      </c>
      <c r="AM62" s="126">
        <f t="shared" si="81"/>
        <v>1</v>
      </c>
      <c r="AN62" s="133">
        <f t="shared" si="82"/>
        <v>0.4643042857142865</v>
      </c>
      <c r="AO62" s="133">
        <f t="shared" si="83"/>
        <v>-7.1428571428571423</v>
      </c>
      <c r="AP62" s="133">
        <f t="shared" si="84"/>
        <v>-2.8571428571428568E-4</v>
      </c>
      <c r="AQ62" s="133">
        <f t="shared" si="85"/>
        <v>0</v>
      </c>
      <c r="AR62" s="133">
        <f t="shared" si="86"/>
        <v>0</v>
      </c>
      <c r="AS62" s="134">
        <f t="shared" si="87"/>
        <v>6.5394496455916276</v>
      </c>
      <c r="AT62" s="135">
        <f t="shared" si="100"/>
        <v>0</v>
      </c>
      <c r="AU62" s="135">
        <f t="shared" si="101"/>
        <v>0</v>
      </c>
    </row>
    <row r="63" spans="9:47" x14ac:dyDescent="0.25">
      <c r="I63" s="170">
        <v>6</v>
      </c>
      <c r="J63" s="100">
        <f t="shared" si="102"/>
        <v>51914.936600000001</v>
      </c>
      <c r="K63" s="52">
        <f t="shared" si="88"/>
        <v>1585.0633999999991</v>
      </c>
      <c r="L63" s="53">
        <f t="shared" si="89"/>
        <v>1</v>
      </c>
      <c r="M63" s="53">
        <f t="shared" si="90"/>
        <v>-625003170.12679994</v>
      </c>
      <c r="N63" s="53">
        <f t="shared" si="91"/>
        <v>2512425.9820195572</v>
      </c>
      <c r="O63" s="101">
        <f t="shared" si="92"/>
        <v>4.0198564529418945E-3</v>
      </c>
      <c r="P63" s="102">
        <f t="shared" si="93"/>
        <v>-33414.58660000001</v>
      </c>
      <c r="Q63" s="53">
        <f t="shared" si="94"/>
        <v>-624933170.82679999</v>
      </c>
      <c r="R63" s="53">
        <f t="shared" si="95"/>
        <v>1116534597.6489003</v>
      </c>
      <c r="S63" s="101">
        <f t="shared" si="96"/>
        <v>0</v>
      </c>
      <c r="T63" s="103">
        <f t="shared" si="97"/>
        <v>6.0683265827026478</v>
      </c>
      <c r="U63" s="137">
        <f t="shared" si="103"/>
        <v>0</v>
      </c>
      <c r="V63" s="137">
        <f t="shared" si="98"/>
        <v>0</v>
      </c>
      <c r="W63" s="50"/>
      <c r="X63" s="84">
        <v>956</v>
      </c>
      <c r="Y63" s="104">
        <f t="shared" si="19"/>
        <v>1.7554402351379383E-4</v>
      </c>
      <c r="Z63" s="96">
        <f t="shared" si="3"/>
        <v>0.64346881549027279</v>
      </c>
      <c r="AA63" s="94">
        <f t="shared" si="4"/>
        <v>2224503.4967384106</v>
      </c>
      <c r="AB63" s="163">
        <f t="shared" si="17"/>
        <v>1.7554402351379383E-4</v>
      </c>
      <c r="AC63" s="96">
        <f t="shared" si="5"/>
        <v>0.64346881549027279</v>
      </c>
      <c r="AD63" s="94">
        <f t="shared" si="0"/>
        <v>2224503.4967384106</v>
      </c>
      <c r="AF63" s="124">
        <v>4</v>
      </c>
      <c r="AG63" s="100">
        <f t="shared" si="99"/>
        <v>51849.934000000001</v>
      </c>
      <c r="AH63" s="131">
        <f t="shared" si="76"/>
        <v>1650.0659999999989</v>
      </c>
      <c r="AI63" s="125">
        <f t="shared" si="77"/>
        <v>-625003300.13199997</v>
      </c>
      <c r="AJ63" s="125">
        <f t="shared" si="78"/>
        <v>2722717.8043559962</v>
      </c>
      <c r="AK63" s="132">
        <f t="shared" si="79"/>
        <v>4.3563246726989746E-3</v>
      </c>
      <c r="AL63" s="126">
        <f t="shared" si="80"/>
        <v>0.4714474285714283</v>
      </c>
      <c r="AM63" s="126">
        <f t="shared" si="81"/>
        <v>1</v>
      </c>
      <c r="AN63" s="133">
        <f t="shared" si="82"/>
        <v>0.4714474285714283</v>
      </c>
      <c r="AO63" s="133">
        <f t="shared" si="83"/>
        <v>-7.1428571428571423</v>
      </c>
      <c r="AP63" s="133">
        <f t="shared" si="84"/>
        <v>-2.8571428571428568E-4</v>
      </c>
      <c r="AQ63" s="133">
        <f t="shared" si="85"/>
        <v>0</v>
      </c>
      <c r="AR63" s="133">
        <f t="shared" si="86"/>
        <v>0</v>
      </c>
      <c r="AS63" s="134">
        <f t="shared" si="87"/>
        <v>6.8459371961827413</v>
      </c>
      <c r="AT63" s="135">
        <f t="shared" si="100"/>
        <v>0</v>
      </c>
      <c r="AU63" s="135">
        <f t="shared" si="101"/>
        <v>0</v>
      </c>
    </row>
    <row r="64" spans="9:47" x14ac:dyDescent="0.25">
      <c r="I64" s="170">
        <v>5</v>
      </c>
      <c r="J64" s="100">
        <f t="shared" si="102"/>
        <v>51912.436500000003</v>
      </c>
      <c r="K64" s="52">
        <f t="shared" si="88"/>
        <v>1587.5634999999966</v>
      </c>
      <c r="L64" s="53">
        <f t="shared" si="89"/>
        <v>1</v>
      </c>
      <c r="M64" s="53">
        <f t="shared" si="90"/>
        <v>-625003175.12699997</v>
      </c>
      <c r="N64" s="53">
        <f t="shared" si="91"/>
        <v>2520357.8665322391</v>
      </c>
      <c r="O64" s="101">
        <f t="shared" si="92"/>
        <v>4.0325522422790527E-3</v>
      </c>
      <c r="P64" s="102">
        <f t="shared" si="93"/>
        <v>-33412.086500000005</v>
      </c>
      <c r="Q64" s="53">
        <f t="shared" si="94"/>
        <v>-624933175.82700002</v>
      </c>
      <c r="R64" s="53">
        <f t="shared" si="95"/>
        <v>1116367524.2834826</v>
      </c>
      <c r="S64" s="101">
        <f t="shared" si="96"/>
        <v>0</v>
      </c>
      <c r="T64" s="103">
        <f t="shared" si="97"/>
        <v>6.0970863400119431</v>
      </c>
      <c r="U64" s="137">
        <f t="shared" si="103"/>
        <v>0</v>
      </c>
      <c r="V64" s="137">
        <f t="shared" si="98"/>
        <v>0</v>
      </c>
      <c r="W64" s="50"/>
      <c r="X64" s="84">
        <v>955</v>
      </c>
      <c r="Y64" s="104">
        <f t="shared" si="19"/>
        <v>1.795336604118346E-4</v>
      </c>
      <c r="Z64" s="96">
        <f t="shared" si="3"/>
        <v>0.64453820511403104</v>
      </c>
      <c r="AA64" s="94">
        <f t="shared" si="4"/>
        <v>2211179.0334122074</v>
      </c>
      <c r="AB64" s="163">
        <f t="shared" si="17"/>
        <v>1.795336604118346E-4</v>
      </c>
      <c r="AC64" s="96">
        <f t="shared" si="5"/>
        <v>0.64453820511403104</v>
      </c>
      <c r="AD64" s="94">
        <f t="shared" si="0"/>
        <v>2211179.0334122074</v>
      </c>
      <c r="AF64" s="124">
        <v>3</v>
      </c>
      <c r="AG64" s="100">
        <f t="shared" si="99"/>
        <v>51824.933000000005</v>
      </c>
      <c r="AH64" s="131">
        <f t="shared" si="76"/>
        <v>1675.0669999999955</v>
      </c>
      <c r="AI64" s="125">
        <f t="shared" si="77"/>
        <v>-625003350.13399994</v>
      </c>
      <c r="AJ64" s="125">
        <f t="shared" si="78"/>
        <v>2805849.4544889848</v>
      </c>
      <c r="AK64" s="132">
        <f t="shared" si="79"/>
        <v>4.4893622398376465E-3</v>
      </c>
      <c r="AL64" s="126">
        <f t="shared" si="80"/>
        <v>0.4785905714285702</v>
      </c>
      <c r="AM64" s="126">
        <f t="shared" si="81"/>
        <v>1</v>
      </c>
      <c r="AN64" s="133">
        <f t="shared" si="82"/>
        <v>0.4785905714285702</v>
      </c>
      <c r="AO64" s="133">
        <f t="shared" si="83"/>
        <v>-7.1428571428571423</v>
      </c>
      <c r="AP64" s="133">
        <f t="shared" si="84"/>
        <v>-2.8571428571428568E-4</v>
      </c>
      <c r="AQ64" s="133">
        <f t="shared" si="85"/>
        <v>0</v>
      </c>
      <c r="AR64" s="133">
        <f t="shared" si="86"/>
        <v>0</v>
      </c>
      <c r="AS64" s="134">
        <f t="shared" si="87"/>
        <v>7.1618543747898018</v>
      </c>
      <c r="AT64" s="135">
        <f t="shared" si="100"/>
        <v>0</v>
      </c>
      <c r="AU64" s="135">
        <f t="shared" si="101"/>
        <v>0</v>
      </c>
    </row>
    <row r="65" spans="7:47" x14ac:dyDescent="0.25">
      <c r="I65" s="170">
        <v>4</v>
      </c>
      <c r="J65" s="100">
        <f t="shared" si="102"/>
        <v>51909.936400000006</v>
      </c>
      <c r="K65" s="52">
        <f t="shared" si="88"/>
        <v>1590.063599999994</v>
      </c>
      <c r="L65" s="53">
        <f t="shared" si="89"/>
        <v>1</v>
      </c>
      <c r="M65" s="53">
        <f t="shared" si="90"/>
        <v>-625003180.12720001</v>
      </c>
      <c r="N65" s="53">
        <f t="shared" si="91"/>
        <v>2528302.2520449408</v>
      </c>
      <c r="O65" s="101">
        <f t="shared" si="92"/>
        <v>4.0452480316162109E-3</v>
      </c>
      <c r="P65" s="102">
        <f t="shared" si="93"/>
        <v>-33409.586400000015</v>
      </c>
      <c r="Q65" s="53">
        <f t="shared" si="94"/>
        <v>-624933180.82720006</v>
      </c>
      <c r="R65" s="53">
        <f t="shared" si="95"/>
        <v>1116200463.419066</v>
      </c>
      <c r="S65" s="101">
        <f t="shared" si="96"/>
        <v>0</v>
      </c>
      <c r="T65" s="103">
        <f t="shared" si="97"/>
        <v>6.1259368217323882</v>
      </c>
      <c r="U65" s="137">
        <f t="shared" si="103"/>
        <v>0</v>
      </c>
      <c r="V65" s="137">
        <f t="shared" si="98"/>
        <v>0</v>
      </c>
      <c r="W65" s="50"/>
      <c r="X65" s="84">
        <v>954</v>
      </c>
      <c r="Y65" s="104">
        <f t="shared" si="19"/>
        <v>1.8352329730987537E-4</v>
      </c>
      <c r="Z65" s="96">
        <f t="shared" si="3"/>
        <v>0.64559577720213968</v>
      </c>
      <c r="AA65" s="94">
        <f t="shared" si="4"/>
        <v>2198041.1798967207</v>
      </c>
      <c r="AB65" s="163">
        <f t="shared" si="17"/>
        <v>1.8352329730987537E-4</v>
      </c>
      <c r="AC65" s="96">
        <f t="shared" si="5"/>
        <v>0.64559577720213968</v>
      </c>
      <c r="AD65" s="94">
        <f t="shared" si="0"/>
        <v>2198041.1798967207</v>
      </c>
      <c r="AF65" s="124">
        <v>2</v>
      </c>
      <c r="AG65" s="100">
        <f t="shared" si="99"/>
        <v>51799.932000000001</v>
      </c>
      <c r="AH65" s="131">
        <f t="shared" si="76"/>
        <v>1700.0679999999993</v>
      </c>
      <c r="AI65" s="125">
        <f t="shared" si="77"/>
        <v>-625003400.13600004</v>
      </c>
      <c r="AJ65" s="125">
        <f t="shared" si="78"/>
        <v>2890231.2046239977</v>
      </c>
      <c r="AK65" s="132">
        <f t="shared" si="79"/>
        <v>4.6243667602539063E-3</v>
      </c>
      <c r="AL65" s="126">
        <f t="shared" si="80"/>
        <v>0.4857337142857141</v>
      </c>
      <c r="AM65" s="126">
        <f t="shared" si="81"/>
        <v>1</v>
      </c>
      <c r="AN65" s="133">
        <f t="shared" si="82"/>
        <v>0.4857337142857141</v>
      </c>
      <c r="AO65" s="133">
        <f t="shared" si="83"/>
        <v>-7.1428571428571423</v>
      </c>
      <c r="AP65" s="133">
        <f t="shared" si="84"/>
        <v>-2.8571428571428568E-4</v>
      </c>
      <c r="AQ65" s="133">
        <f t="shared" si="85"/>
        <v>0</v>
      </c>
      <c r="AR65" s="133">
        <f t="shared" si="86"/>
        <v>0</v>
      </c>
      <c r="AS65" s="134">
        <f t="shared" si="87"/>
        <v>7.4873440538834934</v>
      </c>
      <c r="AT65" s="135">
        <f t="shared" si="100"/>
        <v>0</v>
      </c>
      <c r="AU65" s="135">
        <f t="shared" si="101"/>
        <v>0</v>
      </c>
    </row>
    <row r="66" spans="7:47" x14ac:dyDescent="0.25">
      <c r="I66" s="170">
        <v>3</v>
      </c>
      <c r="J66" s="100">
        <f t="shared" si="102"/>
        <v>51907.436300000001</v>
      </c>
      <c r="K66" s="52">
        <f t="shared" si="88"/>
        <v>1592.5636999999988</v>
      </c>
      <c r="L66" s="53">
        <f t="shared" si="89"/>
        <v>1</v>
      </c>
      <c r="M66" s="53">
        <f t="shared" si="90"/>
        <v>-625003185.12740004</v>
      </c>
      <c r="N66" s="53">
        <f t="shared" si="91"/>
        <v>2536259.138557686</v>
      </c>
      <c r="O66" s="101">
        <f t="shared" si="92"/>
        <v>4.0580034255981445E-3</v>
      </c>
      <c r="P66" s="102">
        <f t="shared" si="93"/>
        <v>-33407.08630000001</v>
      </c>
      <c r="Q66" s="53">
        <f t="shared" si="94"/>
        <v>-624933185.82739997</v>
      </c>
      <c r="R66" s="53">
        <f t="shared" si="95"/>
        <v>1116033415.0556483</v>
      </c>
      <c r="S66" s="101">
        <f t="shared" si="96"/>
        <v>0</v>
      </c>
      <c r="T66" s="103">
        <f t="shared" si="97"/>
        <v>6.1548781709064446</v>
      </c>
      <c r="U66" s="137">
        <f t="shared" si="103"/>
        <v>0</v>
      </c>
      <c r="V66" s="137">
        <f t="shared" si="98"/>
        <v>0</v>
      </c>
      <c r="W66" s="50"/>
      <c r="X66" s="84">
        <v>953</v>
      </c>
      <c r="Y66" s="104">
        <f t="shared" si="19"/>
        <v>1.8751293420791613E-4</v>
      </c>
      <c r="Z66" s="96">
        <f t="shared" si="3"/>
        <v>0.64664191508296265</v>
      </c>
      <c r="AA66" s="94">
        <f t="shared" si="4"/>
        <v>2185083.8830841337</v>
      </c>
      <c r="AB66" s="163">
        <f t="shared" si="17"/>
        <v>1.8751293420791613E-4</v>
      </c>
      <c r="AC66" s="96">
        <f t="shared" si="5"/>
        <v>0.64664191508296265</v>
      </c>
      <c r="AD66" s="94">
        <f t="shared" si="0"/>
        <v>2185083.8830841337</v>
      </c>
      <c r="AF66" s="124">
        <v>1</v>
      </c>
      <c r="AG66" s="100">
        <f t="shared" si="99"/>
        <v>51774.930999999997</v>
      </c>
      <c r="AH66" s="131">
        <f t="shared" si="76"/>
        <v>1725.0690000000031</v>
      </c>
      <c r="AI66" s="125">
        <f t="shared" si="77"/>
        <v>-625003450.13800001</v>
      </c>
      <c r="AJ66" s="125">
        <f t="shared" si="78"/>
        <v>2975863.0547610107</v>
      </c>
      <c r="AK66" s="132">
        <f t="shared" si="79"/>
        <v>4.7613382339477539E-3</v>
      </c>
      <c r="AL66" s="126">
        <f t="shared" si="80"/>
        <v>0.49287685714285812</v>
      </c>
      <c r="AM66" s="126">
        <f t="shared" si="81"/>
        <v>1</v>
      </c>
      <c r="AN66" s="133">
        <f t="shared" si="82"/>
        <v>0.49287685714285812</v>
      </c>
      <c r="AO66" s="133">
        <f t="shared" si="83"/>
        <v>-7.1428571428571423</v>
      </c>
      <c r="AP66" s="133">
        <f t="shared" si="84"/>
        <v>-2.8571428571428568E-4</v>
      </c>
      <c r="AQ66" s="133">
        <f t="shared" si="85"/>
        <v>0</v>
      </c>
      <c r="AR66" s="133">
        <f t="shared" si="86"/>
        <v>0</v>
      </c>
      <c r="AS66" s="134">
        <f t="shared" si="87"/>
        <v>7.822549105156785</v>
      </c>
      <c r="AT66" s="135">
        <f t="shared" si="100"/>
        <v>0</v>
      </c>
      <c r="AU66" s="135">
        <f t="shared" si="101"/>
        <v>0</v>
      </c>
    </row>
    <row r="67" spans="7:47" x14ac:dyDescent="0.25">
      <c r="G67" s="48"/>
      <c r="I67" s="170">
        <v>2</v>
      </c>
      <c r="J67" s="100">
        <f t="shared" si="102"/>
        <v>51904.936200000004</v>
      </c>
      <c r="K67" s="52">
        <f t="shared" si="88"/>
        <v>1595.0637999999963</v>
      </c>
      <c r="L67" s="53">
        <f t="shared" si="89"/>
        <v>1</v>
      </c>
      <c r="M67" s="53">
        <f t="shared" si="90"/>
        <v>-625003190.12759995</v>
      </c>
      <c r="N67" s="53">
        <f t="shared" si="91"/>
        <v>2544228.5260704281</v>
      </c>
      <c r="O67" s="101">
        <f t="shared" si="92"/>
        <v>4.0707588195800781E-3</v>
      </c>
      <c r="P67" s="102">
        <f t="shared" si="93"/>
        <v>-33404.586200000005</v>
      </c>
      <c r="Q67" s="53">
        <f t="shared" si="94"/>
        <v>-624933190.8276</v>
      </c>
      <c r="R67" s="53">
        <f t="shared" si="95"/>
        <v>1115866379.1932309</v>
      </c>
      <c r="S67" s="101">
        <f t="shared" si="96"/>
        <v>0</v>
      </c>
      <c r="T67" s="103">
        <f t="shared" si="97"/>
        <v>6.1839105302380464</v>
      </c>
      <c r="U67" s="137">
        <f t="shared" si="103"/>
        <v>0</v>
      </c>
      <c r="V67" s="137">
        <f t="shared" si="98"/>
        <v>0</v>
      </c>
      <c r="W67" s="50"/>
      <c r="X67" s="84">
        <v>952</v>
      </c>
      <c r="Y67" s="104">
        <f t="shared" si="19"/>
        <v>1.915025711059569E-4</v>
      </c>
      <c r="Z67" s="96">
        <f t="shared" si="3"/>
        <v>0.64767698179886157</v>
      </c>
      <c r="AA67" s="94">
        <f t="shared" si="4"/>
        <v>2172301.4102012967</v>
      </c>
      <c r="AB67" s="163">
        <f t="shared" si="17"/>
        <v>1.915025711059569E-4</v>
      </c>
      <c r="AC67" s="96">
        <f t="shared" si="5"/>
        <v>0.64767698179886157</v>
      </c>
      <c r="AD67" s="94">
        <f t="shared" si="0"/>
        <v>2172301.4102012967</v>
      </c>
      <c r="AF67" s="124">
        <v>0</v>
      </c>
      <c r="AG67" s="100">
        <f>AU43</f>
        <v>51749.93</v>
      </c>
      <c r="AH67" s="131">
        <f t="shared" si="76"/>
        <v>1750.0699999999997</v>
      </c>
      <c r="AI67" s="125">
        <f t="shared" si="77"/>
        <v>-625003500.13999999</v>
      </c>
      <c r="AJ67" s="125">
        <f t="shared" si="78"/>
        <v>3062745.0048999991</v>
      </c>
      <c r="AK67" s="132">
        <f t="shared" si="79"/>
        <v>4.9003958702087402E-3</v>
      </c>
      <c r="AL67" s="126">
        <f t="shared" si="80"/>
        <v>0.50001999999999991</v>
      </c>
      <c r="AM67" s="126">
        <f t="shared" si="81"/>
        <v>1</v>
      </c>
      <c r="AN67" s="133">
        <f t="shared" si="82"/>
        <v>0.50001999999999991</v>
      </c>
      <c r="AO67" s="133">
        <f t="shared" si="83"/>
        <v>-7.1428571428571423</v>
      </c>
      <c r="AP67" s="133">
        <f t="shared" si="84"/>
        <v>-2.8571428571428568E-4</v>
      </c>
      <c r="AQ67" s="133">
        <f t="shared" si="85"/>
        <v>0</v>
      </c>
      <c r="AR67" s="133">
        <f t="shared" si="86"/>
        <v>0</v>
      </c>
      <c r="AS67" s="134">
        <f t="shared" si="87"/>
        <v>8.1676124003209747</v>
      </c>
      <c r="AT67" s="135"/>
      <c r="AU67" s="135">
        <f t="shared" si="101"/>
        <v>0</v>
      </c>
    </row>
    <row r="68" spans="7:47" x14ac:dyDescent="0.25">
      <c r="G68" s="48"/>
      <c r="I68" s="170">
        <v>1</v>
      </c>
      <c r="J68" s="100">
        <f t="shared" si="102"/>
        <v>51902.436099999999</v>
      </c>
      <c r="K68" s="52">
        <f t="shared" si="88"/>
        <v>1597.563900000001</v>
      </c>
      <c r="L68" s="53">
        <f t="shared" si="89"/>
        <v>1</v>
      </c>
      <c r="M68" s="53">
        <f t="shared" si="90"/>
        <v>-625003195.12779999</v>
      </c>
      <c r="N68" s="53">
        <f t="shared" si="91"/>
        <v>2552210.4145832132</v>
      </c>
      <c r="O68" s="101">
        <f t="shared" si="92"/>
        <v>4.0835142135620117E-3</v>
      </c>
      <c r="P68" s="102">
        <f t="shared" si="93"/>
        <v>-33402.0861</v>
      </c>
      <c r="Q68" s="53">
        <f t="shared" si="94"/>
        <v>-624933195.82780004</v>
      </c>
      <c r="R68" s="53">
        <f t="shared" si="95"/>
        <v>1115699355.8318133</v>
      </c>
      <c r="S68" s="101">
        <f t="shared" si="96"/>
        <v>0</v>
      </c>
      <c r="T68" s="103">
        <f t="shared" si="97"/>
        <v>6.2130340427496247</v>
      </c>
      <c r="U68" s="137">
        <f t="shared" si="103"/>
        <v>0</v>
      </c>
      <c r="V68" s="137">
        <f t="shared" si="98"/>
        <v>0</v>
      </c>
      <c r="W68" s="50"/>
      <c r="X68" s="84">
        <v>951</v>
      </c>
      <c r="Y68" s="104">
        <f t="shared" si="19"/>
        <v>1.9549220800399767E-4</v>
      </c>
      <c r="Z68" s="96">
        <f t="shared" si="3"/>
        <v>0.64870132157807314</v>
      </c>
      <c r="AA68" s="94">
        <f t="shared" si="4"/>
        <v>2159688.3255673675</v>
      </c>
      <c r="AB68" s="163">
        <f t="shared" si="17"/>
        <v>1.9549220800399767E-4</v>
      </c>
      <c r="AC68" s="96">
        <f t="shared" si="5"/>
        <v>0.64870132157807314</v>
      </c>
      <c r="AD68" s="94">
        <f t="shared" si="0"/>
        <v>2159688.3255673675</v>
      </c>
    </row>
    <row r="69" spans="7:47" x14ac:dyDescent="0.25">
      <c r="I69" s="170">
        <v>0</v>
      </c>
      <c r="J69" s="56">
        <f>U45</f>
        <v>51899.936000000002</v>
      </c>
      <c r="K69" s="52">
        <f t="shared" si="88"/>
        <v>1600.0639999999985</v>
      </c>
      <c r="L69" s="53">
        <f t="shared" si="89"/>
        <v>1</v>
      </c>
      <c r="M69" s="53">
        <f t="shared" si="90"/>
        <v>-625003200.12800002</v>
      </c>
      <c r="N69" s="53">
        <f t="shared" si="91"/>
        <v>2560204.8040959951</v>
      </c>
      <c r="O69" s="101">
        <f t="shared" si="92"/>
        <v>4.0963292121887207E-3</v>
      </c>
      <c r="P69" s="102">
        <f t="shared" si="93"/>
        <v>-33399.58600000001</v>
      </c>
      <c r="Q69" s="53">
        <f t="shared" si="94"/>
        <v>-624933200.82799995</v>
      </c>
      <c r="R69" s="53">
        <f t="shared" si="95"/>
        <v>1115532344.9713967</v>
      </c>
      <c r="S69" s="101">
        <f t="shared" si="96"/>
        <v>0</v>
      </c>
      <c r="T69" s="103">
        <f t="shared" si="97"/>
        <v>6.242248851035697</v>
      </c>
      <c r="U69" s="137">
        <f t="shared" si="103"/>
        <v>0</v>
      </c>
      <c r="V69" s="137"/>
      <c r="W69" s="50"/>
      <c r="X69" s="84">
        <v>950</v>
      </c>
      <c r="Y69" s="104">
        <f t="shared" si="19"/>
        <v>1.9948184490203844E-4</v>
      </c>
      <c r="Z69" s="96">
        <f t="shared" si="3"/>
        <v>0.64971526117209366</v>
      </c>
      <c r="AA69" s="94">
        <f t="shared" si="4"/>
        <v>2147239.4694753541</v>
      </c>
      <c r="AB69" s="163">
        <f t="shared" si="17"/>
        <v>1.9948184490203844E-4</v>
      </c>
      <c r="AC69" s="96">
        <f t="shared" si="5"/>
        <v>0.64971526117209366</v>
      </c>
      <c r="AD69" s="94">
        <f t="shared" si="0"/>
        <v>2147239.4694753541</v>
      </c>
      <c r="AF69" s="105"/>
      <c r="AG69" s="121" t="s">
        <v>163</v>
      </c>
      <c r="AH69" s="122" t="s">
        <v>136</v>
      </c>
      <c r="AI69" s="122" t="s">
        <v>134</v>
      </c>
      <c r="AJ69" s="127" t="s">
        <v>135</v>
      </c>
      <c r="AK69" s="122" t="s">
        <v>164</v>
      </c>
      <c r="AL69" s="122" t="s">
        <v>146</v>
      </c>
      <c r="AM69" s="122" t="s">
        <v>149</v>
      </c>
      <c r="AN69" s="122" t="s">
        <v>157</v>
      </c>
      <c r="AO69" s="122" t="s">
        <v>158</v>
      </c>
      <c r="AP69" s="122" t="s">
        <v>159</v>
      </c>
      <c r="AQ69" s="122" t="s">
        <v>160</v>
      </c>
      <c r="AR69" s="122" t="s">
        <v>161</v>
      </c>
      <c r="AS69" s="105"/>
      <c r="AT69" s="128">
        <f>MAX(AT70:AT79)</f>
        <v>51922.436900000008</v>
      </c>
      <c r="AU69" s="128">
        <f>MAX(AU71:AU80)</f>
        <v>51919.936800000003</v>
      </c>
    </row>
    <row r="70" spans="7:47" x14ac:dyDescent="0.25">
      <c r="W70" s="50"/>
      <c r="X70" s="84">
        <v>949</v>
      </c>
      <c r="Y70" s="104">
        <f t="shared" si="19"/>
        <v>2.0347148180007921E-4</v>
      </c>
      <c r="Z70" s="96">
        <f t="shared" si="3"/>
        <v>0.65071911107322788</v>
      </c>
      <c r="AA70" s="94">
        <f t="shared" si="4"/>
        <v>2134949.9389658319</v>
      </c>
      <c r="AB70" s="163">
        <f t="shared" si="17"/>
        <v>2.0347148180007921E-4</v>
      </c>
      <c r="AC70" s="96">
        <f t="shared" si="5"/>
        <v>0.65071911107322788</v>
      </c>
      <c r="AD70" s="94">
        <f t="shared" si="0"/>
        <v>2134949.9389658319</v>
      </c>
      <c r="AF70" s="124">
        <v>10</v>
      </c>
      <c r="AG70" s="121">
        <f>AT56</f>
        <v>51924.937000000005</v>
      </c>
      <c r="AH70" s="131">
        <f>L0+R0-KK.3</f>
        <v>1575.0629999999946</v>
      </c>
      <c r="AI70" s="125">
        <f>-(alph^2)-2*S.3*Ldif</f>
        <v>-625003150.12600005</v>
      </c>
      <c r="AJ70" s="125">
        <f>S.3^2</f>
        <v>2480823.4539689831</v>
      </c>
      <c r="AK70" s="132">
        <f>(-b.3-SQRT(b.3^2-4*a.3*c.3))/(2*a.3)</f>
        <v>3.9693117141723633E-3</v>
      </c>
      <c r="AL70" s="126">
        <f>1-(KK.3-L0)/R0</f>
        <v>0.45001799999999859</v>
      </c>
      <c r="AM70" s="126">
        <f>1-beta*(1-f.3)</f>
        <v>1</v>
      </c>
      <c r="AN70" s="133">
        <f>f.3*j.3</f>
        <v>0.45001799999999859</v>
      </c>
      <c r="AO70" s="133">
        <f>f.3*k.3+j.3*g.3</f>
        <v>-7.1428571428571423</v>
      </c>
      <c r="AP70" s="133">
        <f>g.3*k.3+j.3*h.3+f.3*l.3</f>
        <v>-2.8571428571428568E-4</v>
      </c>
      <c r="AQ70" s="133">
        <f>g.3*l.3*h.3*k.3</f>
        <v>0</v>
      </c>
      <c r="AR70" s="133">
        <f>h.3*l.3</f>
        <v>0</v>
      </c>
      <c r="AS70" s="134">
        <f>M0*D0.3*(m.3+(n.3*D0.3^0.5)/1.5+p.3*D0.3/2+(q.3*D0.3^1.5)/2.5+(r.3*D0.3^2)/3)</f>
        <v>5.9541919408025752</v>
      </c>
      <c r="AT70" s="135">
        <f>IF(AND(AS70&lt;F,F&lt;AS71),AG70,0)</f>
        <v>0</v>
      </c>
      <c r="AU70" s="135"/>
    </row>
    <row r="71" spans="7:47" x14ac:dyDescent="0.25">
      <c r="I71" s="170">
        <v>10</v>
      </c>
      <c r="J71" s="136">
        <f>V58</f>
        <v>51922.436900000008</v>
      </c>
      <c r="K71" s="52">
        <f t="shared" ref="K71:K81" si="104">L0+R0g-KK</f>
        <v>1577.5630999999921</v>
      </c>
      <c r="L71" s="53">
        <f t="shared" ref="L71:L81" si="105">Ldif^2</f>
        <v>1</v>
      </c>
      <c r="M71" s="53">
        <f t="shared" ref="M71:M81" si="106">-(alph^2)-2*S.1*Ldif</f>
        <v>-625003155.12619996</v>
      </c>
      <c r="N71" s="53">
        <f t="shared" ref="N71:N81" si="107">S.1^2</f>
        <v>2488705.3344815853</v>
      </c>
      <c r="O71" s="101">
        <f t="shared" ref="O71:O81" si="108">(-b.1-SQRT(b.1^2-4*a.1*c.1))/(2*a.1)</f>
        <v>3.9818882942199707E-3</v>
      </c>
      <c r="P71" s="102">
        <f t="shared" ref="P71:P81" si="109">L0-KK+(P0-Pcap)/g</f>
        <v>-33422.086900000009</v>
      </c>
      <c r="Q71" s="53">
        <f t="shared" ref="Q71:Q81" si="110">-(alph^2)-2*S.2*Ldif</f>
        <v>-624933155.82620001</v>
      </c>
      <c r="R71" s="53">
        <f t="shared" ref="R71:R81" si="111">S.2^2</f>
        <v>1117035892.7511523</v>
      </c>
      <c r="S71" s="101">
        <f t="shared" ref="S71:S81" si="112">IF(S.2&lt;0,0,(-b.2-SQRT(b.2^2-4*a.1*c.2))/(2*a.1))</f>
        <v>0</v>
      </c>
      <c r="T71" s="103">
        <f t="shared" ref="T71:T81" si="113">Pcap*DDc+(P0+g*(L0-KK))*(DDg-DDc)-g*((DDg^2-DDc^2)*Ldif/2+alph*(DDg^1.5-DDc^1.5)/1.5)</f>
        <v>5.9825902288469752</v>
      </c>
      <c r="W71" s="50"/>
      <c r="X71" s="84">
        <v>948</v>
      </c>
      <c r="Y71" s="104">
        <f t="shared" si="19"/>
        <v>2.0746111869811998E-4</v>
      </c>
      <c r="Z71" s="96">
        <f t="shared" si="3"/>
        <v>0.65171316662522849</v>
      </c>
      <c r="AA71" s="94">
        <f t="shared" si="4"/>
        <v>2122815.0702889529</v>
      </c>
      <c r="AB71" s="163">
        <f t="shared" si="17"/>
        <v>2.0746111869811998E-4</v>
      </c>
      <c r="AC71" s="96">
        <f t="shared" si="5"/>
        <v>0.65171316662522849</v>
      </c>
      <c r="AD71" s="94">
        <f t="shared" si="0"/>
        <v>2122815.0702889529</v>
      </c>
      <c r="AF71" s="124">
        <v>9</v>
      </c>
      <c r="AG71" s="100">
        <f>AG$80+(AF71/10)*(AG$70-AG$80)</f>
        <v>51922.436900000008</v>
      </c>
      <c r="AH71" s="131">
        <f t="shared" ref="AH71:AH80" si="114">L0+R0-KK.3</f>
        <v>1577.5630999999921</v>
      </c>
      <c r="AI71" s="125">
        <f t="shared" ref="AI71:AI80" si="115">-(alph^2)-2*S.3*Ldif</f>
        <v>-625003155.12619996</v>
      </c>
      <c r="AJ71" s="125">
        <f t="shared" ref="AJ71:AJ80" si="116">S.3^2</f>
        <v>2488705.3344815853</v>
      </c>
      <c r="AK71" s="132">
        <f t="shared" ref="AK71:AK80" si="117">(-b.3-SQRT(b.3^2-4*a.3*c.3))/(2*a.3)</f>
        <v>3.9818882942199707E-3</v>
      </c>
      <c r="AL71" s="126">
        <f t="shared" ref="AL71:AL80" si="118">1-(KK.3-L0)/R0</f>
        <v>0.45073231428571214</v>
      </c>
      <c r="AM71" s="126">
        <f t="shared" ref="AM71:AM80" si="119">1-beta*(1-f.3)</f>
        <v>1</v>
      </c>
      <c r="AN71" s="133">
        <f t="shared" ref="AN71:AN80" si="120">f.3*j.3</f>
        <v>0.45073231428571214</v>
      </c>
      <c r="AO71" s="133">
        <f t="shared" ref="AO71:AO80" si="121">f.3*k.3+j.3*g.3</f>
        <v>-7.1428571428571423</v>
      </c>
      <c r="AP71" s="133">
        <f t="shared" ref="AP71:AP80" si="122">g.3*k.3+j.3*h.3+f.3*l.3</f>
        <v>-2.8571428571428568E-4</v>
      </c>
      <c r="AQ71" s="133">
        <f t="shared" ref="AQ71:AQ80" si="123">g.3*l.3*h.3*k.3</f>
        <v>0</v>
      </c>
      <c r="AR71" s="133">
        <f t="shared" ref="AR71:AR80" si="124">h.3*l.3</f>
        <v>0</v>
      </c>
      <c r="AS71" s="134">
        <f t="shared" ref="AS71:AS80" si="125">M0*D0.3*(m.3+(n.3*D0.3^0.5)/1.5+p.3*D0.3/2+(q.3*D0.3^1.5)/2.5+(r.3*D0.3^2)/3)</f>
        <v>5.9825902288469708</v>
      </c>
      <c r="AT71" s="135">
        <f>IF(AND(AS71&lt;F,F&lt;AS72),AG71,0)</f>
        <v>51922.436900000008</v>
      </c>
      <c r="AU71" s="135">
        <f>IF(AND(AS70&lt;F,F&lt;AS71),AG71,0)</f>
        <v>0</v>
      </c>
    </row>
    <row r="72" spans="7:47" x14ac:dyDescent="0.25">
      <c r="I72" s="170">
        <v>9</v>
      </c>
      <c r="J72" s="136">
        <f t="shared" ref="J72:J80" si="126">J$81+(I72/10)*(J$71-J$81)</f>
        <v>51922.186890000004</v>
      </c>
      <c r="K72" s="52">
        <f t="shared" si="104"/>
        <v>1577.8131099999955</v>
      </c>
      <c r="L72" s="53">
        <f t="shared" si="105"/>
        <v>1</v>
      </c>
      <c r="M72" s="53">
        <f t="shared" si="106"/>
        <v>-625003155.62621999</v>
      </c>
      <c r="N72" s="53">
        <f t="shared" si="107"/>
        <v>2489494.2100878581</v>
      </c>
      <c r="O72" s="101">
        <f t="shared" si="108"/>
        <v>3.9831399917602539E-3</v>
      </c>
      <c r="P72" s="102">
        <f t="shared" si="109"/>
        <v>-33421.836890000006</v>
      </c>
      <c r="Q72" s="53">
        <f t="shared" si="110"/>
        <v>-624933156.32622004</v>
      </c>
      <c r="R72" s="53">
        <f t="shared" si="111"/>
        <v>1117019181.1017652</v>
      </c>
      <c r="S72" s="101">
        <f t="shared" si="112"/>
        <v>0</v>
      </c>
      <c r="T72" s="103">
        <f t="shared" si="113"/>
        <v>5.985435013563654</v>
      </c>
      <c r="U72" s="137">
        <f t="shared" ref="U72:U81" si="127">IF(AND(T72&gt;F,T71&lt;F),J72+(J71-J72)*(T72-F)/(T72-T71),0)</f>
        <v>0</v>
      </c>
      <c r="W72" s="50"/>
      <c r="X72" s="84">
        <v>947</v>
      </c>
      <c r="Y72" s="104">
        <f t="shared" si="19"/>
        <v>2.1145075559616074E-4</v>
      </c>
      <c r="Z72" s="96">
        <f t="shared" si="3"/>
        <v>0.65269770903825275</v>
      </c>
      <c r="AA72" s="94">
        <f t="shared" si="4"/>
        <v>2110830.4228773681</v>
      </c>
      <c r="AB72" s="163">
        <f t="shared" si="17"/>
        <v>2.1145075559616074E-4</v>
      </c>
      <c r="AC72" s="96">
        <f t="shared" si="5"/>
        <v>0.65269770903825275</v>
      </c>
      <c r="AD72" s="94">
        <f t="shared" si="0"/>
        <v>2110830.4228773681</v>
      </c>
      <c r="AF72" s="124">
        <v>8</v>
      </c>
      <c r="AG72" s="100">
        <f t="shared" ref="AG72:AG79" si="128">AG$80+(AF72/10)*(AG$70-AG$80)</f>
        <v>51919.936800000003</v>
      </c>
      <c r="AH72" s="131">
        <f t="shared" si="114"/>
        <v>1580.0631999999969</v>
      </c>
      <c r="AI72" s="125">
        <f t="shared" si="115"/>
        <v>-625003160.12639999</v>
      </c>
      <c r="AJ72" s="125">
        <f t="shared" si="116"/>
        <v>2496599.71599423</v>
      </c>
      <c r="AK72" s="132">
        <f t="shared" si="117"/>
        <v>3.9945244789123535E-3</v>
      </c>
      <c r="AL72" s="126">
        <f t="shared" si="118"/>
        <v>0.4514466285714277</v>
      </c>
      <c r="AM72" s="126">
        <f t="shared" si="119"/>
        <v>1</v>
      </c>
      <c r="AN72" s="133">
        <f t="shared" si="120"/>
        <v>0.4514466285714277</v>
      </c>
      <c r="AO72" s="133">
        <f t="shared" si="121"/>
        <v>-7.1428571428571423</v>
      </c>
      <c r="AP72" s="133">
        <f t="shared" si="122"/>
        <v>-2.8571428571428568E-4</v>
      </c>
      <c r="AQ72" s="133">
        <f t="shared" si="123"/>
        <v>0</v>
      </c>
      <c r="AR72" s="133">
        <f t="shared" si="124"/>
        <v>0</v>
      </c>
      <c r="AS72" s="134">
        <f t="shared" si="125"/>
        <v>6.0110786699934886</v>
      </c>
      <c r="AT72" s="135">
        <f t="shared" ref="AT72:AT79" si="129">IF(AND(AS72&lt;F,F&lt;AS73),AG72,0)</f>
        <v>0</v>
      </c>
      <c r="AU72" s="135">
        <f t="shared" ref="AU72:AU80" si="130">IF(AND(AS71&lt;F,F&lt;AS72),AG72,0)</f>
        <v>51919.936800000003</v>
      </c>
    </row>
    <row r="73" spans="7:47" x14ac:dyDescent="0.25">
      <c r="I73" s="170">
        <v>8</v>
      </c>
      <c r="J73" s="136">
        <f t="shared" si="126"/>
        <v>51921.936880000008</v>
      </c>
      <c r="K73" s="52">
        <f t="shared" si="104"/>
        <v>1578.0631199999916</v>
      </c>
      <c r="L73" s="53">
        <f t="shared" si="105"/>
        <v>1</v>
      </c>
      <c r="M73" s="53">
        <f t="shared" si="106"/>
        <v>-625003156.12624002</v>
      </c>
      <c r="N73" s="53">
        <f t="shared" si="107"/>
        <v>2490283.2107041078</v>
      </c>
      <c r="O73" s="101">
        <f t="shared" si="108"/>
        <v>3.9844512939453125E-3</v>
      </c>
      <c r="P73" s="102">
        <f t="shared" si="109"/>
        <v>-33421.586880000017</v>
      </c>
      <c r="Q73" s="53">
        <f t="shared" si="110"/>
        <v>-624933156.82623994</v>
      </c>
      <c r="R73" s="53">
        <f t="shared" si="111"/>
        <v>1117002469.5773892</v>
      </c>
      <c r="S73" s="101">
        <f t="shared" si="112"/>
        <v>0</v>
      </c>
      <c r="T73" s="103">
        <f t="shared" si="113"/>
        <v>5.9882807002748049</v>
      </c>
      <c r="U73" s="137">
        <f t="shared" si="127"/>
        <v>0</v>
      </c>
      <c r="W73" s="50"/>
      <c r="X73" s="84">
        <v>946</v>
      </c>
      <c r="Y73" s="104">
        <f t="shared" si="19"/>
        <v>2.1544039249420151E-4</v>
      </c>
      <c r="Z73" s="96">
        <f t="shared" si="3"/>
        <v>0.65367300631800429</v>
      </c>
      <c r="AA73" s="94">
        <f t="shared" si="4"/>
        <v>2098991.7646741597</v>
      </c>
      <c r="AB73" s="163">
        <f t="shared" si="17"/>
        <v>2.1544039249420151E-4</v>
      </c>
      <c r="AC73" s="96">
        <f t="shared" si="5"/>
        <v>0.65367300631800429</v>
      </c>
      <c r="AD73" s="94">
        <f t="shared" si="0"/>
        <v>2098991.7646741597</v>
      </c>
      <c r="AF73" s="124">
        <v>7</v>
      </c>
      <c r="AG73" s="100">
        <f t="shared" si="128"/>
        <v>51917.436700000006</v>
      </c>
      <c r="AH73" s="131">
        <f t="shared" si="114"/>
        <v>1582.5632999999943</v>
      </c>
      <c r="AI73" s="125">
        <f t="shared" si="115"/>
        <v>-625003165.12660003</v>
      </c>
      <c r="AJ73" s="125">
        <f t="shared" si="116"/>
        <v>2504506.5985068721</v>
      </c>
      <c r="AK73" s="132">
        <f t="shared" si="117"/>
        <v>4.0072202682495117E-3</v>
      </c>
      <c r="AL73" s="126">
        <f t="shared" si="118"/>
        <v>0.45216094285714126</v>
      </c>
      <c r="AM73" s="126">
        <f t="shared" si="119"/>
        <v>1</v>
      </c>
      <c r="AN73" s="133">
        <f t="shared" si="120"/>
        <v>0.45216094285714126</v>
      </c>
      <c r="AO73" s="133">
        <f t="shared" si="121"/>
        <v>-7.1428571428571423</v>
      </c>
      <c r="AP73" s="133">
        <f t="shared" si="122"/>
        <v>-2.8571428571428568E-4</v>
      </c>
      <c r="AQ73" s="133">
        <f t="shared" si="123"/>
        <v>0</v>
      </c>
      <c r="AR73" s="133">
        <f t="shared" si="124"/>
        <v>0</v>
      </c>
      <c r="AS73" s="134">
        <f t="shared" si="125"/>
        <v>6.0396574067603144</v>
      </c>
      <c r="AT73" s="135">
        <f t="shared" si="129"/>
        <v>0</v>
      </c>
      <c r="AU73" s="135">
        <f t="shared" si="130"/>
        <v>0</v>
      </c>
    </row>
    <row r="74" spans="7:47" x14ac:dyDescent="0.25">
      <c r="I74" s="170">
        <v>7</v>
      </c>
      <c r="J74" s="136">
        <f t="shared" si="126"/>
        <v>51921.686870000005</v>
      </c>
      <c r="K74" s="52">
        <f t="shared" si="104"/>
        <v>1578.313129999995</v>
      </c>
      <c r="L74" s="53">
        <f t="shared" si="105"/>
        <v>1</v>
      </c>
      <c r="M74" s="53">
        <f t="shared" si="106"/>
        <v>-625003156.62626004</v>
      </c>
      <c r="N74" s="53">
        <f t="shared" si="107"/>
        <v>2491072.3363303812</v>
      </c>
      <c r="O74" s="101">
        <f t="shared" si="108"/>
        <v>3.9857029914855957E-3</v>
      </c>
      <c r="P74" s="102">
        <f t="shared" si="109"/>
        <v>-33421.336870000014</v>
      </c>
      <c r="Q74" s="53">
        <f t="shared" si="110"/>
        <v>-624933157.32625997</v>
      </c>
      <c r="R74" s="53">
        <f t="shared" si="111"/>
        <v>1116985758.1780224</v>
      </c>
      <c r="S74" s="101">
        <f t="shared" si="112"/>
        <v>0</v>
      </c>
      <c r="T74" s="103">
        <f t="shared" si="113"/>
        <v>5.9911272887097606</v>
      </c>
      <c r="U74" s="137">
        <f t="shared" si="127"/>
        <v>0</v>
      </c>
      <c r="W74" s="50"/>
      <c r="X74" s="84">
        <v>945</v>
      </c>
      <c r="Y74" s="104">
        <f t="shared" si="19"/>
        <v>2.1943002939224228E-4</v>
      </c>
      <c r="Z74" s="96">
        <f t="shared" si="3"/>
        <v>0.65463931411782683</v>
      </c>
      <c r="AA74" s="94">
        <f t="shared" si="4"/>
        <v>2087295.0586775895</v>
      </c>
      <c r="AB74" s="163">
        <f t="shared" si="17"/>
        <v>2.1943002939224228E-4</v>
      </c>
      <c r="AC74" s="96">
        <f t="shared" si="5"/>
        <v>0.65463931411782683</v>
      </c>
      <c r="AD74" s="94">
        <f t="shared" si="0"/>
        <v>2087295.0586775895</v>
      </c>
      <c r="AF74" s="124">
        <v>6</v>
      </c>
      <c r="AG74" s="100">
        <f t="shared" si="128"/>
        <v>51914.936600000001</v>
      </c>
      <c r="AH74" s="131">
        <f t="shared" si="114"/>
        <v>1585.0633999999991</v>
      </c>
      <c r="AI74" s="125">
        <f t="shared" si="115"/>
        <v>-625003170.12679994</v>
      </c>
      <c r="AJ74" s="125">
        <f t="shared" si="116"/>
        <v>2512425.9820195572</v>
      </c>
      <c r="AK74" s="132">
        <f t="shared" si="117"/>
        <v>4.0198564529418945E-3</v>
      </c>
      <c r="AL74" s="126">
        <f t="shared" si="118"/>
        <v>0.45287525714285692</v>
      </c>
      <c r="AM74" s="126">
        <f t="shared" si="119"/>
        <v>1</v>
      </c>
      <c r="AN74" s="133">
        <f t="shared" si="120"/>
        <v>0.45287525714285692</v>
      </c>
      <c r="AO74" s="133">
        <f t="shared" si="121"/>
        <v>-7.1428571428571423</v>
      </c>
      <c r="AP74" s="133">
        <f t="shared" si="122"/>
        <v>-2.8571428571428568E-4</v>
      </c>
      <c r="AQ74" s="133">
        <f t="shared" si="123"/>
        <v>0</v>
      </c>
      <c r="AR74" s="133">
        <f t="shared" si="124"/>
        <v>0</v>
      </c>
      <c r="AS74" s="134">
        <f t="shared" si="125"/>
        <v>6.0683265827026425</v>
      </c>
      <c r="AT74" s="135">
        <f t="shared" si="129"/>
        <v>0</v>
      </c>
      <c r="AU74" s="135">
        <f t="shared" si="130"/>
        <v>0</v>
      </c>
    </row>
    <row r="75" spans="7:47" x14ac:dyDescent="0.25">
      <c r="I75" s="170">
        <v>6</v>
      </c>
      <c r="J75" s="136">
        <f t="shared" si="126"/>
        <v>51921.436860000009</v>
      </c>
      <c r="K75" s="52">
        <f t="shared" si="104"/>
        <v>1578.5631399999911</v>
      </c>
      <c r="L75" s="53">
        <f t="shared" si="105"/>
        <v>1</v>
      </c>
      <c r="M75" s="53">
        <f t="shared" si="106"/>
        <v>-625003157.12627995</v>
      </c>
      <c r="N75" s="53">
        <f t="shared" si="107"/>
        <v>2491861.5869666315</v>
      </c>
      <c r="O75" s="101">
        <f t="shared" si="108"/>
        <v>3.9869546890258789E-3</v>
      </c>
      <c r="P75" s="102">
        <f t="shared" si="109"/>
        <v>-33421.08686000001</v>
      </c>
      <c r="Q75" s="53">
        <f t="shared" si="110"/>
        <v>-624933157.82628</v>
      </c>
      <c r="R75" s="53">
        <f t="shared" si="111"/>
        <v>1116969046.9036653</v>
      </c>
      <c r="S75" s="101">
        <f t="shared" si="112"/>
        <v>0</v>
      </c>
      <c r="T75" s="103">
        <f t="shared" si="113"/>
        <v>5.9939747790356268</v>
      </c>
      <c r="U75" s="137">
        <f t="shared" si="127"/>
        <v>0</v>
      </c>
      <c r="W75" s="50"/>
      <c r="X75" s="84">
        <v>944</v>
      </c>
      <c r="Y75" s="104">
        <f t="shared" si="19"/>
        <v>2.2341966629028305E-4</v>
      </c>
      <c r="Z75" s="96">
        <f t="shared" si="3"/>
        <v>0.65559687652133281</v>
      </c>
      <c r="AA75" s="94">
        <f t="shared" si="4"/>
        <v>2075736.4505825865</v>
      </c>
      <c r="AB75" s="163">
        <f t="shared" si="17"/>
        <v>2.2341966629028305E-4</v>
      </c>
      <c r="AC75" s="96">
        <f t="shared" si="5"/>
        <v>0.65559687652133281</v>
      </c>
      <c r="AD75" s="94">
        <f t="shared" si="0"/>
        <v>2075736.4505825865</v>
      </c>
      <c r="AF75" s="124">
        <v>5</v>
      </c>
      <c r="AG75" s="100">
        <f t="shared" si="128"/>
        <v>51912.436500000003</v>
      </c>
      <c r="AH75" s="131">
        <f t="shared" si="114"/>
        <v>1587.5634999999966</v>
      </c>
      <c r="AI75" s="125">
        <f t="shared" si="115"/>
        <v>-625003175.12699997</v>
      </c>
      <c r="AJ75" s="125">
        <f t="shared" si="116"/>
        <v>2520357.8665322391</v>
      </c>
      <c r="AK75" s="132">
        <f t="shared" si="117"/>
        <v>4.0325522422790527E-3</v>
      </c>
      <c r="AL75" s="126">
        <f t="shared" si="118"/>
        <v>0.45358957142857048</v>
      </c>
      <c r="AM75" s="126">
        <f t="shared" si="119"/>
        <v>1</v>
      </c>
      <c r="AN75" s="133">
        <f t="shared" si="120"/>
        <v>0.45358957142857048</v>
      </c>
      <c r="AO75" s="133">
        <f t="shared" si="121"/>
        <v>-7.1428571428571423</v>
      </c>
      <c r="AP75" s="133">
        <f t="shared" si="122"/>
        <v>-2.8571428571428568E-4</v>
      </c>
      <c r="AQ75" s="133">
        <f t="shared" si="123"/>
        <v>0</v>
      </c>
      <c r="AR75" s="133">
        <f t="shared" si="124"/>
        <v>0</v>
      </c>
      <c r="AS75" s="134">
        <f t="shared" si="125"/>
        <v>6.0970863400119324</v>
      </c>
      <c r="AT75" s="135">
        <f t="shared" si="129"/>
        <v>0</v>
      </c>
      <c r="AU75" s="135">
        <f t="shared" si="130"/>
        <v>0</v>
      </c>
    </row>
    <row r="76" spans="7:47" x14ac:dyDescent="0.25">
      <c r="I76" s="170">
        <v>5</v>
      </c>
      <c r="J76" s="136">
        <f t="shared" si="126"/>
        <v>51921.186850000006</v>
      </c>
      <c r="K76" s="52">
        <f t="shared" si="104"/>
        <v>1578.8131499999945</v>
      </c>
      <c r="L76" s="53">
        <f t="shared" si="105"/>
        <v>1</v>
      </c>
      <c r="M76" s="53">
        <f t="shared" si="106"/>
        <v>-625003157.62629998</v>
      </c>
      <c r="N76" s="53">
        <f t="shared" si="107"/>
        <v>2492650.9626129051</v>
      </c>
      <c r="O76" s="101">
        <f t="shared" si="108"/>
        <v>3.9882063865661621E-3</v>
      </c>
      <c r="P76" s="102">
        <f t="shared" si="109"/>
        <v>-33420.836850000007</v>
      </c>
      <c r="Q76" s="53">
        <f t="shared" si="110"/>
        <v>-624933158.32630002</v>
      </c>
      <c r="R76" s="53">
        <f t="shared" si="111"/>
        <v>1116952335.7543185</v>
      </c>
      <c r="S76" s="101">
        <f t="shared" si="112"/>
        <v>0</v>
      </c>
      <c r="T76" s="103">
        <f t="shared" si="113"/>
        <v>5.9968231713916929</v>
      </c>
      <c r="U76" s="137">
        <f t="shared" si="127"/>
        <v>0</v>
      </c>
      <c r="W76" s="50"/>
      <c r="X76" s="84">
        <v>943</v>
      </c>
      <c r="Y76" s="104">
        <f t="shared" si="19"/>
        <v>2.2740930318832382E-4</v>
      </c>
      <c r="Z76" s="96">
        <f t="shared" si="3"/>
        <v>0.65654592676244117</v>
      </c>
      <c r="AA76" s="94">
        <f t="shared" si="4"/>
        <v>2064312.2574107323</v>
      </c>
      <c r="AB76" s="163">
        <f t="shared" si="17"/>
        <v>2.2740930318832382E-4</v>
      </c>
      <c r="AC76" s="96">
        <f t="shared" si="5"/>
        <v>0.65654592676244117</v>
      </c>
      <c r="AD76" s="94">
        <f t="shared" si="0"/>
        <v>2064312.2574107323</v>
      </c>
      <c r="AF76" s="124">
        <v>4</v>
      </c>
      <c r="AG76" s="100">
        <f t="shared" si="128"/>
        <v>51909.936400000006</v>
      </c>
      <c r="AH76" s="131">
        <f t="shared" si="114"/>
        <v>1590.063599999994</v>
      </c>
      <c r="AI76" s="125">
        <f t="shared" si="115"/>
        <v>-625003180.12720001</v>
      </c>
      <c r="AJ76" s="125">
        <f t="shared" si="116"/>
        <v>2528302.2520449408</v>
      </c>
      <c r="AK76" s="132">
        <f t="shared" si="117"/>
        <v>4.0452480316162109E-3</v>
      </c>
      <c r="AL76" s="126">
        <f t="shared" si="118"/>
        <v>0.45430388571428404</v>
      </c>
      <c r="AM76" s="126">
        <f t="shared" si="119"/>
        <v>1</v>
      </c>
      <c r="AN76" s="133">
        <f t="shared" si="120"/>
        <v>0.45430388571428404</v>
      </c>
      <c r="AO76" s="133">
        <f t="shared" si="121"/>
        <v>-7.1428571428571423</v>
      </c>
      <c r="AP76" s="133">
        <f t="shared" si="122"/>
        <v>-2.8571428571428568E-4</v>
      </c>
      <c r="AQ76" s="133">
        <f t="shared" si="123"/>
        <v>0</v>
      </c>
      <c r="AR76" s="133">
        <f t="shared" si="124"/>
        <v>0</v>
      </c>
      <c r="AS76" s="134">
        <f t="shared" si="125"/>
        <v>6.1259368217323784</v>
      </c>
      <c r="AT76" s="135">
        <f t="shared" si="129"/>
        <v>0</v>
      </c>
      <c r="AU76" s="135">
        <f t="shared" si="130"/>
        <v>0</v>
      </c>
    </row>
    <row r="77" spans="7:47" x14ac:dyDescent="0.25">
      <c r="I77" s="170">
        <v>4</v>
      </c>
      <c r="J77" s="136">
        <f t="shared" si="126"/>
        <v>51920.936840000002</v>
      </c>
      <c r="K77" s="52">
        <f t="shared" si="104"/>
        <v>1579.0631599999979</v>
      </c>
      <c r="L77" s="53">
        <f t="shared" si="105"/>
        <v>1</v>
      </c>
      <c r="M77" s="53">
        <f t="shared" si="106"/>
        <v>-625003158.12632</v>
      </c>
      <c r="N77" s="53">
        <f t="shared" si="107"/>
        <v>2493440.4632691788</v>
      </c>
      <c r="O77" s="101">
        <f t="shared" si="108"/>
        <v>3.9894580841064453E-3</v>
      </c>
      <c r="P77" s="102">
        <f t="shared" si="109"/>
        <v>-33420.586840000004</v>
      </c>
      <c r="Q77" s="53">
        <f t="shared" si="110"/>
        <v>-624933158.82632005</v>
      </c>
      <c r="R77" s="53">
        <f t="shared" si="111"/>
        <v>1116935624.7299814</v>
      </c>
      <c r="S77" s="101">
        <f t="shared" si="112"/>
        <v>0</v>
      </c>
      <c r="T77" s="103">
        <f t="shared" si="113"/>
        <v>5.9996724659169391</v>
      </c>
      <c r="U77" s="137">
        <f t="shared" si="127"/>
        <v>0</v>
      </c>
      <c r="W77" s="50"/>
      <c r="X77" s="84">
        <v>942</v>
      </c>
      <c r="Y77" s="104">
        <f t="shared" si="19"/>
        <v>2.3139894008636458E-4</v>
      </c>
      <c r="Z77" s="96">
        <f t="shared" si="3"/>
        <v>0.6574866878887945</v>
      </c>
      <c r="AA77" s="94">
        <f t="shared" si="4"/>
        <v>2053018.9570342926</v>
      </c>
      <c r="AB77" s="163">
        <f t="shared" si="17"/>
        <v>2.3139894008636458E-4</v>
      </c>
      <c r="AC77" s="96">
        <f t="shared" si="5"/>
        <v>0.6574866878887945</v>
      </c>
      <c r="AD77" s="94">
        <f t="shared" si="0"/>
        <v>2053018.9570342926</v>
      </c>
      <c r="AF77" s="124">
        <v>3</v>
      </c>
      <c r="AG77" s="100">
        <f t="shared" si="128"/>
        <v>51907.436300000001</v>
      </c>
      <c r="AH77" s="131">
        <f t="shared" si="114"/>
        <v>1592.5636999999988</v>
      </c>
      <c r="AI77" s="125">
        <f t="shared" si="115"/>
        <v>-625003185.12740004</v>
      </c>
      <c r="AJ77" s="125">
        <f t="shared" si="116"/>
        <v>2536259.138557686</v>
      </c>
      <c r="AK77" s="132">
        <f t="shared" si="117"/>
        <v>4.0580034255981445E-3</v>
      </c>
      <c r="AL77" s="126">
        <f t="shared" si="118"/>
        <v>0.45501819999999971</v>
      </c>
      <c r="AM77" s="126">
        <f t="shared" si="119"/>
        <v>1</v>
      </c>
      <c r="AN77" s="133">
        <f t="shared" si="120"/>
        <v>0.45501819999999971</v>
      </c>
      <c r="AO77" s="133">
        <f t="shared" si="121"/>
        <v>-7.1428571428571423</v>
      </c>
      <c r="AP77" s="133">
        <f t="shared" si="122"/>
        <v>-2.8571428571428568E-4</v>
      </c>
      <c r="AQ77" s="133">
        <f t="shared" si="123"/>
        <v>0</v>
      </c>
      <c r="AR77" s="133">
        <f t="shared" si="124"/>
        <v>0</v>
      </c>
      <c r="AS77" s="134">
        <f t="shared" si="125"/>
        <v>6.1548781709064606</v>
      </c>
      <c r="AT77" s="135">
        <f t="shared" si="129"/>
        <v>0</v>
      </c>
      <c r="AU77" s="135">
        <f t="shared" si="130"/>
        <v>0</v>
      </c>
    </row>
    <row r="78" spans="7:47" x14ac:dyDescent="0.25">
      <c r="I78" s="170">
        <v>3</v>
      </c>
      <c r="J78" s="136">
        <f t="shared" si="126"/>
        <v>51920.686830000006</v>
      </c>
      <c r="K78" s="52">
        <f t="shared" si="104"/>
        <v>1579.313169999994</v>
      </c>
      <c r="L78" s="53">
        <f t="shared" si="105"/>
        <v>1</v>
      </c>
      <c r="M78" s="53">
        <f t="shared" si="106"/>
        <v>-625003158.62634003</v>
      </c>
      <c r="N78" s="53">
        <f t="shared" si="107"/>
        <v>2494230.0889354297</v>
      </c>
      <c r="O78" s="101">
        <f t="shared" si="108"/>
        <v>3.9907693862915039E-3</v>
      </c>
      <c r="P78" s="102">
        <f t="shared" si="109"/>
        <v>-33420.336830000015</v>
      </c>
      <c r="Q78" s="53">
        <f t="shared" si="110"/>
        <v>-624933159.32633996</v>
      </c>
      <c r="R78" s="53">
        <f t="shared" si="111"/>
        <v>1116918913.8306553</v>
      </c>
      <c r="S78" s="101">
        <f t="shared" si="112"/>
        <v>0</v>
      </c>
      <c r="T78" s="103">
        <f t="shared" si="113"/>
        <v>6.0025226630330231</v>
      </c>
      <c r="U78" s="137">
        <f t="shared" si="127"/>
        <v>51920.908109777927</v>
      </c>
      <c r="W78" s="50"/>
      <c r="X78" s="84">
        <v>941</v>
      </c>
      <c r="Y78" s="104">
        <f t="shared" si="19"/>
        <v>2.3538857698440535E-4</v>
      </c>
      <c r="Z78" s="96">
        <f t="shared" si="3"/>
        <v>0.65841937337391665</v>
      </c>
      <c r="AA78" s="94">
        <f t="shared" si="4"/>
        <v>2041853.1785096866</v>
      </c>
      <c r="AB78" s="163">
        <f t="shared" si="17"/>
        <v>2.3538857698440535E-4</v>
      </c>
      <c r="AC78" s="96">
        <f t="shared" si="5"/>
        <v>0.65841937337391665</v>
      </c>
      <c r="AD78" s="94">
        <f t="shared" si="0"/>
        <v>2041853.1785096866</v>
      </c>
      <c r="AF78" s="124">
        <v>2</v>
      </c>
      <c r="AG78" s="100">
        <f t="shared" si="128"/>
        <v>51904.936200000004</v>
      </c>
      <c r="AH78" s="131">
        <f t="shared" si="114"/>
        <v>1595.0637999999963</v>
      </c>
      <c r="AI78" s="125">
        <f t="shared" si="115"/>
        <v>-625003190.12759995</v>
      </c>
      <c r="AJ78" s="125">
        <f t="shared" si="116"/>
        <v>2544228.5260704281</v>
      </c>
      <c r="AK78" s="132">
        <f t="shared" si="117"/>
        <v>4.0707588195800781E-3</v>
      </c>
      <c r="AL78" s="126">
        <f t="shared" si="118"/>
        <v>0.45573251428571326</v>
      </c>
      <c r="AM78" s="126">
        <f t="shared" si="119"/>
        <v>1</v>
      </c>
      <c r="AN78" s="133">
        <f t="shared" si="120"/>
        <v>0.45573251428571326</v>
      </c>
      <c r="AO78" s="133">
        <f t="shared" si="121"/>
        <v>-7.1428571428571423</v>
      </c>
      <c r="AP78" s="133">
        <f t="shared" si="122"/>
        <v>-2.8571428571428568E-4</v>
      </c>
      <c r="AQ78" s="133">
        <f t="shared" si="123"/>
        <v>0</v>
      </c>
      <c r="AR78" s="133">
        <f t="shared" si="124"/>
        <v>0</v>
      </c>
      <c r="AS78" s="134">
        <f t="shared" si="125"/>
        <v>6.1839105302380304</v>
      </c>
      <c r="AT78" s="135">
        <f t="shared" si="129"/>
        <v>0</v>
      </c>
      <c r="AU78" s="135">
        <f t="shared" si="130"/>
        <v>0</v>
      </c>
    </row>
    <row r="79" spans="7:47" x14ac:dyDescent="0.25">
      <c r="I79" s="170">
        <v>2</v>
      </c>
      <c r="J79" s="136">
        <f t="shared" si="126"/>
        <v>51920.436820000003</v>
      </c>
      <c r="K79" s="52">
        <f t="shared" si="104"/>
        <v>1579.5631799999974</v>
      </c>
      <c r="L79" s="53">
        <f t="shared" si="105"/>
        <v>1</v>
      </c>
      <c r="M79" s="53">
        <f t="shared" si="106"/>
        <v>-625003159.12636006</v>
      </c>
      <c r="N79" s="53">
        <f t="shared" si="107"/>
        <v>2495019.839611704</v>
      </c>
      <c r="O79" s="101">
        <f t="shared" si="108"/>
        <v>3.9920210838317871E-3</v>
      </c>
      <c r="P79" s="102">
        <f t="shared" si="109"/>
        <v>-33420.086820000011</v>
      </c>
      <c r="Q79" s="53">
        <f t="shared" si="110"/>
        <v>-624933159.82635999</v>
      </c>
      <c r="R79" s="53">
        <f t="shared" si="111"/>
        <v>1116902203.0563385</v>
      </c>
      <c r="S79" s="101">
        <f t="shared" si="112"/>
        <v>0</v>
      </c>
      <c r="T79" s="103">
        <f t="shared" si="113"/>
        <v>6.0053737627143082</v>
      </c>
      <c r="U79" s="137">
        <f t="shared" si="127"/>
        <v>0</v>
      </c>
      <c r="W79" s="50"/>
      <c r="X79" s="84">
        <v>940</v>
      </c>
      <c r="Y79" s="104">
        <f t="shared" si="19"/>
        <v>2.3937821388244612E-4</v>
      </c>
      <c r="Z79" s="96">
        <f t="shared" si="3"/>
        <v>0.65934418768284997</v>
      </c>
      <c r="AA79" s="94">
        <f t="shared" si="4"/>
        <v>2030811.6931455049</v>
      </c>
      <c r="AB79" s="163">
        <f t="shared" si="17"/>
        <v>2.3937821388244612E-4</v>
      </c>
      <c r="AC79" s="96">
        <f t="shared" si="5"/>
        <v>0.65934418768284997</v>
      </c>
      <c r="AD79" s="94">
        <f t="shared" si="0"/>
        <v>2030811.6931455049</v>
      </c>
      <c r="AF79" s="124">
        <v>1</v>
      </c>
      <c r="AG79" s="100">
        <f t="shared" si="128"/>
        <v>51902.436099999999</v>
      </c>
      <c r="AH79" s="131">
        <f t="shared" si="114"/>
        <v>1597.563900000001</v>
      </c>
      <c r="AI79" s="125">
        <f t="shared" si="115"/>
        <v>-625003195.12779999</v>
      </c>
      <c r="AJ79" s="125">
        <f t="shared" si="116"/>
        <v>2552210.4145832132</v>
      </c>
      <c r="AK79" s="132">
        <f t="shared" si="117"/>
        <v>4.0835142135620117E-3</v>
      </c>
      <c r="AL79" s="126">
        <f t="shared" si="118"/>
        <v>0.45644682857142893</v>
      </c>
      <c r="AM79" s="126">
        <f t="shared" si="119"/>
        <v>1</v>
      </c>
      <c r="AN79" s="133">
        <f t="shared" si="120"/>
        <v>0.45644682857142893</v>
      </c>
      <c r="AO79" s="133">
        <f t="shared" si="121"/>
        <v>-7.1428571428571423</v>
      </c>
      <c r="AP79" s="133">
        <f t="shared" si="122"/>
        <v>-2.8571428571428568E-4</v>
      </c>
      <c r="AQ79" s="133">
        <f t="shared" si="123"/>
        <v>0</v>
      </c>
      <c r="AR79" s="133">
        <f t="shared" si="124"/>
        <v>0</v>
      </c>
      <c r="AS79" s="134">
        <f t="shared" si="125"/>
        <v>6.2130340427496309</v>
      </c>
      <c r="AT79" s="135">
        <f t="shared" si="129"/>
        <v>0</v>
      </c>
      <c r="AU79" s="135">
        <f t="shared" si="130"/>
        <v>0</v>
      </c>
    </row>
    <row r="80" spans="7:47" x14ac:dyDescent="0.25">
      <c r="I80" s="170">
        <v>1</v>
      </c>
      <c r="J80" s="136">
        <f t="shared" si="126"/>
        <v>51920.186810000007</v>
      </c>
      <c r="K80" s="52">
        <f t="shared" si="104"/>
        <v>1579.8131899999935</v>
      </c>
      <c r="L80" s="53">
        <f t="shared" si="105"/>
        <v>1</v>
      </c>
      <c r="M80" s="53">
        <f t="shared" si="106"/>
        <v>-625003159.62637997</v>
      </c>
      <c r="N80" s="53">
        <f t="shared" si="107"/>
        <v>2495809.7152979556</v>
      </c>
      <c r="O80" s="101">
        <f t="shared" si="108"/>
        <v>3.9932727813720703E-3</v>
      </c>
      <c r="P80" s="102">
        <f t="shared" si="109"/>
        <v>-33419.836810000008</v>
      </c>
      <c r="Q80" s="53">
        <f t="shared" si="110"/>
        <v>-624933160.32638001</v>
      </c>
      <c r="R80" s="53">
        <f t="shared" si="111"/>
        <v>1116885492.4070315</v>
      </c>
      <c r="S80" s="101">
        <f t="shared" si="112"/>
        <v>0</v>
      </c>
      <c r="T80" s="103">
        <f t="shared" si="113"/>
        <v>6.0082257649881399</v>
      </c>
      <c r="U80" s="137">
        <f t="shared" si="127"/>
        <v>0</v>
      </c>
      <c r="W80" s="50"/>
      <c r="X80" s="84">
        <v>939</v>
      </c>
      <c r="Y80" s="104">
        <f t="shared" si="19"/>
        <v>2.4336785078048689E-4</v>
      </c>
      <c r="Z80" s="96">
        <f t="shared" si="3"/>
        <v>0.66026132679558314</v>
      </c>
      <c r="AA80" s="94">
        <f t="shared" si="4"/>
        <v>2019891.4062372076</v>
      </c>
      <c r="AB80" s="163">
        <f t="shared" si="17"/>
        <v>2.4336785078048689E-4</v>
      </c>
      <c r="AC80" s="96">
        <f t="shared" si="5"/>
        <v>0.66026132679558314</v>
      </c>
      <c r="AD80" s="94">
        <f t="shared" si="0"/>
        <v>2019891.4062372076</v>
      </c>
      <c r="AF80" s="124">
        <v>0</v>
      </c>
      <c r="AG80" s="100">
        <f>AU56</f>
        <v>51899.936000000002</v>
      </c>
      <c r="AH80" s="131">
        <f t="shared" si="114"/>
        <v>1600.0639999999985</v>
      </c>
      <c r="AI80" s="125">
        <f t="shared" si="115"/>
        <v>-625003200.12800002</v>
      </c>
      <c r="AJ80" s="125">
        <f t="shared" si="116"/>
        <v>2560204.8040959951</v>
      </c>
      <c r="AK80" s="132">
        <f t="shared" si="117"/>
        <v>4.0963292121887207E-3</v>
      </c>
      <c r="AL80" s="126">
        <f t="shared" si="118"/>
        <v>0.45716114285714249</v>
      </c>
      <c r="AM80" s="126">
        <f t="shared" si="119"/>
        <v>1</v>
      </c>
      <c r="AN80" s="133">
        <f t="shared" si="120"/>
        <v>0.45716114285714249</v>
      </c>
      <c r="AO80" s="133">
        <f t="shared" si="121"/>
        <v>-7.1428571428571423</v>
      </c>
      <c r="AP80" s="133">
        <f t="shared" si="122"/>
        <v>-2.8571428571428568E-4</v>
      </c>
      <c r="AQ80" s="133">
        <f t="shared" si="123"/>
        <v>0</v>
      </c>
      <c r="AR80" s="133">
        <f t="shared" si="124"/>
        <v>0</v>
      </c>
      <c r="AS80" s="134">
        <f t="shared" si="125"/>
        <v>6.2422488510356962</v>
      </c>
      <c r="AT80" s="135"/>
      <c r="AU80" s="135">
        <f t="shared" si="130"/>
        <v>0</v>
      </c>
    </row>
    <row r="81" spans="9:48" x14ac:dyDescent="0.25">
      <c r="I81" s="170">
        <v>0</v>
      </c>
      <c r="J81" s="136">
        <f>U58</f>
        <v>51919.936800000003</v>
      </c>
      <c r="K81" s="52">
        <f t="shared" si="104"/>
        <v>1580.0631999999969</v>
      </c>
      <c r="L81" s="53">
        <f t="shared" si="105"/>
        <v>1</v>
      </c>
      <c r="M81" s="53">
        <f t="shared" si="106"/>
        <v>-625003160.12639999</v>
      </c>
      <c r="N81" s="53">
        <f t="shared" si="107"/>
        <v>2496599.71599423</v>
      </c>
      <c r="O81" s="101">
        <f t="shared" si="108"/>
        <v>3.9945244789123535E-3</v>
      </c>
      <c r="P81" s="102">
        <f t="shared" si="109"/>
        <v>-33419.586800000005</v>
      </c>
      <c r="Q81" s="53">
        <f t="shared" si="110"/>
        <v>-624933160.82640004</v>
      </c>
      <c r="R81" s="53">
        <f t="shared" si="111"/>
        <v>1116868781.8827345</v>
      </c>
      <c r="S81" s="101">
        <f t="shared" si="112"/>
        <v>0</v>
      </c>
      <c r="T81" s="103">
        <f t="shared" si="113"/>
        <v>6.0110786699934984</v>
      </c>
      <c r="U81" s="137">
        <f t="shared" si="127"/>
        <v>0</v>
      </c>
      <c r="W81" s="50"/>
      <c r="X81" s="84">
        <v>938</v>
      </c>
      <c r="Y81" s="104">
        <f t="shared" si="19"/>
        <v>2.4735748767852768E-4</v>
      </c>
      <c r="Z81" s="96">
        <f t="shared" si="3"/>
        <v>0.66117097869195274</v>
      </c>
      <c r="AA81" s="94">
        <f t="shared" si="4"/>
        <v>2009089.34940996</v>
      </c>
      <c r="AB81" s="163">
        <f t="shared" si="17"/>
        <v>2.4735748767852768E-4</v>
      </c>
      <c r="AC81" s="96">
        <f t="shared" si="5"/>
        <v>0.66117097869195274</v>
      </c>
      <c r="AD81" s="94">
        <f t="shared" si="0"/>
        <v>2009089.34940996</v>
      </c>
    </row>
    <row r="82" spans="9:48" x14ac:dyDescent="0.25">
      <c r="J82" s="56" t="s">
        <v>49</v>
      </c>
      <c r="K82" s="56"/>
      <c r="L82" s="130"/>
      <c r="M82" s="130"/>
      <c r="N82" s="130"/>
      <c r="O82" s="59"/>
      <c r="P82" s="59"/>
      <c r="Q82" s="59"/>
      <c r="R82" s="59"/>
      <c r="S82" s="59"/>
      <c r="T82" s="59"/>
      <c r="U82" s="59"/>
      <c r="V82" s="59"/>
      <c r="W82" s="50"/>
      <c r="X82" s="84">
        <v>937</v>
      </c>
      <c r="Y82" s="104">
        <f t="shared" si="19"/>
        <v>2.5134712457656848E-4</v>
      </c>
      <c r="Z82" s="96">
        <f t="shared" si="3"/>
        <v>0.66207332380154649</v>
      </c>
      <c r="AA82" s="94">
        <f t="shared" si="4"/>
        <v>1998402.6735143531</v>
      </c>
      <c r="AB82" s="163">
        <f t="shared" si="17"/>
        <v>2.5134712457656848E-4</v>
      </c>
      <c r="AC82" s="96">
        <f t="shared" si="5"/>
        <v>0.66207332380154649</v>
      </c>
      <c r="AD82" s="94">
        <f t="shared" si="0"/>
        <v>1998402.6735143531</v>
      </c>
      <c r="AF82" s="105"/>
      <c r="AG82" s="121" t="s">
        <v>163</v>
      </c>
      <c r="AH82" s="122" t="s">
        <v>136</v>
      </c>
      <c r="AI82" s="122" t="s">
        <v>134</v>
      </c>
      <c r="AJ82" s="127" t="s">
        <v>135</v>
      </c>
      <c r="AK82" s="122" t="s">
        <v>164</v>
      </c>
      <c r="AL82" s="122" t="s">
        <v>146</v>
      </c>
      <c r="AM82" s="122" t="s">
        <v>149</v>
      </c>
      <c r="AN82" s="122" t="s">
        <v>157</v>
      </c>
      <c r="AO82" s="122" t="s">
        <v>158</v>
      </c>
      <c r="AP82" s="122" t="s">
        <v>159</v>
      </c>
      <c r="AQ82" s="122" t="s">
        <v>160</v>
      </c>
      <c r="AR82" s="122" t="s">
        <v>161</v>
      </c>
      <c r="AS82" s="105"/>
      <c r="AT82" s="128">
        <f>MAX(AT84:AT93)</f>
        <v>51920.908109777927</v>
      </c>
      <c r="AU82" s="128"/>
    </row>
    <row r="83" spans="9:48" x14ac:dyDescent="0.25">
      <c r="J83" s="52" t="s">
        <v>90</v>
      </c>
      <c r="K83" s="52" t="s">
        <v>88</v>
      </c>
      <c r="L83" s="53" t="s">
        <v>35</v>
      </c>
      <c r="M83" s="53" t="s">
        <v>37</v>
      </c>
      <c r="N83" s="53" t="s">
        <v>36</v>
      </c>
      <c r="O83" s="52" t="s">
        <v>91</v>
      </c>
      <c r="P83" s="52" t="s">
        <v>89</v>
      </c>
      <c r="Q83" s="52" t="s">
        <v>84</v>
      </c>
      <c r="R83" s="52" t="s">
        <v>85</v>
      </c>
      <c r="S83" s="52" t="s">
        <v>92</v>
      </c>
      <c r="T83" s="93" t="s">
        <v>43</v>
      </c>
      <c r="V83" s="59"/>
      <c r="W83" s="50"/>
      <c r="X83" s="84">
        <v>936</v>
      </c>
      <c r="Y83" s="104">
        <f t="shared" si="19"/>
        <v>2.5533676147460928E-4</v>
      </c>
      <c r="Z83" s="96">
        <f t="shared" si="3"/>
        <v>0.66296853542154288</v>
      </c>
      <c r="AA83" s="94">
        <f t="shared" si="4"/>
        <v>1987828.6420282472</v>
      </c>
      <c r="AB83" s="163">
        <f t="shared" si="17"/>
        <v>2.5533676147460928E-4</v>
      </c>
      <c r="AC83" s="96">
        <f t="shared" si="5"/>
        <v>0.66296853542154288</v>
      </c>
      <c r="AD83" s="94">
        <f t="shared" ref="AD83:AD146" si="131">IF(AC83&lt;1,X$14*((1-ropt)-Y$14*(1-ropt^2)+Z$14*(1-ropt^3)),0)</f>
        <v>1987828.6420282472</v>
      </c>
      <c r="AF83" s="124">
        <v>10</v>
      </c>
      <c r="AG83" s="138">
        <f>AT69</f>
        <v>51922.436900000008</v>
      </c>
      <c r="AH83" s="131">
        <f>L0+R0-KK.3</f>
        <v>1577.5630999999921</v>
      </c>
      <c r="AI83" s="125">
        <f>-(alph^2)-2*S.3*Ldif</f>
        <v>-625003155.12619996</v>
      </c>
      <c r="AJ83" s="125">
        <f>S.3^2</f>
        <v>2488705.3344815853</v>
      </c>
      <c r="AK83" s="132">
        <f>(-b.3-SQRT(b.3^2-4*a.3*c.3))/(2*a.3)</f>
        <v>3.9818882942199707E-3</v>
      </c>
      <c r="AL83" s="126">
        <f>1-(KK.3-L0)/R0</f>
        <v>0.45073231428571214</v>
      </c>
      <c r="AM83" s="126">
        <f>1-beta*(1-f.3)</f>
        <v>1</v>
      </c>
      <c r="AN83" s="133">
        <f>f.3*j.3</f>
        <v>0.45073231428571214</v>
      </c>
      <c r="AO83" s="133">
        <f>f.3*k.3+j.3*g.3</f>
        <v>-7.1428571428571423</v>
      </c>
      <c r="AP83" s="133">
        <f>g.3*k.3+j.3*h.3+f.3*l.3</f>
        <v>-2.8571428571428568E-4</v>
      </c>
      <c r="AQ83" s="133">
        <f>g.3*l.3*h.3*k.3</f>
        <v>0</v>
      </c>
      <c r="AR83" s="133">
        <f>h.3*l.3</f>
        <v>0</v>
      </c>
      <c r="AS83" s="139">
        <f>M0*D0.3*(m.3+(n.3*D0.3^0.5)/1.5+p.3*D0.3/2+(q.3*D0.3^1.5)/2.5+(r.3*D0.3^2)/3)</f>
        <v>5.9825902288469708</v>
      </c>
      <c r="AT83" s="135"/>
      <c r="AU83" s="135"/>
    </row>
    <row r="84" spans="9:48" x14ac:dyDescent="0.25">
      <c r="J84" s="140">
        <f>MAX(U72:U81)</f>
        <v>51920.908109777927</v>
      </c>
      <c r="K84" s="52">
        <f>L0+R0g-KK</f>
        <v>1579.0918902220728</v>
      </c>
      <c r="L84" s="53">
        <f>Ldif^2</f>
        <v>1</v>
      </c>
      <c r="M84" s="53">
        <f>-(alph^2)-2*S.1*Ldif</f>
        <v>-625003158.18378043</v>
      </c>
      <c r="N84" s="53">
        <f>S.1^2</f>
        <v>2493531.1977651189</v>
      </c>
      <c r="O84" s="101">
        <f>(-b.1-SQRT(b.1^2-4*a.1*c.1))/(2*a.1)</f>
        <v>3.9896368980407715E-3</v>
      </c>
      <c r="P84" s="102">
        <f>L0-KK+(P0-Pcap)/g</f>
        <v>-33420.558109777936</v>
      </c>
      <c r="Q84" s="53">
        <f>-(alph^2)-2*S.2*Ldif</f>
        <v>-624933158.88378048</v>
      </c>
      <c r="R84" s="53">
        <f>S.2^2</f>
        <v>1116933704.3690438</v>
      </c>
      <c r="S84" s="101">
        <f>IF(S.2&lt;0,0,(-b.2-SQRT(b.2^2-4*a.1*c.2))/(2*a.1))</f>
        <v>0</v>
      </c>
      <c r="T84" s="141">
        <f>Pcap*DDc+(P0+g*(L0-KK))*(DDg-DDc)-g*((DDg^2-DDc^2)*Ldif/2+alph*(DDg^1.5-DDc^1.5)/1.5)</f>
        <v>5.9999999542823144</v>
      </c>
      <c r="V84" s="59"/>
      <c r="W84" s="50"/>
      <c r="X84" s="84">
        <v>935</v>
      </c>
      <c r="Y84" s="104">
        <f t="shared" si="19"/>
        <v>2.5932639837265007E-4</v>
      </c>
      <c r="Z84" s="96">
        <f t="shared" ref="Z84:Z147" si="132">(K-(L0-Y84*Ldif-alph*Y84^0.5))/R0</f>
        <v>0.66385678010531812</v>
      </c>
      <c r="AA84" s="94">
        <f t="shared" ref="AA84:AA147" si="133">IF(Z84&lt;1,X$14*((1-r.1)-Y$14*(1-r.1^2)+Z$14*(1-r.1^3)),0)</f>
        <v>1977364.6249203789</v>
      </c>
      <c r="AB84" s="163">
        <f t="shared" si="17"/>
        <v>2.5932639837265007E-4</v>
      </c>
      <c r="AC84" s="96">
        <f t="shared" ref="AC84:AC147" si="134">(Kopt-(L0-AB84*Ldif-alph*AB84^0.5))/R0</f>
        <v>0.66385678010531812</v>
      </c>
      <c r="AD84" s="94">
        <f t="shared" si="131"/>
        <v>1977364.6249203789</v>
      </c>
      <c r="AF84" s="124">
        <v>9</v>
      </c>
      <c r="AG84" s="142">
        <f>AG$93+(AF84/10)*(AG$83-AG$93)</f>
        <v>51922.186890000004</v>
      </c>
      <c r="AH84" s="131">
        <f t="shared" ref="AH84:AH93" si="135">L0+R0-KK.3</f>
        <v>1577.8131099999955</v>
      </c>
      <c r="AI84" s="125">
        <f t="shared" ref="AI84:AI93" si="136">-(alph^2)-2*S.3*Ldif</f>
        <v>-625003155.62621999</v>
      </c>
      <c r="AJ84" s="125">
        <f t="shared" ref="AJ84:AJ93" si="137">S.3^2</f>
        <v>2489494.2100878581</v>
      </c>
      <c r="AK84" s="132">
        <f t="shared" ref="AK84:AK93" si="138">(-b.3-SQRT(b.3^2-4*a.3*c.3))/(2*a.3)</f>
        <v>3.9831399917602539E-3</v>
      </c>
      <c r="AL84" s="126">
        <f t="shared" ref="AL84:AL93" si="139">1-(KK.3-L0)/R0</f>
        <v>0.4508037457142845</v>
      </c>
      <c r="AM84" s="126">
        <f t="shared" ref="AM84:AM93" si="140">1-beta*(1-f.3)</f>
        <v>1</v>
      </c>
      <c r="AN84" s="133">
        <f t="shared" ref="AN84:AN93" si="141">f.3*j.3</f>
        <v>0.4508037457142845</v>
      </c>
      <c r="AO84" s="133">
        <f t="shared" ref="AO84:AO93" si="142">f.3*k.3+j.3*g.3</f>
        <v>-7.1428571428571423</v>
      </c>
      <c r="AP84" s="133">
        <f t="shared" ref="AP84:AP93" si="143">g.3*k.3+j.3*h.3+f.3*l.3</f>
        <v>-2.8571428571428568E-4</v>
      </c>
      <c r="AQ84" s="133">
        <f t="shared" ref="AQ84:AQ93" si="144">g.3*l.3*h.3*k.3</f>
        <v>0</v>
      </c>
      <c r="AR84" s="133">
        <f t="shared" ref="AR84:AR93" si="145">h.3*l.3</f>
        <v>0</v>
      </c>
      <c r="AS84" s="139">
        <f t="shared" ref="AS84:AS93" si="146">M0*D0.3*(m.3+(n.3*D0.3^0.5)/1.5+p.3*D0.3/2+(q.3*D0.3^1.5)/2.5+(r.3*D0.3^2)/3)</f>
        <v>5.9854350135636576</v>
      </c>
      <c r="AT84" s="137">
        <f>IF(AND(AS84&gt;F,AS83&lt;F),AG84+(AG83-AG84)*(AS84-F)/(AS84-AS83),0)</f>
        <v>0</v>
      </c>
      <c r="AU84" s="135"/>
      <c r="AV84" s="56"/>
    </row>
    <row r="85" spans="9:48" x14ac:dyDescent="0.25">
      <c r="J85" s="143" t="s">
        <v>47</v>
      </c>
      <c r="K85" s="56"/>
      <c r="L85" s="130"/>
      <c r="M85" s="130"/>
      <c r="O85" s="59"/>
      <c r="P85" s="59"/>
      <c r="Q85" s="59"/>
      <c r="R85" s="59"/>
      <c r="S85" s="80" t="s">
        <v>102</v>
      </c>
      <c r="T85" s="144">
        <f>ABS(F/(T84-F))</f>
        <v>131240239.22847006</v>
      </c>
      <c r="U85" s="61"/>
      <c r="V85" s="59"/>
      <c r="W85" s="50"/>
      <c r="X85" s="84">
        <v>934</v>
      </c>
      <c r="Y85" s="104">
        <f t="shared" si="19"/>
        <v>2.6331603527069087E-4</v>
      </c>
      <c r="Z85" s="96">
        <f t="shared" si="132"/>
        <v>0.66473821802421496</v>
      </c>
      <c r="AA85" s="94">
        <f t="shared" si="133"/>
        <v>1967008.0929376297</v>
      </c>
      <c r="AB85" s="163">
        <f t="shared" ref="AB85:AB148" si="147">AB84+AB$15</f>
        <v>2.6331603527069087E-4</v>
      </c>
      <c r="AC85" s="96">
        <f t="shared" si="134"/>
        <v>0.66473821802421496</v>
      </c>
      <c r="AD85" s="94">
        <f t="shared" si="131"/>
        <v>1967008.0929376297</v>
      </c>
      <c r="AF85" s="124">
        <v>8</v>
      </c>
      <c r="AG85" s="142">
        <f t="shared" ref="AG85:AG92" si="148">AG$93+(AF85/10)*(AG$83-AG$93)</f>
        <v>51921.936880000008</v>
      </c>
      <c r="AH85" s="131">
        <f t="shared" si="135"/>
        <v>1578.0631199999916</v>
      </c>
      <c r="AI85" s="125">
        <f t="shared" si="136"/>
        <v>-625003156.12624002</v>
      </c>
      <c r="AJ85" s="125">
        <f t="shared" si="137"/>
        <v>2490283.2107041078</v>
      </c>
      <c r="AK85" s="132">
        <f t="shared" si="138"/>
        <v>3.9844512939453125E-3</v>
      </c>
      <c r="AL85" s="126">
        <f t="shared" si="139"/>
        <v>0.45087517714285485</v>
      </c>
      <c r="AM85" s="126">
        <f t="shared" si="140"/>
        <v>1</v>
      </c>
      <c r="AN85" s="133">
        <f t="shared" si="141"/>
        <v>0.45087517714285485</v>
      </c>
      <c r="AO85" s="133">
        <f t="shared" si="142"/>
        <v>-7.1428571428571423</v>
      </c>
      <c r="AP85" s="133">
        <f t="shared" si="143"/>
        <v>-2.8571428571428568E-4</v>
      </c>
      <c r="AQ85" s="133">
        <f t="shared" si="144"/>
        <v>0</v>
      </c>
      <c r="AR85" s="133">
        <f t="shared" si="145"/>
        <v>0</v>
      </c>
      <c r="AS85" s="139">
        <f t="shared" si="146"/>
        <v>5.9882807002747995</v>
      </c>
      <c r="AT85" s="137">
        <f>IF(AND(AS85&gt;F,AS84&lt;F),AG85+(AG84-AG85)*(AS85-F)/(AS85-AS84),0)</f>
        <v>0</v>
      </c>
      <c r="AU85" s="135"/>
    </row>
    <row r="86" spans="9:48" x14ac:dyDescent="0.25">
      <c r="J86" s="56" t="s">
        <v>50</v>
      </c>
      <c r="K86" s="56"/>
      <c r="L86" s="130"/>
      <c r="M86" s="130"/>
      <c r="N86" s="130"/>
      <c r="O86" s="59"/>
      <c r="P86" s="59"/>
      <c r="Q86" s="59"/>
      <c r="R86" s="59"/>
      <c r="S86" s="59"/>
      <c r="T86" s="59"/>
      <c r="U86" s="59"/>
      <c r="V86" s="59"/>
      <c r="W86" s="50"/>
      <c r="X86" s="84">
        <v>933</v>
      </c>
      <c r="Y86" s="104">
        <f t="shared" si="19"/>
        <v>2.6730567216873166E-4</v>
      </c>
      <c r="Z86" s="96">
        <f t="shared" si="132"/>
        <v>0.6656130033047728</v>
      </c>
      <c r="AA86" s="94">
        <f t="shared" si="133"/>
        <v>1956756.6122799444</v>
      </c>
      <c r="AB86" s="163">
        <f t="shared" si="147"/>
        <v>2.6730567216873166E-4</v>
      </c>
      <c r="AC86" s="96">
        <f t="shared" si="134"/>
        <v>0.6656130033047728</v>
      </c>
      <c r="AD86" s="94">
        <f t="shared" si="131"/>
        <v>1956756.6122799444</v>
      </c>
      <c r="AF86" s="124">
        <v>7</v>
      </c>
      <c r="AG86" s="142">
        <f t="shared" si="148"/>
        <v>51921.686870000005</v>
      </c>
      <c r="AH86" s="131">
        <f t="shared" si="135"/>
        <v>1578.313129999995</v>
      </c>
      <c r="AI86" s="125">
        <f t="shared" si="136"/>
        <v>-625003156.62626004</v>
      </c>
      <c r="AJ86" s="125">
        <f t="shared" si="137"/>
        <v>2491072.3363303812</v>
      </c>
      <c r="AK86" s="132">
        <f t="shared" si="138"/>
        <v>3.9857029914855957E-3</v>
      </c>
      <c r="AL86" s="126">
        <f t="shared" si="139"/>
        <v>0.45094660857142721</v>
      </c>
      <c r="AM86" s="126">
        <f t="shared" si="140"/>
        <v>1</v>
      </c>
      <c r="AN86" s="133">
        <f t="shared" si="141"/>
        <v>0.45094660857142721</v>
      </c>
      <c r="AO86" s="133">
        <f t="shared" si="142"/>
        <v>-7.1428571428571423</v>
      </c>
      <c r="AP86" s="133">
        <f t="shared" si="143"/>
        <v>-2.8571428571428568E-4</v>
      </c>
      <c r="AQ86" s="133">
        <f t="shared" si="144"/>
        <v>0</v>
      </c>
      <c r="AR86" s="133">
        <f t="shared" si="145"/>
        <v>0</v>
      </c>
      <c r="AS86" s="139">
        <f t="shared" si="146"/>
        <v>5.9911272887097624</v>
      </c>
      <c r="AT86" s="137">
        <f t="shared" ref="AT86:AT93" si="149">IF(AND(AS86&gt;F,AS85&lt;F),AG86+(AG85-AG86)*(AS86-F)/(AS86-AS85),0)</f>
        <v>0</v>
      </c>
      <c r="AU86" s="135"/>
    </row>
    <row r="87" spans="9:48" ht="15.6" x14ac:dyDescent="0.3">
      <c r="J87" s="52" t="s">
        <v>90</v>
      </c>
      <c r="K87" s="52" t="s">
        <v>38</v>
      </c>
      <c r="L87" s="53" t="s">
        <v>35</v>
      </c>
      <c r="M87" s="53" t="s">
        <v>37</v>
      </c>
      <c r="N87" s="53" t="s">
        <v>36</v>
      </c>
      <c r="O87" s="156" t="s">
        <v>7</v>
      </c>
      <c r="P87" s="52" t="s">
        <v>89</v>
      </c>
      <c r="Q87" s="52" t="s">
        <v>84</v>
      </c>
      <c r="R87" s="52" t="s">
        <v>85</v>
      </c>
      <c r="S87" s="52" t="s">
        <v>92</v>
      </c>
      <c r="T87" s="93" t="s">
        <v>43</v>
      </c>
      <c r="U87" s="59"/>
      <c r="V87" s="59"/>
      <c r="W87" s="50"/>
      <c r="X87" s="84">
        <v>932</v>
      </c>
      <c r="Y87" s="104">
        <f t="shared" si="19"/>
        <v>2.7129530906677246E-4</v>
      </c>
      <c r="Z87" s="96">
        <f t="shared" si="132"/>
        <v>0.6664812843433402</v>
      </c>
      <c r="AA87" s="94">
        <f t="shared" si="133"/>
        <v>1946607.8396321898</v>
      </c>
      <c r="AB87" s="163">
        <f t="shared" si="147"/>
        <v>2.7129530906677246E-4</v>
      </c>
      <c r="AC87" s="96">
        <f t="shared" si="134"/>
        <v>0.6664812843433402</v>
      </c>
      <c r="AD87" s="94">
        <f t="shared" si="131"/>
        <v>1946607.8396321898</v>
      </c>
      <c r="AF87" s="124">
        <v>6</v>
      </c>
      <c r="AG87" s="142">
        <f t="shared" si="148"/>
        <v>51921.436860000009</v>
      </c>
      <c r="AH87" s="131">
        <f t="shared" si="135"/>
        <v>1578.5631399999911</v>
      </c>
      <c r="AI87" s="125">
        <f t="shared" si="136"/>
        <v>-625003157.12627995</v>
      </c>
      <c r="AJ87" s="125">
        <f t="shared" si="137"/>
        <v>2491861.5869666315</v>
      </c>
      <c r="AK87" s="132">
        <f t="shared" si="138"/>
        <v>3.9869546890258789E-3</v>
      </c>
      <c r="AL87" s="126">
        <f t="shared" si="139"/>
        <v>0.45101803999999757</v>
      </c>
      <c r="AM87" s="126">
        <f t="shared" si="140"/>
        <v>1</v>
      </c>
      <c r="AN87" s="133">
        <f t="shared" si="141"/>
        <v>0.45101803999999757</v>
      </c>
      <c r="AO87" s="133">
        <f t="shared" si="142"/>
        <v>-7.1428571428571423</v>
      </c>
      <c r="AP87" s="133">
        <f t="shared" si="143"/>
        <v>-2.8571428571428568E-4</v>
      </c>
      <c r="AQ87" s="133">
        <f t="shared" si="144"/>
        <v>0</v>
      </c>
      <c r="AR87" s="133">
        <f t="shared" si="145"/>
        <v>0</v>
      </c>
      <c r="AS87" s="139">
        <f t="shared" si="146"/>
        <v>5.9939747790356241</v>
      </c>
      <c r="AT87" s="137">
        <f t="shared" si="149"/>
        <v>0</v>
      </c>
      <c r="AU87" s="135"/>
    </row>
    <row r="88" spans="9:48" ht="15.6" x14ac:dyDescent="0.3">
      <c r="J88" s="56">
        <f>J84</f>
        <v>51920.908109777927</v>
      </c>
      <c r="K88" s="52">
        <f>L0+R0-KK</f>
        <v>1579.0918902220728</v>
      </c>
      <c r="L88" s="53">
        <f>Ldif^2</f>
        <v>1</v>
      </c>
      <c r="M88" s="53">
        <f>-(alph^2)-2*S.1*Ldif</f>
        <v>-625003158.18378043</v>
      </c>
      <c r="N88" s="53">
        <f>S.1^2</f>
        <v>2493531.1977651189</v>
      </c>
      <c r="O88" s="157">
        <f>IF(K88&lt;0.1,0,(-b.1-SQRT(b.1^2-4*a.1*c.1))/(2*a.1))</f>
        <v>3.9896368980407715E-3</v>
      </c>
      <c r="P88" s="102">
        <f>L0-KK+(P0-Pcap)/g</f>
        <v>-33420.558109777936</v>
      </c>
      <c r="Q88" s="53">
        <f>-(alph^2)-2*S.2*Ldif</f>
        <v>-624933158.88378048</v>
      </c>
      <c r="R88" s="53">
        <f>S.2^2</f>
        <v>1116933704.3690438</v>
      </c>
      <c r="S88" s="101">
        <f>IF(S.2&lt;0,0,(-b.2-SQRT(b.2^2-4*a.1*c.2))/(2*a.1))</f>
        <v>0</v>
      </c>
      <c r="T88" s="103">
        <f>Pcap*DDc+(P0+g*(L0-KK))*(DDg-DDc)-g*((DDg^2-DDc^2)*Ldif/2+alph*(DDg^1.5-DDc^1.5)/1.5)</f>
        <v>5.9999999542823144</v>
      </c>
      <c r="U88" s="59"/>
      <c r="W88" s="50"/>
      <c r="X88" s="84">
        <v>931</v>
      </c>
      <c r="Y88" s="104">
        <f t="shared" si="19"/>
        <v>2.7528494596481325E-4</v>
      </c>
      <c r="Z88" s="96">
        <f t="shared" si="132"/>
        <v>0.6673432040999967</v>
      </c>
      <c r="AA88" s="94">
        <f t="shared" si="133"/>
        <v>1936559.5175229886</v>
      </c>
      <c r="AB88" s="163">
        <f t="shared" si="147"/>
        <v>2.7528494596481325E-4</v>
      </c>
      <c r="AC88" s="96">
        <f t="shared" si="134"/>
        <v>0.6673432040999967</v>
      </c>
      <c r="AD88" s="94">
        <f t="shared" si="131"/>
        <v>1936559.5175229886</v>
      </c>
      <c r="AF88" s="124">
        <v>5</v>
      </c>
      <c r="AG88" s="142">
        <f t="shared" si="148"/>
        <v>51921.186850000006</v>
      </c>
      <c r="AH88" s="131">
        <f t="shared" si="135"/>
        <v>1578.8131499999945</v>
      </c>
      <c r="AI88" s="125">
        <f t="shared" si="136"/>
        <v>-625003157.62629998</v>
      </c>
      <c r="AJ88" s="125">
        <f t="shared" si="137"/>
        <v>2492650.9626129051</v>
      </c>
      <c r="AK88" s="132">
        <f t="shared" si="138"/>
        <v>3.9882063865661621E-3</v>
      </c>
      <c r="AL88" s="126">
        <f t="shared" si="139"/>
        <v>0.45108947142856992</v>
      </c>
      <c r="AM88" s="126">
        <f t="shared" si="140"/>
        <v>1</v>
      </c>
      <c r="AN88" s="133">
        <f t="shared" si="141"/>
        <v>0.45108947142856992</v>
      </c>
      <c r="AO88" s="133">
        <f t="shared" si="142"/>
        <v>-7.1428571428571423</v>
      </c>
      <c r="AP88" s="133">
        <f t="shared" si="143"/>
        <v>-2.8571428571428568E-4</v>
      </c>
      <c r="AQ88" s="133">
        <f t="shared" si="144"/>
        <v>0</v>
      </c>
      <c r="AR88" s="133">
        <f t="shared" si="145"/>
        <v>0</v>
      </c>
      <c r="AS88" s="139">
        <f t="shared" si="146"/>
        <v>5.9968231713916849</v>
      </c>
      <c r="AT88" s="137">
        <f t="shared" si="149"/>
        <v>0</v>
      </c>
      <c r="AU88" s="135"/>
    </row>
    <row r="89" spans="9:48" x14ac:dyDescent="0.25">
      <c r="W89" s="50"/>
      <c r="X89" s="84">
        <v>930</v>
      </c>
      <c r="Y89" s="104">
        <f t="shared" si="19"/>
        <v>2.7927458286285405E-4</v>
      </c>
      <c r="Z89" s="96">
        <f t="shared" si="132"/>
        <v>0.66819890037331364</v>
      </c>
      <c r="AA89" s="94">
        <f t="shared" si="133"/>
        <v>1926609.4699858695</v>
      </c>
      <c r="AB89" s="163">
        <f t="shared" si="147"/>
        <v>2.7927458286285405E-4</v>
      </c>
      <c r="AC89" s="96">
        <f t="shared" si="134"/>
        <v>0.66819890037331364</v>
      </c>
      <c r="AD89" s="94">
        <f t="shared" si="131"/>
        <v>1926609.4699858695</v>
      </c>
      <c r="AF89" s="124">
        <v>4</v>
      </c>
      <c r="AG89" s="142">
        <f t="shared" si="148"/>
        <v>51920.936840000002</v>
      </c>
      <c r="AH89" s="131">
        <f t="shared" si="135"/>
        <v>1579.0631599999979</v>
      </c>
      <c r="AI89" s="125">
        <f t="shared" si="136"/>
        <v>-625003158.12632</v>
      </c>
      <c r="AJ89" s="125">
        <f t="shared" si="137"/>
        <v>2493440.4632691788</v>
      </c>
      <c r="AK89" s="132">
        <f t="shared" si="138"/>
        <v>3.9894580841064453E-3</v>
      </c>
      <c r="AL89" s="126">
        <f t="shared" si="139"/>
        <v>0.45116090285714228</v>
      </c>
      <c r="AM89" s="126">
        <f t="shared" si="140"/>
        <v>1</v>
      </c>
      <c r="AN89" s="133">
        <f t="shared" si="141"/>
        <v>0.45116090285714228</v>
      </c>
      <c r="AO89" s="133">
        <f t="shared" si="142"/>
        <v>-7.1428571428571423</v>
      </c>
      <c r="AP89" s="133">
        <f t="shared" si="143"/>
        <v>-2.8571428571428568E-4</v>
      </c>
      <c r="AQ89" s="133">
        <f t="shared" si="144"/>
        <v>0</v>
      </c>
      <c r="AR89" s="133">
        <f t="shared" si="145"/>
        <v>0</v>
      </c>
      <c r="AS89" s="139">
        <f t="shared" si="146"/>
        <v>5.999672465916932</v>
      </c>
      <c r="AT89" s="137">
        <f t="shared" si="149"/>
        <v>0</v>
      </c>
      <c r="AU89" s="135"/>
    </row>
    <row r="90" spans="9:48" x14ac:dyDescent="0.25">
      <c r="W90" s="50"/>
      <c r="X90" s="84">
        <v>929</v>
      </c>
      <c r="Y90" s="104">
        <f t="shared" si="19"/>
        <v>2.8326421976089484E-4</v>
      </c>
      <c r="Z90" s="96">
        <f t="shared" si="132"/>
        <v>0.66904850605757171</v>
      </c>
      <c r="AA90" s="94">
        <f t="shared" si="133"/>
        <v>1916755.5984976904</v>
      </c>
      <c r="AB90" s="163">
        <f t="shared" si="147"/>
        <v>2.8326421976089484E-4</v>
      </c>
      <c r="AC90" s="96">
        <f t="shared" si="134"/>
        <v>0.66904850605757171</v>
      </c>
      <c r="AD90" s="94">
        <f t="shared" si="131"/>
        <v>1916755.5984976904</v>
      </c>
      <c r="AF90" s="124">
        <v>3</v>
      </c>
      <c r="AG90" s="142">
        <f t="shared" si="148"/>
        <v>51920.686830000006</v>
      </c>
      <c r="AH90" s="131">
        <f t="shared" si="135"/>
        <v>1579.313169999994</v>
      </c>
      <c r="AI90" s="125">
        <f t="shared" si="136"/>
        <v>-625003158.62634003</v>
      </c>
      <c r="AJ90" s="125">
        <f t="shared" si="137"/>
        <v>2494230.0889354297</v>
      </c>
      <c r="AK90" s="132">
        <f t="shared" si="138"/>
        <v>3.9907693862915039E-3</v>
      </c>
      <c r="AL90" s="126">
        <f t="shared" si="139"/>
        <v>0.45123233428571263</v>
      </c>
      <c r="AM90" s="126">
        <f t="shared" si="140"/>
        <v>1</v>
      </c>
      <c r="AN90" s="133">
        <f t="shared" si="141"/>
        <v>0.45123233428571263</v>
      </c>
      <c r="AO90" s="133">
        <f t="shared" si="142"/>
        <v>-7.1428571428571423</v>
      </c>
      <c r="AP90" s="133">
        <f t="shared" si="143"/>
        <v>-2.8571428571428568E-4</v>
      </c>
      <c r="AQ90" s="133">
        <f t="shared" si="144"/>
        <v>0</v>
      </c>
      <c r="AR90" s="133">
        <f t="shared" si="145"/>
        <v>0</v>
      </c>
      <c r="AS90" s="139">
        <f t="shared" si="146"/>
        <v>6.0025226630330204</v>
      </c>
      <c r="AT90" s="137">
        <f t="shared" si="149"/>
        <v>51920.908109777927</v>
      </c>
      <c r="AU90" s="135"/>
    </row>
    <row r="91" spans="9:48" x14ac:dyDescent="0.25">
      <c r="W91" s="50"/>
      <c r="X91" s="84">
        <v>928</v>
      </c>
      <c r="Y91" s="104">
        <f t="shared" si="19"/>
        <v>2.8725385665893564E-4</v>
      </c>
      <c r="Z91" s="96">
        <f t="shared" si="132"/>
        <v>0.66989214938366981</v>
      </c>
      <c r="AA91" s="94">
        <f t="shared" si="133"/>
        <v>1906995.8781743334</v>
      </c>
      <c r="AB91" s="163">
        <f t="shared" si="147"/>
        <v>2.8725385665893564E-4</v>
      </c>
      <c r="AC91" s="96">
        <f t="shared" si="134"/>
        <v>0.66989214938366981</v>
      </c>
      <c r="AD91" s="94">
        <f t="shared" si="131"/>
        <v>1906995.8781743334</v>
      </c>
      <c r="AF91" s="124">
        <v>2</v>
      </c>
      <c r="AG91" s="142">
        <f t="shared" si="148"/>
        <v>51920.436820000003</v>
      </c>
      <c r="AH91" s="131">
        <f t="shared" si="135"/>
        <v>1579.5631799999974</v>
      </c>
      <c r="AI91" s="125">
        <f t="shared" si="136"/>
        <v>-625003159.12636006</v>
      </c>
      <c r="AJ91" s="125">
        <f t="shared" si="137"/>
        <v>2495019.839611704</v>
      </c>
      <c r="AK91" s="132">
        <f t="shared" si="138"/>
        <v>3.9920210838317871E-3</v>
      </c>
      <c r="AL91" s="126">
        <f t="shared" si="139"/>
        <v>0.45130376571428499</v>
      </c>
      <c r="AM91" s="126">
        <f t="shared" si="140"/>
        <v>1</v>
      </c>
      <c r="AN91" s="133">
        <f t="shared" si="141"/>
        <v>0.45130376571428499</v>
      </c>
      <c r="AO91" s="133">
        <f t="shared" si="142"/>
        <v>-7.1428571428571423</v>
      </c>
      <c r="AP91" s="133">
        <f t="shared" si="143"/>
        <v>-2.8571428571428568E-4</v>
      </c>
      <c r="AQ91" s="133">
        <f t="shared" si="144"/>
        <v>0</v>
      </c>
      <c r="AR91" s="133">
        <f t="shared" si="145"/>
        <v>0</v>
      </c>
      <c r="AS91" s="139">
        <f t="shared" si="146"/>
        <v>6.0053737627143011</v>
      </c>
      <c r="AT91" s="137">
        <f t="shared" si="149"/>
        <v>0</v>
      </c>
      <c r="AU91" s="135"/>
    </row>
    <row r="92" spans="9:48" x14ac:dyDescent="0.25">
      <c r="W92" s="50"/>
      <c r="X92" s="84">
        <v>927</v>
      </c>
      <c r="Y92" s="104">
        <f t="shared" si="19"/>
        <v>2.9124349355697643E-4</v>
      </c>
      <c r="Z92" s="96">
        <f t="shared" si="132"/>
        <v>0.67072995414508574</v>
      </c>
      <c r="AA92" s="94">
        <f t="shared" si="133"/>
        <v>1897328.3542027043</v>
      </c>
      <c r="AB92" s="163">
        <f t="shared" si="147"/>
        <v>2.9124349355697643E-4</v>
      </c>
      <c r="AC92" s="96">
        <f t="shared" si="134"/>
        <v>0.67072995414508574</v>
      </c>
      <c r="AD92" s="94">
        <f t="shared" si="131"/>
        <v>1897328.3542027043</v>
      </c>
      <c r="AF92" s="124">
        <v>1</v>
      </c>
      <c r="AG92" s="142">
        <f t="shared" si="148"/>
        <v>51920.186810000007</v>
      </c>
      <c r="AH92" s="131">
        <f t="shared" si="135"/>
        <v>1579.8131899999935</v>
      </c>
      <c r="AI92" s="125">
        <f t="shared" si="136"/>
        <v>-625003159.62637997</v>
      </c>
      <c r="AJ92" s="125">
        <f t="shared" si="137"/>
        <v>2495809.7152979556</v>
      </c>
      <c r="AK92" s="132">
        <f t="shared" si="138"/>
        <v>3.9932727813720703E-3</v>
      </c>
      <c r="AL92" s="126">
        <f t="shared" si="139"/>
        <v>0.45137519714285534</v>
      </c>
      <c r="AM92" s="126">
        <f t="shared" si="140"/>
        <v>1</v>
      </c>
      <c r="AN92" s="133">
        <f t="shared" si="141"/>
        <v>0.45137519714285534</v>
      </c>
      <c r="AO92" s="133">
        <f t="shared" si="142"/>
        <v>-7.1428571428571423</v>
      </c>
      <c r="AP92" s="133">
        <f t="shared" si="143"/>
        <v>-2.8571428571428568E-4</v>
      </c>
      <c r="AQ92" s="133">
        <f t="shared" si="144"/>
        <v>0</v>
      </c>
      <c r="AR92" s="133">
        <f t="shared" si="145"/>
        <v>0</v>
      </c>
      <c r="AS92" s="139">
        <f t="shared" si="146"/>
        <v>6.0082257649881354</v>
      </c>
      <c r="AT92" s="137">
        <f t="shared" si="149"/>
        <v>0</v>
      </c>
      <c r="AU92" s="135"/>
    </row>
    <row r="93" spans="9:48" x14ac:dyDescent="0.25">
      <c r="J93" s="56"/>
      <c r="K93" s="56"/>
      <c r="L93" s="130"/>
      <c r="M93" s="130"/>
      <c r="N93" s="130"/>
      <c r="O93" s="59"/>
      <c r="P93" s="59"/>
      <c r="Q93" s="59"/>
      <c r="R93" s="59"/>
      <c r="S93" s="59"/>
      <c r="T93" s="59"/>
      <c r="U93" s="59"/>
      <c r="V93" s="59"/>
      <c r="W93" s="50"/>
      <c r="X93" s="84">
        <v>926</v>
      </c>
      <c r="Y93" s="104">
        <f t="shared" si="19"/>
        <v>2.9523313045501723E-4</v>
      </c>
      <c r="Z93" s="96">
        <f t="shared" si="132"/>
        <v>0.67156203990990093</v>
      </c>
      <c r="AA93" s="94">
        <f t="shared" si="133"/>
        <v>1887751.138492547</v>
      </c>
      <c r="AB93" s="163">
        <f t="shared" si="147"/>
        <v>2.9523313045501723E-4</v>
      </c>
      <c r="AC93" s="96">
        <f t="shared" si="134"/>
        <v>0.67156203990990093</v>
      </c>
      <c r="AD93" s="94">
        <f t="shared" si="131"/>
        <v>1887751.138492547</v>
      </c>
      <c r="AF93" s="124">
        <v>0</v>
      </c>
      <c r="AG93" s="142">
        <f>AU69</f>
        <v>51919.936800000003</v>
      </c>
      <c r="AH93" s="131">
        <f t="shared" si="135"/>
        <v>1580.0631999999969</v>
      </c>
      <c r="AI93" s="125">
        <f t="shared" si="136"/>
        <v>-625003160.12639999</v>
      </c>
      <c r="AJ93" s="125">
        <f t="shared" si="137"/>
        <v>2496599.71599423</v>
      </c>
      <c r="AK93" s="132">
        <f t="shared" si="138"/>
        <v>3.9945244789123535E-3</v>
      </c>
      <c r="AL93" s="126">
        <f t="shared" si="139"/>
        <v>0.4514466285714277</v>
      </c>
      <c r="AM93" s="126">
        <f t="shared" si="140"/>
        <v>1</v>
      </c>
      <c r="AN93" s="133">
        <f t="shared" si="141"/>
        <v>0.4514466285714277</v>
      </c>
      <c r="AO93" s="133">
        <f t="shared" si="142"/>
        <v>-7.1428571428571423</v>
      </c>
      <c r="AP93" s="133">
        <f t="shared" si="143"/>
        <v>-2.8571428571428568E-4</v>
      </c>
      <c r="AQ93" s="133">
        <f t="shared" si="144"/>
        <v>0</v>
      </c>
      <c r="AR93" s="133">
        <f t="shared" si="145"/>
        <v>0</v>
      </c>
      <c r="AS93" s="139">
        <f t="shared" si="146"/>
        <v>6.0110786699934886</v>
      </c>
      <c r="AT93" s="137">
        <f t="shared" si="149"/>
        <v>0</v>
      </c>
      <c r="AU93" s="135"/>
    </row>
    <row r="94" spans="9:48" x14ac:dyDescent="0.25">
      <c r="J94" s="56"/>
      <c r="K94" s="56"/>
      <c r="L94" s="130"/>
      <c r="M94" s="130"/>
      <c r="N94" s="130"/>
      <c r="O94" s="59"/>
      <c r="P94" s="59"/>
      <c r="Q94" s="59"/>
      <c r="R94" s="59"/>
      <c r="S94" s="59"/>
      <c r="T94" s="59"/>
      <c r="U94" s="59"/>
      <c r="V94" s="59"/>
      <c r="W94" s="50"/>
      <c r="X94" s="84">
        <v>925</v>
      </c>
      <c r="Y94" s="104">
        <f t="shared" si="19"/>
        <v>2.9922276735305802E-4</v>
      </c>
      <c r="Z94" s="96">
        <f t="shared" si="132"/>
        <v>0.67238852222002499</v>
      </c>
      <c r="AA94" s="94">
        <f t="shared" si="133"/>
        <v>1878262.4065306352</v>
      </c>
      <c r="AB94" s="163">
        <f t="shared" si="147"/>
        <v>2.9922276735305802E-4</v>
      </c>
      <c r="AC94" s="96">
        <f t="shared" si="134"/>
        <v>0.67238852222002499</v>
      </c>
      <c r="AD94" s="94">
        <f t="shared" si="131"/>
        <v>1878262.4065306352</v>
      </c>
    </row>
    <row r="95" spans="9:48" ht="15.6" x14ac:dyDescent="0.3">
      <c r="J95" s="56"/>
      <c r="K95" s="56"/>
      <c r="L95" s="130"/>
      <c r="M95" s="130"/>
      <c r="N95" s="130"/>
      <c r="O95" s="59"/>
      <c r="P95" s="59"/>
      <c r="Q95" s="59"/>
      <c r="R95" s="59"/>
      <c r="S95" s="59"/>
      <c r="T95" s="59"/>
      <c r="U95" s="59"/>
      <c r="V95" s="59"/>
      <c r="W95" s="50"/>
      <c r="X95" s="84">
        <v>924</v>
      </c>
      <c r="Y95" s="104">
        <f t="shared" si="19"/>
        <v>3.0321240425109882E-4</v>
      </c>
      <c r="Z95" s="96">
        <f t="shared" si="132"/>
        <v>0.67320951277845176</v>
      </c>
      <c r="AA95" s="94">
        <f t="shared" si="133"/>
        <v>1868860.3944236953</v>
      </c>
      <c r="AB95" s="163">
        <f t="shared" si="147"/>
        <v>3.0321240425109882E-4</v>
      </c>
      <c r="AC95" s="96">
        <f t="shared" si="134"/>
        <v>0.67320951277845176</v>
      </c>
      <c r="AD95" s="94">
        <f t="shared" si="131"/>
        <v>1868860.3944236953</v>
      </c>
      <c r="AG95" s="145" t="s">
        <v>173</v>
      </c>
      <c r="AK95" s="158" t="s">
        <v>219</v>
      </c>
    </row>
    <row r="96" spans="9:48" ht="15.6" x14ac:dyDescent="0.3">
      <c r="J96" s="56"/>
      <c r="K96" s="56"/>
      <c r="L96" s="130"/>
      <c r="M96" s="130"/>
      <c r="N96" s="130"/>
      <c r="O96" s="59"/>
      <c r="P96" s="59"/>
      <c r="Q96" s="59"/>
      <c r="R96" s="59"/>
      <c r="S96" s="59"/>
      <c r="T96" s="59"/>
      <c r="U96" s="59"/>
      <c r="V96" s="59"/>
      <c r="W96" s="50"/>
      <c r="X96" s="84">
        <v>923</v>
      </c>
      <c r="Y96" s="104">
        <f t="shared" ref="Y96:Y159" si="150">Y95+Y$16</f>
        <v>3.0720204114913961E-4</v>
      </c>
      <c r="Z96" s="96">
        <f t="shared" si="132"/>
        <v>0.67402511962550582</v>
      </c>
      <c r="AA96" s="94">
        <f t="shared" si="133"/>
        <v>1859543.3961154011</v>
      </c>
      <c r="AB96" s="163">
        <f t="shared" si="147"/>
        <v>3.0720204114913961E-4</v>
      </c>
      <c r="AC96" s="96">
        <f t="shared" si="134"/>
        <v>0.67402511962550582</v>
      </c>
      <c r="AD96" s="94">
        <f t="shared" si="131"/>
        <v>1859543.3961154011</v>
      </c>
      <c r="AG96" s="48">
        <f>AT82</f>
        <v>51920.908109777927</v>
      </c>
      <c r="AH96" s="131">
        <f>L0+R0-KK.3</f>
        <v>1579.0918902220728</v>
      </c>
      <c r="AI96" s="125">
        <f>-(alph^2)-2*S.3*Ldif</f>
        <v>-625003158.18378043</v>
      </c>
      <c r="AJ96" s="125">
        <f>S.3^2</f>
        <v>2493531.1977651189</v>
      </c>
      <c r="AK96" s="159">
        <f>(-b.3-SQRT(b.3^2-4*a.3*c.3))/(2*a.3)</f>
        <v>3.9896368980407715E-3</v>
      </c>
      <c r="AL96" s="126">
        <f>1-(KK.3-L0)/R0</f>
        <v>0.45116911149202088</v>
      </c>
      <c r="AM96" s="126">
        <f>1-beta*(1-f.3)</f>
        <v>1</v>
      </c>
      <c r="AN96" s="133">
        <f>f.3*j.3</f>
        <v>0.45116911149202088</v>
      </c>
      <c r="AO96" s="133">
        <f>f.3*k.3+j.3*g.3</f>
        <v>-7.1428571428571423</v>
      </c>
      <c r="AP96" s="133">
        <f>g.3*k.3+j.3*h.3+f.3*l.3</f>
        <v>-2.8571428571428568E-4</v>
      </c>
      <c r="AQ96" s="133">
        <f>g.3*l.3*h.3*k.3</f>
        <v>0</v>
      </c>
      <c r="AR96" s="133">
        <f>h.3*l.3</f>
        <v>0</v>
      </c>
      <c r="AS96" s="139">
        <f>M0*D0.3*(m.3+(n.3*D0.3^0.5)/1.5+p.3*D0.3/2+(q.3*D0.3^1.5)/2.5+(r.3*D0.3^2)/3)</f>
        <v>5.9999999542823188</v>
      </c>
    </row>
    <row r="97" spans="10:30" x14ac:dyDescent="0.25">
      <c r="J97" s="56"/>
      <c r="K97" s="56"/>
      <c r="L97" s="130"/>
      <c r="M97" s="130"/>
      <c r="N97" s="130"/>
      <c r="O97" s="59"/>
      <c r="P97" s="59"/>
      <c r="Q97" s="59"/>
      <c r="R97" s="59"/>
      <c r="S97" s="59"/>
      <c r="T97" s="59"/>
      <c r="U97" s="59"/>
      <c r="V97" s="59"/>
      <c r="W97" s="50"/>
      <c r="X97" s="84">
        <v>922</v>
      </c>
      <c r="Y97" s="104">
        <f t="shared" si="150"/>
        <v>3.1119167804718041E-4</v>
      </c>
      <c r="Z97" s="96">
        <f t="shared" si="132"/>
        <v>0.67483544730480305</v>
      </c>
      <c r="AA97" s="94">
        <f t="shared" si="133"/>
        <v>1850309.7607656808</v>
      </c>
      <c r="AB97" s="163">
        <f t="shared" si="147"/>
        <v>3.1119167804718041E-4</v>
      </c>
      <c r="AC97" s="96">
        <f t="shared" si="134"/>
        <v>0.67483544730480305</v>
      </c>
      <c r="AD97" s="94">
        <f t="shared" si="131"/>
        <v>1850309.7607656808</v>
      </c>
    </row>
    <row r="98" spans="10:30" x14ac:dyDescent="0.25">
      <c r="J98" s="56"/>
      <c r="K98" s="56"/>
      <c r="L98" s="130"/>
      <c r="M98" s="130"/>
      <c r="N98" s="130"/>
      <c r="O98" s="59"/>
      <c r="P98" s="59"/>
      <c r="Q98" s="59"/>
      <c r="R98" s="59"/>
      <c r="S98" s="59"/>
      <c r="T98" s="59"/>
      <c r="U98" s="59"/>
      <c r="V98" s="59"/>
      <c r="W98" s="50"/>
      <c r="X98" s="84">
        <v>921</v>
      </c>
      <c r="Y98" s="104">
        <f t="shared" si="150"/>
        <v>3.1518131494522121E-4</v>
      </c>
      <c r="Z98" s="96">
        <f t="shared" si="132"/>
        <v>0.6756405970196605</v>
      </c>
      <c r="AA98" s="94">
        <f t="shared" si="133"/>
        <v>1841157.8902808412</v>
      </c>
      <c r="AB98" s="163">
        <f t="shared" si="147"/>
        <v>3.1518131494522121E-4</v>
      </c>
      <c r="AC98" s="96">
        <f t="shared" si="134"/>
        <v>0.6756405970196605</v>
      </c>
      <c r="AD98" s="94">
        <f t="shared" si="131"/>
        <v>1841157.8902808412</v>
      </c>
    </row>
    <row r="99" spans="10:30" x14ac:dyDescent="0.25">
      <c r="J99" s="56"/>
      <c r="K99" s="56"/>
      <c r="L99" s="130"/>
      <c r="M99" s="130"/>
      <c r="N99" s="130"/>
      <c r="O99" s="59"/>
      <c r="P99" s="59"/>
      <c r="Q99" s="59"/>
      <c r="R99" s="59"/>
      <c r="S99" s="59"/>
      <c r="T99" s="59"/>
      <c r="U99" s="59"/>
      <c r="V99" s="59"/>
      <c r="W99" s="50"/>
      <c r="X99" s="84">
        <v>920</v>
      </c>
      <c r="Y99" s="104">
        <f t="shared" si="150"/>
        <v>3.19170951843262E-4</v>
      </c>
      <c r="Z99" s="96">
        <f t="shared" si="132"/>
        <v>0.67644066678064274</v>
      </c>
      <c r="AA99" s="94">
        <f t="shared" si="133"/>
        <v>1832086.2369837146</v>
      </c>
      <c r="AB99" s="163">
        <f t="shared" si="147"/>
        <v>3.19170951843262E-4</v>
      </c>
      <c r="AC99" s="96">
        <f t="shared" si="134"/>
        <v>0.67644066678064274</v>
      </c>
      <c r="AD99" s="94">
        <f t="shared" si="131"/>
        <v>1832086.2369837146</v>
      </c>
    </row>
    <row r="100" spans="10:30" x14ac:dyDescent="0.25">
      <c r="J100" s="56"/>
      <c r="K100" s="56"/>
      <c r="L100" s="130"/>
      <c r="M100" s="130"/>
      <c r="N100" s="130"/>
      <c r="O100" s="59"/>
      <c r="P100" s="59"/>
      <c r="Q100" s="59"/>
      <c r="R100" s="59"/>
      <c r="S100" s="59"/>
      <c r="T100" s="59"/>
      <c r="U100" s="59"/>
      <c r="V100" s="59"/>
      <c r="W100" s="50"/>
      <c r="X100" s="84">
        <v>919</v>
      </c>
      <c r="Y100" s="104">
        <f t="shared" si="150"/>
        <v>3.231605887413028E-4</v>
      </c>
      <c r="Z100" s="96">
        <f t="shared" si="132"/>
        <v>0.67723575154480509</v>
      </c>
      <c r="AA100" s="94">
        <f t="shared" si="133"/>
        <v>1823093.3014148185</v>
      </c>
      <c r="AB100" s="163">
        <f t="shared" si="147"/>
        <v>3.231605887413028E-4</v>
      </c>
      <c r="AC100" s="96">
        <f t="shared" si="134"/>
        <v>0.67723575154480509</v>
      </c>
      <c r="AD100" s="94">
        <f t="shared" si="131"/>
        <v>1823093.3014148185</v>
      </c>
    </row>
    <row r="101" spans="10:30" x14ac:dyDescent="0.25">
      <c r="J101" s="56"/>
      <c r="K101" s="56"/>
      <c r="L101" s="130"/>
      <c r="M101" s="130"/>
      <c r="N101" s="130"/>
      <c r="O101" s="59"/>
      <c r="P101" s="59"/>
      <c r="Q101" s="59"/>
      <c r="R101" s="59"/>
      <c r="S101" s="59"/>
      <c r="T101" s="59"/>
      <c r="U101" s="59"/>
      <c r="V101" s="59"/>
      <c r="W101" s="50"/>
      <c r="X101" s="84">
        <v>918</v>
      </c>
      <c r="Y101" s="104">
        <f t="shared" si="150"/>
        <v>3.2715022563934359E-4</v>
      </c>
      <c r="Z101" s="96">
        <f t="shared" si="132"/>
        <v>0.67802594334725907</v>
      </c>
      <c r="AA101" s="94">
        <f t="shared" si="133"/>
        <v>1814177.6302548924</v>
      </c>
      <c r="AB101" s="163">
        <f t="shared" si="147"/>
        <v>3.2715022563934359E-4</v>
      </c>
      <c r="AC101" s="96">
        <f t="shared" si="134"/>
        <v>0.67802594334725907</v>
      </c>
      <c r="AD101" s="94">
        <f t="shared" si="131"/>
        <v>1814177.6302548924</v>
      </c>
    </row>
    <row r="102" spans="10:30" x14ac:dyDescent="0.25">
      <c r="J102" s="56"/>
      <c r="K102" s="56"/>
      <c r="L102" s="130"/>
      <c r="M102" s="130"/>
      <c r="N102" s="130"/>
      <c r="O102" s="59"/>
      <c r="P102" s="59"/>
      <c r="Q102" s="59"/>
      <c r="R102" s="59"/>
      <c r="S102" s="59"/>
      <c r="T102" s="59"/>
      <c r="U102" s="59"/>
      <c r="V102" s="59"/>
      <c r="W102" s="50"/>
      <c r="X102" s="84">
        <v>917</v>
      </c>
      <c r="Y102" s="104">
        <f t="shared" si="150"/>
        <v>3.3113986253738439E-4</v>
      </c>
      <c r="Z102" s="96">
        <f t="shared" si="132"/>
        <v>0.67881133142550654</v>
      </c>
      <c r="AA102" s="94">
        <f t="shared" si="133"/>
        <v>1805337.8143614782</v>
      </c>
      <c r="AB102" s="163">
        <f t="shared" si="147"/>
        <v>3.3113986253738439E-4</v>
      </c>
      <c r="AC102" s="96">
        <f t="shared" si="134"/>
        <v>0.67881133142550654</v>
      </c>
      <c r="AD102" s="94">
        <f t="shared" si="131"/>
        <v>1805337.8143614782</v>
      </c>
    </row>
    <row r="103" spans="10:30" x14ac:dyDescent="0.25">
      <c r="J103" s="56"/>
      <c r="K103" s="56"/>
      <c r="L103" s="130"/>
      <c r="M103" s="130"/>
      <c r="N103" s="130"/>
      <c r="O103" s="59"/>
      <c r="P103" s="59"/>
      <c r="Q103" s="59"/>
      <c r="R103" s="59"/>
      <c r="S103" s="59"/>
      <c r="T103" s="59"/>
      <c r="U103" s="59"/>
      <c r="V103" s="59"/>
      <c r="W103" s="50"/>
      <c r="X103" s="84">
        <v>916</v>
      </c>
      <c r="Y103" s="104">
        <f t="shared" si="150"/>
        <v>3.3512949943542518E-4</v>
      </c>
      <c r="Z103" s="96">
        <f t="shared" si="132"/>
        <v>0.67959200233707906</v>
      </c>
      <c r="AA103" s="94">
        <f t="shared" si="133"/>
        <v>1796572.4869113422</v>
      </c>
      <c r="AB103" s="163">
        <f t="shared" si="147"/>
        <v>3.3512949943542518E-4</v>
      </c>
      <c r="AC103" s="96">
        <f t="shared" si="134"/>
        <v>0.67959200233707906</v>
      </c>
      <c r="AD103" s="94">
        <f t="shared" si="131"/>
        <v>1796572.4869113422</v>
      </c>
    </row>
    <row r="104" spans="10:30" x14ac:dyDescent="0.25">
      <c r="J104" s="56"/>
      <c r="K104" s="56"/>
      <c r="L104" s="130"/>
      <c r="M104" s="130"/>
      <c r="N104" s="130"/>
      <c r="O104" s="59"/>
      <c r="P104" s="59"/>
      <c r="Q104" s="59"/>
      <c r="R104" s="59"/>
      <c r="S104" s="59"/>
      <c r="T104" s="59"/>
      <c r="U104" s="59"/>
      <c r="V104" s="59"/>
      <c r="W104" s="50"/>
      <c r="X104" s="84">
        <v>915</v>
      </c>
      <c r="Y104" s="104">
        <f t="shared" si="150"/>
        <v>3.3911913633346598E-4</v>
      </c>
      <c r="Z104" s="96">
        <f t="shared" si="132"/>
        <v>0.68036804007086682</v>
      </c>
      <c r="AA104" s="94">
        <f t="shared" si="133"/>
        <v>1787880.3216424314</v>
      </c>
      <c r="AB104" s="163">
        <f t="shared" si="147"/>
        <v>3.3911913633346598E-4</v>
      </c>
      <c r="AC104" s="96">
        <f t="shared" si="134"/>
        <v>0.68036804007086682</v>
      </c>
      <c r="AD104" s="94">
        <f t="shared" si="131"/>
        <v>1787880.3216424314</v>
      </c>
    </row>
    <row r="105" spans="10:30" x14ac:dyDescent="0.25">
      <c r="J105" s="56"/>
      <c r="K105" s="56"/>
      <c r="L105" s="130"/>
      <c r="M105" s="130"/>
      <c r="N105" s="130"/>
      <c r="O105" s="59"/>
      <c r="P105" s="59"/>
      <c r="Q105" s="59"/>
      <c r="R105" s="59"/>
      <c r="S105" s="59"/>
      <c r="T105" s="59"/>
      <c r="U105" s="59"/>
      <c r="V105" s="59"/>
      <c r="W105" s="50"/>
      <c r="X105" s="84">
        <v>914</v>
      </c>
      <c r="Y105" s="104">
        <f t="shared" si="150"/>
        <v>3.4310877323150677E-4</v>
      </c>
      <c r="Z105" s="96">
        <f t="shared" si="132"/>
        <v>0.68113952615260076</v>
      </c>
      <c r="AA105" s="94">
        <f t="shared" si="133"/>
        <v>1779260.0311882892</v>
      </c>
      <c r="AB105" s="163">
        <f t="shared" si="147"/>
        <v>3.4310877323150677E-4</v>
      </c>
      <c r="AC105" s="96">
        <f t="shared" si="134"/>
        <v>0.68113952615260076</v>
      </c>
      <c r="AD105" s="94">
        <f t="shared" si="131"/>
        <v>1779260.0311882892</v>
      </c>
    </row>
    <row r="106" spans="10:30" x14ac:dyDescent="0.25">
      <c r="J106" s="56"/>
      <c r="K106" s="56"/>
      <c r="L106" s="130"/>
      <c r="M106" s="130"/>
      <c r="N106" s="130"/>
      <c r="O106" s="59"/>
      <c r="P106" s="59"/>
      <c r="Q106" s="59"/>
      <c r="R106" s="59"/>
      <c r="S106" s="59"/>
      <c r="T106" s="59"/>
      <c r="U106" s="59"/>
      <c r="V106" s="59"/>
      <c r="W106" s="50"/>
      <c r="X106" s="84">
        <v>913</v>
      </c>
      <c r="Y106" s="104">
        <f t="shared" si="150"/>
        <v>3.4709841012954757E-4</v>
      </c>
      <c r="Z106" s="96">
        <f t="shared" si="132"/>
        <v>0.68190653974479931</v>
      </c>
      <c r="AA106" s="94">
        <f t="shared" si="133"/>
        <v>1770710.3654997207</v>
      </c>
      <c r="AB106" s="163">
        <f t="shared" si="147"/>
        <v>3.4709841012954757E-4</v>
      </c>
      <c r="AC106" s="96">
        <f t="shared" si="134"/>
        <v>0.68190653974479931</v>
      </c>
      <c r="AD106" s="94">
        <f t="shared" si="131"/>
        <v>1770710.3654997207</v>
      </c>
    </row>
    <row r="107" spans="10:30" x14ac:dyDescent="0.25">
      <c r="J107" s="56"/>
      <c r="K107" s="56"/>
      <c r="L107" s="130"/>
      <c r="M107" s="130"/>
      <c r="N107" s="130"/>
      <c r="O107" s="59"/>
      <c r="P107" s="59"/>
      <c r="Q107" s="59"/>
      <c r="R107" s="59"/>
      <c r="S107" s="59"/>
      <c r="T107" s="59"/>
      <c r="U107" s="59"/>
      <c r="V107" s="59"/>
      <c r="W107" s="50"/>
      <c r="X107" s="84">
        <v>912</v>
      </c>
      <c r="Y107" s="104">
        <f t="shared" si="150"/>
        <v>3.5108804702758836E-4</v>
      </c>
      <c r="Z107" s="96">
        <f t="shared" si="132"/>
        <v>0.6826691577415871</v>
      </c>
      <c r="AA107" s="94">
        <f t="shared" si="133"/>
        <v>1762230.1103475902</v>
      </c>
      <c r="AB107" s="163">
        <f t="shared" si="147"/>
        <v>3.5108804702758836E-4</v>
      </c>
      <c r="AC107" s="96">
        <f t="shared" si="134"/>
        <v>0.6826691577415871</v>
      </c>
      <c r="AD107" s="94">
        <f t="shared" si="131"/>
        <v>1762230.1103475902</v>
      </c>
    </row>
    <row r="108" spans="10:30" x14ac:dyDescent="0.25">
      <c r="J108" s="56"/>
      <c r="K108" s="56"/>
      <c r="L108" s="130"/>
      <c r="M108" s="130"/>
      <c r="N108" s="130"/>
      <c r="O108" s="59"/>
      <c r="P108" s="59"/>
      <c r="Q108" s="59"/>
      <c r="R108" s="59"/>
      <c r="S108" s="59"/>
      <c r="T108" s="59"/>
      <c r="U108" s="59"/>
      <c r="V108" s="59"/>
      <c r="W108" s="50"/>
      <c r="X108" s="84">
        <v>911</v>
      </c>
      <c r="Y108" s="104">
        <f t="shared" si="150"/>
        <v>3.5507768392562916E-4</v>
      </c>
      <c r="Z108" s="96">
        <f t="shared" si="132"/>
        <v>0.68342745485865442</v>
      </c>
      <c r="AA108" s="94">
        <f t="shared" si="133"/>
        <v>1753818.0859022143</v>
      </c>
      <c r="AB108" s="163">
        <f t="shared" si="147"/>
        <v>3.5507768392562916E-4</v>
      </c>
      <c r="AC108" s="96">
        <f t="shared" si="134"/>
        <v>0.68342745485865442</v>
      </c>
      <c r="AD108" s="94">
        <f t="shared" si="131"/>
        <v>1753818.0859022143</v>
      </c>
    </row>
    <row r="109" spans="10:30" x14ac:dyDescent="0.25">
      <c r="J109" s="56"/>
      <c r="K109" s="56"/>
      <c r="L109" s="130"/>
      <c r="M109" s="130"/>
      <c r="N109" s="130"/>
      <c r="O109" s="59"/>
      <c r="P109" s="59"/>
      <c r="Q109" s="59"/>
      <c r="R109" s="59"/>
      <c r="S109" s="59"/>
      <c r="T109" s="59"/>
      <c r="U109" s="59"/>
      <c r="V109" s="59"/>
      <c r="W109" s="50"/>
      <c r="X109" s="84">
        <v>910</v>
      </c>
      <c r="Y109" s="104">
        <f t="shared" si="150"/>
        <v>3.5906732082366995E-4</v>
      </c>
      <c r="Z109" s="96">
        <f t="shared" si="132"/>
        <v>0.68418150371870634</v>
      </c>
      <c r="AA109" s="94">
        <f t="shared" si="133"/>
        <v>1745473.1453841054</v>
      </c>
      <c r="AB109" s="163">
        <f t="shared" si="147"/>
        <v>3.5906732082366995E-4</v>
      </c>
      <c r="AC109" s="96">
        <f t="shared" si="134"/>
        <v>0.68418150371870634</v>
      </c>
      <c r="AD109" s="94">
        <f t="shared" si="131"/>
        <v>1745473.1453841054</v>
      </c>
    </row>
    <row r="110" spans="10:30" x14ac:dyDescent="0.25">
      <c r="J110" s="56"/>
      <c r="K110" s="56"/>
      <c r="L110" s="130"/>
      <c r="M110" s="130"/>
      <c r="N110" s="130"/>
      <c r="O110" s="59"/>
      <c r="P110" s="59"/>
      <c r="Q110" s="59"/>
      <c r="R110" s="59"/>
      <c r="S110" s="59"/>
      <c r="T110" s="59"/>
      <c r="U110" s="59"/>
      <c r="V110" s="59"/>
      <c r="W110" s="50"/>
      <c r="X110" s="84">
        <v>909</v>
      </c>
      <c r="Y110" s="104">
        <f t="shared" si="150"/>
        <v>3.6305695772171075E-4</v>
      </c>
      <c r="Z110" s="96">
        <f t="shared" si="132"/>
        <v>0.68493137493261846</v>
      </c>
      <c r="AA110" s="94">
        <f t="shared" si="133"/>
        <v>1737194.1737823784</v>
      </c>
      <c r="AB110" s="163">
        <f t="shared" si="147"/>
        <v>3.6305695772171075E-4</v>
      </c>
      <c r="AC110" s="96">
        <f t="shared" si="134"/>
        <v>0.68493137493261846</v>
      </c>
      <c r="AD110" s="94">
        <f t="shared" si="131"/>
        <v>1737194.1737823784</v>
      </c>
    </row>
    <row r="111" spans="10:30" x14ac:dyDescent="0.25">
      <c r="J111" s="56"/>
      <c r="K111" s="56"/>
      <c r="L111" s="130"/>
      <c r="M111" s="130"/>
      <c r="N111" s="130"/>
      <c r="O111" s="59"/>
      <c r="P111" s="59"/>
      <c r="Q111" s="59"/>
      <c r="R111" s="59"/>
      <c r="S111" s="59"/>
      <c r="T111" s="59"/>
      <c r="U111" s="59"/>
      <c r="V111" s="59"/>
      <c r="W111" s="50"/>
      <c r="X111" s="84">
        <v>908</v>
      </c>
      <c r="Y111" s="104">
        <f t="shared" si="150"/>
        <v>3.6704659461975154E-4</v>
      </c>
      <c r="Z111" s="96">
        <f t="shared" si="132"/>
        <v>0.68567713717663081</v>
      </c>
      <c r="AA111" s="94">
        <f t="shared" si="133"/>
        <v>1728980.0866358748</v>
      </c>
      <c r="AB111" s="163">
        <f t="shared" si="147"/>
        <v>3.6704659461975154E-4</v>
      </c>
      <c r="AC111" s="96">
        <f t="shared" si="134"/>
        <v>0.68567713717663081</v>
      </c>
      <c r="AD111" s="94">
        <f t="shared" si="131"/>
        <v>1728980.0866358748</v>
      </c>
    </row>
    <row r="112" spans="10:30" x14ac:dyDescent="0.25">
      <c r="J112" s="56"/>
      <c r="K112" s="56"/>
      <c r="L112" s="130"/>
      <c r="M112" s="130"/>
      <c r="N112" s="130"/>
      <c r="O112" s="59"/>
      <c r="P112" s="59"/>
      <c r="Q112" s="59"/>
      <c r="R112" s="59"/>
      <c r="S112" s="59"/>
      <c r="T112" s="59"/>
      <c r="U112" s="59"/>
      <c r="V112" s="59"/>
      <c r="W112" s="50"/>
      <c r="X112" s="84">
        <v>907</v>
      </c>
      <c r="Y112" s="104">
        <f t="shared" si="150"/>
        <v>3.7103623151779234E-4</v>
      </c>
      <c r="Z112" s="96">
        <f t="shared" si="132"/>
        <v>0.68641885726573149</v>
      </c>
      <c r="AA112" s="94">
        <f t="shared" si="133"/>
        <v>1720829.8288742711</v>
      </c>
      <c r="AB112" s="163">
        <f t="shared" si="147"/>
        <v>3.7103623151779234E-4</v>
      </c>
      <c r="AC112" s="96">
        <f t="shared" si="134"/>
        <v>0.68641885726573149</v>
      </c>
      <c r="AD112" s="94">
        <f t="shared" si="131"/>
        <v>1720829.8288742711</v>
      </c>
    </row>
    <row r="113" spans="10:30" x14ac:dyDescent="0.25">
      <c r="J113" s="56"/>
      <c r="K113" s="56"/>
      <c r="L113" s="130"/>
      <c r="M113" s="130"/>
      <c r="N113" s="130"/>
      <c r="O113" s="59"/>
      <c r="P113" s="59"/>
      <c r="Q113" s="59"/>
      <c r="R113" s="59"/>
      <c r="S113" s="59"/>
      <c r="T113" s="59"/>
      <c r="U113" s="59"/>
      <c r="V113" s="59"/>
      <c r="W113" s="50"/>
      <c r="X113" s="84">
        <v>906</v>
      </c>
      <c r="Y113" s="104">
        <f t="shared" si="150"/>
        <v>3.7502586841583314E-4</v>
      </c>
      <c r="Z113" s="96">
        <f t="shared" si="132"/>
        <v>0.68715660022353808</v>
      </c>
      <c r="AA113" s="94">
        <f t="shared" si="133"/>
        <v>1712742.3737146656</v>
      </c>
      <c r="AB113" s="163">
        <f t="shared" si="147"/>
        <v>3.7502586841583314E-4</v>
      </c>
      <c r="AC113" s="96">
        <f t="shared" si="134"/>
        <v>0.68715660022353808</v>
      </c>
      <c r="AD113" s="94">
        <f t="shared" si="131"/>
        <v>1712742.3737146656</v>
      </c>
    </row>
    <row r="114" spans="10:30" x14ac:dyDescent="0.25">
      <c r="J114" s="56"/>
      <c r="K114" s="56"/>
      <c r="L114" s="130"/>
      <c r="M114" s="130"/>
      <c r="N114" s="130"/>
      <c r="O114" s="59"/>
      <c r="P114" s="59"/>
      <c r="Q114" s="59"/>
      <c r="R114" s="59"/>
      <c r="S114" s="59"/>
      <c r="T114" s="59"/>
      <c r="U114" s="59"/>
      <c r="V114" s="59"/>
      <c r="W114" s="50"/>
      <c r="X114" s="84">
        <v>905</v>
      </c>
      <c r="Y114" s="104">
        <f t="shared" si="150"/>
        <v>3.7901550531387393E-4</v>
      </c>
      <c r="Z114" s="96">
        <f t="shared" si="132"/>
        <v>0.68789042934881361</v>
      </c>
      <c r="AA114" s="94">
        <f t="shared" si="133"/>
        <v>1704716.7216111901</v>
      </c>
      <c r="AB114" s="163">
        <f t="shared" si="147"/>
        <v>3.7901550531387393E-4</v>
      </c>
      <c r="AC114" s="96">
        <f t="shared" si="134"/>
        <v>0.68789042934881361</v>
      </c>
      <c r="AD114" s="94">
        <f t="shared" si="131"/>
        <v>1704716.7216111901</v>
      </c>
    </row>
    <row r="115" spans="10:30" x14ac:dyDescent="0.25">
      <c r="J115" s="56"/>
      <c r="K115" s="56"/>
      <c r="L115" s="130"/>
      <c r="M115" s="130"/>
      <c r="N115" s="130"/>
      <c r="O115" s="59"/>
      <c r="P115" s="59"/>
      <c r="Q115" s="59"/>
      <c r="R115" s="59"/>
      <c r="S115" s="59"/>
      <c r="T115" s="59"/>
      <c r="U115" s="59"/>
      <c r="V115" s="59"/>
      <c r="W115" s="50"/>
      <c r="X115" s="84">
        <v>904</v>
      </c>
      <c r="Y115" s="104">
        <f t="shared" si="150"/>
        <v>3.8300514221191473E-4</v>
      </c>
      <c r="Z115" s="96">
        <f t="shared" si="132"/>
        <v>0.68862040627885801</v>
      </c>
      <c r="AA115" s="94">
        <f t="shared" si="133"/>
        <v>1696751.899254011</v>
      </c>
      <c r="AB115" s="163">
        <f t="shared" si="147"/>
        <v>3.8300514221191473E-4</v>
      </c>
      <c r="AC115" s="96">
        <f t="shared" si="134"/>
        <v>0.68862040627885801</v>
      </c>
      <c r="AD115" s="94">
        <f t="shared" si="131"/>
        <v>1696751.899254011</v>
      </c>
    </row>
    <row r="116" spans="10:30" x14ac:dyDescent="0.25">
      <c r="J116" s="56"/>
      <c r="K116" s="56"/>
      <c r="L116" s="130"/>
      <c r="M116" s="130"/>
      <c r="N116" s="130"/>
      <c r="O116" s="59"/>
      <c r="P116" s="59"/>
      <c r="Q116" s="59"/>
      <c r="R116" s="59"/>
      <c r="S116" s="59"/>
      <c r="T116" s="59"/>
      <c r="U116" s="59"/>
      <c r="V116" s="59"/>
      <c r="W116" s="50"/>
      <c r="X116" s="84">
        <v>903</v>
      </c>
      <c r="Y116" s="104">
        <f t="shared" si="150"/>
        <v>3.8699477910995552E-4</v>
      </c>
      <c r="Z116" s="96">
        <f t="shared" si="132"/>
        <v>0.68934659104991958</v>
      </c>
      <c r="AA116" s="94">
        <f t="shared" si="133"/>
        <v>1688846.9586153529</v>
      </c>
      <c r="AB116" s="163">
        <f t="shared" si="147"/>
        <v>3.8699477910995552E-4</v>
      </c>
      <c r="AC116" s="96">
        <f t="shared" si="134"/>
        <v>0.68934659104991958</v>
      </c>
      <c r="AD116" s="94">
        <f t="shared" si="131"/>
        <v>1688846.9586153529</v>
      </c>
    </row>
    <row r="117" spans="10:30" x14ac:dyDescent="0.25">
      <c r="J117" s="56"/>
      <c r="K117" s="56"/>
      <c r="L117" s="130"/>
      <c r="M117" s="130"/>
      <c r="N117" s="130"/>
      <c r="O117" s="59"/>
      <c r="P117" s="59"/>
      <c r="Q117" s="59"/>
      <c r="R117" s="59"/>
      <c r="S117" s="59"/>
      <c r="T117" s="59"/>
      <c r="U117" s="59"/>
      <c r="V117" s="59"/>
      <c r="W117" s="50"/>
      <c r="X117" s="84">
        <v>902</v>
      </c>
      <c r="Y117" s="104">
        <f t="shared" si="150"/>
        <v>3.9098441600799632E-4</v>
      </c>
      <c r="Z117" s="96">
        <f t="shared" si="132"/>
        <v>0.690069042154833</v>
      </c>
      <c r="AA117" s="94">
        <f t="shared" si="133"/>
        <v>1681000.9760393982</v>
      </c>
      <c r="AB117" s="163">
        <f t="shared" si="147"/>
        <v>3.9098441600799632E-4</v>
      </c>
      <c r="AC117" s="96">
        <f t="shared" si="134"/>
        <v>0.690069042154833</v>
      </c>
      <c r="AD117" s="94">
        <f t="shared" si="131"/>
        <v>1681000.9760393982</v>
      </c>
    </row>
    <row r="118" spans="10:30" x14ac:dyDescent="0.25">
      <c r="J118" s="56"/>
      <c r="K118" s="56"/>
      <c r="L118" s="130"/>
      <c r="M118" s="130"/>
      <c r="N118" s="130"/>
      <c r="O118" s="59"/>
      <c r="P118" s="59"/>
      <c r="Q118" s="59"/>
      <c r="R118" s="59"/>
      <c r="S118" s="59"/>
      <c r="T118" s="59"/>
      <c r="U118" s="59"/>
      <c r="V118" s="59"/>
      <c r="W118" s="50"/>
      <c r="X118" s="84">
        <v>901</v>
      </c>
      <c r="Y118" s="104">
        <f t="shared" si="150"/>
        <v>3.9497405290603711E-4</v>
      </c>
      <c r="Z118" s="96">
        <f t="shared" si="132"/>
        <v>0.69078781659799482</v>
      </c>
      <c r="AA118" s="94">
        <f t="shared" si="133"/>
        <v>1673213.0513741181</v>
      </c>
      <c r="AB118" s="163">
        <f t="shared" si="147"/>
        <v>3.9497405290603711E-4</v>
      </c>
      <c r="AC118" s="96">
        <f t="shared" si="134"/>
        <v>0.69078781659799482</v>
      </c>
      <c r="AD118" s="94">
        <f t="shared" si="131"/>
        <v>1673213.0513741181</v>
      </c>
    </row>
    <row r="119" spans="10:30" x14ac:dyDescent="0.25">
      <c r="J119" s="56"/>
      <c r="K119" s="56"/>
      <c r="L119" s="130"/>
      <c r="M119" s="130"/>
      <c r="N119" s="130"/>
      <c r="O119" s="59"/>
      <c r="P119" s="59"/>
      <c r="Q119" s="59"/>
      <c r="R119" s="59"/>
      <c r="S119" s="59"/>
      <c r="T119" s="59"/>
      <c r="U119" s="59"/>
      <c r="V119" s="59"/>
      <c r="W119" s="50"/>
      <c r="X119" s="84">
        <v>900</v>
      </c>
      <c r="Y119" s="104">
        <f t="shared" si="150"/>
        <v>3.9896368980407791E-4</v>
      </c>
      <c r="Z119" s="96">
        <f t="shared" si="132"/>
        <v>0.69150296994785965</v>
      </c>
      <c r="AA119" s="94">
        <f t="shared" si="133"/>
        <v>1665482.3071423464</v>
      </c>
      <c r="AB119" s="163">
        <f t="shared" si="147"/>
        <v>3.9896368980407791E-4</v>
      </c>
      <c r="AC119" s="96">
        <f t="shared" si="134"/>
        <v>0.69150296994785965</v>
      </c>
      <c r="AD119" s="94">
        <f t="shared" si="131"/>
        <v>1665482.3071423464</v>
      </c>
    </row>
    <row r="120" spans="10:30" x14ac:dyDescent="0.25">
      <c r="J120" s="56"/>
      <c r="K120" s="56"/>
      <c r="L120" s="130"/>
      <c r="M120" s="130"/>
      <c r="N120" s="130"/>
      <c r="O120" s="59"/>
      <c r="P120" s="59"/>
      <c r="Q120" s="59"/>
      <c r="R120" s="59"/>
      <c r="S120" s="59"/>
      <c r="T120" s="59"/>
      <c r="U120" s="59"/>
      <c r="V120" s="59"/>
      <c r="W120" s="50"/>
      <c r="X120" s="84">
        <v>899</v>
      </c>
      <c r="Y120" s="104">
        <f t="shared" si="150"/>
        <v>4.029533267021187E-4</v>
      </c>
      <c r="Z120" s="96">
        <f t="shared" si="132"/>
        <v>0.69221455638706841</v>
      </c>
      <c r="AA120" s="94">
        <f t="shared" si="133"/>
        <v>1657807.8877501604</v>
      </c>
      <c r="AB120" s="163">
        <f t="shared" si="147"/>
        <v>4.029533267021187E-4</v>
      </c>
      <c r="AC120" s="96">
        <f t="shared" si="134"/>
        <v>0.69221455638706841</v>
      </c>
      <c r="AD120" s="94">
        <f t="shared" si="131"/>
        <v>1657807.8877501604</v>
      </c>
    </row>
    <row r="121" spans="10:30" x14ac:dyDescent="0.25">
      <c r="J121" s="56"/>
      <c r="K121" s="56"/>
      <c r="L121" s="130"/>
      <c r="M121" s="130"/>
      <c r="N121" s="130"/>
      <c r="O121" s="59"/>
      <c r="P121" s="59"/>
      <c r="Q121" s="59"/>
      <c r="R121" s="59"/>
      <c r="S121" s="59"/>
      <c r="T121" s="59"/>
      <c r="U121" s="59"/>
      <c r="V121" s="59"/>
      <c r="W121" s="50"/>
      <c r="X121" s="84">
        <v>898</v>
      </c>
      <c r="Y121" s="104">
        <f t="shared" si="150"/>
        <v>4.069429636001595E-4</v>
      </c>
      <c r="Z121" s="96">
        <f t="shared" si="132"/>
        <v>0.69292262876036481</v>
      </c>
      <c r="AA121" s="94">
        <f t="shared" si="133"/>
        <v>1650188.9587302827</v>
      </c>
      <c r="AB121" s="163">
        <f t="shared" si="147"/>
        <v>4.069429636001595E-4</v>
      </c>
      <c r="AC121" s="96">
        <f t="shared" si="134"/>
        <v>0.69292262876036481</v>
      </c>
      <c r="AD121" s="94">
        <f t="shared" si="131"/>
        <v>1650188.9587302827</v>
      </c>
    </row>
    <row r="122" spans="10:30" x14ac:dyDescent="0.25">
      <c r="J122" s="56"/>
      <c r="K122" s="56"/>
      <c r="L122" s="130"/>
      <c r="M122" s="130"/>
      <c r="N122" s="130"/>
      <c r="O122" s="59"/>
      <c r="P122" s="59"/>
      <c r="Q122" s="59"/>
      <c r="R122" s="59"/>
      <c r="S122" s="59"/>
      <c r="T122" s="59"/>
      <c r="U122" s="59"/>
      <c r="V122" s="59"/>
      <c r="W122" s="50"/>
      <c r="X122" s="84">
        <v>897</v>
      </c>
      <c r="Y122" s="104">
        <f t="shared" si="150"/>
        <v>4.1093260049820029E-4</v>
      </c>
      <c r="Z122" s="96">
        <f t="shared" si="132"/>
        <v>0.69362723862039477</v>
      </c>
      <c r="AA122" s="94">
        <f t="shared" si="133"/>
        <v>1642624.7060188807</v>
      </c>
      <c r="AB122" s="163">
        <f t="shared" si="147"/>
        <v>4.1093260049820029E-4</v>
      </c>
      <c r="AC122" s="96">
        <f t="shared" si="134"/>
        <v>0.69362723862039477</v>
      </c>
      <c r="AD122" s="94">
        <f t="shared" si="131"/>
        <v>1642624.7060188807</v>
      </c>
    </row>
    <row r="123" spans="10:30" x14ac:dyDescent="0.25">
      <c r="J123" s="56"/>
      <c r="K123" s="56"/>
      <c r="L123" s="130"/>
      <c r="M123" s="130"/>
      <c r="N123" s="130"/>
      <c r="O123" s="59"/>
      <c r="P123" s="59"/>
      <c r="Q123" s="59"/>
      <c r="R123" s="59"/>
      <c r="S123" s="59"/>
      <c r="T123" s="59"/>
      <c r="U123" s="59"/>
      <c r="V123" s="59"/>
      <c r="W123" s="50"/>
      <c r="X123" s="84">
        <v>896</v>
      </c>
      <c r="Y123" s="104">
        <f t="shared" si="150"/>
        <v>4.1492223739624109E-4</v>
      </c>
      <c r="Z123" s="96">
        <f t="shared" si="132"/>
        <v>0.69432843627149321</v>
      </c>
      <c r="AA123" s="94">
        <f t="shared" si="133"/>
        <v>1635114.335264036</v>
      </c>
      <c r="AB123" s="163">
        <f t="shared" si="147"/>
        <v>4.1492223739624109E-4</v>
      </c>
      <c r="AC123" s="96">
        <f t="shared" si="134"/>
        <v>0.69432843627149321</v>
      </c>
      <c r="AD123" s="94">
        <f t="shared" si="131"/>
        <v>1635114.335264036</v>
      </c>
    </row>
    <row r="124" spans="10:30" x14ac:dyDescent="0.25">
      <c r="J124" s="56"/>
      <c r="K124" s="56"/>
      <c r="L124" s="130"/>
      <c r="M124" s="130"/>
      <c r="N124" s="130"/>
      <c r="O124" s="59"/>
      <c r="P124" s="59"/>
      <c r="Q124" s="59"/>
      <c r="R124" s="59"/>
      <c r="S124" s="59"/>
      <c r="T124" s="59"/>
      <c r="U124" s="59"/>
      <c r="V124" s="59"/>
      <c r="W124" s="50"/>
      <c r="X124" s="84">
        <v>895</v>
      </c>
      <c r="Y124" s="104">
        <f t="shared" si="150"/>
        <v>4.1891187429428188E-4</v>
      </c>
      <c r="Z124" s="96">
        <f t="shared" si="132"/>
        <v>0.69502627081162049</v>
      </c>
      <c r="AA124" s="94">
        <f t="shared" si="133"/>
        <v>1627657.0711636734</v>
      </c>
      <c r="AB124" s="163">
        <f t="shared" si="147"/>
        <v>4.1891187429428188E-4</v>
      </c>
      <c r="AC124" s="96">
        <f t="shared" si="134"/>
        <v>0.69502627081162049</v>
      </c>
      <c r="AD124" s="94">
        <f t="shared" si="131"/>
        <v>1627657.0711636734</v>
      </c>
    </row>
    <row r="125" spans="10:30" x14ac:dyDescent="0.25">
      <c r="J125" s="56"/>
      <c r="K125" s="56"/>
      <c r="L125" s="130"/>
      <c r="M125" s="130"/>
      <c r="N125" s="130"/>
      <c r="O125" s="59"/>
      <c r="P125" s="59"/>
      <c r="Q125" s="59"/>
      <c r="R125" s="59"/>
      <c r="S125" s="59"/>
      <c r="T125" s="59"/>
      <c r="U125" s="59"/>
      <c r="V125" s="59"/>
      <c r="W125" s="50"/>
      <c r="X125" s="84">
        <v>894</v>
      </c>
      <c r="Y125" s="104">
        <f t="shared" si="150"/>
        <v>4.2290151119232268E-4</v>
      </c>
      <c r="Z125" s="96">
        <f t="shared" si="132"/>
        <v>0.69572079017245714</v>
      </c>
      <c r="AA125" s="94">
        <f t="shared" si="133"/>
        <v>1620252.1568322931</v>
      </c>
      <c r="AB125" s="163">
        <f t="shared" si="147"/>
        <v>4.2290151119232268E-4</v>
      </c>
      <c r="AC125" s="96">
        <f t="shared" si="134"/>
        <v>0.69572079017245714</v>
      </c>
      <c r="AD125" s="94">
        <f t="shared" si="131"/>
        <v>1620252.1568322931</v>
      </c>
    </row>
    <row r="126" spans="10:30" x14ac:dyDescent="0.25">
      <c r="J126" s="56"/>
      <c r="K126" s="56"/>
      <c r="L126" s="130"/>
      <c r="M126" s="130"/>
      <c r="N126" s="130"/>
      <c r="O126" s="59"/>
      <c r="P126" s="59"/>
      <c r="Q126" s="59"/>
      <c r="R126" s="59"/>
      <c r="S126" s="59"/>
      <c r="T126" s="59"/>
      <c r="U126" s="59"/>
      <c r="V126" s="59"/>
      <c r="W126" s="50"/>
      <c r="X126" s="84">
        <v>893</v>
      </c>
      <c r="Y126" s="104">
        <f t="shared" si="150"/>
        <v>4.2689114809036347E-4</v>
      </c>
      <c r="Z126" s="96">
        <f t="shared" si="132"/>
        <v>0.6964120411578415</v>
      </c>
      <c r="AA126" s="94">
        <f t="shared" si="133"/>
        <v>1612898.8531940933</v>
      </c>
      <c r="AB126" s="163">
        <f t="shared" si="147"/>
        <v>4.2689114809036347E-4</v>
      </c>
      <c r="AC126" s="96">
        <f t="shared" si="134"/>
        <v>0.6964120411578415</v>
      </c>
      <c r="AD126" s="94">
        <f t="shared" si="131"/>
        <v>1612898.8531940933</v>
      </c>
    </row>
    <row r="127" spans="10:30" x14ac:dyDescent="0.25">
      <c r="J127" s="56"/>
      <c r="K127" s="56"/>
      <c r="L127" s="130"/>
      <c r="M127" s="130"/>
      <c r="N127" s="130"/>
      <c r="O127" s="59"/>
      <c r="P127" s="59"/>
      <c r="Q127" s="59"/>
      <c r="R127" s="59"/>
      <c r="S127" s="59"/>
      <c r="T127" s="59"/>
      <c r="U127" s="59"/>
      <c r="V127" s="59"/>
      <c r="W127" s="50"/>
      <c r="X127" s="84">
        <v>892</v>
      </c>
      <c r="Y127" s="104">
        <f t="shared" si="150"/>
        <v>4.3088078498840427E-4</v>
      </c>
      <c r="Z127" s="96">
        <f t="shared" si="132"/>
        <v>0.69710006948056769</v>
      </c>
      <c r="AA127" s="94">
        <f t="shared" si="133"/>
        <v>1605596.4384018462</v>
      </c>
      <c r="AB127" s="163">
        <f t="shared" si="147"/>
        <v>4.3088078498840427E-4</v>
      </c>
      <c r="AC127" s="96">
        <f t="shared" si="134"/>
        <v>0.69710006948056769</v>
      </c>
      <c r="AD127" s="94">
        <f t="shared" si="131"/>
        <v>1605596.4384018462</v>
      </c>
    </row>
    <row r="128" spans="10:30" x14ac:dyDescent="0.25">
      <c r="J128" s="56"/>
      <c r="K128" s="56"/>
      <c r="L128" s="130"/>
      <c r="M128" s="130"/>
      <c r="N128" s="130"/>
      <c r="O128" s="59"/>
      <c r="P128" s="59"/>
      <c r="Q128" s="59"/>
      <c r="R128" s="59"/>
      <c r="S128" s="59"/>
      <c r="T128" s="59"/>
      <c r="U128" s="59"/>
      <c r="V128" s="59"/>
      <c r="W128" s="50"/>
      <c r="X128" s="84">
        <v>891</v>
      </c>
      <c r="Y128" s="104">
        <f t="shared" si="150"/>
        <v>4.3487042188644507E-4</v>
      </c>
      <c r="Z128" s="96">
        <f t="shared" si="132"/>
        <v>0.69778491979766732</v>
      </c>
      <c r="AA128" s="94">
        <f t="shared" si="133"/>
        <v>1598344.2072797916</v>
      </c>
      <c r="AB128" s="163">
        <f t="shared" si="147"/>
        <v>4.3487042188644507E-4</v>
      </c>
      <c r="AC128" s="96">
        <f t="shared" si="134"/>
        <v>0.69778491979766732</v>
      </c>
      <c r="AD128" s="94">
        <f t="shared" si="131"/>
        <v>1598344.2072797916</v>
      </c>
    </row>
    <row r="129" spans="10:30" x14ac:dyDescent="0.25">
      <c r="J129" s="56"/>
      <c r="K129" s="56"/>
      <c r="L129" s="130"/>
      <c r="M129" s="130"/>
      <c r="N129" s="130"/>
      <c r="O129" s="59"/>
      <c r="P129" s="59"/>
      <c r="Q129" s="59"/>
      <c r="R129" s="59"/>
      <c r="S129" s="59"/>
      <c r="T129" s="59"/>
      <c r="U129" s="59"/>
      <c r="V129" s="59"/>
      <c r="W129" s="50"/>
      <c r="X129" s="84">
        <v>890</v>
      </c>
      <c r="Y129" s="104">
        <f t="shared" si="150"/>
        <v>4.3886005878448586E-4</v>
      </c>
      <c r="Z129" s="96">
        <f t="shared" si="132"/>
        <v>0.69846663574423695</v>
      </c>
      <c r="AA129" s="94">
        <f t="shared" si="133"/>
        <v>1591141.4707894758</v>
      </c>
      <c r="AB129" s="163">
        <f t="shared" si="147"/>
        <v>4.3886005878448586E-4</v>
      </c>
      <c r="AC129" s="96">
        <f t="shared" si="134"/>
        <v>0.69846663574423695</v>
      </c>
      <c r="AD129" s="94">
        <f t="shared" si="131"/>
        <v>1591141.4707894758</v>
      </c>
    </row>
    <row r="130" spans="10:30" x14ac:dyDescent="0.25">
      <c r="J130" s="56"/>
      <c r="K130" s="56"/>
      <c r="L130" s="130"/>
      <c r="M130" s="130"/>
      <c r="N130" s="130"/>
      <c r="O130" s="59"/>
      <c r="P130" s="59"/>
      <c r="Q130" s="59"/>
      <c r="R130" s="59"/>
      <c r="S130" s="59"/>
      <c r="T130" s="59"/>
      <c r="U130" s="59"/>
      <c r="V130" s="59"/>
      <c r="W130" s="50"/>
      <c r="X130" s="84">
        <v>889</v>
      </c>
      <c r="Y130" s="104">
        <f t="shared" si="150"/>
        <v>4.4284969568252666E-4</v>
      </c>
      <c r="Z130" s="96">
        <f t="shared" si="132"/>
        <v>0.69914525996588051</v>
      </c>
      <c r="AA130" s="94">
        <f t="shared" si="133"/>
        <v>1583987.5555174588</v>
      </c>
      <c r="AB130" s="163">
        <f t="shared" si="147"/>
        <v>4.4284969568252666E-4</v>
      </c>
      <c r="AC130" s="96">
        <f t="shared" si="134"/>
        <v>0.69914525996588051</v>
      </c>
      <c r="AD130" s="94">
        <f t="shared" si="131"/>
        <v>1583987.5555174588</v>
      </c>
    </row>
    <row r="131" spans="10:30" x14ac:dyDescent="0.25">
      <c r="J131" s="56"/>
      <c r="K131" s="56"/>
      <c r="L131" s="130"/>
      <c r="M131" s="130"/>
      <c r="N131" s="130"/>
      <c r="O131" s="59"/>
      <c r="P131" s="59"/>
      <c r="Q131" s="59"/>
      <c r="R131" s="59"/>
      <c r="S131" s="59"/>
      <c r="T131" s="59"/>
      <c r="U131" s="59"/>
      <c r="V131" s="59"/>
      <c r="W131" s="50"/>
      <c r="X131" s="84">
        <v>888</v>
      </c>
      <c r="Y131" s="104">
        <f t="shared" si="150"/>
        <v>4.4683933258056745E-4</v>
      </c>
      <c r="Z131" s="96">
        <f t="shared" si="132"/>
        <v>0.69982083414982887</v>
      </c>
      <c r="AA131" s="94">
        <f t="shared" si="133"/>
        <v>1576881.8031838301</v>
      </c>
      <c r="AB131" s="163">
        <f t="shared" si="147"/>
        <v>4.4683933258056745E-4</v>
      </c>
      <c r="AC131" s="96">
        <f t="shared" si="134"/>
        <v>0.69982083414982887</v>
      </c>
      <c r="AD131" s="94">
        <f t="shared" si="131"/>
        <v>1576881.8031838301</v>
      </c>
    </row>
    <row r="132" spans="10:30" x14ac:dyDescent="0.25">
      <c r="J132" s="56"/>
      <c r="K132" s="56"/>
      <c r="L132" s="130"/>
      <c r="M132" s="130"/>
      <c r="N132" s="130"/>
      <c r="O132" s="59"/>
      <c r="P132" s="59"/>
      <c r="Q132" s="59"/>
      <c r="R132" s="59"/>
      <c r="S132" s="59"/>
      <c r="T132" s="59"/>
      <c r="U132" s="59"/>
      <c r="V132" s="59"/>
      <c r="W132" s="50"/>
      <c r="X132" s="84">
        <v>887</v>
      </c>
      <c r="Y132" s="104">
        <f t="shared" si="150"/>
        <v>4.5082896947860825E-4</v>
      </c>
      <c r="Z132" s="96">
        <f t="shared" si="132"/>
        <v>0.70049339905484931</v>
      </c>
      <c r="AA132" s="94">
        <f t="shared" si="133"/>
        <v>1569823.5701700617</v>
      </c>
      <c r="AB132" s="163">
        <f t="shared" si="147"/>
        <v>4.5082896947860825E-4</v>
      </c>
      <c r="AC132" s="96">
        <f t="shared" si="134"/>
        <v>0.70049339905484931</v>
      </c>
      <c r="AD132" s="94">
        <f t="shared" si="131"/>
        <v>1569823.5701700617</v>
      </c>
    </row>
    <row r="133" spans="10:30" x14ac:dyDescent="0.25">
      <c r="J133" s="56"/>
      <c r="K133" s="56"/>
      <c r="L133" s="130"/>
      <c r="M133" s="130"/>
      <c r="N133" s="130"/>
      <c r="O133" s="59"/>
      <c r="P133" s="59"/>
      <c r="Q133" s="59"/>
      <c r="R133" s="59"/>
      <c r="S133" s="59"/>
      <c r="T133" s="59"/>
      <c r="U133" s="59"/>
      <c r="V133" s="59"/>
      <c r="W133" s="50"/>
      <c r="X133" s="84">
        <v>886</v>
      </c>
      <c r="Y133" s="104">
        <f t="shared" si="150"/>
        <v>4.5481860637664904E-4</v>
      </c>
      <c r="Z133" s="96">
        <f t="shared" si="132"/>
        <v>0.70116299453991393</v>
      </c>
      <c r="AA133" s="94">
        <f t="shared" si="133"/>
        <v>1562812.2270661516</v>
      </c>
      <c r="AB133" s="163">
        <f t="shared" si="147"/>
        <v>4.5481860637664904E-4</v>
      </c>
      <c r="AC133" s="96">
        <f t="shared" si="134"/>
        <v>0.70116299453991393</v>
      </c>
      <c r="AD133" s="94">
        <f t="shared" si="131"/>
        <v>1562812.2270661516</v>
      </c>
    </row>
    <row r="134" spans="10:30" x14ac:dyDescent="0.25">
      <c r="J134" s="56"/>
      <c r="K134" s="56"/>
      <c r="L134" s="130"/>
      <c r="M134" s="130"/>
      <c r="N134" s="130"/>
      <c r="O134" s="59"/>
      <c r="P134" s="59"/>
      <c r="Q134" s="59"/>
      <c r="R134" s="59"/>
      <c r="S134" s="59"/>
      <c r="T134" s="59"/>
      <c r="U134" s="59"/>
      <c r="V134" s="59"/>
      <c r="W134" s="50"/>
      <c r="X134" s="84">
        <v>885</v>
      </c>
      <c r="Y134" s="104">
        <f t="shared" si="150"/>
        <v>4.5880824327468984E-4</v>
      </c>
      <c r="Z134" s="96">
        <f t="shared" si="132"/>
        <v>0.70182965959178645</v>
      </c>
      <c r="AA134" s="94">
        <f t="shared" si="133"/>
        <v>1555847.1582351243</v>
      </c>
      <c r="AB134" s="163">
        <f t="shared" si="147"/>
        <v>4.5880824327468984E-4</v>
      </c>
      <c r="AC134" s="96">
        <f t="shared" si="134"/>
        <v>0.70182965959178645</v>
      </c>
      <c r="AD134" s="94">
        <f t="shared" si="131"/>
        <v>1555847.1582351243</v>
      </c>
    </row>
    <row r="135" spans="10:30" x14ac:dyDescent="0.25">
      <c r="J135" s="56"/>
      <c r="K135" s="56"/>
      <c r="L135" s="130"/>
      <c r="M135" s="130"/>
      <c r="N135" s="130"/>
      <c r="O135" s="59"/>
      <c r="P135" s="59"/>
      <c r="Q135" s="59"/>
      <c r="R135" s="59"/>
      <c r="S135" s="59"/>
      <c r="T135" s="59"/>
      <c r="U135" s="59"/>
      <c r="V135" s="59"/>
      <c r="W135" s="50"/>
      <c r="X135" s="84">
        <v>884</v>
      </c>
      <c r="Y135" s="104">
        <f t="shared" si="150"/>
        <v>4.6279788017273063E-4</v>
      </c>
      <c r="Z135" s="96">
        <f t="shared" si="132"/>
        <v>0.70249343235149397</v>
      </c>
      <c r="AA135" s="94">
        <f t="shared" si="133"/>
        <v>1548927.761394914</v>
      </c>
      <c r="AB135" s="163">
        <f t="shared" si="147"/>
        <v>4.6279788017273063E-4</v>
      </c>
      <c r="AC135" s="96">
        <f t="shared" si="134"/>
        <v>0.70249343235149397</v>
      </c>
      <c r="AD135" s="94">
        <f t="shared" si="131"/>
        <v>1548927.761394914</v>
      </c>
    </row>
    <row r="136" spans="10:30" x14ac:dyDescent="0.25">
      <c r="J136" s="56"/>
      <c r="K136" s="56"/>
      <c r="L136" s="130"/>
      <c r="M136" s="130"/>
      <c r="N136" s="130"/>
      <c r="O136" s="59"/>
      <c r="P136" s="59"/>
      <c r="Q136" s="59"/>
      <c r="R136" s="59"/>
      <c r="S136" s="59"/>
      <c r="T136" s="59"/>
      <c r="U136" s="59"/>
      <c r="V136" s="59"/>
      <c r="W136" s="50"/>
      <c r="X136" s="84">
        <v>883</v>
      </c>
      <c r="Y136" s="104">
        <f t="shared" si="150"/>
        <v>4.6678751707077143E-4</v>
      </c>
      <c r="Z136" s="96">
        <f t="shared" si="132"/>
        <v>0.70315435013980765</v>
      </c>
      <c r="AA136" s="94">
        <f t="shared" si="133"/>
        <v>1542053.4472160977</v>
      </c>
      <c r="AB136" s="163">
        <f t="shared" si="147"/>
        <v>4.6678751707077143E-4</v>
      </c>
      <c r="AC136" s="96">
        <f t="shared" si="134"/>
        <v>0.70315435013980765</v>
      </c>
      <c r="AD136" s="94">
        <f t="shared" si="131"/>
        <v>1542053.4472160977</v>
      </c>
    </row>
    <row r="137" spans="10:30" x14ac:dyDescent="0.25">
      <c r="J137" s="56"/>
      <c r="K137" s="56"/>
      <c r="L137" s="130"/>
      <c r="M137" s="130"/>
      <c r="N137" s="130"/>
      <c r="O137" s="59"/>
      <c r="P137" s="59"/>
      <c r="Q137" s="59"/>
      <c r="R137" s="59"/>
      <c r="S137" s="59"/>
      <c r="T137" s="59"/>
      <c r="U137" s="59"/>
      <c r="V137" s="59"/>
      <c r="W137" s="50"/>
      <c r="X137" s="84">
        <v>882</v>
      </c>
      <c r="Y137" s="104">
        <f t="shared" si="150"/>
        <v>4.7077715396881222E-4</v>
      </c>
      <c r="Z137" s="96">
        <f t="shared" si="132"/>
        <v>0.7038124494817144</v>
      </c>
      <c r="AA137" s="94">
        <f t="shared" si="133"/>
        <v>1535223.6389353853</v>
      </c>
      <c r="AB137" s="163">
        <f t="shared" si="147"/>
        <v>4.7077715396881222E-4</v>
      </c>
      <c r="AC137" s="96">
        <f t="shared" si="134"/>
        <v>0.7038124494817144</v>
      </c>
      <c r="AD137" s="94">
        <f t="shared" si="131"/>
        <v>1535223.6389353853</v>
      </c>
    </row>
    <row r="138" spans="10:30" x14ac:dyDescent="0.25">
      <c r="J138" s="56"/>
      <c r="K138" s="56"/>
      <c r="L138" s="130"/>
      <c r="M138" s="130"/>
      <c r="N138" s="130"/>
      <c r="O138" s="59"/>
      <c r="P138" s="59"/>
      <c r="Q138" s="59"/>
      <c r="R138" s="59"/>
      <c r="S138" s="59"/>
      <c r="T138" s="59"/>
      <c r="U138" s="59"/>
      <c r="V138" s="59"/>
      <c r="W138" s="50"/>
      <c r="X138" s="84">
        <v>881</v>
      </c>
      <c r="Y138" s="104">
        <f t="shared" si="150"/>
        <v>4.7476679086685302E-4</v>
      </c>
      <c r="Z138" s="96">
        <f t="shared" si="132"/>
        <v>0.7044677661299833</v>
      </c>
      <c r="AA138" s="94">
        <f t="shared" si="133"/>
        <v>1528437.7719835399</v>
      </c>
      <c r="AB138" s="163">
        <f t="shared" si="147"/>
        <v>4.7476679086685302E-4</v>
      </c>
      <c r="AC138" s="96">
        <f t="shared" si="134"/>
        <v>0.7044677661299833</v>
      </c>
      <c r="AD138" s="94">
        <f t="shared" si="131"/>
        <v>1528437.7719835399</v>
      </c>
    </row>
    <row r="139" spans="10:30" x14ac:dyDescent="0.25">
      <c r="J139" s="56"/>
      <c r="K139" s="56"/>
      <c r="L139" s="130"/>
      <c r="M139" s="130"/>
      <c r="N139" s="130"/>
      <c r="O139" s="59"/>
      <c r="P139" s="59"/>
      <c r="Q139" s="59"/>
      <c r="R139" s="59"/>
      <c r="S139" s="59"/>
      <c r="T139" s="59"/>
      <c r="U139" s="59"/>
      <c r="V139" s="59"/>
      <c r="W139" s="50"/>
      <c r="X139" s="84">
        <v>880</v>
      </c>
      <c r="Y139" s="104">
        <f t="shared" si="150"/>
        <v>4.7875642776489381E-4</v>
      </c>
      <c r="Z139" s="96">
        <f t="shared" si="132"/>
        <v>0.70512033508782246</v>
      </c>
      <c r="AA139" s="94">
        <f t="shared" si="133"/>
        <v>1521695.2936275683</v>
      </c>
      <c r="AB139" s="163">
        <f t="shared" si="147"/>
        <v>4.7875642776489381E-4</v>
      </c>
      <c r="AC139" s="96">
        <f t="shared" si="134"/>
        <v>0.70512033508782246</v>
      </c>
      <c r="AD139" s="94">
        <f t="shared" si="131"/>
        <v>1521695.2936275683</v>
      </c>
    </row>
    <row r="140" spans="10:30" x14ac:dyDescent="0.25">
      <c r="J140" s="56"/>
      <c r="K140" s="56"/>
      <c r="L140" s="130"/>
      <c r="M140" s="130"/>
      <c r="N140" s="130"/>
      <c r="O140" s="59"/>
      <c r="P140" s="59"/>
      <c r="Q140" s="59"/>
      <c r="R140" s="59"/>
      <c r="S140" s="59"/>
      <c r="T140" s="59"/>
      <c r="U140" s="59"/>
      <c r="V140" s="59"/>
      <c r="W140" s="50"/>
      <c r="X140" s="84">
        <v>879</v>
      </c>
      <c r="Y140" s="104">
        <f t="shared" si="150"/>
        <v>4.8274606466293461E-4</v>
      </c>
      <c r="Z140" s="96">
        <f t="shared" si="132"/>
        <v>0.70577019063070678</v>
      </c>
      <c r="AA140" s="94">
        <f t="shared" si="133"/>
        <v>1514995.662626086</v>
      </c>
      <c r="AB140" s="163">
        <f t="shared" si="147"/>
        <v>4.8274606466293461E-4</v>
      </c>
      <c r="AC140" s="96">
        <f t="shared" si="134"/>
        <v>0.70577019063070678</v>
      </c>
      <c r="AD140" s="94">
        <f t="shared" si="131"/>
        <v>1514995.662626086</v>
      </c>
    </row>
    <row r="141" spans="10:30" x14ac:dyDescent="0.25">
      <c r="J141" s="56"/>
      <c r="K141" s="56"/>
      <c r="L141" s="130"/>
      <c r="M141" s="130"/>
      <c r="N141" s="130"/>
      <c r="O141" s="59"/>
      <c r="P141" s="59"/>
      <c r="Q141" s="59"/>
      <c r="R141" s="59"/>
      <c r="S141" s="59"/>
      <c r="T141" s="59"/>
      <c r="U141" s="59"/>
      <c r="V141" s="59"/>
      <c r="W141" s="50"/>
      <c r="X141" s="84">
        <v>878</v>
      </c>
      <c r="Y141" s="104">
        <f t="shared" si="150"/>
        <v>4.867357015609754E-4</v>
      </c>
      <c r="Z141" s="96">
        <f t="shared" si="132"/>
        <v>0.70641736632736651</v>
      </c>
      <c r="AA141" s="94">
        <f t="shared" si="133"/>
        <v>1508338.3488977954</v>
      </c>
      <c r="AB141" s="163">
        <f t="shared" si="147"/>
        <v>4.867357015609754E-4</v>
      </c>
      <c r="AC141" s="96">
        <f t="shared" si="134"/>
        <v>0.70641736632736651</v>
      </c>
      <c r="AD141" s="94">
        <f t="shared" si="131"/>
        <v>1508338.3488977954</v>
      </c>
    </row>
    <row r="142" spans="10:30" x14ac:dyDescent="0.25">
      <c r="J142" s="56"/>
      <c r="K142" s="56"/>
      <c r="L142" s="130"/>
      <c r="M142" s="130"/>
      <c r="N142" s="130"/>
      <c r="O142" s="59"/>
      <c r="P142" s="59"/>
      <c r="Q142" s="59"/>
      <c r="R142" s="59"/>
      <c r="S142" s="59"/>
      <c r="T142" s="59"/>
      <c r="U142" s="59"/>
      <c r="V142" s="59"/>
      <c r="W142" s="50"/>
      <c r="X142" s="84">
        <v>877</v>
      </c>
      <c r="Y142" s="104">
        <f t="shared" si="150"/>
        <v>4.9072533845901615E-4</v>
      </c>
      <c r="Z142" s="96">
        <f t="shared" si="132"/>
        <v>0.70706189506004935</v>
      </c>
      <c r="AA142" s="94">
        <f t="shared" si="133"/>
        <v>1501722.8332016668</v>
      </c>
      <c r="AB142" s="163">
        <f t="shared" si="147"/>
        <v>4.9072533845901615E-4</v>
      </c>
      <c r="AC142" s="96">
        <f t="shared" si="134"/>
        <v>0.70706189506004935</v>
      </c>
      <c r="AD142" s="94">
        <f t="shared" si="131"/>
        <v>1501722.8332016668</v>
      </c>
    </row>
    <row r="143" spans="10:30" x14ac:dyDescent="0.25">
      <c r="J143" s="56"/>
      <c r="K143" s="56"/>
      <c r="L143" s="130"/>
      <c r="M143" s="130"/>
      <c r="N143" s="130"/>
      <c r="O143" s="59"/>
      <c r="P143" s="59"/>
      <c r="Q143" s="59"/>
      <c r="R143" s="59"/>
      <c r="S143" s="59"/>
      <c r="T143" s="59"/>
      <c r="U143" s="59"/>
      <c r="V143" s="59"/>
      <c r="W143" s="50"/>
      <c r="X143" s="84">
        <v>876</v>
      </c>
      <c r="Y143" s="104">
        <f t="shared" si="150"/>
        <v>4.9471497535705689E-4</v>
      </c>
      <c r="Z143" s="96">
        <f t="shared" si="132"/>
        <v>0.70770380904398911</v>
      </c>
      <c r="AA143" s="94">
        <f t="shared" si="133"/>
        <v>1495148.6068293734</v>
      </c>
      <c r="AB143" s="163">
        <f t="shared" si="147"/>
        <v>4.9471497535705689E-4</v>
      </c>
      <c r="AC143" s="96">
        <f t="shared" si="134"/>
        <v>0.70770380904398911</v>
      </c>
      <c r="AD143" s="94">
        <f t="shared" si="131"/>
        <v>1495148.6068293734</v>
      </c>
    </row>
    <row r="144" spans="10:30" x14ac:dyDescent="0.25">
      <c r="J144" s="56"/>
      <c r="K144" s="56"/>
      <c r="L144" s="130"/>
      <c r="M144" s="130"/>
      <c r="N144" s="130"/>
      <c r="O144" s="59"/>
      <c r="P144" s="59"/>
      <c r="Q144" s="59"/>
      <c r="R144" s="59"/>
      <c r="S144" s="59"/>
      <c r="T144" s="59"/>
      <c r="U144" s="59"/>
      <c r="V144" s="59"/>
      <c r="W144" s="50"/>
      <c r="X144" s="84">
        <v>875</v>
      </c>
      <c r="Y144" s="104">
        <f t="shared" si="150"/>
        <v>4.9870461225509763E-4</v>
      </c>
      <c r="Z144" s="96">
        <f t="shared" si="132"/>
        <v>0.70834313984621455</v>
      </c>
      <c r="AA144" s="94">
        <f t="shared" si="133"/>
        <v>1488615.1713083845</v>
      </c>
      <c r="AB144" s="163">
        <f t="shared" si="147"/>
        <v>4.9870461225509763E-4</v>
      </c>
      <c r="AC144" s="96">
        <f t="shared" si="134"/>
        <v>0.70834313984621455</v>
      </c>
      <c r="AD144" s="94">
        <f t="shared" si="131"/>
        <v>1488615.1713083845</v>
      </c>
    </row>
    <row r="145" spans="10:30" x14ac:dyDescent="0.25">
      <c r="J145" s="56"/>
      <c r="K145" s="56"/>
      <c r="L145" s="130"/>
      <c r="M145" s="130"/>
      <c r="N145" s="130"/>
      <c r="O145" s="59"/>
      <c r="P145" s="59"/>
      <c r="Q145" s="59"/>
      <c r="R145" s="59"/>
      <c r="S145" s="59"/>
      <c r="T145" s="59"/>
      <c r="U145" s="59"/>
      <c r="V145" s="59"/>
      <c r="W145" s="50"/>
      <c r="X145" s="84">
        <v>874</v>
      </c>
      <c r="Y145" s="104">
        <f t="shared" si="150"/>
        <v>5.0269424915313837E-4</v>
      </c>
      <c r="Z145" s="96">
        <f t="shared" si="132"/>
        <v>0.70897991840365271</v>
      </c>
      <c r="AA145" s="94">
        <f t="shared" si="133"/>
        <v>1482122.0381160313</v>
      </c>
      <c r="AB145" s="163">
        <f t="shared" si="147"/>
        <v>5.0269424915313837E-4</v>
      </c>
      <c r="AC145" s="96">
        <f t="shared" si="134"/>
        <v>0.70897991840365271</v>
      </c>
      <c r="AD145" s="94">
        <f t="shared" si="131"/>
        <v>1482122.0381160313</v>
      </c>
    </row>
    <row r="146" spans="10:30" x14ac:dyDescent="0.25">
      <c r="J146" s="56"/>
      <c r="K146" s="56"/>
      <c r="L146" s="130"/>
      <c r="M146" s="130"/>
      <c r="N146" s="130"/>
      <c r="O146" s="59"/>
      <c r="P146" s="59"/>
      <c r="Q146" s="59"/>
      <c r="R146" s="59"/>
      <c r="S146" s="59"/>
      <c r="T146" s="59"/>
      <c r="U146" s="59"/>
      <c r="V146" s="59"/>
      <c r="W146" s="50"/>
      <c r="X146" s="84">
        <v>873</v>
      </c>
      <c r="Y146" s="104">
        <f t="shared" si="150"/>
        <v>5.0668388605117911E-4</v>
      </c>
      <c r="Z146" s="96">
        <f t="shared" si="132"/>
        <v>0.70961417504060109</v>
      </c>
      <c r="AA146" s="94">
        <f t="shared" si="133"/>
        <v>1475668.728403636</v>
      </c>
      <c r="AB146" s="163">
        <f t="shared" si="147"/>
        <v>5.0668388605117911E-4</v>
      </c>
      <c r="AC146" s="96">
        <f t="shared" si="134"/>
        <v>0.70961417504060109</v>
      </c>
      <c r="AD146" s="94">
        <f t="shared" si="131"/>
        <v>1475668.728403636</v>
      </c>
    </row>
    <row r="147" spans="10:30" x14ac:dyDescent="0.25">
      <c r="J147" s="56"/>
      <c r="K147" s="56"/>
      <c r="L147" s="130"/>
      <c r="M147" s="130"/>
      <c r="N147" s="130"/>
      <c r="O147" s="59"/>
      <c r="P147" s="59"/>
      <c r="Q147" s="59"/>
      <c r="R147" s="59"/>
      <c r="S147" s="59"/>
      <c r="T147" s="59"/>
      <c r="U147" s="59"/>
      <c r="V147" s="59"/>
      <c r="W147" s="50"/>
      <c r="X147" s="84">
        <v>872</v>
      </c>
      <c r="Y147" s="104">
        <f t="shared" si="150"/>
        <v>5.1067352294921985E-4</v>
      </c>
      <c r="Z147" s="96">
        <f t="shared" si="132"/>
        <v>0.71024593948558312</v>
      </c>
      <c r="AA147" s="94">
        <f t="shared" si="133"/>
        <v>1469254.7727303666</v>
      </c>
      <c r="AB147" s="163">
        <f t="shared" si="147"/>
        <v>5.1067352294921985E-4</v>
      </c>
      <c r="AC147" s="96">
        <f t="shared" si="134"/>
        <v>0.71024593948558312</v>
      </c>
      <c r="AD147" s="94">
        <f t="shared" ref="AD147:AD210" si="151">IF(AC147&lt;1,X$14*((1-ropt)-Y$14*(1-ropt^2)+Z$14*(1-ropt^3)),0)</f>
        <v>1469254.7727303666</v>
      </c>
    </row>
    <row r="148" spans="10:30" x14ac:dyDescent="0.25">
      <c r="J148" s="56"/>
      <c r="K148" s="56"/>
      <c r="L148" s="130"/>
      <c r="M148" s="130"/>
      <c r="N148" s="130"/>
      <c r="O148" s="59"/>
      <c r="P148" s="59"/>
      <c r="Q148" s="59"/>
      <c r="R148" s="59"/>
      <c r="S148" s="59"/>
      <c r="T148" s="59"/>
      <c r="U148" s="59"/>
      <c r="V148" s="59"/>
      <c r="W148" s="50"/>
      <c r="X148" s="84">
        <v>871</v>
      </c>
      <c r="Y148" s="104">
        <f t="shared" si="150"/>
        <v>5.1466315984726059E-4</v>
      </c>
      <c r="Z148" s="96">
        <f t="shared" ref="Z148:Z211" si="152">(K-(L0-Y148*Ldif-alph*Y148^0.5))/R0</f>
        <v>0.71087524088759413</v>
      </c>
      <c r="AA148" s="94">
        <f t="shared" ref="AA148:AA211" si="153">IF(Z148&lt;1,X$14*((1-r.1)-Y$14*(1-r.1^2)+Z$14*(1-r.1^3)),0)</f>
        <v>1462879.7108066177</v>
      </c>
      <c r="AB148" s="163">
        <f t="shared" si="147"/>
        <v>5.1466315984726059E-4</v>
      </c>
      <c r="AC148" s="96">
        <f t="shared" ref="AC148:AC211" si="154">(Kopt-(L0-AB148*Ldif-alph*AB148^0.5))/R0</f>
        <v>0.71087524088759413</v>
      </c>
      <c r="AD148" s="94">
        <f t="shared" si="151"/>
        <v>1462879.7108066177</v>
      </c>
    </row>
    <row r="149" spans="10:30" x14ac:dyDescent="0.25">
      <c r="J149" s="56"/>
      <c r="K149" s="56"/>
      <c r="L149" s="130"/>
      <c r="M149" s="130"/>
      <c r="N149" s="130"/>
      <c r="O149" s="59"/>
      <c r="P149" s="59"/>
      <c r="Q149" s="59"/>
      <c r="R149" s="59"/>
      <c r="S149" s="59"/>
      <c r="T149" s="59"/>
      <c r="U149" s="59"/>
      <c r="V149" s="59"/>
      <c r="W149" s="50"/>
      <c r="X149" s="84">
        <v>870</v>
      </c>
      <c r="Y149" s="104">
        <f t="shared" si="150"/>
        <v>5.1865279674530133E-4</v>
      </c>
      <c r="Z149" s="96">
        <f t="shared" si="152"/>
        <v>0.71150210783181778</v>
      </c>
      <c r="AA149" s="94">
        <f t="shared" si="153"/>
        <v>1456543.0912459726</v>
      </c>
      <c r="AB149" s="163">
        <f t="shared" ref="AB149:AB212" si="155">AB148+AB$15</f>
        <v>5.1865279674530133E-4</v>
      </c>
      <c r="AC149" s="96">
        <f t="shared" si="154"/>
        <v>0.71150210783181778</v>
      </c>
      <c r="AD149" s="94">
        <f t="shared" si="151"/>
        <v>1456543.0912459726</v>
      </c>
    </row>
    <row r="150" spans="10:30" x14ac:dyDescent="0.25">
      <c r="J150" s="56"/>
      <c r="K150" s="56"/>
      <c r="L150" s="130"/>
      <c r="M150" s="130"/>
      <c r="N150" s="130"/>
      <c r="O150" s="59"/>
      <c r="P150" s="59"/>
      <c r="Q150" s="59"/>
      <c r="R150" s="59"/>
      <c r="S150" s="59"/>
      <c r="T150" s="59"/>
      <c r="U150" s="59"/>
      <c r="V150" s="59"/>
      <c r="W150" s="50"/>
      <c r="X150" s="84">
        <v>869</v>
      </c>
      <c r="Y150" s="104">
        <f t="shared" si="150"/>
        <v>5.2264243364334207E-4</v>
      </c>
      <c r="Z150" s="96">
        <f t="shared" si="152"/>
        <v>0.71212656835474719</v>
      </c>
      <c r="AA150" s="94">
        <f t="shared" si="153"/>
        <v>1450244.4713262459</v>
      </c>
      <c r="AB150" s="163">
        <f t="shared" si="155"/>
        <v>5.2264243364334207E-4</v>
      </c>
      <c r="AC150" s="96">
        <f t="shared" si="154"/>
        <v>0.71212656835474719</v>
      </c>
      <c r="AD150" s="94">
        <f t="shared" si="151"/>
        <v>1450244.4713262459</v>
      </c>
    </row>
    <row r="151" spans="10:30" x14ac:dyDescent="0.25">
      <c r="J151" s="56"/>
      <c r="K151" s="56"/>
      <c r="L151" s="130"/>
      <c r="M151" s="130"/>
      <c r="N151" s="130"/>
      <c r="O151" s="59"/>
      <c r="P151" s="59"/>
      <c r="Q151" s="59"/>
      <c r="R151" s="59"/>
      <c r="S151" s="59"/>
      <c r="T151" s="59"/>
      <c r="U151" s="59"/>
      <c r="V151" s="59"/>
      <c r="W151" s="50"/>
      <c r="X151" s="84">
        <v>868</v>
      </c>
      <c r="Y151" s="104">
        <f t="shared" si="150"/>
        <v>5.2663207054138282E-4</v>
      </c>
      <c r="Z151" s="96">
        <f t="shared" si="152"/>
        <v>0.71274864995884946</v>
      </c>
      <c r="AA151" s="94">
        <f t="shared" si="153"/>
        <v>1443983.4167581128</v>
      </c>
      <c r="AB151" s="163">
        <f t="shared" si="155"/>
        <v>5.2663207054138282E-4</v>
      </c>
      <c r="AC151" s="96">
        <f t="shared" si="154"/>
        <v>0.71274864995884946</v>
      </c>
      <c r="AD151" s="94">
        <f t="shared" si="151"/>
        <v>1443983.4167581128</v>
      </c>
    </row>
    <row r="152" spans="10:30" x14ac:dyDescent="0.25">
      <c r="J152" s="56"/>
      <c r="K152" s="56"/>
      <c r="L152" s="130"/>
      <c r="M152" s="130"/>
      <c r="N152" s="130"/>
      <c r="O152" s="59"/>
      <c r="P152" s="59"/>
      <c r="Q152" s="59"/>
      <c r="R152" s="59"/>
      <c r="S152" s="59"/>
      <c r="T152" s="59"/>
      <c r="U152" s="59"/>
      <c r="V152" s="59"/>
      <c r="W152" s="50"/>
      <c r="X152" s="84">
        <v>867</v>
      </c>
      <c r="Y152" s="104">
        <f t="shared" si="150"/>
        <v>5.3062170743942356E-4</v>
      </c>
      <c r="Z152" s="96">
        <f t="shared" si="152"/>
        <v>0.71336837962667043</v>
      </c>
      <c r="AA152" s="94">
        <f t="shared" si="153"/>
        <v>1437759.50146221</v>
      </c>
      <c r="AB152" s="163">
        <f t="shared" si="155"/>
        <v>5.3062170743942356E-4</v>
      </c>
      <c r="AC152" s="96">
        <f t="shared" si="154"/>
        <v>0.71336837962667043</v>
      </c>
      <c r="AD152" s="94">
        <f t="shared" si="151"/>
        <v>1437759.50146221</v>
      </c>
    </row>
    <row r="153" spans="10:30" x14ac:dyDescent="0.25">
      <c r="J153" s="56"/>
      <c r="K153" s="56"/>
      <c r="L153" s="130"/>
      <c r="M153" s="130"/>
      <c r="N153" s="130"/>
      <c r="O153" s="59"/>
      <c r="P153" s="59"/>
      <c r="Q153" s="59"/>
      <c r="R153" s="59"/>
      <c r="S153" s="59"/>
      <c r="T153" s="59"/>
      <c r="U153" s="59"/>
      <c r="V153" s="59"/>
      <c r="W153" s="50"/>
      <c r="X153" s="84">
        <v>866</v>
      </c>
      <c r="Y153" s="104">
        <f t="shared" si="150"/>
        <v>5.346113443374643E-4</v>
      </c>
      <c r="Z153" s="96">
        <f t="shared" si="152"/>
        <v>0.71398578383451128</v>
      </c>
      <c r="AA153" s="94">
        <f t="shared" si="153"/>
        <v>1431572.307353281</v>
      </c>
      <c r="AB153" s="163">
        <f t="shared" si="155"/>
        <v>5.346113443374643E-4</v>
      </c>
      <c r="AC153" s="96">
        <f t="shared" si="154"/>
        <v>0.71398578383451128</v>
      </c>
      <c r="AD153" s="94">
        <f t="shared" si="151"/>
        <v>1431572.307353281</v>
      </c>
    </row>
    <row r="154" spans="10:30" x14ac:dyDescent="0.25">
      <c r="J154" s="56"/>
      <c r="K154" s="56"/>
      <c r="L154" s="130"/>
      <c r="M154" s="130"/>
      <c r="N154" s="130"/>
      <c r="O154" s="59"/>
      <c r="P154" s="59"/>
      <c r="Q154" s="59"/>
      <c r="R154" s="59"/>
      <c r="S154" s="59"/>
      <c r="T154" s="59"/>
      <c r="U154" s="59"/>
      <c r="V154" s="59"/>
      <c r="W154" s="50"/>
      <c r="X154" s="84">
        <v>865</v>
      </c>
      <c r="Y154" s="104">
        <f t="shared" si="150"/>
        <v>5.3860098123550504E-4</v>
      </c>
      <c r="Z154" s="96">
        <f t="shared" si="152"/>
        <v>0.7146008885656171</v>
      </c>
      <c r="AA154" s="94">
        <f t="shared" si="153"/>
        <v>1425421.4241318686</v>
      </c>
      <c r="AB154" s="163">
        <f t="shared" si="155"/>
        <v>5.3860098123550504E-4</v>
      </c>
      <c r="AC154" s="96">
        <f t="shared" si="154"/>
        <v>0.7146008885656171</v>
      </c>
      <c r="AD154" s="94">
        <f t="shared" si="151"/>
        <v>1425421.4241318686</v>
      </c>
    </row>
    <row r="155" spans="10:30" x14ac:dyDescent="0.25">
      <c r="J155" s="56"/>
      <c r="K155" s="56"/>
      <c r="L155" s="130"/>
      <c r="M155" s="130"/>
      <c r="N155" s="130"/>
      <c r="O155" s="59"/>
      <c r="P155" s="59"/>
      <c r="Q155" s="59"/>
      <c r="R155" s="59"/>
      <c r="S155" s="59"/>
      <c r="T155" s="59"/>
      <c r="U155" s="59"/>
      <c r="V155" s="59"/>
      <c r="W155" s="50"/>
      <c r="X155" s="84">
        <v>864</v>
      </c>
      <c r="Y155" s="104">
        <f t="shared" si="150"/>
        <v>5.4259061813354578E-4</v>
      </c>
      <c r="Z155" s="96">
        <f t="shared" si="152"/>
        <v>0.71521371932294475</v>
      </c>
      <c r="AA155" s="94">
        <f t="shared" si="153"/>
        <v>1419306.4490827331</v>
      </c>
      <c r="AB155" s="163">
        <f t="shared" si="155"/>
        <v>5.4259061813354578E-4</v>
      </c>
      <c r="AC155" s="96">
        <f t="shared" si="154"/>
        <v>0.71521371932294475</v>
      </c>
      <c r="AD155" s="94">
        <f t="shared" si="151"/>
        <v>1419306.4490827331</v>
      </c>
    </row>
    <row r="156" spans="10:30" x14ac:dyDescent="0.25">
      <c r="J156" s="56"/>
      <c r="K156" s="56"/>
      <c r="L156" s="130"/>
      <c r="M156" s="130"/>
      <c r="N156" s="130"/>
      <c r="O156" s="59"/>
      <c r="P156" s="59"/>
      <c r="Q156" s="59"/>
      <c r="R156" s="59"/>
      <c r="S156" s="59"/>
      <c r="T156" s="59"/>
      <c r="U156" s="59"/>
      <c r="V156" s="59"/>
      <c r="W156" s="50"/>
      <c r="X156" s="84">
        <v>863</v>
      </c>
      <c r="Y156" s="104">
        <f t="shared" si="150"/>
        <v>5.4658025503158652E-4</v>
      </c>
      <c r="Z156" s="96">
        <f t="shared" si="152"/>
        <v>0.71582430114148454</v>
      </c>
      <c r="AA156" s="94">
        <f t="shared" si="153"/>
        <v>1413226.9868801988</v>
      </c>
      <c r="AB156" s="163">
        <f t="shared" si="155"/>
        <v>5.4658025503158652E-4</v>
      </c>
      <c r="AC156" s="96">
        <f t="shared" si="154"/>
        <v>0.71582430114148454</v>
      </c>
      <c r="AD156" s="94">
        <f t="shared" si="151"/>
        <v>1413226.9868801988</v>
      </c>
    </row>
    <row r="157" spans="10:30" x14ac:dyDescent="0.25">
      <c r="J157" s="56"/>
      <c r="K157" s="56"/>
      <c r="L157" s="130"/>
      <c r="M157" s="130"/>
      <c r="N157" s="130"/>
      <c r="O157" s="59"/>
      <c r="P157" s="59"/>
      <c r="Q157" s="59"/>
      <c r="R157" s="59"/>
      <c r="S157" s="59"/>
      <c r="T157" s="59"/>
      <c r="U157" s="59"/>
      <c r="V157" s="59"/>
      <c r="W157" s="50"/>
      <c r="X157" s="84">
        <v>862</v>
      </c>
      <c r="Y157" s="104">
        <f t="shared" si="150"/>
        <v>5.5056989192962726E-4</v>
      </c>
      <c r="Z157" s="96">
        <f t="shared" si="152"/>
        <v>0.71643265860021754</v>
      </c>
      <c r="AA157" s="94">
        <f t="shared" si="153"/>
        <v>1407182.649399464</v>
      </c>
      <c r="AB157" s="163">
        <f t="shared" si="155"/>
        <v>5.5056989192962726E-4</v>
      </c>
      <c r="AC157" s="96">
        <f t="shared" si="154"/>
        <v>0.71643265860021754</v>
      </c>
      <c r="AD157" s="94">
        <f t="shared" si="151"/>
        <v>1407182.649399464</v>
      </c>
    </row>
    <row r="158" spans="10:30" x14ac:dyDescent="0.25">
      <c r="J158" s="56"/>
      <c r="K158" s="56"/>
      <c r="L158" s="130"/>
      <c r="M158" s="130"/>
      <c r="N158" s="130"/>
      <c r="O158" s="59"/>
      <c r="P158" s="59"/>
      <c r="Q158" s="59"/>
      <c r="R158" s="59"/>
      <c r="S158" s="59"/>
      <c r="T158" s="59"/>
      <c r="U158" s="59"/>
      <c r="V158" s="59"/>
      <c r="W158" s="50"/>
      <c r="X158" s="84">
        <v>861</v>
      </c>
      <c r="Y158" s="104">
        <f t="shared" si="150"/>
        <v>5.54559528827668E-4</v>
      </c>
      <c r="Z158" s="96">
        <f t="shared" si="152"/>
        <v>0.7170388158336426</v>
      </c>
      <c r="AA158" s="94">
        <f t="shared" si="153"/>
        <v>1401173.0555344764</v>
      </c>
      <c r="AB158" s="163">
        <f t="shared" si="155"/>
        <v>5.54559528827668E-4</v>
      </c>
      <c r="AC158" s="96">
        <f t="shared" si="154"/>
        <v>0.7170388158336426</v>
      </c>
      <c r="AD158" s="94">
        <f t="shared" si="151"/>
        <v>1401173.0555344764</v>
      </c>
    </row>
    <row r="159" spans="10:30" x14ac:dyDescent="0.25">
      <c r="J159" s="56"/>
      <c r="K159" s="56"/>
      <c r="L159" s="130"/>
      <c r="M159" s="130"/>
      <c r="N159" s="130"/>
      <c r="O159" s="59"/>
      <c r="P159" s="59"/>
      <c r="Q159" s="59"/>
      <c r="R159" s="59"/>
      <c r="S159" s="59"/>
      <c r="T159" s="59"/>
      <c r="U159" s="59"/>
      <c r="V159" s="59"/>
      <c r="W159" s="50"/>
      <c r="X159" s="84">
        <v>860</v>
      </c>
      <c r="Y159" s="104">
        <f t="shared" si="150"/>
        <v>5.5854916572570875E-4</v>
      </c>
      <c r="Z159" s="96">
        <f t="shared" si="152"/>
        <v>0.71764279654295482</v>
      </c>
      <c r="AA159" s="94">
        <f t="shared" si="153"/>
        <v>1395197.8310214567</v>
      </c>
      <c r="AB159" s="163">
        <f t="shared" si="155"/>
        <v>5.5854916572570875E-4</v>
      </c>
      <c r="AC159" s="96">
        <f t="shared" si="154"/>
        <v>0.71764279654295482</v>
      </c>
      <c r="AD159" s="94">
        <f t="shared" si="151"/>
        <v>1395197.8310214567</v>
      </c>
    </row>
    <row r="160" spans="10:30" x14ac:dyDescent="0.25">
      <c r="J160" s="56"/>
      <c r="K160" s="56"/>
      <c r="L160" s="130"/>
      <c r="M160" s="130"/>
      <c r="N160" s="130"/>
      <c r="O160" s="59"/>
      <c r="P160" s="59"/>
      <c r="Q160" s="59"/>
      <c r="R160" s="59"/>
      <c r="S160" s="59"/>
      <c r="T160" s="59"/>
      <c r="U160" s="59"/>
      <c r="V160" s="59"/>
      <c r="W160" s="50"/>
      <c r="X160" s="84">
        <v>859</v>
      </c>
      <c r="Y160" s="104">
        <f t="shared" ref="Y160:Y223" si="156">Y159+Y$16</f>
        <v>5.6253880262374949E-4</v>
      </c>
      <c r="Z160" s="96">
        <f t="shared" si="152"/>
        <v>0.71824462400685707</v>
      </c>
      <c r="AA160" s="94">
        <f t="shared" si="153"/>
        <v>1389256.6082681529</v>
      </c>
      <c r="AB160" s="163">
        <f t="shared" si="155"/>
        <v>5.6253880262374949E-4</v>
      </c>
      <c r="AC160" s="96">
        <f t="shared" si="154"/>
        <v>0.71824462400685707</v>
      </c>
      <c r="AD160" s="94">
        <f t="shared" si="151"/>
        <v>1389256.6082681529</v>
      </c>
    </row>
    <row r="161" spans="10:30" x14ac:dyDescent="0.25">
      <c r="J161" s="56"/>
      <c r="K161" s="56"/>
      <c r="L161" s="130"/>
      <c r="M161" s="130"/>
      <c r="N161" s="130"/>
      <c r="O161" s="59"/>
      <c r="P161" s="59"/>
      <c r="Q161" s="59"/>
      <c r="R161" s="59"/>
      <c r="S161" s="59"/>
      <c r="T161" s="59"/>
      <c r="U161" s="59"/>
      <c r="V161" s="59"/>
      <c r="W161" s="50"/>
      <c r="X161" s="84">
        <v>858</v>
      </c>
      <c r="Y161" s="104">
        <f t="shared" si="156"/>
        <v>5.6652843952179023E-4</v>
      </c>
      <c r="Z161" s="96">
        <f t="shared" si="152"/>
        <v>0.71884432109203555</v>
      </c>
      <c r="AA161" s="94">
        <f t="shared" si="153"/>
        <v>1383349.0261884723</v>
      </c>
      <c r="AB161" s="163">
        <f t="shared" si="155"/>
        <v>5.6652843952179023E-4</v>
      </c>
      <c r="AC161" s="96">
        <f t="shared" si="154"/>
        <v>0.71884432109203555</v>
      </c>
      <c r="AD161" s="94">
        <f t="shared" si="151"/>
        <v>1383349.0261884723</v>
      </c>
    </row>
    <row r="162" spans="10:30" x14ac:dyDescent="0.25">
      <c r="J162" s="56"/>
      <c r="K162" s="56"/>
      <c r="L162" s="130"/>
      <c r="M162" s="130"/>
      <c r="N162" s="130"/>
      <c r="O162" s="59"/>
      <c r="P162" s="59"/>
      <c r="Q162" s="59"/>
      <c r="R162" s="59"/>
      <c r="S162" s="59"/>
      <c r="T162" s="59"/>
      <c r="U162" s="59"/>
      <c r="V162" s="59"/>
      <c r="W162" s="50"/>
      <c r="X162" s="84">
        <v>857</v>
      </c>
      <c r="Y162" s="104">
        <f t="shared" si="156"/>
        <v>5.7051807641983097E-4</v>
      </c>
      <c r="Z162" s="96">
        <f t="shared" si="152"/>
        <v>0.71944191026328386</v>
      </c>
      <c r="AA162" s="94">
        <f t="shared" si="153"/>
        <v>1377474.7300425167</v>
      </c>
      <c r="AB162" s="163">
        <f t="shared" si="155"/>
        <v>5.7051807641983097E-4</v>
      </c>
      <c r="AC162" s="96">
        <f t="shared" si="154"/>
        <v>0.71944191026328386</v>
      </c>
      <c r="AD162" s="94">
        <f t="shared" si="151"/>
        <v>1377474.7300425167</v>
      </c>
    </row>
    <row r="163" spans="10:30" x14ac:dyDescent="0.25">
      <c r="J163" s="56"/>
      <c r="K163" s="56"/>
      <c r="L163" s="130"/>
      <c r="M163" s="130"/>
      <c r="N163" s="130"/>
      <c r="O163" s="59"/>
      <c r="P163" s="59"/>
      <c r="Q163" s="59"/>
      <c r="R163" s="59"/>
      <c r="S163" s="59"/>
      <c r="T163" s="59"/>
      <c r="U163" s="59"/>
      <c r="V163" s="59"/>
      <c r="W163" s="50"/>
      <c r="X163" s="84">
        <v>856</v>
      </c>
      <c r="Y163" s="104">
        <f t="shared" si="156"/>
        <v>5.7450771331787171E-4</v>
      </c>
      <c r="Z163" s="96">
        <f t="shared" si="152"/>
        <v>0.72003741359334617</v>
      </c>
      <c r="AA163" s="94">
        <f t="shared" si="153"/>
        <v>1371633.3712813044</v>
      </c>
      <c r="AB163" s="163">
        <f t="shared" si="155"/>
        <v>5.7450771331787171E-4</v>
      </c>
      <c r="AC163" s="96">
        <f t="shared" si="154"/>
        <v>0.72003741359334617</v>
      </c>
      <c r="AD163" s="94">
        <f t="shared" si="151"/>
        <v>1371633.3712813044</v>
      </c>
    </row>
    <row r="164" spans="10:30" x14ac:dyDescent="0.25">
      <c r="J164" s="56"/>
      <c r="K164" s="56"/>
      <c r="L164" s="130"/>
      <c r="M164" s="130"/>
      <c r="N164" s="130"/>
      <c r="O164" s="59"/>
      <c r="P164" s="59"/>
      <c r="Q164" s="59"/>
      <c r="R164" s="59"/>
      <c r="S164" s="59"/>
      <c r="T164" s="59"/>
      <c r="U164" s="59"/>
      <c r="V164" s="59"/>
      <c r="W164" s="50"/>
      <c r="X164" s="84">
        <v>855</v>
      </c>
      <c r="Y164" s="104">
        <f t="shared" si="156"/>
        <v>5.7849735021591245E-4</v>
      </c>
      <c r="Z164" s="96">
        <f t="shared" si="152"/>
        <v>0.7206308527723968</v>
      </c>
      <c r="AA164" s="94">
        <f t="shared" si="153"/>
        <v>1365824.6073968697</v>
      </c>
      <c r="AB164" s="163">
        <f t="shared" si="155"/>
        <v>5.7849735021591245E-4</v>
      </c>
      <c r="AC164" s="96">
        <f t="shared" si="154"/>
        <v>0.7206308527723968</v>
      </c>
      <c r="AD164" s="94">
        <f t="shared" si="151"/>
        <v>1365824.6073968697</v>
      </c>
    </row>
    <row r="165" spans="10:30" x14ac:dyDescent="0.25">
      <c r="J165" s="56"/>
      <c r="K165" s="56"/>
      <c r="L165" s="130"/>
      <c r="M165" s="130"/>
      <c r="N165" s="130"/>
      <c r="O165" s="59"/>
      <c r="P165" s="59"/>
      <c r="Q165" s="59"/>
      <c r="R165" s="59"/>
      <c r="S165" s="59"/>
      <c r="T165" s="59"/>
      <c r="U165" s="59"/>
      <c r="V165" s="59"/>
      <c r="W165" s="50"/>
      <c r="X165" s="84">
        <v>854</v>
      </c>
      <c r="Y165" s="104">
        <f t="shared" si="156"/>
        <v>5.8248698711395319E-4</v>
      </c>
      <c r="Z165" s="96">
        <f t="shared" si="152"/>
        <v>0.72122224911729316</v>
      </c>
      <c r="AA165" s="94">
        <f t="shared" si="153"/>
        <v>1360048.1017763598</v>
      </c>
      <c r="AB165" s="163">
        <f t="shared" si="155"/>
        <v>5.8248698711395319E-4</v>
      </c>
      <c r="AC165" s="96">
        <f t="shared" si="154"/>
        <v>0.72122224911729316</v>
      </c>
      <c r="AD165" s="94">
        <f t="shared" si="151"/>
        <v>1360048.1017763598</v>
      </c>
    </row>
    <row r="166" spans="10:30" x14ac:dyDescent="0.25">
      <c r="J166" s="56"/>
      <c r="K166" s="56"/>
      <c r="L166" s="130"/>
      <c r="M166" s="130"/>
      <c r="N166" s="130"/>
      <c r="O166" s="59"/>
      <c r="P166" s="59"/>
      <c r="Q166" s="59"/>
      <c r="R166" s="59"/>
      <c r="S166" s="59"/>
      <c r="T166" s="59"/>
      <c r="U166" s="59"/>
      <c r="V166" s="59"/>
      <c r="W166" s="50"/>
      <c r="X166" s="84">
        <v>853</v>
      </c>
      <c r="Y166" s="104">
        <f t="shared" si="156"/>
        <v>5.8647662401199393E-4</v>
      </c>
      <c r="Z166" s="96">
        <f t="shared" si="152"/>
        <v>0.72181162358048556</v>
      </c>
      <c r="AA166" s="94">
        <f t="shared" si="153"/>
        <v>1354303.5235611966</v>
      </c>
      <c r="AB166" s="163">
        <f t="shared" si="155"/>
        <v>5.8647662401199393E-4</v>
      </c>
      <c r="AC166" s="96">
        <f t="shared" si="154"/>
        <v>0.72181162358048556</v>
      </c>
      <c r="AD166" s="94">
        <f t="shared" si="151"/>
        <v>1354303.5235611966</v>
      </c>
    </row>
    <row r="167" spans="10:30" x14ac:dyDescent="0.25">
      <c r="J167" s="56"/>
      <c r="K167" s="56"/>
      <c r="L167" s="130"/>
      <c r="M167" s="130"/>
      <c r="N167" s="130"/>
      <c r="O167" s="59"/>
      <c r="P167" s="59"/>
      <c r="Q167" s="59"/>
      <c r="R167" s="59"/>
      <c r="S167" s="59"/>
      <c r="T167" s="59"/>
      <c r="U167" s="59"/>
      <c r="V167" s="59"/>
      <c r="W167" s="50"/>
      <c r="X167" s="84">
        <v>852</v>
      </c>
      <c r="Y167" s="104">
        <f t="shared" si="156"/>
        <v>5.9046626091003467E-4</v>
      </c>
      <c r="Z167" s="96">
        <f t="shared" si="152"/>
        <v>0.72239899675869246</v>
      </c>
      <c r="AA167" s="94">
        <f t="shared" si="153"/>
        <v>1348590.5475101576</v>
      </c>
      <c r="AB167" s="163">
        <f t="shared" si="155"/>
        <v>5.9046626091003467E-4</v>
      </c>
      <c r="AC167" s="96">
        <f t="shared" si="154"/>
        <v>0.72239899675869246</v>
      </c>
      <c r="AD167" s="94">
        <f t="shared" si="151"/>
        <v>1348590.5475101576</v>
      </c>
    </row>
    <row r="168" spans="10:30" x14ac:dyDescent="0.25">
      <c r="J168" s="56"/>
      <c r="K168" s="56"/>
      <c r="L168" s="130"/>
      <c r="M168" s="130"/>
      <c r="N168" s="130"/>
      <c r="O168" s="59"/>
      <c r="P168" s="59"/>
      <c r="Q168" s="59"/>
      <c r="R168" s="59"/>
      <c r="S168" s="59"/>
      <c r="T168" s="59"/>
      <c r="U168" s="59"/>
      <c r="V168" s="59"/>
      <c r="W168" s="50"/>
      <c r="X168" s="84">
        <v>851</v>
      </c>
      <c r="Y168" s="104">
        <f t="shared" si="156"/>
        <v>5.9445589780807542E-4</v>
      </c>
      <c r="Z168" s="96">
        <f t="shared" si="152"/>
        <v>0.72298438890128858</v>
      </c>
      <c r="AA168" s="94">
        <f t="shared" si="153"/>
        <v>1342908.8538668696</v>
      </c>
      <c r="AB168" s="163">
        <f t="shared" si="155"/>
        <v>5.9445589780807542E-4</v>
      </c>
      <c r="AC168" s="96">
        <f t="shared" si="154"/>
        <v>0.72298438890128858</v>
      </c>
      <c r="AD168" s="94">
        <f t="shared" si="151"/>
        <v>1342908.8538668696</v>
      </c>
    </row>
    <row r="169" spans="10:30" x14ac:dyDescent="0.25">
      <c r="J169" s="56"/>
      <c r="K169" s="56"/>
      <c r="L169" s="130"/>
      <c r="M169" s="130"/>
      <c r="N169" s="130"/>
      <c r="O169" s="59"/>
      <c r="P169" s="59"/>
      <c r="Q169" s="59"/>
      <c r="R169" s="59"/>
      <c r="S169" s="59"/>
      <c r="T169" s="59"/>
      <c r="U169" s="59"/>
      <c r="V169" s="59"/>
      <c r="W169" s="50"/>
      <c r="X169" s="84">
        <v>850</v>
      </c>
      <c r="Y169" s="104">
        <f t="shared" si="156"/>
        <v>5.9844553470611616E-4</v>
      </c>
      <c r="Z169" s="96">
        <f t="shared" si="152"/>
        <v>0.72356781991846419</v>
      </c>
      <c r="AA169" s="94">
        <f t="shared" si="153"/>
        <v>1337258.1282310362</v>
      </c>
      <c r="AB169" s="163">
        <f t="shared" si="155"/>
        <v>5.9844553470611616E-4</v>
      </c>
      <c r="AC169" s="96">
        <f t="shared" si="154"/>
        <v>0.72356781991846419</v>
      </c>
      <c r="AD169" s="94">
        <f t="shared" si="151"/>
        <v>1337258.1282310362</v>
      </c>
    </row>
    <row r="170" spans="10:30" x14ac:dyDescent="0.25">
      <c r="J170" s="56"/>
      <c r="K170" s="56"/>
      <c r="L170" s="130"/>
      <c r="M170" s="130"/>
      <c r="N170" s="130"/>
      <c r="O170" s="59"/>
      <c r="P170" s="59"/>
      <c r="Q170" s="59"/>
      <c r="R170" s="59"/>
      <c r="S170" s="59"/>
      <c r="T170" s="59"/>
      <c r="U170" s="59"/>
      <c r="V170" s="59"/>
      <c r="W170" s="50"/>
      <c r="X170" s="84">
        <v>849</v>
      </c>
      <c r="Y170" s="104">
        <f t="shared" si="156"/>
        <v>6.024351716041569E-4</v>
      </c>
      <c r="Z170" s="96">
        <f t="shared" si="152"/>
        <v>0.72414930938911437</v>
      </c>
      <c r="AA170" s="94">
        <f t="shared" si="153"/>
        <v>1331638.0614337947</v>
      </c>
      <c r="AB170" s="163">
        <f t="shared" si="155"/>
        <v>6.024351716041569E-4</v>
      </c>
      <c r="AC170" s="96">
        <f t="shared" si="154"/>
        <v>0.72414930938911437</v>
      </c>
      <c r="AD170" s="94">
        <f t="shared" si="151"/>
        <v>1331638.0614337947</v>
      </c>
    </row>
    <row r="171" spans="10:30" x14ac:dyDescent="0.25">
      <c r="J171" s="56"/>
      <c r="K171" s="56"/>
      <c r="L171" s="130"/>
      <c r="M171" s="130"/>
      <c r="N171" s="130"/>
      <c r="O171" s="59"/>
      <c r="P171" s="59"/>
      <c r="Q171" s="59"/>
      <c r="R171" s="59"/>
      <c r="S171" s="59"/>
      <c r="T171" s="59"/>
      <c r="U171" s="59"/>
      <c r="V171" s="59"/>
      <c r="W171" s="50"/>
      <c r="X171" s="84">
        <v>848</v>
      </c>
      <c r="Y171" s="104">
        <f t="shared" si="156"/>
        <v>6.0642480850219764E-4</v>
      </c>
      <c r="Z171" s="96">
        <f t="shared" si="152"/>
        <v>0.72472887656850582</v>
      </c>
      <c r="AA171" s="94">
        <f t="shared" si="153"/>
        <v>1326048.3494166459</v>
      </c>
      <c r="AB171" s="163">
        <f t="shared" si="155"/>
        <v>6.0642480850219764E-4</v>
      </c>
      <c r="AC171" s="96">
        <f t="shared" si="154"/>
        <v>0.72472887656850582</v>
      </c>
      <c r="AD171" s="94">
        <f t="shared" si="151"/>
        <v>1326048.3494166459</v>
      </c>
    </row>
    <row r="172" spans="10:30" x14ac:dyDescent="0.25">
      <c r="J172" s="56"/>
      <c r="K172" s="56"/>
      <c r="L172" s="130"/>
      <c r="M172" s="130"/>
      <c r="N172" s="130"/>
      <c r="O172" s="59"/>
      <c r="P172" s="59"/>
      <c r="Q172" s="59"/>
      <c r="R172" s="59"/>
      <c r="S172" s="59"/>
      <c r="T172" s="59"/>
      <c r="U172" s="59"/>
      <c r="V172" s="59"/>
      <c r="W172" s="50"/>
      <c r="X172" s="84">
        <v>847</v>
      </c>
      <c r="Y172" s="104">
        <f t="shared" si="156"/>
        <v>6.1041444540023838E-4</v>
      </c>
      <c r="Z172" s="96">
        <f t="shared" si="152"/>
        <v>0.72530654039573184</v>
      </c>
      <c r="AA172" s="94">
        <f t="shared" si="153"/>
        <v>1320488.6931138304</v>
      </c>
      <c r="AB172" s="163">
        <f t="shared" si="155"/>
        <v>6.1041444540023838E-4</v>
      </c>
      <c r="AC172" s="96">
        <f t="shared" si="154"/>
        <v>0.72530654039573184</v>
      </c>
      <c r="AD172" s="94">
        <f t="shared" si="151"/>
        <v>1320488.6931138304</v>
      </c>
    </row>
    <row r="173" spans="10:30" x14ac:dyDescent="0.25">
      <c r="J173" s="56"/>
      <c r="K173" s="56"/>
      <c r="L173" s="130"/>
      <c r="M173" s="130"/>
      <c r="N173" s="130"/>
      <c r="O173" s="59"/>
      <c r="P173" s="59"/>
      <c r="Q173" s="59"/>
      <c r="R173" s="59"/>
      <c r="S173" s="59"/>
      <c r="T173" s="59"/>
      <c r="U173" s="59"/>
      <c r="V173" s="59"/>
      <c r="W173" s="50"/>
      <c r="X173" s="84">
        <v>846</v>
      </c>
      <c r="Y173" s="104">
        <f t="shared" si="156"/>
        <v>6.1440408229827912E-4</v>
      </c>
      <c r="Z173" s="96">
        <f t="shared" si="152"/>
        <v>0.72588231950091087</v>
      </c>
      <c r="AA173" s="94">
        <f t="shared" si="153"/>
        <v>1314958.7983385134</v>
      </c>
      <c r="AB173" s="163">
        <f t="shared" si="155"/>
        <v>6.1440408229827912E-4</v>
      </c>
      <c r="AC173" s="96">
        <f t="shared" si="154"/>
        <v>0.72588231950091087</v>
      </c>
      <c r="AD173" s="94">
        <f t="shared" si="151"/>
        <v>1314958.7983385134</v>
      </c>
    </row>
    <row r="174" spans="10:30" x14ac:dyDescent="0.25">
      <c r="J174" s="56"/>
      <c r="K174" s="56"/>
      <c r="L174" s="130"/>
      <c r="M174" s="130"/>
      <c r="N174" s="130"/>
      <c r="O174" s="59"/>
      <c r="P174" s="59"/>
      <c r="Q174" s="59"/>
      <c r="R174" s="59"/>
      <c r="S174" s="59"/>
      <c r="T174" s="59"/>
      <c r="U174" s="59"/>
      <c r="V174" s="59"/>
      <c r="W174" s="50"/>
      <c r="X174" s="84">
        <v>845</v>
      </c>
      <c r="Y174" s="104">
        <f t="shared" si="156"/>
        <v>6.1839371919631986E-4</v>
      </c>
      <c r="Z174" s="96">
        <f t="shared" si="152"/>
        <v>0.72645623221221767</v>
      </c>
      <c r="AA174" s="94">
        <f t="shared" si="153"/>
        <v>1309458.3756718831</v>
      </c>
      <c r="AB174" s="163">
        <f t="shared" si="155"/>
        <v>6.1839371919631986E-4</v>
      </c>
      <c r="AC174" s="96">
        <f t="shared" si="154"/>
        <v>0.72645623221221767</v>
      </c>
      <c r="AD174" s="94">
        <f t="shared" si="151"/>
        <v>1309458.3756718831</v>
      </c>
    </row>
    <row r="175" spans="10:30" x14ac:dyDescent="0.25">
      <c r="J175" s="56"/>
      <c r="K175" s="56"/>
      <c r="L175" s="130"/>
      <c r="M175" s="130"/>
      <c r="N175" s="130"/>
      <c r="O175" s="59"/>
      <c r="P175" s="59"/>
      <c r="Q175" s="59"/>
      <c r="R175" s="59"/>
      <c r="S175" s="59"/>
      <c r="T175" s="59"/>
      <c r="U175" s="59"/>
      <c r="V175" s="59"/>
      <c r="W175" s="50"/>
      <c r="X175" s="84">
        <v>844</v>
      </c>
      <c r="Y175" s="104">
        <f t="shared" si="156"/>
        <v>6.223833560943606E-4</v>
      </c>
      <c r="Z175" s="96">
        <f t="shared" si="152"/>
        <v>0.72702829656267454</v>
      </c>
      <c r="AA175" s="94">
        <f t="shared" si="153"/>
        <v>1303987.1403558152</v>
      </c>
      <c r="AB175" s="163">
        <f t="shared" si="155"/>
        <v>6.223833560943606E-4</v>
      </c>
      <c r="AC175" s="96">
        <f t="shared" si="154"/>
        <v>0.72702829656267454</v>
      </c>
      <c r="AD175" s="94">
        <f t="shared" si="151"/>
        <v>1303987.1403558152</v>
      </c>
    </row>
    <row r="176" spans="10:30" x14ac:dyDescent="0.25">
      <c r="J176" s="56"/>
      <c r="K176" s="56"/>
      <c r="L176" s="130"/>
      <c r="M176" s="130"/>
      <c r="N176" s="130"/>
      <c r="O176" s="59"/>
      <c r="P176" s="59"/>
      <c r="Q176" s="59"/>
      <c r="R176" s="59"/>
      <c r="S176" s="59"/>
      <c r="T176" s="59"/>
      <c r="U176" s="59"/>
      <c r="V176" s="59"/>
      <c r="W176" s="50"/>
      <c r="X176" s="84">
        <v>843</v>
      </c>
      <c r="Y176" s="104">
        <f t="shared" si="156"/>
        <v>6.2637299299240134E-4</v>
      </c>
      <c r="Z176" s="96">
        <f t="shared" si="152"/>
        <v>0.72759853029677879</v>
      </c>
      <c r="AA176" s="94">
        <f t="shared" si="153"/>
        <v>1298544.8121883112</v>
      </c>
      <c r="AB176" s="163">
        <f t="shared" si="155"/>
        <v>6.2637299299240134E-4</v>
      </c>
      <c r="AC176" s="96">
        <f t="shared" si="154"/>
        <v>0.72759853029677879</v>
      </c>
      <c r="AD176" s="94">
        <f t="shared" si="151"/>
        <v>1298544.8121883112</v>
      </c>
    </row>
    <row r="177" spans="10:30" x14ac:dyDescent="0.25">
      <c r="J177" s="56"/>
      <c r="K177" s="56"/>
      <c r="L177" s="130"/>
      <c r="M177" s="130"/>
      <c r="N177" s="130"/>
      <c r="O177" s="59"/>
      <c r="P177" s="59"/>
      <c r="Q177" s="59"/>
      <c r="R177" s="59"/>
      <c r="S177" s="59"/>
      <c r="T177" s="59"/>
      <c r="U177" s="59"/>
      <c r="V177" s="59"/>
      <c r="W177" s="50"/>
      <c r="X177" s="84">
        <v>842</v>
      </c>
      <c r="Y177" s="104">
        <f t="shared" si="156"/>
        <v>6.3036262989044209E-4</v>
      </c>
      <c r="Z177" s="96">
        <f t="shared" si="152"/>
        <v>0.72816695087690342</v>
      </c>
      <c r="AA177" s="94">
        <f t="shared" si="153"/>
        <v>1293131.115422298</v>
      </c>
      <c r="AB177" s="163">
        <f t="shared" si="155"/>
        <v>6.3036262989044209E-4</v>
      </c>
      <c r="AC177" s="96">
        <f t="shared" si="154"/>
        <v>0.72816695087690342</v>
      </c>
      <c r="AD177" s="94">
        <f t="shared" si="151"/>
        <v>1293131.115422298</v>
      </c>
    </row>
    <row r="178" spans="10:30" x14ac:dyDescent="0.25">
      <c r="J178" s="56"/>
      <c r="K178" s="56"/>
      <c r="L178" s="130"/>
      <c r="M178" s="130"/>
      <c r="N178" s="130"/>
      <c r="O178" s="59"/>
      <c r="P178" s="59"/>
      <c r="Q178" s="59"/>
      <c r="R178" s="59"/>
      <c r="S178" s="59"/>
      <c r="T178" s="59"/>
      <c r="U178" s="59"/>
      <c r="V178" s="59"/>
      <c r="W178" s="50"/>
      <c r="X178" s="84">
        <v>841</v>
      </c>
      <c r="Y178" s="104">
        <f t="shared" si="156"/>
        <v>6.3435226678848283E-4</v>
      </c>
      <c r="Z178" s="96">
        <f t="shared" si="152"/>
        <v>0.7287335754895673</v>
      </c>
      <c r="AA178" s="94">
        <f t="shared" si="153"/>
        <v>1287745.7786668004</v>
      </c>
      <c r="AB178" s="163">
        <f t="shared" si="155"/>
        <v>6.3435226678848283E-4</v>
      </c>
      <c r="AC178" s="96">
        <f t="shared" si="154"/>
        <v>0.7287335754895673</v>
      </c>
      <c r="AD178" s="94">
        <f t="shared" si="151"/>
        <v>1287745.7786668004</v>
      </c>
    </row>
    <row r="179" spans="10:30" x14ac:dyDescent="0.25">
      <c r="J179" s="56"/>
      <c r="K179" s="56"/>
      <c r="L179" s="130"/>
      <c r="M179" s="130"/>
      <c r="N179" s="130"/>
      <c r="O179" s="59"/>
      <c r="P179" s="59"/>
      <c r="Q179" s="59"/>
      <c r="R179" s="59"/>
      <c r="S179" s="59"/>
      <c r="T179" s="59"/>
      <c r="U179" s="59"/>
      <c r="V179" s="59"/>
      <c r="W179" s="50"/>
      <c r="X179" s="84">
        <v>840</v>
      </c>
      <c r="Y179" s="104">
        <f t="shared" si="156"/>
        <v>6.3834190368652357E-4</v>
      </c>
      <c r="Z179" s="96">
        <f t="shared" si="152"/>
        <v>0.72929842105146325</v>
      </c>
      <c r="AA179" s="94">
        <f t="shared" si="153"/>
        <v>1282388.5347915413</v>
      </c>
      <c r="AB179" s="163">
        <f t="shared" si="155"/>
        <v>6.3834190368652357E-4</v>
      </c>
      <c r="AC179" s="96">
        <f t="shared" si="154"/>
        <v>0.72929842105146325</v>
      </c>
      <c r="AD179" s="94">
        <f t="shared" si="151"/>
        <v>1282388.5347915413</v>
      </c>
    </row>
    <row r="180" spans="10:30" x14ac:dyDescent="0.25">
      <c r="J180" s="56"/>
      <c r="K180" s="56"/>
      <c r="L180" s="130"/>
      <c r="M180" s="130"/>
      <c r="N180" s="130"/>
      <c r="O180" s="59"/>
      <c r="P180" s="59"/>
      <c r="Q180" s="59"/>
      <c r="R180" s="59"/>
      <c r="S180" s="59"/>
      <c r="T180" s="59"/>
      <c r="U180" s="59"/>
      <c r="V180" s="59"/>
      <c r="W180" s="50"/>
      <c r="X180" s="84">
        <v>839</v>
      </c>
      <c r="Y180" s="104">
        <f t="shared" si="156"/>
        <v>6.4233154058456431E-4</v>
      </c>
      <c r="Z180" s="96">
        <f t="shared" si="152"/>
        <v>0.7298615042153811</v>
      </c>
      <c r="AA180" s="94">
        <f t="shared" si="153"/>
        <v>1277059.1208335897</v>
      </c>
      <c r="AB180" s="163">
        <f t="shared" si="155"/>
        <v>6.4233154058456431E-4</v>
      </c>
      <c r="AC180" s="96">
        <f t="shared" si="154"/>
        <v>0.7298615042153811</v>
      </c>
      <c r="AD180" s="94">
        <f t="shared" si="151"/>
        <v>1277059.1208335897</v>
      </c>
    </row>
    <row r="181" spans="10:30" x14ac:dyDescent="0.25">
      <c r="J181" s="56"/>
      <c r="K181" s="56"/>
      <c r="L181" s="130"/>
      <c r="M181" s="130"/>
      <c r="N181" s="130"/>
      <c r="O181" s="59"/>
      <c r="P181" s="59"/>
      <c r="Q181" s="59"/>
      <c r="R181" s="59"/>
      <c r="S181" s="59"/>
      <c r="T181" s="59"/>
      <c r="U181" s="59"/>
      <c r="V181" s="59"/>
      <c r="W181" s="50"/>
      <c r="X181" s="84">
        <v>838</v>
      </c>
      <c r="Y181" s="104">
        <f t="shared" si="156"/>
        <v>6.4632117748260505E-4</v>
      </c>
      <c r="Z181" s="96">
        <f t="shared" si="152"/>
        <v>0.73042284137591396</v>
      </c>
      <c r="AA181" s="94">
        <f t="shared" si="153"/>
        <v>1271757.2779071236</v>
      </c>
      <c r="AB181" s="163">
        <f t="shared" si="155"/>
        <v>6.4632117748260505E-4</v>
      </c>
      <c r="AC181" s="96">
        <f t="shared" si="154"/>
        <v>0.73042284137591396</v>
      </c>
      <c r="AD181" s="94">
        <f t="shared" si="151"/>
        <v>1271757.2779071236</v>
      </c>
    </row>
    <row r="182" spans="10:30" x14ac:dyDescent="0.25">
      <c r="J182" s="56"/>
      <c r="K182" s="56"/>
      <c r="L182" s="130"/>
      <c r="M182" s="130"/>
      <c r="N182" s="130"/>
      <c r="O182" s="59"/>
      <c r="P182" s="59"/>
      <c r="Q182" s="59"/>
      <c r="R182" s="59"/>
      <c r="S182" s="59"/>
      <c r="T182" s="59"/>
      <c r="U182" s="59"/>
      <c r="V182" s="59"/>
      <c r="W182" s="50"/>
      <c r="X182" s="84">
        <v>837</v>
      </c>
      <c r="Y182" s="104">
        <f t="shared" si="156"/>
        <v>6.5031081438064579E-4</v>
      </c>
      <c r="Z182" s="96">
        <f t="shared" si="152"/>
        <v>0.73098244867504802</v>
      </c>
      <c r="AA182" s="94">
        <f t="shared" si="153"/>
        <v>1266482.7511152802</v>
      </c>
      <c r="AB182" s="163">
        <f t="shared" si="155"/>
        <v>6.5031081438064579E-4</v>
      </c>
      <c r="AC182" s="96">
        <f t="shared" si="154"/>
        <v>0.73098244867504802</v>
      </c>
      <c r="AD182" s="94">
        <f t="shared" si="151"/>
        <v>1266482.7511152802</v>
      </c>
    </row>
    <row r="183" spans="10:30" x14ac:dyDescent="0.25">
      <c r="J183" s="56"/>
      <c r="K183" s="56"/>
      <c r="L183" s="130"/>
      <c r="M183" s="130"/>
      <c r="N183" s="130"/>
      <c r="O183" s="59"/>
      <c r="P183" s="59"/>
      <c r="Q183" s="59"/>
      <c r="R183" s="59"/>
      <c r="S183" s="59"/>
      <c r="T183" s="59"/>
      <c r="U183" s="59"/>
      <c r="V183" s="59"/>
      <c r="W183" s="50"/>
      <c r="X183" s="84">
        <v>836</v>
      </c>
      <c r="Y183" s="104">
        <f t="shared" si="156"/>
        <v>6.5430045127868653E-4</v>
      </c>
      <c r="Z183" s="96">
        <f t="shared" si="152"/>
        <v>0.73154034200755569</v>
      </c>
      <c r="AA183" s="94">
        <f t="shared" si="153"/>
        <v>1261235.2894648523</v>
      </c>
      <c r="AB183" s="163">
        <f t="shared" si="155"/>
        <v>6.5430045127868653E-4</v>
      </c>
      <c r="AC183" s="96">
        <f t="shared" si="154"/>
        <v>0.73154034200755569</v>
      </c>
      <c r="AD183" s="94">
        <f t="shared" si="151"/>
        <v>1261235.2894648523</v>
      </c>
    </row>
    <row r="184" spans="10:30" x14ac:dyDescent="0.25">
      <c r="J184" s="56"/>
      <c r="K184" s="56"/>
      <c r="L184" s="130"/>
      <c r="M184" s="130"/>
      <c r="N184" s="130"/>
      <c r="O184" s="59"/>
      <c r="P184" s="59"/>
      <c r="Q184" s="59"/>
      <c r="R184" s="59"/>
      <c r="S184" s="59"/>
      <c r="T184" s="59"/>
      <c r="U184" s="59"/>
      <c r="V184" s="59"/>
      <c r="W184" s="50"/>
      <c r="X184" s="84">
        <v>835</v>
      </c>
      <c r="Y184" s="104">
        <f t="shared" si="156"/>
        <v>6.5829008817672727E-4</v>
      </c>
      <c r="Z184" s="96">
        <f t="shared" si="152"/>
        <v>0.73209653702628763</v>
      </c>
      <c r="AA184" s="94">
        <f t="shared" si="153"/>
        <v>1256014.6457828777</v>
      </c>
      <c r="AB184" s="163">
        <f t="shared" si="155"/>
        <v>6.5829008817672727E-4</v>
      </c>
      <c r="AC184" s="96">
        <f t="shared" si="154"/>
        <v>0.73209653702628763</v>
      </c>
      <c r="AD184" s="94">
        <f t="shared" si="151"/>
        <v>1256014.6457828777</v>
      </c>
    </row>
    <row r="185" spans="10:30" x14ac:dyDescent="0.25">
      <c r="J185" s="56"/>
      <c r="K185" s="56"/>
      <c r="L185" s="130"/>
      <c r="M185" s="130"/>
      <c r="N185" s="130"/>
      <c r="O185" s="59"/>
      <c r="P185" s="59"/>
      <c r="Q185" s="59"/>
      <c r="R185" s="59"/>
      <c r="S185" s="59"/>
      <c r="T185" s="59"/>
      <c r="U185" s="59"/>
      <c r="V185" s="59"/>
      <c r="W185" s="50"/>
      <c r="X185" s="84">
        <v>834</v>
      </c>
      <c r="Y185" s="104">
        <f t="shared" si="156"/>
        <v>6.6227972507476801E-4</v>
      </c>
      <c r="Z185" s="96">
        <f t="shared" si="152"/>
        <v>0.73265104914727675</v>
      </c>
      <c r="AA185" s="94">
        <f t="shared" si="153"/>
        <v>1250820.5766359079</v>
      </c>
      <c r="AB185" s="163">
        <f t="shared" si="155"/>
        <v>6.6227972507476801E-4</v>
      </c>
      <c r="AC185" s="96">
        <f t="shared" si="154"/>
        <v>0.73265104914727675</v>
      </c>
      <c r="AD185" s="94">
        <f t="shared" si="151"/>
        <v>1250820.5766359079</v>
      </c>
    </row>
    <row r="186" spans="10:30" x14ac:dyDescent="0.25">
      <c r="J186" s="56"/>
      <c r="K186" s="56"/>
      <c r="L186" s="130"/>
      <c r="M186" s="130"/>
      <c r="N186" s="130"/>
      <c r="O186" s="59"/>
      <c r="P186" s="59"/>
      <c r="Q186" s="59"/>
      <c r="R186" s="59"/>
      <c r="S186" s="59"/>
      <c r="T186" s="59"/>
      <c r="U186" s="59"/>
      <c r="V186" s="59"/>
      <c r="W186" s="50"/>
      <c r="X186" s="84">
        <v>833</v>
      </c>
      <c r="Y186" s="104">
        <f t="shared" si="156"/>
        <v>6.6626936197280876E-4</v>
      </c>
      <c r="Z186" s="96">
        <f t="shared" si="152"/>
        <v>0.73320389355473781</v>
      </c>
      <c r="AA186" s="94">
        <f t="shared" si="153"/>
        <v>1245652.8422511541</v>
      </c>
      <c r="AB186" s="163">
        <f t="shared" si="155"/>
        <v>6.6626936197280876E-4</v>
      </c>
      <c r="AC186" s="96">
        <f t="shared" si="154"/>
        <v>0.73320389355473781</v>
      </c>
      <c r="AD186" s="94">
        <f t="shared" si="151"/>
        <v>1245652.8422511541</v>
      </c>
    </row>
    <row r="187" spans="10:30" x14ac:dyDescent="0.25">
      <c r="J187" s="56"/>
      <c r="K187" s="56"/>
      <c r="L187" s="130"/>
      <c r="M187" s="130"/>
      <c r="N187" s="130"/>
      <c r="O187" s="59"/>
      <c r="P187" s="59"/>
      <c r="Q187" s="59"/>
      <c r="R187" s="59"/>
      <c r="S187" s="59"/>
      <c r="T187" s="59"/>
      <c r="U187" s="59"/>
      <c r="V187" s="59"/>
      <c r="W187" s="50"/>
      <c r="X187" s="84">
        <v>832</v>
      </c>
      <c r="Y187" s="104">
        <f t="shared" si="156"/>
        <v>6.702589988708495E-4</v>
      </c>
      <c r="Z187" s="96">
        <f t="shared" si="152"/>
        <v>0.7337550852059066</v>
      </c>
      <c r="AA187" s="94">
        <f t="shared" si="153"/>
        <v>1240511.2064399964</v>
      </c>
      <c r="AB187" s="163">
        <f t="shared" si="155"/>
        <v>6.702589988708495E-4</v>
      </c>
      <c r="AC187" s="96">
        <f t="shared" si="154"/>
        <v>0.7337550852059066</v>
      </c>
      <c r="AD187" s="94">
        <f t="shared" si="151"/>
        <v>1240511.2064399964</v>
      </c>
    </row>
    <row r="188" spans="10:30" x14ac:dyDescent="0.25">
      <c r="J188" s="56"/>
      <c r="K188" s="56"/>
      <c r="L188" s="130"/>
      <c r="M188" s="130"/>
      <c r="N188" s="130"/>
      <c r="O188" s="59"/>
      <c r="P188" s="59"/>
      <c r="Q188" s="59"/>
      <c r="R188" s="59"/>
      <c r="S188" s="59"/>
      <c r="T188" s="59"/>
      <c r="U188" s="59"/>
      <c r="V188" s="59"/>
      <c r="W188" s="50"/>
      <c r="X188" s="84">
        <v>831</v>
      </c>
      <c r="Y188" s="104">
        <f t="shared" si="156"/>
        <v>6.7424863576889024E-4</v>
      </c>
      <c r="Z188" s="96">
        <f t="shared" si="152"/>
        <v>0.73430463883577812</v>
      </c>
      <c r="AA188" s="94">
        <f t="shared" si="153"/>
        <v>1235395.4365232608</v>
      </c>
      <c r="AB188" s="163">
        <f t="shared" si="155"/>
        <v>6.7424863576889024E-4</v>
      </c>
      <c r="AC188" s="96">
        <f t="shared" si="154"/>
        <v>0.73430463883577812</v>
      </c>
      <c r="AD188" s="94">
        <f t="shared" si="151"/>
        <v>1235395.4365232608</v>
      </c>
    </row>
    <row r="189" spans="10:30" x14ac:dyDescent="0.25">
      <c r="J189" s="56"/>
      <c r="K189" s="56"/>
      <c r="L189" s="130"/>
      <c r="M189" s="130"/>
      <c r="N189" s="130"/>
      <c r="O189" s="59"/>
      <c r="P189" s="59"/>
      <c r="Q189" s="59"/>
      <c r="R189" s="59"/>
      <c r="S189" s="59"/>
      <c r="T189" s="59"/>
      <c r="U189" s="59"/>
      <c r="V189" s="59"/>
      <c r="W189" s="50"/>
      <c r="X189" s="84">
        <v>830</v>
      </c>
      <c r="Y189" s="104">
        <f t="shared" si="156"/>
        <v>6.7823827266693098E-4</v>
      </c>
      <c r="Z189" s="96">
        <f t="shared" si="152"/>
        <v>0.73485256896167983</v>
      </c>
      <c r="AA189" s="94">
        <f t="shared" si="153"/>
        <v>1230305.303258863</v>
      </c>
      <c r="AB189" s="163">
        <f t="shared" si="155"/>
        <v>6.7823827266693098E-4</v>
      </c>
      <c r="AC189" s="96">
        <f t="shared" si="154"/>
        <v>0.73485256896167983</v>
      </c>
      <c r="AD189" s="94">
        <f t="shared" si="151"/>
        <v>1230305.303258863</v>
      </c>
    </row>
    <row r="190" spans="10:30" x14ac:dyDescent="0.25">
      <c r="J190" s="56"/>
      <c r="K190" s="56"/>
      <c r="L190" s="130"/>
      <c r="M190" s="130"/>
      <c r="N190" s="130"/>
      <c r="O190" s="59"/>
      <c r="P190" s="59"/>
      <c r="Q190" s="59"/>
      <c r="R190" s="59"/>
      <c r="S190" s="59"/>
      <c r="T190" s="59"/>
      <c r="U190" s="59"/>
      <c r="V190" s="59"/>
      <c r="W190" s="50"/>
      <c r="X190" s="84">
        <v>829</v>
      </c>
      <c r="Y190" s="104">
        <f t="shared" si="156"/>
        <v>6.8222790956497172E-4</v>
      </c>
      <c r="Z190" s="96">
        <f t="shared" si="152"/>
        <v>0.73539888988777435</v>
      </c>
      <c r="AA190" s="94">
        <f t="shared" si="153"/>
        <v>1225240.5807708874</v>
      </c>
      <c r="AB190" s="163">
        <f t="shared" si="155"/>
        <v>6.8222790956497172E-4</v>
      </c>
      <c r="AC190" s="96">
        <f t="shared" si="154"/>
        <v>0.73539888988777435</v>
      </c>
      <c r="AD190" s="94">
        <f t="shared" si="151"/>
        <v>1225240.5807708874</v>
      </c>
    </row>
    <row r="191" spans="10:30" x14ac:dyDescent="0.25">
      <c r="J191" s="56"/>
      <c r="K191" s="56"/>
      <c r="L191" s="130"/>
      <c r="M191" s="130"/>
      <c r="N191" s="130"/>
      <c r="O191" s="59"/>
      <c r="P191" s="59"/>
      <c r="Q191" s="59"/>
      <c r="R191" s="59"/>
      <c r="S191" s="59"/>
      <c r="T191" s="59"/>
      <c r="U191" s="59"/>
      <c r="V191" s="59"/>
      <c r="W191" s="50"/>
      <c r="X191" s="84">
        <v>828</v>
      </c>
      <c r="Y191" s="104">
        <f t="shared" si="156"/>
        <v>6.8621754646301246E-4</v>
      </c>
      <c r="Z191" s="96">
        <f t="shared" si="152"/>
        <v>0.7359436157093856</v>
      </c>
      <c r="AA191" s="94">
        <f t="shared" si="153"/>
        <v>1220201.0464810717</v>
      </c>
      <c r="AB191" s="163">
        <f t="shared" si="155"/>
        <v>6.8621754646301246E-4</v>
      </c>
      <c r="AC191" s="96">
        <f t="shared" si="154"/>
        <v>0.7359436157093856</v>
      </c>
      <c r="AD191" s="94">
        <f t="shared" si="151"/>
        <v>1220201.0464810717</v>
      </c>
    </row>
    <row r="192" spans="10:30" x14ac:dyDescent="0.25">
      <c r="J192" s="56"/>
      <c r="K192" s="56"/>
      <c r="L192" s="130"/>
      <c r="M192" s="130"/>
      <c r="N192" s="130"/>
      <c r="O192" s="59"/>
      <c r="P192" s="59"/>
      <c r="Q192" s="59"/>
      <c r="R192" s="59"/>
      <c r="S192" s="59"/>
      <c r="T192" s="59"/>
      <c r="U192" s="59"/>
      <c r="V192" s="59"/>
      <c r="W192" s="50"/>
      <c r="X192" s="84">
        <v>827</v>
      </c>
      <c r="Y192" s="104">
        <f t="shared" si="156"/>
        <v>6.902071833610532E-4</v>
      </c>
      <c r="Z192" s="96">
        <f t="shared" si="152"/>
        <v>0.736486760317273</v>
      </c>
      <c r="AA192" s="94">
        <f t="shared" si="153"/>
        <v>1215186.4810415104</v>
      </c>
      <c r="AB192" s="163">
        <f t="shared" si="155"/>
        <v>6.902071833610532E-4</v>
      </c>
      <c r="AC192" s="96">
        <f t="shared" si="154"/>
        <v>0.736486760317273</v>
      </c>
      <c r="AD192" s="94">
        <f t="shared" si="151"/>
        <v>1215186.4810415104</v>
      </c>
    </row>
    <row r="193" spans="10:30" x14ac:dyDescent="0.25">
      <c r="J193" s="56"/>
      <c r="K193" s="56"/>
      <c r="L193" s="130"/>
      <c r="M193" s="130"/>
      <c r="N193" s="130"/>
      <c r="O193" s="59"/>
      <c r="P193" s="59"/>
      <c r="Q193" s="59"/>
      <c r="R193" s="59"/>
      <c r="S193" s="59"/>
      <c r="T193" s="59"/>
      <c r="U193" s="59"/>
      <c r="V193" s="59"/>
      <c r="W193" s="50"/>
      <c r="X193" s="84">
        <v>826</v>
      </c>
      <c r="Y193" s="104">
        <f t="shared" si="156"/>
        <v>6.9419682025909394E-4</v>
      </c>
      <c r="Z193" s="96">
        <f t="shared" si="152"/>
        <v>0.7370283374017349</v>
      </c>
      <c r="AA193" s="94">
        <f t="shared" si="153"/>
        <v>1210196.6682696757</v>
      </c>
      <c r="AB193" s="163">
        <f t="shared" si="155"/>
        <v>6.9419682025909394E-4</v>
      </c>
      <c r="AC193" s="96">
        <f t="shared" si="154"/>
        <v>0.7370283374017349</v>
      </c>
      <c r="AD193" s="94">
        <f t="shared" si="151"/>
        <v>1210196.6682696757</v>
      </c>
    </row>
    <row r="194" spans="10:30" x14ac:dyDescent="0.25">
      <c r="J194" s="56"/>
      <c r="K194" s="56"/>
      <c r="L194" s="130"/>
      <c r="M194" s="130"/>
      <c r="N194" s="130"/>
      <c r="O194" s="59"/>
      <c r="P194" s="59"/>
      <c r="Q194" s="59"/>
      <c r="R194" s="59"/>
      <c r="S194" s="59"/>
      <c r="T194" s="59"/>
      <c r="U194" s="59"/>
      <c r="V194" s="59"/>
      <c r="W194" s="50"/>
      <c r="X194" s="84">
        <v>825</v>
      </c>
      <c r="Y194" s="104">
        <f t="shared" si="156"/>
        <v>6.9818645715713468E-4</v>
      </c>
      <c r="Z194" s="96">
        <f t="shared" si="152"/>
        <v>0.73756836045666041</v>
      </c>
      <c r="AA194" s="94">
        <f t="shared" si="153"/>
        <v>1205231.395084593</v>
      </c>
      <c r="AB194" s="163">
        <f t="shared" si="155"/>
        <v>6.9818645715713468E-4</v>
      </c>
      <c r="AC194" s="96">
        <f t="shared" si="154"/>
        <v>0.73756836045666041</v>
      </c>
      <c r="AD194" s="94">
        <f t="shared" si="151"/>
        <v>1205231.395084593</v>
      </c>
    </row>
    <row r="195" spans="10:30" x14ac:dyDescent="0.25">
      <c r="J195" s="56"/>
      <c r="K195" s="56"/>
      <c r="L195" s="130"/>
      <c r="M195" s="130"/>
      <c r="N195" s="130"/>
      <c r="O195" s="59"/>
      <c r="P195" s="59"/>
      <c r="Q195" s="59"/>
      <c r="R195" s="59"/>
      <c r="S195" s="59"/>
      <c r="T195" s="59"/>
      <c r="U195" s="59"/>
      <c r="V195" s="59"/>
      <c r="W195" s="50"/>
      <c r="X195" s="84">
        <v>824</v>
      </c>
      <c r="Y195" s="104">
        <f t="shared" si="156"/>
        <v>7.0217609405517543E-4</v>
      </c>
      <c r="Z195" s="96">
        <f t="shared" si="152"/>
        <v>0.73810684278343763</v>
      </c>
      <c r="AA195" s="94">
        <f t="shared" si="153"/>
        <v>1200290.451445034</v>
      </c>
      <c r="AB195" s="163">
        <f t="shared" si="155"/>
        <v>7.0217609405517543E-4</v>
      </c>
      <c r="AC195" s="96">
        <f t="shared" si="154"/>
        <v>0.73810684278343763</v>
      </c>
      <c r="AD195" s="94">
        <f t="shared" si="151"/>
        <v>1200290.451445034</v>
      </c>
    </row>
    <row r="196" spans="10:30" x14ac:dyDescent="0.25">
      <c r="J196" s="56"/>
      <c r="K196" s="56"/>
      <c r="L196" s="130"/>
      <c r="M196" s="130"/>
      <c r="N196" s="130"/>
      <c r="O196" s="59"/>
      <c r="P196" s="59"/>
      <c r="Q196" s="59"/>
      <c r="R196" s="59"/>
      <c r="S196" s="59"/>
      <c r="T196" s="59"/>
      <c r="U196" s="59"/>
      <c r="V196" s="59"/>
      <c r="W196" s="50"/>
      <c r="X196" s="84">
        <v>823</v>
      </c>
      <c r="Y196" s="104">
        <f t="shared" si="156"/>
        <v>7.0616573095321617E-4</v>
      </c>
      <c r="Z196" s="96">
        <f t="shared" si="152"/>
        <v>0.73864379749477449</v>
      </c>
      <c r="AA196" s="94">
        <f t="shared" si="153"/>
        <v>1195373.6302891679</v>
      </c>
      <c r="AB196" s="163">
        <f t="shared" si="155"/>
        <v>7.0616573095321617E-4</v>
      </c>
      <c r="AC196" s="96">
        <f t="shared" si="154"/>
        <v>0.73864379749477449</v>
      </c>
      <c r="AD196" s="94">
        <f t="shared" si="151"/>
        <v>1195373.6302891679</v>
      </c>
    </row>
    <row r="197" spans="10:30" x14ac:dyDescent="0.25">
      <c r="J197" s="56"/>
      <c r="K197" s="56"/>
      <c r="L197" s="130"/>
      <c r="M197" s="130"/>
      <c r="N197" s="130"/>
      <c r="O197" s="59"/>
      <c r="P197" s="59"/>
      <c r="Q197" s="59"/>
      <c r="R197" s="59"/>
      <c r="S197" s="59"/>
      <c r="T197" s="59"/>
      <c r="U197" s="59"/>
      <c r="V197" s="59"/>
      <c r="W197" s="50"/>
      <c r="X197" s="84">
        <v>822</v>
      </c>
      <c r="Y197" s="104">
        <f t="shared" si="156"/>
        <v>7.1015536785125691E-4</v>
      </c>
      <c r="Z197" s="96">
        <f t="shared" si="152"/>
        <v>0.73917923751843873</v>
      </c>
      <c r="AA197" s="94">
        <f t="shared" si="153"/>
        <v>1190480.7274756036</v>
      </c>
      <c r="AB197" s="163">
        <f t="shared" si="155"/>
        <v>7.1015536785125691E-4</v>
      </c>
      <c r="AC197" s="96">
        <f t="shared" si="154"/>
        <v>0.73917923751843873</v>
      </c>
      <c r="AD197" s="94">
        <f t="shared" si="151"/>
        <v>1190480.7274756036</v>
      </c>
    </row>
    <row r="198" spans="10:30" x14ac:dyDescent="0.25">
      <c r="J198" s="56"/>
      <c r="K198" s="56"/>
      <c r="L198" s="130"/>
      <c r="M198" s="130"/>
      <c r="N198" s="130"/>
      <c r="O198" s="59"/>
      <c r="P198" s="59"/>
      <c r="Q198" s="59"/>
      <c r="R198" s="59"/>
      <c r="S198" s="59"/>
      <c r="T198" s="59"/>
      <c r="U198" s="59"/>
      <c r="V198" s="59"/>
      <c r="W198" s="50"/>
      <c r="X198" s="84">
        <v>821</v>
      </c>
      <c r="Y198" s="104">
        <f t="shared" si="156"/>
        <v>7.1414500474929765E-4</v>
      </c>
      <c r="Z198" s="96">
        <f t="shared" si="152"/>
        <v>0.73971317560087269</v>
      </c>
      <c r="AA198" s="94">
        <f t="shared" si="153"/>
        <v>1185611.5417261873</v>
      </c>
      <c r="AB198" s="163">
        <f t="shared" si="155"/>
        <v>7.1414500474929765E-4</v>
      </c>
      <c r="AC198" s="96">
        <f t="shared" si="154"/>
        <v>0.73971317560087269</v>
      </c>
      <c r="AD198" s="94">
        <f t="shared" si="151"/>
        <v>1185611.5417261873</v>
      </c>
    </row>
    <row r="199" spans="10:30" x14ac:dyDescent="0.25">
      <c r="J199" s="56"/>
      <c r="K199" s="56"/>
      <c r="L199" s="130"/>
      <c r="M199" s="130"/>
      <c r="N199" s="130"/>
      <c r="O199" s="59"/>
      <c r="P199" s="59"/>
      <c r="Q199" s="59"/>
      <c r="R199" s="59"/>
      <c r="S199" s="59"/>
      <c r="T199" s="59"/>
      <c r="U199" s="59"/>
      <c r="V199" s="59"/>
      <c r="W199" s="50"/>
      <c r="X199" s="84">
        <v>820</v>
      </c>
      <c r="Y199" s="104">
        <f t="shared" si="156"/>
        <v>7.1813464164733839E-4</v>
      </c>
      <c r="Z199" s="96">
        <f t="shared" si="152"/>
        <v>0.74024562431074847</v>
      </c>
      <c r="AA199" s="94">
        <f t="shared" si="153"/>
        <v>1180765.8745699739</v>
      </c>
      <c r="AB199" s="163">
        <f t="shared" si="155"/>
        <v>7.1813464164733839E-4</v>
      </c>
      <c r="AC199" s="96">
        <f t="shared" si="154"/>
        <v>0.74024562431074847</v>
      </c>
      <c r="AD199" s="94">
        <f t="shared" si="151"/>
        <v>1180765.8745699739</v>
      </c>
    </row>
    <row r="200" spans="10:30" x14ac:dyDescent="0.25">
      <c r="J200" s="56"/>
      <c r="K200" s="56"/>
      <c r="L200" s="130"/>
      <c r="M200" s="130"/>
      <c r="N200" s="130"/>
      <c r="O200" s="59"/>
      <c r="P200" s="59"/>
      <c r="Q200" s="59"/>
      <c r="R200" s="59"/>
      <c r="S200" s="59"/>
      <c r="T200" s="59"/>
      <c r="U200" s="59"/>
      <c r="V200" s="59"/>
      <c r="W200" s="50"/>
      <c r="X200" s="84">
        <v>819</v>
      </c>
      <c r="Y200" s="104">
        <f t="shared" si="156"/>
        <v>7.2212427854537913E-4</v>
      </c>
      <c r="Z200" s="96">
        <f t="shared" si="152"/>
        <v>0.74077659604240653</v>
      </c>
      <c r="AA200" s="94">
        <f t="shared" si="153"/>
        <v>1175943.5302888297</v>
      </c>
      <c r="AB200" s="163">
        <f t="shared" si="155"/>
        <v>7.2212427854537913E-4</v>
      </c>
      <c r="AC200" s="96">
        <f t="shared" si="154"/>
        <v>0.74077659604240653</v>
      </c>
      <c r="AD200" s="94">
        <f t="shared" si="151"/>
        <v>1175943.5302888297</v>
      </c>
    </row>
    <row r="201" spans="10:30" x14ac:dyDescent="0.25">
      <c r="J201" s="56"/>
      <c r="K201" s="56"/>
      <c r="L201" s="130"/>
      <c r="M201" s="130"/>
      <c r="N201" s="130"/>
      <c r="O201" s="59"/>
      <c r="P201" s="59"/>
      <c r="Q201" s="59"/>
      <c r="R201" s="59"/>
      <c r="S201" s="59"/>
      <c r="T201" s="59"/>
      <c r="U201" s="59"/>
      <c r="V201" s="59"/>
      <c r="W201" s="50"/>
      <c r="X201" s="84">
        <v>818</v>
      </c>
      <c r="Y201" s="104">
        <f t="shared" si="156"/>
        <v>7.2611391544341987E-4</v>
      </c>
      <c r="Z201" s="96">
        <f t="shared" si="152"/>
        <v>0.74130610301923494</v>
      </c>
      <c r="AA201" s="94">
        <f t="shared" si="153"/>
        <v>1171144.3158641576</v>
      </c>
      <c r="AB201" s="163">
        <f t="shared" si="155"/>
        <v>7.2611391544341987E-4</v>
      </c>
      <c r="AC201" s="96">
        <f t="shared" si="154"/>
        <v>0.74130610301923494</v>
      </c>
      <c r="AD201" s="94">
        <f t="shared" si="151"/>
        <v>1171144.3158641576</v>
      </c>
    </row>
    <row r="202" spans="10:30" x14ac:dyDescent="0.25">
      <c r="J202" s="56"/>
      <c r="K202" s="56"/>
      <c r="L202" s="130"/>
      <c r="M202" s="130"/>
      <c r="N202" s="130"/>
      <c r="O202" s="59"/>
      <c r="P202" s="59"/>
      <c r="Q202" s="59"/>
      <c r="R202" s="59"/>
      <c r="S202" s="59"/>
      <c r="T202" s="59"/>
      <c r="U202" s="59"/>
      <c r="V202" s="59"/>
      <c r="W202" s="50"/>
      <c r="X202" s="84">
        <v>817</v>
      </c>
      <c r="Y202" s="104">
        <f t="shared" si="156"/>
        <v>7.3010355234146061E-4</v>
      </c>
      <c r="Z202" s="96">
        <f t="shared" si="152"/>
        <v>0.74183415729693858</v>
      </c>
      <c r="AA202" s="94">
        <f t="shared" si="153"/>
        <v>1166368.0409251829</v>
      </c>
      <c r="AB202" s="163">
        <f t="shared" si="155"/>
        <v>7.3010355234146061E-4</v>
      </c>
      <c r="AC202" s="96">
        <f t="shared" si="154"/>
        <v>0.74183415729693858</v>
      </c>
      <c r="AD202" s="94">
        <f t="shared" si="151"/>
        <v>1166368.0409251829</v>
      </c>
    </row>
    <row r="203" spans="10:30" x14ac:dyDescent="0.25">
      <c r="J203" s="56"/>
      <c r="K203" s="56"/>
      <c r="L203" s="130"/>
      <c r="M203" s="130"/>
      <c r="N203" s="130"/>
      <c r="O203" s="59"/>
      <c r="P203" s="59"/>
      <c r="Q203" s="59"/>
      <c r="R203" s="59"/>
      <c r="S203" s="59"/>
      <c r="T203" s="59"/>
      <c r="U203" s="59"/>
      <c r="V203" s="59"/>
      <c r="W203" s="50"/>
      <c r="X203" s="84">
        <v>816</v>
      </c>
      <c r="Y203" s="104">
        <f t="shared" si="156"/>
        <v>7.3409318923950135E-4</v>
      </c>
      <c r="Z203" s="96">
        <f t="shared" si="152"/>
        <v>0.74236077076675622</v>
      </c>
      <c r="AA203" s="94">
        <f t="shared" si="153"/>
        <v>1161614.5176982495</v>
      </c>
      <c r="AB203" s="163">
        <f t="shared" si="155"/>
        <v>7.3409318923950135E-4</v>
      </c>
      <c r="AC203" s="96">
        <f t="shared" si="154"/>
        <v>0.74236077076675622</v>
      </c>
      <c r="AD203" s="94">
        <f t="shared" si="151"/>
        <v>1161614.5176982495</v>
      </c>
    </row>
    <row r="204" spans="10:30" x14ac:dyDescent="0.25">
      <c r="J204" s="56"/>
      <c r="K204" s="56"/>
      <c r="L204" s="130"/>
      <c r="M204" s="130"/>
      <c r="N204" s="130"/>
      <c r="O204" s="59"/>
      <c r="P204" s="59"/>
      <c r="Q204" s="59"/>
      <c r="R204" s="59"/>
      <c r="S204" s="59"/>
      <c r="T204" s="59"/>
      <c r="U204" s="59"/>
      <c r="V204" s="59"/>
      <c r="W204" s="50"/>
      <c r="X204" s="84">
        <v>815</v>
      </c>
      <c r="Y204" s="104">
        <f t="shared" si="156"/>
        <v>7.380828261375421E-4</v>
      </c>
      <c r="Z204" s="96">
        <f t="shared" si="152"/>
        <v>0.74288595515857525</v>
      </c>
      <c r="AA204" s="94">
        <f t="shared" si="153"/>
        <v>1156883.5609575678</v>
      </c>
      <c r="AB204" s="163">
        <f t="shared" si="155"/>
        <v>7.380828261375421E-4</v>
      </c>
      <c r="AC204" s="96">
        <f t="shared" si="154"/>
        <v>0.74288595515857525</v>
      </c>
      <c r="AD204" s="94">
        <f t="shared" si="151"/>
        <v>1156883.5609575678</v>
      </c>
    </row>
    <row r="205" spans="10:30" x14ac:dyDescent="0.25">
      <c r="J205" s="56"/>
      <c r="K205" s="56"/>
      <c r="L205" s="130"/>
      <c r="M205" s="130"/>
      <c r="N205" s="130"/>
      <c r="O205" s="59"/>
      <c r="P205" s="59"/>
      <c r="Q205" s="59"/>
      <c r="R205" s="59"/>
      <c r="S205" s="59"/>
      <c r="T205" s="59"/>
      <c r="U205" s="59"/>
      <c r="V205" s="59"/>
      <c r="W205" s="50"/>
      <c r="X205" s="84">
        <v>814</v>
      </c>
      <c r="Y205" s="104">
        <f t="shared" si="156"/>
        <v>7.4207246303558284E-4</v>
      </c>
      <c r="Z205" s="96">
        <f t="shared" si="152"/>
        <v>0.74340972204398492</v>
      </c>
      <c r="AA205" s="94">
        <f t="shared" si="153"/>
        <v>1152174.9879770393</v>
      </c>
      <c r="AB205" s="163">
        <f t="shared" si="155"/>
        <v>7.4207246303558284E-4</v>
      </c>
      <c r="AC205" s="96">
        <f t="shared" si="154"/>
        <v>0.74340972204398492</v>
      </c>
      <c r="AD205" s="94">
        <f t="shared" si="151"/>
        <v>1152174.9879770393</v>
      </c>
    </row>
    <row r="206" spans="10:30" x14ac:dyDescent="0.25">
      <c r="J206" s="56"/>
      <c r="K206" s="56"/>
      <c r="L206" s="130"/>
      <c r="M206" s="130"/>
      <c r="N206" s="130"/>
      <c r="O206" s="59"/>
      <c r="P206" s="59"/>
      <c r="Q206" s="59"/>
      <c r="R206" s="59"/>
      <c r="S206" s="59"/>
      <c r="T206" s="59"/>
      <c r="U206" s="59"/>
      <c r="V206" s="59"/>
      <c r="W206" s="50"/>
      <c r="X206" s="84">
        <v>813</v>
      </c>
      <c r="Y206" s="104">
        <f t="shared" si="156"/>
        <v>7.4606209993362358E-4</v>
      </c>
      <c r="Z206" s="96">
        <f t="shared" si="152"/>
        <v>0.7439320828392435</v>
      </c>
      <c r="AA206" s="94">
        <f t="shared" si="153"/>
        <v>1147488.6184833401</v>
      </c>
      <c r="AB206" s="163">
        <f t="shared" si="155"/>
        <v>7.4606209993362358E-4</v>
      </c>
      <c r="AC206" s="96">
        <f t="shared" si="154"/>
        <v>0.7439320828392435</v>
      </c>
      <c r="AD206" s="94">
        <f t="shared" si="151"/>
        <v>1147488.6184833401</v>
      </c>
    </row>
    <row r="207" spans="10:30" x14ac:dyDescent="0.25">
      <c r="J207" s="56"/>
      <c r="K207" s="56"/>
      <c r="L207" s="130"/>
      <c r="M207" s="130"/>
      <c r="N207" s="130"/>
      <c r="O207" s="59"/>
      <c r="P207" s="59"/>
      <c r="Q207" s="59"/>
      <c r="R207" s="59"/>
      <c r="S207" s="59"/>
      <c r="T207" s="59"/>
      <c r="U207" s="59"/>
      <c r="V207" s="59"/>
      <c r="W207" s="50"/>
      <c r="X207" s="84">
        <v>812</v>
      </c>
      <c r="Y207" s="104">
        <f t="shared" si="156"/>
        <v>7.5005173683166432E-4</v>
      </c>
      <c r="Z207" s="96">
        <f t="shared" si="152"/>
        <v>0.74445304880819652</v>
      </c>
      <c r="AA207" s="94">
        <f t="shared" si="153"/>
        <v>1142824.2746099546</v>
      </c>
      <c r="AB207" s="163">
        <f t="shared" si="155"/>
        <v>7.5005173683166432E-4</v>
      </c>
      <c r="AC207" s="96">
        <f t="shared" si="154"/>
        <v>0.74445304880819652</v>
      </c>
      <c r="AD207" s="94">
        <f t="shared" si="151"/>
        <v>1142824.2746099546</v>
      </c>
    </row>
    <row r="208" spans="10:30" x14ac:dyDescent="0.25">
      <c r="J208" s="56"/>
      <c r="K208" s="56"/>
      <c r="L208" s="130"/>
      <c r="M208" s="130"/>
      <c r="N208" s="130"/>
      <c r="O208" s="59"/>
      <c r="P208" s="59"/>
      <c r="Q208" s="59"/>
      <c r="R208" s="59"/>
      <c r="S208" s="59"/>
      <c r="T208" s="59"/>
      <c r="U208" s="59"/>
      <c r="V208" s="59"/>
      <c r="W208" s="50"/>
      <c r="X208" s="84">
        <v>811</v>
      </c>
      <c r="Y208" s="104">
        <f t="shared" si="156"/>
        <v>7.5404137372970506E-4</v>
      </c>
      <c r="Z208" s="96">
        <f t="shared" si="152"/>
        <v>0.7449726310650896</v>
      </c>
      <c r="AA208" s="94">
        <f t="shared" si="153"/>
        <v>1138181.7808526005</v>
      </c>
      <c r="AB208" s="163">
        <f t="shared" si="155"/>
        <v>7.5404137372970506E-4</v>
      </c>
      <c r="AC208" s="96">
        <f t="shared" si="154"/>
        <v>0.7449726310650896</v>
      </c>
      <c r="AD208" s="94">
        <f t="shared" si="151"/>
        <v>1138181.7808526005</v>
      </c>
    </row>
    <row r="209" spans="10:30" x14ac:dyDescent="0.25">
      <c r="J209" s="56"/>
      <c r="K209" s="56"/>
      <c r="L209" s="130"/>
      <c r="M209" s="130"/>
      <c r="N209" s="130"/>
      <c r="O209" s="59"/>
      <c r="P209" s="59"/>
      <c r="Q209" s="59"/>
      <c r="R209" s="59"/>
      <c r="S209" s="59"/>
      <c r="T209" s="59"/>
      <c r="U209" s="59"/>
      <c r="V209" s="59"/>
      <c r="W209" s="50"/>
      <c r="X209" s="84">
        <v>810</v>
      </c>
      <c r="Y209" s="104">
        <f t="shared" si="156"/>
        <v>7.580310106277458E-4</v>
      </c>
      <c r="Z209" s="96">
        <f t="shared" si="152"/>
        <v>0.74549084057736237</v>
      </c>
      <c r="AA209" s="94">
        <f t="shared" si="153"/>
        <v>1133560.964025307</v>
      </c>
      <c r="AB209" s="163">
        <f t="shared" si="155"/>
        <v>7.580310106277458E-4</v>
      </c>
      <c r="AC209" s="96">
        <f t="shared" si="154"/>
        <v>0.74549084057736237</v>
      </c>
      <c r="AD209" s="94">
        <f t="shared" si="151"/>
        <v>1133560.964025307</v>
      </c>
    </row>
    <row r="210" spans="10:30" x14ac:dyDescent="0.25">
      <c r="J210" s="56"/>
      <c r="K210" s="56"/>
      <c r="L210" s="130"/>
      <c r="M210" s="130"/>
      <c r="N210" s="130"/>
      <c r="O210" s="59"/>
      <c r="P210" s="59"/>
      <c r="Q210" s="59"/>
      <c r="R210" s="59"/>
      <c r="S210" s="59"/>
      <c r="T210" s="59"/>
      <c r="U210" s="59"/>
      <c r="V210" s="59"/>
      <c r="W210" s="50"/>
      <c r="X210" s="84">
        <v>809</v>
      </c>
      <c r="Y210" s="104">
        <f t="shared" si="156"/>
        <v>7.6202064752578654E-4</v>
      </c>
      <c r="Z210" s="96">
        <f t="shared" si="152"/>
        <v>0.74600768816831564</v>
      </c>
      <c r="AA210" s="94">
        <f t="shared" si="153"/>
        <v>1128961.6532180633</v>
      </c>
      <c r="AB210" s="163">
        <f t="shared" si="155"/>
        <v>7.6202064752578654E-4</v>
      </c>
      <c r="AC210" s="96">
        <f t="shared" si="154"/>
        <v>0.74600768816831564</v>
      </c>
      <c r="AD210" s="94">
        <f t="shared" si="151"/>
        <v>1128961.6532180633</v>
      </c>
    </row>
    <row r="211" spans="10:30" x14ac:dyDescent="0.25">
      <c r="J211" s="56"/>
      <c r="K211" s="56"/>
      <c r="L211" s="130"/>
      <c r="M211" s="130"/>
      <c r="N211" s="130"/>
      <c r="O211" s="59"/>
      <c r="P211" s="59"/>
      <c r="Q211" s="59"/>
      <c r="R211" s="59"/>
      <c r="S211" s="59"/>
      <c r="T211" s="59"/>
      <c r="U211" s="59"/>
      <c r="V211" s="59"/>
      <c r="W211" s="50"/>
      <c r="X211" s="84">
        <v>808</v>
      </c>
      <c r="Y211" s="104">
        <f t="shared" si="156"/>
        <v>7.6601028442382728E-4</v>
      </c>
      <c r="Z211" s="96">
        <f t="shared" si="152"/>
        <v>0.74652318451978283</v>
      </c>
      <c r="AA211" s="94">
        <f t="shared" si="153"/>
        <v>1124383.6797548616</v>
      </c>
      <c r="AB211" s="163">
        <f t="shared" si="155"/>
        <v>7.6601028442382728E-4</v>
      </c>
      <c r="AC211" s="96">
        <f t="shared" si="154"/>
        <v>0.74652318451978283</v>
      </c>
      <c r="AD211" s="94">
        <f t="shared" ref="AD211:AD274" si="157">IF(AC211&lt;1,X$14*((1-ropt)-Y$14*(1-ropt^2)+Z$14*(1-ropt^3)),0)</f>
        <v>1124383.6797548616</v>
      </c>
    </row>
    <row r="212" spans="10:30" x14ac:dyDescent="0.25">
      <c r="J212" s="56"/>
      <c r="K212" s="56"/>
      <c r="L212" s="130"/>
      <c r="M212" s="130"/>
      <c r="N212" s="130"/>
      <c r="O212" s="59"/>
      <c r="P212" s="59"/>
      <c r="Q212" s="59"/>
      <c r="R212" s="59"/>
      <c r="S212" s="59"/>
      <c r="T212" s="59"/>
      <c r="U212" s="59"/>
      <c r="V212" s="59"/>
      <c r="W212" s="50"/>
      <c r="X212" s="84">
        <v>807</v>
      </c>
      <c r="Y212" s="104">
        <f t="shared" si="156"/>
        <v>7.6999992132186802E-4</v>
      </c>
      <c r="Z212" s="96">
        <f t="shared" ref="Z212:Z275" si="158">(K-(L0-Y212*Ldif-alph*Y212^0.5))/R0</f>
        <v>0.7470373401746826</v>
      </c>
      <c r="AA212" s="94">
        <f t="shared" ref="AA212:AA275" si="159">IF(Z212&lt;1,X$14*((1-r.1)-Y$14*(1-r.1^2)+Z$14*(1-r.1^3)),0)</f>
        <v>1119826.8771532374</v>
      </c>
      <c r="AB212" s="163">
        <f t="shared" si="155"/>
        <v>7.6999992132186802E-4</v>
      </c>
      <c r="AC212" s="96">
        <f t="shared" ref="AC212:AC275" si="160">(Kopt-(L0-AB212*Ldif-alph*AB212^0.5))/R0</f>
        <v>0.7470373401746826</v>
      </c>
      <c r="AD212" s="94">
        <f t="shared" si="157"/>
        <v>1119826.8771532374</v>
      </c>
    </row>
    <row r="213" spans="10:30" x14ac:dyDescent="0.25">
      <c r="J213" s="56"/>
      <c r="K213" s="56"/>
      <c r="L213" s="130"/>
      <c r="M213" s="130"/>
      <c r="N213" s="130"/>
      <c r="O213" s="59"/>
      <c r="P213" s="59"/>
      <c r="Q213" s="59"/>
      <c r="R213" s="59"/>
      <c r="S213" s="59"/>
      <c r="T213" s="59"/>
      <c r="U213" s="59"/>
      <c r="V213" s="59"/>
      <c r="W213" s="50"/>
      <c r="X213" s="84">
        <v>806</v>
      </c>
      <c r="Y213" s="104">
        <f t="shared" si="156"/>
        <v>7.7398955821990877E-4</v>
      </c>
      <c r="Z213" s="96">
        <f t="shared" si="158"/>
        <v>0.7475501655395449</v>
      </c>
      <c r="AA213" s="94">
        <f t="shared" si="159"/>
        <v>1115291.0810844463</v>
      </c>
      <c r="AB213" s="163">
        <f t="shared" ref="AB213:AB276" si="161">AB212+AB$15</f>
        <v>7.7398955821990877E-4</v>
      </c>
      <c r="AC213" s="96">
        <f t="shared" si="160"/>
        <v>0.7475501655395449</v>
      </c>
      <c r="AD213" s="94">
        <f t="shared" si="157"/>
        <v>1115291.0810844463</v>
      </c>
    </row>
    <row r="214" spans="10:30" x14ac:dyDescent="0.25">
      <c r="J214" s="56"/>
      <c r="K214" s="56"/>
      <c r="L214" s="130"/>
      <c r="M214" s="130"/>
      <c r="N214" s="130"/>
      <c r="O214" s="59"/>
      <c r="P214" s="59"/>
      <c r="Q214" s="59"/>
      <c r="R214" s="59"/>
      <c r="S214" s="59"/>
      <c r="T214" s="59"/>
      <c r="U214" s="59"/>
      <c r="V214" s="59"/>
      <c r="W214" s="50"/>
      <c r="X214" s="84">
        <v>805</v>
      </c>
      <c r="Y214" s="104">
        <f t="shared" si="156"/>
        <v>7.7797919511794951E-4</v>
      </c>
      <c r="Z214" s="96">
        <f t="shared" si="158"/>
        <v>0.74806167088696163</v>
      </c>
      <c r="AA214" s="94">
        <f t="shared" si="159"/>
        <v>1110776.1293347185</v>
      </c>
      <c r="AB214" s="163">
        <f t="shared" si="161"/>
        <v>7.7797919511794951E-4</v>
      </c>
      <c r="AC214" s="96">
        <f t="shared" si="160"/>
        <v>0.74806167088696163</v>
      </c>
      <c r="AD214" s="94">
        <f t="shared" si="157"/>
        <v>1110776.1293347185</v>
      </c>
    </row>
    <row r="215" spans="10:30" x14ac:dyDescent="0.25">
      <c r="J215" s="56"/>
      <c r="K215" s="56"/>
      <c r="L215" s="130"/>
      <c r="M215" s="130"/>
      <c r="N215" s="130"/>
      <c r="O215" s="59"/>
      <c r="P215" s="59"/>
      <c r="Q215" s="59"/>
      <c r="R215" s="59"/>
      <c r="S215" s="59"/>
      <c r="T215" s="59"/>
      <c r="U215" s="59"/>
      <c r="V215" s="59"/>
      <c r="W215" s="50"/>
      <c r="X215" s="84">
        <v>804</v>
      </c>
      <c r="Y215" s="104">
        <f t="shared" si="156"/>
        <v>7.8196883201599025E-4</v>
      </c>
      <c r="Z215" s="96">
        <f t="shared" si="158"/>
        <v>0.74857186635800033</v>
      </c>
      <c r="AA215" s="94">
        <f t="shared" si="159"/>
        <v>1106281.8617672375</v>
      </c>
      <c r="AB215" s="163">
        <f t="shared" si="161"/>
        <v>7.8196883201599025E-4</v>
      </c>
      <c r="AC215" s="96">
        <f t="shared" si="160"/>
        <v>0.74857186635800033</v>
      </c>
      <c r="AD215" s="94">
        <f t="shared" si="157"/>
        <v>1106281.8617672375</v>
      </c>
    </row>
    <row r="216" spans="10:30" x14ac:dyDescent="0.25">
      <c r="J216" s="56"/>
      <c r="K216" s="56"/>
      <c r="L216" s="130"/>
      <c r="M216" s="130"/>
      <c r="N216" s="130"/>
      <c r="O216" s="59"/>
      <c r="P216" s="59"/>
      <c r="Q216" s="59"/>
      <c r="R216" s="59"/>
      <c r="S216" s="59"/>
      <c r="T216" s="59"/>
      <c r="U216" s="59"/>
      <c r="V216" s="59"/>
      <c r="W216" s="50"/>
      <c r="X216" s="84">
        <v>803</v>
      </c>
      <c r="Y216" s="104">
        <f t="shared" si="156"/>
        <v>7.8595846891403099E-4</v>
      </c>
      <c r="Z216" s="96">
        <f t="shared" si="158"/>
        <v>0.74908076196453255</v>
      </c>
      <c r="AA216" s="94">
        <f t="shared" si="159"/>
        <v>1101808.1202852437</v>
      </c>
      <c r="AB216" s="163">
        <f t="shared" si="161"/>
        <v>7.8595846891403099E-4</v>
      </c>
      <c r="AC216" s="96">
        <f t="shared" si="160"/>
        <v>0.74908076196453255</v>
      </c>
      <c r="AD216" s="94">
        <f t="shared" si="157"/>
        <v>1101808.1202852437</v>
      </c>
    </row>
    <row r="217" spans="10:30" x14ac:dyDescent="0.25">
      <c r="J217" s="56"/>
      <c r="K217" s="56"/>
      <c r="L217" s="130"/>
      <c r="M217" s="130"/>
      <c r="N217" s="130"/>
      <c r="O217" s="59"/>
      <c r="P217" s="59"/>
      <c r="Q217" s="59"/>
      <c r="R217" s="59"/>
      <c r="S217" s="59"/>
      <c r="T217" s="59"/>
      <c r="U217" s="59"/>
      <c r="V217" s="59"/>
      <c r="W217" s="50"/>
      <c r="X217" s="84">
        <v>802</v>
      </c>
      <c r="Y217" s="104">
        <f t="shared" si="156"/>
        <v>7.8994810581207173E-4</v>
      </c>
      <c r="Z217" s="96">
        <f t="shared" si="158"/>
        <v>0.74958836759154335</v>
      </c>
      <c r="AA217" s="94">
        <f t="shared" si="159"/>
        <v>1097354.7487956907</v>
      </c>
      <c r="AB217" s="163">
        <f t="shared" si="161"/>
        <v>7.8994810581207173E-4</v>
      </c>
      <c r="AC217" s="96">
        <f t="shared" si="160"/>
        <v>0.74958836759154335</v>
      </c>
      <c r="AD217" s="94">
        <f t="shared" si="157"/>
        <v>1097354.7487956907</v>
      </c>
    </row>
    <row r="218" spans="10:30" x14ac:dyDescent="0.25">
      <c r="J218" s="56"/>
      <c r="K218" s="56"/>
      <c r="L218" s="130"/>
      <c r="M218" s="130"/>
      <c r="N218" s="130"/>
      <c r="O218" s="59"/>
      <c r="P218" s="59"/>
      <c r="Q218" s="59"/>
      <c r="R218" s="59"/>
      <c r="S218" s="59"/>
      <c r="T218" s="59"/>
      <c r="U218" s="59"/>
      <c r="V218" s="59"/>
      <c r="W218" s="50"/>
      <c r="X218" s="84">
        <v>801</v>
      </c>
      <c r="Y218" s="104">
        <f t="shared" si="156"/>
        <v>7.9393774271011247E-4</v>
      </c>
      <c r="Z218" s="96">
        <f t="shared" si="158"/>
        <v>0.75009469299935561</v>
      </c>
      <c r="AA218" s="94">
        <f t="shared" si="159"/>
        <v>1092921.5931740114</v>
      </c>
      <c r="AB218" s="163">
        <f t="shared" si="161"/>
        <v>7.9393774271011247E-4</v>
      </c>
      <c r="AC218" s="96">
        <f t="shared" si="160"/>
        <v>0.75009469299935561</v>
      </c>
      <c r="AD218" s="94">
        <f t="shared" si="157"/>
        <v>1092921.5931740114</v>
      </c>
    </row>
    <row r="219" spans="10:30" x14ac:dyDescent="0.25">
      <c r="J219" s="56"/>
      <c r="K219" s="56"/>
      <c r="L219" s="130"/>
      <c r="M219" s="130"/>
      <c r="N219" s="130"/>
      <c r="O219" s="59"/>
      <c r="P219" s="59"/>
      <c r="Q219" s="59"/>
      <c r="R219" s="59"/>
      <c r="S219" s="59"/>
      <c r="T219" s="59"/>
      <c r="U219" s="59"/>
      <c r="V219" s="59"/>
      <c r="W219" s="50"/>
      <c r="X219" s="84">
        <v>800</v>
      </c>
      <c r="Y219" s="104">
        <f t="shared" si="156"/>
        <v>7.9792737960815321E-4</v>
      </c>
      <c r="Z219" s="96">
        <f t="shared" si="158"/>
        <v>0.75059974782583172</v>
      </c>
      <c r="AA219" s="94">
        <f t="shared" si="159"/>
        <v>1088508.5012294282</v>
      </c>
      <c r="AB219" s="163">
        <f t="shared" si="161"/>
        <v>7.9792737960815321E-4</v>
      </c>
      <c r="AC219" s="96">
        <f t="shared" si="160"/>
        <v>0.75059974782583172</v>
      </c>
      <c r="AD219" s="94">
        <f t="shared" si="157"/>
        <v>1088508.5012294282</v>
      </c>
    </row>
    <row r="220" spans="10:30" x14ac:dyDescent="0.25">
      <c r="J220" s="56"/>
      <c r="K220" s="56"/>
      <c r="L220" s="130"/>
      <c r="M220" s="130"/>
      <c r="N220" s="130"/>
      <c r="O220" s="59"/>
      <c r="P220" s="59"/>
      <c r="Q220" s="59"/>
      <c r="R220" s="59"/>
      <c r="S220" s="59"/>
      <c r="T220" s="59"/>
      <c r="U220" s="59"/>
      <c r="V220" s="59"/>
      <c r="W220" s="50"/>
      <c r="X220" s="84">
        <v>799</v>
      </c>
      <c r="Y220" s="104">
        <f t="shared" si="156"/>
        <v>8.0191701650619395E-4</v>
      </c>
      <c r="Z220" s="96">
        <f t="shared" si="158"/>
        <v>0.75110354158851245</v>
      </c>
      <c r="AA220" s="94">
        <f t="shared" si="159"/>
        <v>1084115.3226711736</v>
      </c>
      <c r="AB220" s="163">
        <f t="shared" si="161"/>
        <v>8.0191701650619395E-4</v>
      </c>
      <c r="AC220" s="96">
        <f t="shared" si="160"/>
        <v>0.75110354158851245</v>
      </c>
      <c r="AD220" s="94">
        <f t="shared" si="157"/>
        <v>1084115.3226711736</v>
      </c>
    </row>
    <row r="221" spans="10:30" x14ac:dyDescent="0.25">
      <c r="J221" s="56"/>
      <c r="K221" s="56"/>
      <c r="L221" s="130"/>
      <c r="M221" s="130"/>
      <c r="N221" s="130"/>
      <c r="O221" s="59"/>
      <c r="P221" s="59"/>
      <c r="Q221" s="59"/>
      <c r="R221" s="59"/>
      <c r="S221" s="59"/>
      <c r="T221" s="59"/>
      <c r="U221" s="59"/>
      <c r="V221" s="59"/>
      <c r="W221" s="50"/>
      <c r="X221" s="84">
        <v>798</v>
      </c>
      <c r="Y221" s="104">
        <f t="shared" si="156"/>
        <v>8.0590665340423469E-4</v>
      </c>
      <c r="Z221" s="96">
        <f t="shared" si="158"/>
        <v>0.75160608368669835</v>
      </c>
      <c r="AA221" s="94">
        <f t="shared" si="159"/>
        <v>1079741.9090755419</v>
      </c>
      <c r="AB221" s="163">
        <f t="shared" si="161"/>
        <v>8.0590665340423469E-4</v>
      </c>
      <c r="AC221" s="96">
        <f t="shared" si="160"/>
        <v>0.75160608368669835</v>
      </c>
      <c r="AD221" s="94">
        <f t="shared" si="157"/>
        <v>1079741.9090755419</v>
      </c>
    </row>
    <row r="222" spans="10:30" x14ac:dyDescent="0.25">
      <c r="J222" s="56"/>
      <c r="K222" s="56"/>
      <c r="L222" s="130"/>
      <c r="M222" s="130"/>
      <c r="N222" s="130"/>
      <c r="O222" s="59"/>
      <c r="P222" s="59"/>
      <c r="Q222" s="59"/>
      <c r="R222" s="59"/>
      <c r="S222" s="59"/>
      <c r="T222" s="59"/>
      <c r="U222" s="59"/>
      <c r="V222" s="59"/>
      <c r="W222" s="50"/>
      <c r="X222" s="84">
        <v>797</v>
      </c>
      <c r="Y222" s="104">
        <f t="shared" si="156"/>
        <v>8.0989629030227544E-4</v>
      </c>
      <c r="Z222" s="96">
        <f t="shared" si="158"/>
        <v>0.75210738340351335</v>
      </c>
      <c r="AA222" s="94">
        <f t="shared" si="159"/>
        <v>1075388.1138534229</v>
      </c>
      <c r="AB222" s="163">
        <f t="shared" si="161"/>
        <v>8.0989629030227544E-4</v>
      </c>
      <c r="AC222" s="96">
        <f t="shared" si="160"/>
        <v>0.75210738340351335</v>
      </c>
      <c r="AD222" s="94">
        <f t="shared" si="157"/>
        <v>1075388.1138534229</v>
      </c>
    </row>
    <row r="223" spans="10:30" x14ac:dyDescent="0.25">
      <c r="J223" s="56"/>
      <c r="K223" s="56"/>
      <c r="L223" s="130"/>
      <c r="M223" s="130"/>
      <c r="N223" s="130"/>
      <c r="O223" s="59"/>
      <c r="P223" s="59"/>
      <c r="Q223" s="59"/>
      <c r="R223" s="59"/>
      <c r="S223" s="59"/>
      <c r="T223" s="59"/>
      <c r="U223" s="59"/>
      <c r="V223" s="59"/>
      <c r="W223" s="50"/>
      <c r="X223" s="84">
        <v>796</v>
      </c>
      <c r="Y223" s="104">
        <f t="shared" si="156"/>
        <v>8.1388592720031618E-4</v>
      </c>
      <c r="Z223" s="96">
        <f t="shared" si="158"/>
        <v>0.75260744990789252</v>
      </c>
      <c r="AA223" s="94">
        <f t="shared" si="159"/>
        <v>1071053.792218829</v>
      </c>
      <c r="AB223" s="163">
        <f t="shared" si="161"/>
        <v>8.1388592720031618E-4</v>
      </c>
      <c r="AC223" s="96">
        <f t="shared" si="160"/>
        <v>0.75260744990789252</v>
      </c>
      <c r="AD223" s="94">
        <f t="shared" si="157"/>
        <v>1071053.792218829</v>
      </c>
    </row>
    <row r="224" spans="10:30" x14ac:dyDescent="0.25">
      <c r="J224" s="56"/>
      <c r="K224" s="56"/>
      <c r="L224" s="130"/>
      <c r="M224" s="130"/>
      <c r="N224" s="130"/>
      <c r="O224" s="59"/>
      <c r="P224" s="59"/>
      <c r="Q224" s="59"/>
      <c r="R224" s="59"/>
      <c r="S224" s="59"/>
      <c r="T224" s="59"/>
      <c r="U224" s="59"/>
      <c r="V224" s="59"/>
      <c r="W224" s="50"/>
      <c r="X224" s="84">
        <v>795</v>
      </c>
      <c r="Y224" s="104">
        <f t="shared" ref="Y224:Y287" si="162">Y223+Y$16</f>
        <v>8.1787556409835692E-4</v>
      </c>
      <c r="Z224" s="96">
        <f t="shared" si="158"/>
        <v>0.7531062922565448</v>
      </c>
      <c r="AA224" s="94">
        <f t="shared" si="159"/>
        <v>1066738.8011579369</v>
      </c>
      <c r="AB224" s="163">
        <f t="shared" si="161"/>
        <v>8.1787556409835692E-4</v>
      </c>
      <c r="AC224" s="96">
        <f t="shared" si="160"/>
        <v>0.7531062922565448</v>
      </c>
      <c r="AD224" s="94">
        <f t="shared" si="157"/>
        <v>1066738.8011579369</v>
      </c>
    </row>
    <row r="225" spans="10:30" x14ac:dyDescent="0.25">
      <c r="J225" s="56"/>
      <c r="K225" s="56"/>
      <c r="L225" s="130"/>
      <c r="M225" s="130"/>
      <c r="N225" s="130"/>
      <c r="O225" s="59"/>
      <c r="P225" s="59"/>
      <c r="Q225" s="59"/>
      <c r="R225" s="59"/>
      <c r="S225" s="59"/>
      <c r="T225" s="59"/>
      <c r="U225" s="59"/>
      <c r="V225" s="59"/>
      <c r="W225" s="50"/>
      <c r="X225" s="84">
        <v>794</v>
      </c>
      <c r="Y225" s="104">
        <f t="shared" si="162"/>
        <v>8.2186520099639766E-4</v>
      </c>
      <c r="Z225" s="96">
        <f t="shared" si="158"/>
        <v>0.7536039193958608</v>
      </c>
      <c r="AA225" s="94">
        <f t="shared" si="159"/>
        <v>1062442.9993989253</v>
      </c>
      <c r="AB225" s="163">
        <f t="shared" si="161"/>
        <v>8.2186520099639766E-4</v>
      </c>
      <c r="AC225" s="96">
        <f t="shared" si="160"/>
        <v>0.7536039193958608</v>
      </c>
      <c r="AD225" s="94">
        <f t="shared" si="157"/>
        <v>1062442.9993989253</v>
      </c>
    </row>
    <row r="226" spans="10:30" x14ac:dyDescent="0.25">
      <c r="J226" s="56"/>
      <c r="K226" s="56"/>
      <c r="L226" s="130"/>
      <c r="M226" s="130"/>
      <c r="N226" s="130"/>
      <c r="O226" s="59"/>
      <c r="P226" s="59"/>
      <c r="Q226" s="59"/>
      <c r="R226" s="59"/>
      <c r="S226" s="59"/>
      <c r="T226" s="59"/>
      <c r="U226" s="59"/>
      <c r="V226" s="59"/>
      <c r="W226" s="50"/>
      <c r="X226" s="84">
        <v>793</v>
      </c>
      <c r="Y226" s="104">
        <f t="shared" si="162"/>
        <v>8.258548378944384E-4</v>
      </c>
      <c r="Z226" s="96">
        <f t="shared" si="158"/>
        <v>0.75410034016379657</v>
      </c>
      <c r="AA226" s="94">
        <f t="shared" si="159"/>
        <v>1058166.2473823095</v>
      </c>
      <c r="AB226" s="163">
        <f t="shared" si="161"/>
        <v>8.258548378944384E-4</v>
      </c>
      <c r="AC226" s="96">
        <f t="shared" si="160"/>
        <v>0.75410034016379657</v>
      </c>
      <c r="AD226" s="94">
        <f t="shared" si="157"/>
        <v>1058166.2473823095</v>
      </c>
    </row>
    <row r="227" spans="10:30" x14ac:dyDescent="0.25">
      <c r="J227" s="56"/>
      <c r="K227" s="56"/>
      <c r="L227" s="130"/>
      <c r="M227" s="130"/>
      <c r="N227" s="130"/>
      <c r="O227" s="59"/>
      <c r="P227" s="59"/>
      <c r="Q227" s="59"/>
      <c r="R227" s="59"/>
      <c r="S227" s="59"/>
      <c r="T227" s="59"/>
      <c r="U227" s="59"/>
      <c r="V227" s="59"/>
      <c r="W227" s="50"/>
      <c r="X227" s="84">
        <v>792</v>
      </c>
      <c r="Y227" s="104">
        <f t="shared" si="162"/>
        <v>8.2984447479247914E-4</v>
      </c>
      <c r="Z227" s="96">
        <f t="shared" si="158"/>
        <v>0.75459556329168831</v>
      </c>
      <c r="AA227" s="94">
        <f t="shared" si="159"/>
        <v>1053908.4072321658</v>
      </c>
      <c r="AB227" s="163">
        <f t="shared" si="161"/>
        <v>8.2984447479247914E-4</v>
      </c>
      <c r="AC227" s="96">
        <f t="shared" si="160"/>
        <v>0.75459556329168831</v>
      </c>
      <c r="AD227" s="94">
        <f t="shared" si="157"/>
        <v>1053908.4072321658</v>
      </c>
    </row>
    <row r="228" spans="10:30" x14ac:dyDescent="0.25">
      <c r="J228" s="56"/>
      <c r="K228" s="56"/>
      <c r="L228" s="130"/>
      <c r="M228" s="130"/>
      <c r="N228" s="130"/>
      <c r="O228" s="59"/>
      <c r="P228" s="59"/>
      <c r="Q228" s="59"/>
      <c r="R228" s="59"/>
      <c r="S228" s="59"/>
      <c r="T228" s="59"/>
      <c r="U228" s="59"/>
      <c r="V228" s="59"/>
      <c r="W228" s="50"/>
      <c r="X228" s="84">
        <v>791</v>
      </c>
      <c r="Y228" s="104">
        <f t="shared" si="162"/>
        <v>8.3383411169051988E-4</v>
      </c>
      <c r="Z228" s="96">
        <f t="shared" si="158"/>
        <v>0.75508959740605908</v>
      </c>
      <c r="AA228" s="94">
        <f t="shared" si="159"/>
        <v>1049669.3427277096</v>
      </c>
      <c r="AB228" s="163">
        <f t="shared" si="161"/>
        <v>8.3383411169051988E-4</v>
      </c>
      <c r="AC228" s="96">
        <f t="shared" si="160"/>
        <v>0.75508959740605908</v>
      </c>
      <c r="AD228" s="94">
        <f t="shared" si="157"/>
        <v>1049669.3427277096</v>
      </c>
    </row>
    <row r="229" spans="10:30" x14ac:dyDescent="0.25">
      <c r="J229" s="56"/>
      <c r="K229" s="56"/>
      <c r="L229" s="130"/>
      <c r="M229" s="130"/>
      <c r="N229" s="130"/>
      <c r="O229" s="59"/>
      <c r="P229" s="59"/>
      <c r="Q229" s="59"/>
      <c r="R229" s="59"/>
      <c r="S229" s="59"/>
      <c r="T229" s="59"/>
      <c r="U229" s="59"/>
      <c r="V229" s="59"/>
      <c r="W229" s="50"/>
      <c r="X229" s="84">
        <v>790</v>
      </c>
      <c r="Y229" s="104">
        <f t="shared" si="162"/>
        <v>8.3782374858856062E-4</v>
      </c>
      <c r="Z229" s="96">
        <f t="shared" si="158"/>
        <v>0.75558245103036248</v>
      </c>
      <c r="AA229" s="94">
        <f t="shared" si="159"/>
        <v>1045448.9192756896</v>
      </c>
      <c r="AB229" s="163">
        <f t="shared" si="161"/>
        <v>8.3782374858856062E-4</v>
      </c>
      <c r="AC229" s="96">
        <f t="shared" si="160"/>
        <v>0.75558245103036248</v>
      </c>
      <c r="AD229" s="94">
        <f t="shared" si="157"/>
        <v>1045448.9192756896</v>
      </c>
    </row>
    <row r="230" spans="10:30" x14ac:dyDescent="0.25">
      <c r="J230" s="56"/>
      <c r="K230" s="56"/>
      <c r="L230" s="130"/>
      <c r="M230" s="130"/>
      <c r="N230" s="130"/>
      <c r="O230" s="59"/>
      <c r="P230" s="59"/>
      <c r="Q230" s="59"/>
      <c r="R230" s="59"/>
      <c r="S230" s="59"/>
      <c r="T230" s="59"/>
      <c r="U230" s="59"/>
      <c r="V230" s="59"/>
      <c r="W230" s="50"/>
      <c r="X230" s="84">
        <v>789</v>
      </c>
      <c r="Y230" s="104">
        <f t="shared" si="162"/>
        <v>8.4181338548660137E-4</v>
      </c>
      <c r="Z230" s="96">
        <f t="shared" si="158"/>
        <v>0.75607413258670875</v>
      </c>
      <c r="AA230" s="94">
        <f t="shared" si="159"/>
        <v>1041247.0038832139</v>
      </c>
      <c r="AB230" s="163">
        <f t="shared" si="161"/>
        <v>8.4181338548660137E-4</v>
      </c>
      <c r="AC230" s="96">
        <f t="shared" si="160"/>
        <v>0.75607413258670875</v>
      </c>
      <c r="AD230" s="94">
        <f t="shared" si="157"/>
        <v>1041247.0038832139</v>
      </c>
    </row>
    <row r="231" spans="10:30" x14ac:dyDescent="0.25">
      <c r="J231" s="56"/>
      <c r="K231" s="56"/>
      <c r="L231" s="130"/>
      <c r="M231" s="130"/>
      <c r="N231" s="130"/>
      <c r="O231" s="59"/>
      <c r="P231" s="59"/>
      <c r="Q231" s="59"/>
      <c r="R231" s="59"/>
      <c r="S231" s="59"/>
      <c r="T231" s="59"/>
      <c r="U231" s="59"/>
      <c r="V231" s="59"/>
      <c r="W231" s="50"/>
      <c r="X231" s="84">
        <v>788</v>
      </c>
      <c r="Y231" s="104">
        <f t="shared" si="162"/>
        <v>8.4580302238464211E-4</v>
      </c>
      <c r="Z231" s="96">
        <f t="shared" si="158"/>
        <v>0.75656465039752518</v>
      </c>
      <c r="AA231" s="94">
        <f t="shared" si="159"/>
        <v>1037063.4651313856</v>
      </c>
      <c r="AB231" s="163">
        <f t="shared" si="161"/>
        <v>8.4580302238464211E-4</v>
      </c>
      <c r="AC231" s="96">
        <f t="shared" si="160"/>
        <v>0.75656465039752518</v>
      </c>
      <c r="AD231" s="94">
        <f t="shared" si="157"/>
        <v>1037063.4651313856</v>
      </c>
    </row>
    <row r="232" spans="10:30" x14ac:dyDescent="0.25">
      <c r="J232" s="56"/>
      <c r="K232" s="56"/>
      <c r="L232" s="130"/>
      <c r="M232" s="130"/>
      <c r="N232" s="130"/>
      <c r="O232" s="59"/>
      <c r="P232" s="59"/>
      <c r="Q232" s="59"/>
      <c r="R232" s="59"/>
      <c r="S232" s="59"/>
      <c r="T232" s="59"/>
      <c r="U232" s="59"/>
      <c r="V232" s="59"/>
      <c r="W232" s="50"/>
      <c r="X232" s="84">
        <v>787</v>
      </c>
      <c r="Y232" s="104">
        <f t="shared" si="162"/>
        <v>8.4979265928268285E-4</v>
      </c>
      <c r="Z232" s="96">
        <f t="shared" si="158"/>
        <v>0.75705401268722605</v>
      </c>
      <c r="AA232" s="94">
        <f t="shared" si="159"/>
        <v>1032898.1731491234</v>
      </c>
      <c r="AB232" s="163">
        <f t="shared" si="161"/>
        <v>8.4979265928268285E-4</v>
      </c>
      <c r="AC232" s="96">
        <f t="shared" si="160"/>
        <v>0.75705401268722605</v>
      </c>
      <c r="AD232" s="94">
        <f t="shared" si="157"/>
        <v>1032898.1731491234</v>
      </c>
    </row>
    <row r="233" spans="10:30" x14ac:dyDescent="0.25">
      <c r="J233" s="56"/>
      <c r="K233" s="56"/>
      <c r="L233" s="130"/>
      <c r="M233" s="130"/>
      <c r="N233" s="130"/>
      <c r="O233" s="59"/>
      <c r="P233" s="59"/>
      <c r="Q233" s="59"/>
      <c r="R233" s="59"/>
      <c r="S233" s="59"/>
      <c r="T233" s="59"/>
      <c r="U233" s="59"/>
      <c r="V233" s="59"/>
      <c r="W233" s="50"/>
      <c r="X233" s="84">
        <v>786</v>
      </c>
      <c r="Y233" s="104">
        <f t="shared" si="162"/>
        <v>8.5378229618072359E-4</v>
      </c>
      <c r="Z233" s="96">
        <f t="shared" si="158"/>
        <v>0.75754222758379386</v>
      </c>
      <c r="AA233" s="94">
        <f t="shared" si="159"/>
        <v>1028750.9995880048</v>
      </c>
      <c r="AB233" s="163">
        <f t="shared" si="161"/>
        <v>8.5378229618072359E-4</v>
      </c>
      <c r="AC233" s="96">
        <f t="shared" si="160"/>
        <v>0.75754222758379386</v>
      </c>
      <c r="AD233" s="94">
        <f t="shared" si="157"/>
        <v>1028750.9995880048</v>
      </c>
    </row>
    <row r="234" spans="10:30" x14ac:dyDescent="0.25">
      <c r="J234" s="56"/>
      <c r="K234" s="56"/>
      <c r="L234" s="130"/>
      <c r="M234" s="130"/>
      <c r="N234" s="130"/>
      <c r="O234" s="59"/>
      <c r="P234" s="59"/>
      <c r="Q234" s="59"/>
      <c r="R234" s="59"/>
      <c r="S234" s="59"/>
      <c r="T234" s="59"/>
      <c r="U234" s="59"/>
      <c r="V234" s="59"/>
      <c r="W234" s="50"/>
      <c r="X234" s="84">
        <v>785</v>
      </c>
      <c r="Y234" s="104">
        <f t="shared" si="162"/>
        <v>8.5777193307876433E-4</v>
      </c>
      <c r="Z234" s="96">
        <f t="shared" si="158"/>
        <v>0.75802930312038053</v>
      </c>
      <c r="AA234" s="94">
        <f t="shared" si="159"/>
        <v>1024621.8175971516</v>
      </c>
      <c r="AB234" s="163">
        <f t="shared" si="161"/>
        <v>8.5777193307876433E-4</v>
      </c>
      <c r="AC234" s="96">
        <f t="shared" si="160"/>
        <v>0.75802930312038053</v>
      </c>
      <c r="AD234" s="94">
        <f t="shared" si="157"/>
        <v>1024621.8175971516</v>
      </c>
    </row>
    <row r="235" spans="10:30" x14ac:dyDescent="0.25">
      <c r="J235" s="56"/>
      <c r="K235" s="56"/>
      <c r="L235" s="130"/>
      <c r="M235" s="130"/>
      <c r="N235" s="130"/>
      <c r="O235" s="59"/>
      <c r="P235" s="59"/>
      <c r="Q235" s="59"/>
      <c r="R235" s="59"/>
      <c r="S235" s="59"/>
      <c r="T235" s="59"/>
      <c r="U235" s="59"/>
      <c r="V235" s="59"/>
      <c r="W235" s="50"/>
      <c r="X235" s="84">
        <v>784</v>
      </c>
      <c r="Y235" s="104">
        <f t="shared" si="162"/>
        <v>8.6176156997680507E-4</v>
      </c>
      <c r="Z235" s="96">
        <f t="shared" si="158"/>
        <v>0.75851524723682495</v>
      </c>
      <c r="AA235" s="94">
        <f t="shared" si="159"/>
        <v>1020510.5017991061</v>
      </c>
      <c r="AB235" s="163">
        <f t="shared" si="161"/>
        <v>8.6176156997680507E-4</v>
      </c>
      <c r="AC235" s="96">
        <f t="shared" si="160"/>
        <v>0.75851524723682495</v>
      </c>
      <c r="AD235" s="94">
        <f t="shared" si="157"/>
        <v>1020510.5017991061</v>
      </c>
    </row>
    <row r="236" spans="10:30" x14ac:dyDescent="0.25">
      <c r="J236" s="56"/>
      <c r="K236" s="56"/>
      <c r="L236" s="130"/>
      <c r="M236" s="130"/>
      <c r="N236" s="130"/>
      <c r="O236" s="59"/>
      <c r="P236" s="59"/>
      <c r="Q236" s="59"/>
      <c r="R236" s="59"/>
      <c r="S236" s="59"/>
      <c r="T236" s="59"/>
      <c r="U236" s="59"/>
      <c r="V236" s="59"/>
      <c r="W236" s="50"/>
      <c r="X236" s="84">
        <v>783</v>
      </c>
      <c r="Y236" s="104">
        <f t="shared" si="162"/>
        <v>8.6575120687484581E-4</v>
      </c>
      <c r="Z236" s="96">
        <f t="shared" si="158"/>
        <v>0.75900006778118712</v>
      </c>
      <c r="AA236" s="94">
        <f t="shared" si="159"/>
        <v>1016416.9282657678</v>
      </c>
      <c r="AB236" s="163">
        <f t="shared" si="161"/>
        <v>8.6575120687484581E-4</v>
      </c>
      <c r="AC236" s="96">
        <f t="shared" si="160"/>
        <v>0.75900006778118712</v>
      </c>
      <c r="AD236" s="94">
        <f t="shared" si="157"/>
        <v>1016416.9282657678</v>
      </c>
    </row>
    <row r="237" spans="10:30" x14ac:dyDescent="0.25">
      <c r="J237" s="56"/>
      <c r="K237" s="56"/>
      <c r="L237" s="130"/>
      <c r="M237" s="130"/>
      <c r="N237" s="130"/>
      <c r="O237" s="59"/>
      <c r="P237" s="59"/>
      <c r="Q237" s="59"/>
      <c r="R237" s="59"/>
      <c r="S237" s="59"/>
      <c r="T237" s="59"/>
      <c r="U237" s="59"/>
      <c r="V237" s="59"/>
      <c r="W237" s="50"/>
      <c r="X237" s="84">
        <v>782</v>
      </c>
      <c r="Y237" s="104">
        <f t="shared" si="162"/>
        <v>8.6974084377288655E-4</v>
      </c>
      <c r="Z237" s="96">
        <f t="shared" si="158"/>
        <v>0.75948377251120103</v>
      </c>
      <c r="AA237" s="94">
        <f t="shared" si="159"/>
        <v>1012340.9744952652</v>
      </c>
      <c r="AB237" s="163">
        <f t="shared" si="161"/>
        <v>8.6974084377288655E-4</v>
      </c>
      <c r="AC237" s="96">
        <f t="shared" si="160"/>
        <v>0.75948377251120103</v>
      </c>
      <c r="AD237" s="94">
        <f t="shared" si="157"/>
        <v>1012340.9744952652</v>
      </c>
    </row>
    <row r="238" spans="10:30" x14ac:dyDescent="0.25">
      <c r="J238" s="56"/>
      <c r="K238" s="56"/>
      <c r="L238" s="130"/>
      <c r="M238" s="130"/>
      <c r="N238" s="130"/>
      <c r="O238" s="59"/>
      <c r="P238" s="59"/>
      <c r="Q238" s="59"/>
      <c r="R238" s="59"/>
      <c r="S238" s="59"/>
      <c r="T238" s="59"/>
      <c r="U238" s="59"/>
      <c r="V238" s="59"/>
      <c r="W238" s="50"/>
      <c r="X238" s="84">
        <v>781</v>
      </c>
      <c r="Y238" s="104">
        <f t="shared" si="162"/>
        <v>8.7373048067092729E-4</v>
      </c>
      <c r="Z238" s="96">
        <f t="shared" si="158"/>
        <v>0.75996636909574888</v>
      </c>
      <c r="AA238" s="94">
        <f t="shared" si="159"/>
        <v>1008282.5193888706</v>
      </c>
      <c r="AB238" s="163">
        <f t="shared" si="161"/>
        <v>8.7373048067092729E-4</v>
      </c>
      <c r="AC238" s="96">
        <f t="shared" si="160"/>
        <v>0.75996636909574888</v>
      </c>
      <c r="AD238" s="94">
        <f t="shared" si="157"/>
        <v>1008282.5193888706</v>
      </c>
    </row>
    <row r="239" spans="10:30" x14ac:dyDescent="0.25">
      <c r="J239" s="56"/>
      <c r="K239" s="56"/>
      <c r="L239" s="130"/>
      <c r="M239" s="130"/>
      <c r="N239" s="130"/>
      <c r="O239" s="59"/>
      <c r="P239" s="59"/>
      <c r="Q239" s="59"/>
      <c r="R239" s="59"/>
      <c r="S239" s="59"/>
      <c r="T239" s="59"/>
      <c r="U239" s="59"/>
      <c r="V239" s="59"/>
      <c r="W239" s="50"/>
      <c r="X239" s="84">
        <v>780</v>
      </c>
      <c r="Y239" s="104">
        <f t="shared" si="162"/>
        <v>8.7772011756896804E-4</v>
      </c>
      <c r="Z239" s="96">
        <f t="shared" si="158"/>
        <v>0.76044786511626228</v>
      </c>
      <c r="AA239" s="94">
        <f t="shared" si="159"/>
        <v>1004241.4432287383</v>
      </c>
      <c r="AB239" s="163">
        <f t="shared" si="161"/>
        <v>8.7772011756896804E-4</v>
      </c>
      <c r="AC239" s="96">
        <f t="shared" si="160"/>
        <v>0.76044786511626228</v>
      </c>
      <c r="AD239" s="94">
        <f t="shared" si="157"/>
        <v>1004241.4432287383</v>
      </c>
    </row>
    <row r="240" spans="10:30" x14ac:dyDescent="0.25">
      <c r="J240" s="56"/>
      <c r="K240" s="56"/>
      <c r="L240" s="130"/>
      <c r="M240" s="130"/>
      <c r="N240" s="130"/>
      <c r="O240" s="59"/>
      <c r="P240" s="59"/>
      <c r="Q240" s="59"/>
      <c r="R240" s="59"/>
      <c r="S240" s="59"/>
      <c r="T240" s="59"/>
      <c r="U240" s="59"/>
      <c r="V240" s="59"/>
      <c r="W240" s="50"/>
      <c r="X240" s="84">
        <v>779</v>
      </c>
      <c r="Y240" s="104">
        <f t="shared" si="162"/>
        <v>8.8170975446700878E-4</v>
      </c>
      <c r="Z240" s="96">
        <f t="shared" si="158"/>
        <v>0.76092826806811864</v>
      </c>
      <c r="AA240" s="94">
        <f t="shared" si="159"/>
        <v>1000217.6276559132</v>
      </c>
      <c r="AB240" s="163">
        <f t="shared" si="161"/>
        <v>8.8170975446700878E-4</v>
      </c>
      <c r="AC240" s="96">
        <f t="shared" si="160"/>
        <v>0.76092826806811864</v>
      </c>
      <c r="AD240" s="94">
        <f t="shared" si="157"/>
        <v>1000217.6276559132</v>
      </c>
    </row>
    <row r="241" spans="10:30" x14ac:dyDescent="0.25">
      <c r="J241" s="56"/>
      <c r="K241" s="56"/>
      <c r="L241" s="130"/>
      <c r="M241" s="130"/>
      <c r="N241" s="130"/>
      <c r="O241" s="59"/>
      <c r="P241" s="59"/>
      <c r="Q241" s="59"/>
      <c r="R241" s="59"/>
      <c r="S241" s="59"/>
      <c r="T241" s="59"/>
      <c r="U241" s="59"/>
      <c r="V241" s="59"/>
      <c r="W241" s="50"/>
      <c r="X241" s="84">
        <v>778</v>
      </c>
      <c r="Y241" s="104">
        <f t="shared" si="162"/>
        <v>8.8569939136504952E-4</v>
      </c>
      <c r="Z241" s="96">
        <f t="shared" si="158"/>
        <v>0.76140758536199726</v>
      </c>
      <c r="AA241" s="94">
        <f t="shared" si="159"/>
        <v>996210.95564887149</v>
      </c>
      <c r="AB241" s="163">
        <f t="shared" si="161"/>
        <v>8.8569939136504952E-4</v>
      </c>
      <c r="AC241" s="96">
        <f t="shared" si="160"/>
        <v>0.76140758536199726</v>
      </c>
      <c r="AD241" s="94">
        <f t="shared" si="157"/>
        <v>996210.95564887149</v>
      </c>
    </row>
    <row r="242" spans="10:30" x14ac:dyDescent="0.25">
      <c r="J242" s="56"/>
      <c r="K242" s="56"/>
      <c r="L242" s="130"/>
      <c r="M242" s="130"/>
      <c r="N242" s="130"/>
      <c r="O242" s="59"/>
      <c r="P242" s="59"/>
      <c r="Q242" s="59"/>
      <c r="R242" s="59"/>
      <c r="S242" s="59"/>
      <c r="T242" s="59"/>
      <c r="U242" s="59"/>
      <c r="V242" s="59"/>
      <c r="W242" s="50"/>
      <c r="X242" s="84">
        <v>777</v>
      </c>
      <c r="Y242" s="104">
        <f t="shared" si="162"/>
        <v>8.8968902826309026E-4</v>
      </c>
      <c r="Z242" s="96">
        <f t="shared" si="158"/>
        <v>0.76188582432522411</v>
      </c>
      <c r="AA242" s="94">
        <f t="shared" si="159"/>
        <v>992221.31150236644</v>
      </c>
      <c r="AB242" s="163">
        <f t="shared" si="161"/>
        <v>8.8968902826309026E-4</v>
      </c>
      <c r="AC242" s="96">
        <f t="shared" si="160"/>
        <v>0.76188582432522411</v>
      </c>
      <c r="AD242" s="94">
        <f t="shared" si="157"/>
        <v>992221.31150236644</v>
      </c>
    </row>
    <row r="243" spans="10:30" x14ac:dyDescent="0.25">
      <c r="J243" s="56"/>
      <c r="K243" s="56"/>
      <c r="L243" s="130"/>
      <c r="M243" s="130"/>
      <c r="N243" s="130"/>
      <c r="O243" s="59"/>
      <c r="P243" s="59"/>
      <c r="Q243" s="59"/>
      <c r="R243" s="59"/>
      <c r="S243" s="59"/>
      <c r="T243" s="59"/>
      <c r="U243" s="59"/>
      <c r="V243" s="59"/>
      <c r="W243" s="50"/>
      <c r="X243" s="84">
        <v>776</v>
      </c>
      <c r="Y243" s="104">
        <f t="shared" si="162"/>
        <v>8.93678665161131E-4</v>
      </c>
      <c r="Z243" s="96">
        <f t="shared" si="158"/>
        <v>0.76236299220306469</v>
      </c>
      <c r="AA243" s="94">
        <f t="shared" si="159"/>
        <v>988248.5808069132</v>
      </c>
      <c r="AB243" s="163">
        <f t="shared" si="161"/>
        <v>8.93678665161131E-4</v>
      </c>
      <c r="AC243" s="96">
        <f t="shared" si="160"/>
        <v>0.76236299220306469</v>
      </c>
      <c r="AD243" s="94">
        <f t="shared" si="157"/>
        <v>988248.5808069132</v>
      </c>
    </row>
    <row r="244" spans="10:30" x14ac:dyDescent="0.25">
      <c r="J244" s="56"/>
      <c r="K244" s="56"/>
      <c r="L244" s="130"/>
      <c r="M244" s="130"/>
      <c r="N244" s="130"/>
      <c r="O244" s="59"/>
      <c r="P244" s="59"/>
      <c r="Q244" s="59"/>
      <c r="R244" s="59"/>
      <c r="S244" s="59"/>
      <c r="T244" s="59"/>
      <c r="U244" s="59"/>
      <c r="V244" s="59"/>
      <c r="W244" s="50"/>
      <c r="X244" s="84">
        <v>775</v>
      </c>
      <c r="Y244" s="104">
        <f t="shared" si="162"/>
        <v>8.9766830205917174E-4</v>
      </c>
      <c r="Z244" s="96">
        <f t="shared" si="158"/>
        <v>0.7628390961600171</v>
      </c>
      <c r="AA244" s="94">
        <f t="shared" si="159"/>
        <v>984292.65042845905</v>
      </c>
      <c r="AB244" s="163">
        <f t="shared" si="161"/>
        <v>8.9766830205917174E-4</v>
      </c>
      <c r="AC244" s="96">
        <f t="shared" si="160"/>
        <v>0.7628390961600171</v>
      </c>
      <c r="AD244" s="94">
        <f t="shared" si="157"/>
        <v>984292.65042845905</v>
      </c>
    </row>
    <row r="245" spans="10:30" x14ac:dyDescent="0.25">
      <c r="J245" s="56"/>
      <c r="K245" s="56"/>
      <c r="L245" s="130"/>
      <c r="M245" s="130"/>
      <c r="N245" s="130"/>
      <c r="O245" s="59"/>
      <c r="P245" s="59"/>
      <c r="Q245" s="59"/>
      <c r="R245" s="59"/>
      <c r="S245" s="59"/>
      <c r="T245" s="59"/>
      <c r="U245" s="59"/>
      <c r="V245" s="59"/>
      <c r="W245" s="50"/>
      <c r="X245" s="84">
        <v>774</v>
      </c>
      <c r="Y245" s="104">
        <f t="shared" si="162"/>
        <v>9.0165793895721248E-4</v>
      </c>
      <c r="Z245" s="96">
        <f t="shared" si="158"/>
        <v>0.76331414328105784</v>
      </c>
      <c r="AA245" s="94">
        <f t="shared" si="159"/>
        <v>980353.40848864277</v>
      </c>
      <c r="AB245" s="163">
        <f t="shared" si="161"/>
        <v>9.0165793895721248E-4</v>
      </c>
      <c r="AC245" s="96">
        <f t="shared" si="160"/>
        <v>0.76331414328105784</v>
      </c>
      <c r="AD245" s="94">
        <f t="shared" si="157"/>
        <v>980353.40848864277</v>
      </c>
    </row>
    <row r="246" spans="10:30" x14ac:dyDescent="0.25">
      <c r="J246" s="56"/>
      <c r="K246" s="56"/>
      <c r="L246" s="130"/>
      <c r="M246" s="130"/>
      <c r="N246" s="130"/>
      <c r="O246" s="59"/>
      <c r="P246" s="59"/>
      <c r="Q246" s="59"/>
      <c r="R246" s="59"/>
      <c r="S246" s="59"/>
      <c r="T246" s="59"/>
      <c r="U246" s="59"/>
      <c r="V246" s="59"/>
      <c r="W246" s="50"/>
      <c r="X246" s="84">
        <v>773</v>
      </c>
      <c r="Y246" s="104">
        <f t="shared" si="162"/>
        <v>9.0564757585525322E-4</v>
      </c>
      <c r="Z246" s="96">
        <f t="shared" si="158"/>
        <v>0.76378814057287348</v>
      </c>
      <c r="AA246" s="94">
        <f t="shared" si="159"/>
        <v>976430.74434536067</v>
      </c>
      <c r="AB246" s="163">
        <f t="shared" si="161"/>
        <v>9.0564757585525322E-4</v>
      </c>
      <c r="AC246" s="96">
        <f t="shared" si="160"/>
        <v>0.76378814057287348</v>
      </c>
      <c r="AD246" s="94">
        <f t="shared" si="157"/>
        <v>976430.74434536067</v>
      </c>
    </row>
    <row r="247" spans="10:30" x14ac:dyDescent="0.25">
      <c r="J247" s="56"/>
      <c r="K247" s="56"/>
      <c r="L247" s="130"/>
      <c r="M247" s="130"/>
      <c r="N247" s="130"/>
      <c r="O247" s="59"/>
      <c r="P247" s="59"/>
      <c r="Q247" s="59"/>
      <c r="R247" s="59"/>
      <c r="S247" s="59"/>
      <c r="T247" s="59"/>
      <c r="U247" s="59"/>
      <c r="V247" s="59"/>
      <c r="W247" s="50"/>
      <c r="X247" s="84">
        <v>772</v>
      </c>
      <c r="Y247" s="104">
        <f t="shared" si="162"/>
        <v>9.0963721275329396E-4</v>
      </c>
      <c r="Z247" s="96">
        <f t="shared" si="158"/>
        <v>0.76426109496507799</v>
      </c>
      <c r="AA247" s="94">
        <f t="shared" si="159"/>
        <v>972524.54857361887</v>
      </c>
      <c r="AB247" s="163">
        <f t="shared" si="161"/>
        <v>9.0963721275329396E-4</v>
      </c>
      <c r="AC247" s="96">
        <f t="shared" si="160"/>
        <v>0.76426109496507799</v>
      </c>
      <c r="AD247" s="94">
        <f t="shared" si="157"/>
        <v>972524.54857361887</v>
      </c>
    </row>
    <row r="248" spans="10:30" x14ac:dyDescent="0.25">
      <c r="J248" s="56"/>
      <c r="K248" s="56"/>
      <c r="L248" s="130"/>
      <c r="M248" s="130"/>
      <c r="N248" s="130"/>
      <c r="O248" s="59"/>
      <c r="P248" s="59"/>
      <c r="Q248" s="59"/>
      <c r="R248" s="59"/>
      <c r="S248" s="59"/>
      <c r="T248" s="59"/>
      <c r="U248" s="59"/>
      <c r="V248" s="59"/>
      <c r="W248" s="50"/>
      <c r="X248" s="84">
        <v>771</v>
      </c>
      <c r="Y248" s="104">
        <f t="shared" si="162"/>
        <v>9.1362684965133471E-4</v>
      </c>
      <c r="Z248" s="96">
        <f t="shared" si="158"/>
        <v>0.76473301331137178</v>
      </c>
      <c r="AA248" s="94">
        <f t="shared" si="159"/>
        <v>968634.71294707619</v>
      </c>
      <c r="AB248" s="163">
        <f t="shared" si="161"/>
        <v>9.1362684965133471E-4</v>
      </c>
      <c r="AC248" s="96">
        <f t="shared" si="160"/>
        <v>0.76473301331137178</v>
      </c>
      <c r="AD248" s="94">
        <f t="shared" si="157"/>
        <v>968634.71294707619</v>
      </c>
    </row>
    <row r="249" spans="10:30" x14ac:dyDescent="0.25">
      <c r="J249" s="56"/>
      <c r="K249" s="56"/>
      <c r="L249" s="130"/>
      <c r="M249" s="130"/>
      <c r="N249" s="130"/>
      <c r="O249" s="59"/>
      <c r="P249" s="59"/>
      <c r="Q249" s="59"/>
      <c r="R249" s="59"/>
      <c r="S249" s="59"/>
      <c r="T249" s="59"/>
      <c r="U249" s="59"/>
      <c r="V249" s="59"/>
      <c r="W249" s="50"/>
      <c r="X249" s="84">
        <v>770</v>
      </c>
      <c r="Y249" s="104">
        <f t="shared" si="162"/>
        <v>9.1761648654937545E-4</v>
      </c>
      <c r="Z249" s="96">
        <f t="shared" si="158"/>
        <v>0.76520390239072933</v>
      </c>
      <c r="AA249" s="94">
        <f t="shared" si="159"/>
        <v>964761.13041948748</v>
      </c>
      <c r="AB249" s="163">
        <f t="shared" si="161"/>
        <v>9.1761648654937545E-4</v>
      </c>
      <c r="AC249" s="96">
        <f t="shared" si="160"/>
        <v>0.76520390239072933</v>
      </c>
      <c r="AD249" s="94">
        <f t="shared" si="157"/>
        <v>964761.13041948748</v>
      </c>
    </row>
    <row r="250" spans="10:30" x14ac:dyDescent="0.25">
      <c r="J250" s="56"/>
      <c r="K250" s="56"/>
      <c r="L250" s="130"/>
      <c r="M250" s="130"/>
      <c r="N250" s="130"/>
      <c r="O250" s="59"/>
      <c r="P250" s="59"/>
      <c r="Q250" s="59"/>
      <c r="R250" s="59"/>
      <c r="S250" s="59"/>
      <c r="T250" s="59"/>
      <c r="U250" s="59"/>
      <c r="V250" s="59"/>
      <c r="W250" s="50"/>
      <c r="X250" s="84">
        <v>769</v>
      </c>
      <c r="Y250" s="104">
        <f t="shared" si="162"/>
        <v>9.2160612344741619E-4</v>
      </c>
      <c r="Z250" s="96">
        <f t="shared" si="158"/>
        <v>0.76567376890850669</v>
      </c>
      <c r="AA250" s="94">
        <f t="shared" si="159"/>
        <v>960903.69510701927</v>
      </c>
      <c r="AB250" s="163">
        <f t="shared" si="161"/>
        <v>9.2160612344741619E-4</v>
      </c>
      <c r="AC250" s="96">
        <f t="shared" si="160"/>
        <v>0.76567376890850669</v>
      </c>
      <c r="AD250" s="94">
        <f t="shared" si="157"/>
        <v>960903.69510701927</v>
      </c>
    </row>
    <row r="251" spans="10:30" x14ac:dyDescent="0.25">
      <c r="J251" s="56"/>
      <c r="K251" s="56"/>
      <c r="L251" s="130"/>
      <c r="M251" s="130"/>
      <c r="N251" s="130"/>
      <c r="O251" s="59"/>
      <c r="P251" s="59"/>
      <c r="Q251" s="59"/>
      <c r="R251" s="59"/>
      <c r="S251" s="59"/>
      <c r="T251" s="59"/>
      <c r="U251" s="59"/>
      <c r="V251" s="59"/>
      <c r="W251" s="50"/>
      <c r="X251" s="84">
        <v>768</v>
      </c>
      <c r="Y251" s="104">
        <f t="shared" si="162"/>
        <v>9.2559576034545693E-4</v>
      </c>
      <c r="Z251" s="96">
        <f t="shared" si="158"/>
        <v>0.76614261949757922</v>
      </c>
      <c r="AA251" s="94">
        <f t="shared" si="159"/>
        <v>957062.30227044551</v>
      </c>
      <c r="AB251" s="163">
        <f t="shared" si="161"/>
        <v>9.2559576034545693E-4</v>
      </c>
      <c r="AC251" s="96">
        <f t="shared" si="160"/>
        <v>0.76614261949757922</v>
      </c>
      <c r="AD251" s="94">
        <f t="shared" si="157"/>
        <v>957062.30227044551</v>
      </c>
    </row>
    <row r="252" spans="10:30" x14ac:dyDescent="0.25">
      <c r="J252" s="56"/>
      <c r="K252" s="56"/>
      <c r="L252" s="130"/>
      <c r="M252" s="130"/>
      <c r="N252" s="130"/>
      <c r="O252" s="59"/>
      <c r="P252" s="59"/>
      <c r="Q252" s="59"/>
      <c r="R252" s="59"/>
      <c r="S252" s="59"/>
      <c r="T252" s="59"/>
      <c r="U252" s="59"/>
      <c r="V252" s="59"/>
      <c r="W252" s="50"/>
      <c r="X252" s="84">
        <v>767</v>
      </c>
      <c r="Y252" s="104">
        <f t="shared" si="162"/>
        <v>9.2958539724349767E-4</v>
      </c>
      <c r="Z252" s="96">
        <f t="shared" si="158"/>
        <v>0.76661046071941374</v>
      </c>
      <c r="AA252" s="94">
        <f t="shared" si="159"/>
        <v>953236.84829807479</v>
      </c>
      <c r="AB252" s="163">
        <f t="shared" si="161"/>
        <v>9.2958539724349767E-4</v>
      </c>
      <c r="AC252" s="96">
        <f t="shared" si="160"/>
        <v>0.76661046071941374</v>
      </c>
      <c r="AD252" s="94">
        <f t="shared" si="157"/>
        <v>953236.84829807479</v>
      </c>
    </row>
    <row r="253" spans="10:30" x14ac:dyDescent="0.25">
      <c r="J253" s="56"/>
      <c r="K253" s="56"/>
      <c r="L253" s="130"/>
      <c r="M253" s="130"/>
      <c r="N253" s="130"/>
      <c r="O253" s="59"/>
      <c r="P253" s="59"/>
      <c r="Q253" s="59"/>
      <c r="R253" s="59"/>
      <c r="S253" s="59"/>
      <c r="T253" s="59"/>
      <c r="U253" s="59"/>
      <c r="V253" s="59"/>
      <c r="W253" s="50"/>
      <c r="X253" s="84">
        <v>766</v>
      </c>
      <c r="Y253" s="104">
        <f t="shared" si="162"/>
        <v>9.3357503414153841E-4</v>
      </c>
      <c r="Z253" s="96">
        <f t="shared" si="158"/>
        <v>0.7670772990651602</v>
      </c>
      <c r="AA253" s="94">
        <f t="shared" si="159"/>
        <v>949427.23068866553</v>
      </c>
      <c r="AB253" s="163">
        <f t="shared" si="161"/>
        <v>9.3357503414153841E-4</v>
      </c>
      <c r="AC253" s="96">
        <f t="shared" si="160"/>
        <v>0.7670772990651602</v>
      </c>
      <c r="AD253" s="94">
        <f t="shared" si="157"/>
        <v>949427.23068866553</v>
      </c>
    </row>
    <row r="254" spans="10:30" x14ac:dyDescent="0.25">
      <c r="J254" s="56"/>
      <c r="K254" s="56"/>
      <c r="L254" s="130"/>
      <c r="M254" s="130"/>
      <c r="N254" s="130"/>
      <c r="O254" s="59"/>
      <c r="P254" s="59"/>
      <c r="Q254" s="59"/>
      <c r="R254" s="59"/>
      <c r="S254" s="59"/>
      <c r="T254" s="59"/>
      <c r="U254" s="59"/>
      <c r="V254" s="59"/>
      <c r="W254" s="50"/>
      <c r="X254" s="84">
        <v>765</v>
      </c>
      <c r="Y254" s="104">
        <f t="shared" si="162"/>
        <v>9.3756467103957915E-4</v>
      </c>
      <c r="Z254" s="96">
        <f t="shared" si="158"/>
        <v>0.76754314095668286</v>
      </c>
      <c r="AA254" s="94">
        <f t="shared" si="159"/>
        <v>945633.34803498012</v>
      </c>
      <c r="AB254" s="163">
        <f t="shared" si="161"/>
        <v>9.3756467103957915E-4</v>
      </c>
      <c r="AC254" s="96">
        <f t="shared" si="160"/>
        <v>0.76754314095668286</v>
      </c>
      <c r="AD254" s="94">
        <f t="shared" si="157"/>
        <v>945633.34803498012</v>
      </c>
    </row>
    <row r="255" spans="10:30" x14ac:dyDescent="0.25">
      <c r="J255" s="56"/>
      <c r="K255" s="56"/>
      <c r="L255" s="130"/>
      <c r="M255" s="130"/>
      <c r="N255" s="130"/>
      <c r="O255" s="59"/>
      <c r="P255" s="59"/>
      <c r="Q255" s="59"/>
      <c r="R255" s="59"/>
      <c r="S255" s="59"/>
      <c r="T255" s="59"/>
      <c r="U255" s="59"/>
      <c r="V255" s="59"/>
      <c r="W255" s="50"/>
      <c r="X255" s="84">
        <v>764</v>
      </c>
      <c r="Y255" s="104">
        <f t="shared" si="162"/>
        <v>9.4155430793761989E-4</v>
      </c>
      <c r="Z255" s="96">
        <f t="shared" si="158"/>
        <v>0.76800799274760967</v>
      </c>
      <c r="AA255" s="94">
        <f t="shared" si="159"/>
        <v>941855.10000738013</v>
      </c>
      <c r="AB255" s="163">
        <f t="shared" si="161"/>
        <v>9.4155430793761989E-4</v>
      </c>
      <c r="AC255" s="96">
        <f t="shared" si="160"/>
        <v>0.76800799274760967</v>
      </c>
      <c r="AD255" s="94">
        <f t="shared" si="157"/>
        <v>941855.10000738013</v>
      </c>
    </row>
    <row r="256" spans="10:30" x14ac:dyDescent="0.25">
      <c r="J256" s="56"/>
      <c r="K256" s="56"/>
      <c r="L256" s="130"/>
      <c r="M256" s="130"/>
      <c r="N256" s="130"/>
      <c r="O256" s="59"/>
      <c r="P256" s="59"/>
      <c r="Q256" s="59"/>
      <c r="R256" s="59"/>
      <c r="S256" s="59"/>
      <c r="T256" s="59"/>
      <c r="U256" s="59"/>
      <c r="V256" s="59"/>
      <c r="W256" s="50"/>
      <c r="X256" s="84">
        <v>763</v>
      </c>
      <c r="Y256" s="104">
        <f t="shared" si="162"/>
        <v>9.4554394483566063E-4</v>
      </c>
      <c r="Z256" s="96">
        <f t="shared" si="158"/>
        <v>0.7684718607243245</v>
      </c>
      <c r="AA256" s="94">
        <f t="shared" si="159"/>
        <v>938092.38733799139</v>
      </c>
      <c r="AB256" s="163">
        <f t="shared" si="161"/>
        <v>9.4554394483566063E-4</v>
      </c>
      <c r="AC256" s="96">
        <f t="shared" si="160"/>
        <v>0.7684718607243245</v>
      </c>
      <c r="AD256" s="94">
        <f t="shared" si="157"/>
        <v>938092.38733799139</v>
      </c>
    </row>
    <row r="257" spans="10:30" x14ac:dyDescent="0.25">
      <c r="J257" s="56"/>
      <c r="K257" s="56"/>
      <c r="L257" s="130"/>
      <c r="M257" s="130"/>
      <c r="N257" s="130"/>
      <c r="O257" s="59"/>
      <c r="P257" s="59"/>
      <c r="Q257" s="59"/>
      <c r="R257" s="59"/>
      <c r="S257" s="59"/>
      <c r="T257" s="59"/>
      <c r="U257" s="59"/>
      <c r="V257" s="59"/>
      <c r="W257" s="50"/>
      <c r="X257" s="84">
        <v>762</v>
      </c>
      <c r="Y257" s="104">
        <f t="shared" si="162"/>
        <v>9.4953358173370138E-4</v>
      </c>
      <c r="Z257" s="96">
        <f t="shared" si="158"/>
        <v>0.76893475110697695</v>
      </c>
      <c r="AA257" s="94">
        <f t="shared" si="159"/>
        <v>934345.1118049064</v>
      </c>
      <c r="AB257" s="163">
        <f t="shared" si="161"/>
        <v>9.4953358173370138E-4</v>
      </c>
      <c r="AC257" s="96">
        <f t="shared" si="160"/>
        <v>0.76893475110697695</v>
      </c>
      <c r="AD257" s="94">
        <f t="shared" si="157"/>
        <v>934345.1118049064</v>
      </c>
    </row>
    <row r="258" spans="10:30" x14ac:dyDescent="0.25">
      <c r="J258" s="56"/>
      <c r="K258" s="56"/>
      <c r="L258" s="130"/>
      <c r="M258" s="130"/>
      <c r="N258" s="130"/>
      <c r="O258" s="59"/>
      <c r="P258" s="59"/>
      <c r="Q258" s="59"/>
      <c r="R258" s="59"/>
      <c r="S258" s="59"/>
      <c r="T258" s="59"/>
      <c r="U258" s="59"/>
      <c r="V258" s="59"/>
      <c r="W258" s="50"/>
      <c r="X258" s="84">
        <v>761</v>
      </c>
      <c r="Y258" s="104">
        <f t="shared" si="162"/>
        <v>9.5352321863174212E-4</v>
      </c>
      <c r="Z258" s="96">
        <f t="shared" si="158"/>
        <v>0.76939667005043666</v>
      </c>
      <c r="AA258" s="94">
        <f t="shared" si="159"/>
        <v>930613.1762169752</v>
      </c>
      <c r="AB258" s="163">
        <f t="shared" si="161"/>
        <v>9.5352321863174212E-4</v>
      </c>
      <c r="AC258" s="96">
        <f t="shared" si="160"/>
        <v>0.76939667005043666</v>
      </c>
      <c r="AD258" s="94">
        <f t="shared" si="157"/>
        <v>930613.1762169752</v>
      </c>
    </row>
    <row r="259" spans="10:30" x14ac:dyDescent="0.25">
      <c r="J259" s="56"/>
      <c r="K259" s="56"/>
      <c r="L259" s="130"/>
      <c r="M259" s="130"/>
      <c r="N259" s="130"/>
      <c r="O259" s="59"/>
      <c r="P259" s="59"/>
      <c r="Q259" s="59"/>
      <c r="R259" s="59"/>
      <c r="S259" s="59"/>
      <c r="T259" s="59"/>
      <c r="U259" s="59"/>
      <c r="V259" s="59"/>
      <c r="W259" s="50"/>
      <c r="X259" s="84">
        <v>760</v>
      </c>
      <c r="Y259" s="104">
        <f t="shared" si="162"/>
        <v>9.5751285552978286E-4</v>
      </c>
      <c r="Z259" s="96">
        <f t="shared" si="158"/>
        <v>0.76985762364527277</v>
      </c>
      <c r="AA259" s="94">
        <f t="shared" si="159"/>
        <v>926896.4843985152</v>
      </c>
      <c r="AB259" s="163">
        <f t="shared" si="161"/>
        <v>9.5751285552978286E-4</v>
      </c>
      <c r="AC259" s="96">
        <f t="shared" si="160"/>
        <v>0.76985762364527277</v>
      </c>
      <c r="AD259" s="94">
        <f t="shared" si="157"/>
        <v>926896.4843985152</v>
      </c>
    </row>
    <row r="260" spans="10:30" x14ac:dyDescent="0.25">
      <c r="J260" s="56"/>
      <c r="K260" s="56"/>
      <c r="L260" s="130"/>
      <c r="M260" s="130"/>
      <c r="N260" s="130"/>
      <c r="O260" s="59"/>
      <c r="P260" s="59"/>
      <c r="Q260" s="59"/>
      <c r="R260" s="59"/>
      <c r="S260" s="59"/>
      <c r="T260" s="59"/>
      <c r="U260" s="59"/>
      <c r="V260" s="59"/>
      <c r="W260" s="50"/>
      <c r="X260" s="84">
        <v>759</v>
      </c>
      <c r="Y260" s="104">
        <f t="shared" si="162"/>
        <v>9.615024924278236E-4</v>
      </c>
      <c r="Z260" s="96">
        <f t="shared" si="158"/>
        <v>0.77031761791866393</v>
      </c>
      <c r="AA260" s="94">
        <f t="shared" si="159"/>
        <v>923194.94117474498</v>
      </c>
      <c r="AB260" s="163">
        <f t="shared" si="161"/>
        <v>9.615024924278236E-4</v>
      </c>
      <c r="AC260" s="96">
        <f t="shared" si="160"/>
        <v>0.77031761791866393</v>
      </c>
      <c r="AD260" s="94">
        <f t="shared" si="157"/>
        <v>923194.94117474498</v>
      </c>
    </row>
    <row r="261" spans="10:30" x14ac:dyDescent="0.25">
      <c r="J261" s="56"/>
      <c r="K261" s="56"/>
      <c r="L261" s="130"/>
      <c r="M261" s="130"/>
      <c r="N261" s="130"/>
      <c r="O261" s="59"/>
      <c r="P261" s="59"/>
      <c r="Q261" s="59"/>
      <c r="R261" s="59"/>
      <c r="S261" s="59"/>
      <c r="T261" s="59"/>
      <c r="U261" s="59"/>
      <c r="V261" s="59"/>
      <c r="W261" s="50"/>
      <c r="X261" s="84">
        <v>758</v>
      </c>
      <c r="Y261" s="104">
        <f t="shared" si="162"/>
        <v>9.6549212932586434E-4</v>
      </c>
      <c r="Z261" s="96">
        <f t="shared" si="158"/>
        <v>0.77077665883533641</v>
      </c>
      <c r="AA261" s="94">
        <f t="shared" si="159"/>
        <v>919508.45235710579</v>
      </c>
      <c r="AB261" s="163">
        <f t="shared" si="161"/>
        <v>9.6549212932586434E-4</v>
      </c>
      <c r="AC261" s="96">
        <f t="shared" si="160"/>
        <v>0.77077665883533641</v>
      </c>
      <c r="AD261" s="94">
        <f t="shared" si="157"/>
        <v>919508.45235710579</v>
      </c>
    </row>
    <row r="262" spans="10:30" x14ac:dyDescent="0.25">
      <c r="J262" s="56"/>
      <c r="K262" s="56"/>
      <c r="L262" s="130"/>
      <c r="M262" s="130"/>
      <c r="N262" s="130"/>
      <c r="O262" s="59"/>
      <c r="P262" s="59"/>
      <c r="Q262" s="59"/>
      <c r="R262" s="59"/>
      <c r="S262" s="59"/>
      <c r="T262" s="59"/>
      <c r="U262" s="59"/>
      <c r="V262" s="59"/>
      <c r="W262" s="50"/>
      <c r="X262" s="84">
        <v>757</v>
      </c>
      <c r="Y262" s="104">
        <f t="shared" si="162"/>
        <v>9.6948176622390508E-4</v>
      </c>
      <c r="Z262" s="96">
        <f t="shared" si="158"/>
        <v>0.77123475229845739</v>
      </c>
      <c r="AA262" s="94">
        <f t="shared" si="159"/>
        <v>915836.92472909251</v>
      </c>
      <c r="AB262" s="163">
        <f t="shared" si="161"/>
        <v>9.6948176622390508E-4</v>
      </c>
      <c r="AC262" s="96">
        <f t="shared" si="160"/>
        <v>0.77123475229845739</v>
      </c>
      <c r="AD262" s="94">
        <f t="shared" si="157"/>
        <v>915836.92472909251</v>
      </c>
    </row>
    <row r="263" spans="10:30" x14ac:dyDescent="0.25">
      <c r="J263" s="56"/>
      <c r="K263" s="56"/>
      <c r="L263" s="130"/>
      <c r="M263" s="130"/>
      <c r="N263" s="130"/>
      <c r="O263" s="59"/>
      <c r="P263" s="59"/>
      <c r="Q263" s="59"/>
      <c r="R263" s="59"/>
      <c r="S263" s="59"/>
      <c r="T263" s="59"/>
      <c r="U263" s="59"/>
      <c r="V263" s="59"/>
      <c r="W263" s="50"/>
      <c r="X263" s="84">
        <v>756</v>
      </c>
      <c r="Y263" s="104">
        <f t="shared" si="162"/>
        <v>9.7347140312194582E-4</v>
      </c>
      <c r="Z263" s="96">
        <f t="shared" si="158"/>
        <v>0.77169190415052735</v>
      </c>
      <c r="AA263" s="94">
        <f t="shared" si="159"/>
        <v>912180.26603220974</v>
      </c>
      <c r="AB263" s="163">
        <f t="shared" si="161"/>
        <v>9.7347140312194582E-4</v>
      </c>
      <c r="AC263" s="96">
        <f t="shared" si="160"/>
        <v>0.77169190415052735</v>
      </c>
      <c r="AD263" s="94">
        <f t="shared" si="157"/>
        <v>912180.26603220974</v>
      </c>
    </row>
    <row r="264" spans="10:30" x14ac:dyDescent="0.25">
      <c r="J264" s="56"/>
      <c r="K264" s="56"/>
      <c r="L264" s="130"/>
      <c r="M264" s="130"/>
      <c r="N264" s="130"/>
      <c r="O264" s="59"/>
      <c r="P264" s="59"/>
      <c r="Q264" s="59"/>
      <c r="R264" s="59"/>
      <c r="S264" s="59"/>
      <c r="T264" s="59"/>
      <c r="U264" s="59"/>
      <c r="V264" s="59"/>
      <c r="W264" s="50"/>
      <c r="X264" s="84">
        <v>755</v>
      </c>
      <c r="Y264" s="104">
        <f t="shared" si="162"/>
        <v>9.7746104001998667E-4</v>
      </c>
      <c r="Z264" s="96">
        <f t="shared" si="158"/>
        <v>0.77214812017424461</v>
      </c>
      <c r="AA264" s="94">
        <f t="shared" si="159"/>
        <v>908538.38495228253</v>
      </c>
      <c r="AB264" s="163">
        <f t="shared" si="161"/>
        <v>9.7746104001998667E-4</v>
      </c>
      <c r="AC264" s="96">
        <f t="shared" si="160"/>
        <v>0.77214812017424461</v>
      </c>
      <c r="AD264" s="94">
        <f t="shared" si="157"/>
        <v>908538.38495228253</v>
      </c>
    </row>
    <row r="265" spans="10:30" x14ac:dyDescent="0.25">
      <c r="J265" s="56"/>
      <c r="K265" s="56"/>
      <c r="L265" s="130"/>
      <c r="M265" s="130"/>
      <c r="N265" s="130"/>
      <c r="O265" s="59"/>
      <c r="P265" s="59"/>
      <c r="Q265" s="59"/>
      <c r="R265" s="59"/>
      <c r="S265" s="59"/>
      <c r="T265" s="59"/>
      <c r="U265" s="59"/>
      <c r="V265" s="59"/>
      <c r="W265" s="50"/>
      <c r="X265" s="84">
        <v>754</v>
      </c>
      <c r="Y265" s="104">
        <f t="shared" si="162"/>
        <v>9.8145067691802752E-4</v>
      </c>
      <c r="Z265" s="96">
        <f t="shared" si="158"/>
        <v>0.77260340609336176</v>
      </c>
      <c r="AA265" s="94">
        <f t="shared" si="159"/>
        <v>904911.19110595947</v>
      </c>
      <c r="AB265" s="163">
        <f t="shared" si="161"/>
        <v>9.8145067691802752E-4</v>
      </c>
      <c r="AC265" s="96">
        <f t="shared" si="160"/>
        <v>0.77260340609336176</v>
      </c>
      <c r="AD265" s="94">
        <f t="shared" si="157"/>
        <v>904911.19110595947</v>
      </c>
    </row>
    <row r="266" spans="10:30" x14ac:dyDescent="0.25">
      <c r="J266" s="56"/>
      <c r="K266" s="56"/>
      <c r="L266" s="130"/>
      <c r="M266" s="130"/>
      <c r="N266" s="130"/>
      <c r="O266" s="59"/>
      <c r="P266" s="59"/>
      <c r="Q266" s="59"/>
      <c r="R266" s="59"/>
      <c r="S266" s="59"/>
      <c r="T266" s="59"/>
      <c r="U266" s="59"/>
      <c r="V266" s="59"/>
      <c r="W266" s="50"/>
      <c r="X266" s="84">
        <v>753</v>
      </c>
      <c r="Y266" s="104">
        <f t="shared" si="162"/>
        <v>9.8544031381606837E-4</v>
      </c>
      <c r="Z266" s="96">
        <f t="shared" si="158"/>
        <v>0.7730577675735153</v>
      </c>
      <c r="AA266" s="94">
        <f t="shared" si="159"/>
        <v>901298.59502754116</v>
      </c>
      <c r="AB266" s="163">
        <f t="shared" si="161"/>
        <v>9.8544031381606837E-4</v>
      </c>
      <c r="AC266" s="96">
        <f t="shared" si="160"/>
        <v>0.7730577675735153</v>
      </c>
      <c r="AD266" s="94">
        <f t="shared" si="157"/>
        <v>901298.59502754116</v>
      </c>
    </row>
    <row r="267" spans="10:30" x14ac:dyDescent="0.25">
      <c r="J267" s="56"/>
      <c r="K267" s="56"/>
      <c r="L267" s="130"/>
      <c r="M267" s="130"/>
      <c r="N267" s="130"/>
      <c r="O267" s="59"/>
      <c r="P267" s="59"/>
      <c r="Q267" s="59"/>
      <c r="R267" s="59"/>
      <c r="S267" s="59"/>
      <c r="T267" s="59"/>
      <c r="U267" s="59"/>
      <c r="V267" s="59"/>
      <c r="W267" s="50"/>
      <c r="X267" s="84">
        <v>752</v>
      </c>
      <c r="Y267" s="104">
        <f t="shared" si="162"/>
        <v>9.8942995071410922E-4</v>
      </c>
      <c r="Z267" s="96">
        <f t="shared" si="158"/>
        <v>0.77351121022306313</v>
      </c>
      <c r="AA267" s="94">
        <f t="shared" si="159"/>
        <v>897700.50815587584</v>
      </c>
      <c r="AB267" s="163">
        <f t="shared" si="161"/>
        <v>9.8942995071410922E-4</v>
      </c>
      <c r="AC267" s="96">
        <f t="shared" si="160"/>
        <v>0.77351121022306313</v>
      </c>
      <c r="AD267" s="94">
        <f t="shared" si="157"/>
        <v>897700.50815587584</v>
      </c>
    </row>
    <row r="268" spans="10:30" x14ac:dyDescent="0.25">
      <c r="J268" s="56"/>
      <c r="K268" s="56"/>
      <c r="L268" s="130"/>
      <c r="M268" s="130"/>
      <c r="N268" s="130"/>
      <c r="O268" s="59"/>
      <c r="P268" s="59"/>
      <c r="Q268" s="59"/>
      <c r="R268" s="59"/>
      <c r="S268" s="59"/>
      <c r="T268" s="59"/>
      <c r="U268" s="59"/>
      <c r="V268" s="59"/>
      <c r="W268" s="50"/>
      <c r="X268" s="84">
        <v>751</v>
      </c>
      <c r="Y268" s="104">
        <f t="shared" si="162"/>
        <v>9.9341958761215007E-4</v>
      </c>
      <c r="Z268" s="96">
        <f t="shared" si="158"/>
        <v>0.77396373959387488</v>
      </c>
      <c r="AA268" s="94">
        <f t="shared" si="159"/>
        <v>894116.842821748</v>
      </c>
      <c r="AB268" s="163">
        <f t="shared" si="161"/>
        <v>9.9341958761215007E-4</v>
      </c>
      <c r="AC268" s="96">
        <f t="shared" si="160"/>
        <v>0.77396373959387488</v>
      </c>
      <c r="AD268" s="94">
        <f t="shared" si="157"/>
        <v>894116.842821748</v>
      </c>
    </row>
    <row r="269" spans="10:30" x14ac:dyDescent="0.25">
      <c r="J269" s="56"/>
      <c r="K269" s="56"/>
      <c r="L269" s="130"/>
      <c r="M269" s="130"/>
      <c r="N269" s="130"/>
      <c r="O269" s="59"/>
      <c r="P269" s="59"/>
      <c r="Q269" s="59"/>
      <c r="R269" s="59"/>
      <c r="S269" s="59"/>
      <c r="T269" s="59"/>
      <c r="U269" s="59"/>
      <c r="V269" s="59"/>
      <c r="W269" s="50"/>
      <c r="X269" s="84">
        <v>750</v>
      </c>
      <c r="Y269" s="104">
        <f t="shared" si="162"/>
        <v>9.9740922451019092E-4</v>
      </c>
      <c r="Z269" s="96">
        <f t="shared" si="158"/>
        <v>0.7744153611821466</v>
      </c>
      <c r="AA269" s="94">
        <f t="shared" si="159"/>
        <v>890547.51223517372</v>
      </c>
      <c r="AB269" s="163">
        <f t="shared" si="161"/>
        <v>9.9740922451019092E-4</v>
      </c>
      <c r="AC269" s="96">
        <f t="shared" si="160"/>
        <v>0.7744153611821466</v>
      </c>
      <c r="AD269" s="94">
        <f t="shared" si="157"/>
        <v>890547.51223517372</v>
      </c>
    </row>
    <row r="270" spans="10:30" x14ac:dyDescent="0.25">
      <c r="J270" s="56"/>
      <c r="K270" s="56"/>
      <c r="L270" s="130"/>
      <c r="M270" s="130"/>
      <c r="N270" s="130"/>
      <c r="O270" s="59"/>
      <c r="P270" s="59"/>
      <c r="Q270" s="59"/>
      <c r="R270" s="59"/>
      <c r="S270" s="59"/>
      <c r="T270" s="59"/>
      <c r="U270" s="59"/>
      <c r="V270" s="59"/>
      <c r="W270" s="50"/>
      <c r="X270" s="84">
        <v>749</v>
      </c>
      <c r="Y270" s="104">
        <f t="shared" si="162"/>
        <v>1.0013988614082318E-3</v>
      </c>
      <c r="Z270" s="96">
        <f t="shared" si="158"/>
        <v>0.7748660804291575</v>
      </c>
      <c r="AA270" s="94">
        <f t="shared" si="159"/>
        <v>886992.43047328538</v>
      </c>
      <c r="AB270" s="163">
        <f t="shared" si="161"/>
        <v>1.0013988614082318E-3</v>
      </c>
      <c r="AC270" s="96">
        <f t="shared" si="160"/>
        <v>0.7748660804291575</v>
      </c>
      <c r="AD270" s="94">
        <f t="shared" si="157"/>
        <v>886992.43047328538</v>
      </c>
    </row>
    <row r="271" spans="10:30" x14ac:dyDescent="0.25">
      <c r="J271" s="56"/>
      <c r="K271" s="56"/>
      <c r="L271" s="130"/>
      <c r="M271" s="130"/>
      <c r="N271" s="130"/>
      <c r="O271" s="59"/>
      <c r="P271" s="59"/>
      <c r="Q271" s="59"/>
      <c r="R271" s="59"/>
      <c r="S271" s="59"/>
      <c r="T271" s="59"/>
      <c r="U271" s="59"/>
      <c r="V271" s="59"/>
      <c r="W271" s="50"/>
      <c r="X271" s="84">
        <v>748</v>
      </c>
      <c r="Y271" s="104">
        <f t="shared" si="162"/>
        <v>1.0053884983062726E-3</v>
      </c>
      <c r="Z271" s="96">
        <f t="shared" si="158"/>
        <v>0.77531590272204098</v>
      </c>
      <c r="AA271" s="94">
        <f t="shared" si="159"/>
        <v>883451.51246819901</v>
      </c>
      <c r="AB271" s="163">
        <f t="shared" si="161"/>
        <v>1.0053884983062726E-3</v>
      </c>
      <c r="AC271" s="96">
        <f t="shared" si="160"/>
        <v>0.77531590272204098</v>
      </c>
      <c r="AD271" s="94">
        <f t="shared" si="157"/>
        <v>883451.51246819901</v>
      </c>
    </row>
    <row r="272" spans="10:30" x14ac:dyDescent="0.25">
      <c r="J272" s="56"/>
      <c r="K272" s="56"/>
      <c r="L272" s="130"/>
      <c r="M272" s="130"/>
      <c r="N272" s="130"/>
      <c r="O272" s="59"/>
      <c r="P272" s="59"/>
      <c r="Q272" s="59"/>
      <c r="R272" s="59"/>
      <c r="S272" s="59"/>
      <c r="T272" s="59"/>
      <c r="U272" s="59"/>
      <c r="V272" s="59"/>
      <c r="W272" s="50"/>
      <c r="X272" s="84">
        <v>747</v>
      </c>
      <c r="Y272" s="104">
        <f t="shared" si="162"/>
        <v>1.0093781352043135E-3</v>
      </c>
      <c r="Z272" s="96">
        <f t="shared" si="158"/>
        <v>0.77576483339455016</v>
      </c>
      <c r="AA272" s="94">
        <f t="shared" si="159"/>
        <v>879924.67399504164</v>
      </c>
      <c r="AB272" s="163">
        <f t="shared" si="161"/>
        <v>1.0093781352043135E-3</v>
      </c>
      <c r="AC272" s="96">
        <f t="shared" si="160"/>
        <v>0.77576483339455016</v>
      </c>
      <c r="AD272" s="94">
        <f t="shared" si="157"/>
        <v>879924.67399504164</v>
      </c>
    </row>
    <row r="273" spans="10:30" x14ac:dyDescent="0.25">
      <c r="J273" s="56"/>
      <c r="K273" s="56"/>
      <c r="L273" s="130"/>
      <c r="M273" s="130"/>
      <c r="N273" s="130"/>
      <c r="O273" s="59"/>
      <c r="P273" s="59"/>
      <c r="Q273" s="59"/>
      <c r="R273" s="59"/>
      <c r="S273" s="59"/>
      <c r="T273" s="59"/>
      <c r="U273" s="59"/>
      <c r="V273" s="59"/>
      <c r="W273" s="50"/>
      <c r="X273" s="84">
        <v>746</v>
      </c>
      <c r="Y273" s="104">
        <f t="shared" si="162"/>
        <v>1.0133677721023543E-3</v>
      </c>
      <c r="Z273" s="96">
        <f t="shared" si="158"/>
        <v>0.77621287772777459</v>
      </c>
      <c r="AA273" s="94">
        <f t="shared" si="159"/>
        <v>876411.83166046988</v>
      </c>
      <c r="AB273" s="163">
        <f t="shared" si="161"/>
        <v>1.0133677721023543E-3</v>
      </c>
      <c r="AC273" s="96">
        <f t="shared" si="160"/>
        <v>0.77621287772777459</v>
      </c>
      <c r="AD273" s="94">
        <f t="shared" si="157"/>
        <v>876411.83166046988</v>
      </c>
    </row>
    <row r="274" spans="10:30" x14ac:dyDescent="0.25">
      <c r="J274" s="56"/>
      <c r="K274" s="56"/>
      <c r="L274" s="130"/>
      <c r="M274" s="130"/>
      <c r="N274" s="130"/>
      <c r="O274" s="59"/>
      <c r="P274" s="59"/>
      <c r="Q274" s="59"/>
      <c r="R274" s="59"/>
      <c r="S274" s="59"/>
      <c r="T274" s="59"/>
      <c r="U274" s="59"/>
      <c r="V274" s="59"/>
      <c r="W274" s="50"/>
      <c r="X274" s="84">
        <v>745</v>
      </c>
      <c r="Y274" s="104">
        <f t="shared" si="162"/>
        <v>1.0173574090003952E-3</v>
      </c>
      <c r="Z274" s="96">
        <f t="shared" si="158"/>
        <v>0.77666004095088481</v>
      </c>
      <c r="AA274" s="94">
        <f t="shared" si="159"/>
        <v>872912.90289105754</v>
      </c>
      <c r="AB274" s="163">
        <f t="shared" si="161"/>
        <v>1.0173574090003952E-3</v>
      </c>
      <c r="AC274" s="96">
        <f t="shared" si="160"/>
        <v>0.77666004095088481</v>
      </c>
      <c r="AD274" s="94">
        <f t="shared" si="157"/>
        <v>872912.90289105754</v>
      </c>
    </row>
    <row r="275" spans="10:30" x14ac:dyDescent="0.25">
      <c r="J275" s="56"/>
      <c r="K275" s="56"/>
      <c r="L275" s="130"/>
      <c r="M275" s="130"/>
      <c r="N275" s="130"/>
      <c r="O275" s="59"/>
      <c r="P275" s="59"/>
      <c r="Q275" s="59"/>
      <c r="R275" s="59"/>
      <c r="S275" s="59"/>
      <c r="T275" s="59"/>
      <c r="U275" s="59"/>
      <c r="V275" s="59"/>
      <c r="W275" s="50"/>
      <c r="X275" s="84">
        <v>744</v>
      </c>
      <c r="Y275" s="104">
        <f t="shared" si="162"/>
        <v>1.021347045898436E-3</v>
      </c>
      <c r="Z275" s="96">
        <f t="shared" si="158"/>
        <v>0.77710632824182635</v>
      </c>
      <c r="AA275" s="94">
        <f t="shared" si="159"/>
        <v>869427.80592220766</v>
      </c>
      <c r="AB275" s="163">
        <f t="shared" si="161"/>
        <v>1.021347045898436E-3</v>
      </c>
      <c r="AC275" s="96">
        <f t="shared" si="160"/>
        <v>0.77710632824182635</v>
      </c>
      <c r="AD275" s="94">
        <f t="shared" ref="AD275:AD338" si="163">IF(AC275&lt;1,X$14*((1-ropt)-Y$14*(1-ropt^2)+Z$14*(1-ropt^3)),0)</f>
        <v>869427.80592220766</v>
      </c>
    </row>
    <row r="276" spans="10:30" x14ac:dyDescent="0.25">
      <c r="J276" s="56"/>
      <c r="K276" s="56"/>
      <c r="L276" s="130"/>
      <c r="M276" s="130"/>
      <c r="N276" s="130"/>
      <c r="O276" s="59"/>
      <c r="P276" s="59"/>
      <c r="Q276" s="59"/>
      <c r="R276" s="59"/>
      <c r="S276" s="59"/>
      <c r="T276" s="59"/>
      <c r="U276" s="59"/>
      <c r="V276" s="59"/>
      <c r="W276" s="50"/>
      <c r="X276" s="84">
        <v>743</v>
      </c>
      <c r="Y276" s="104">
        <f t="shared" si="162"/>
        <v>1.0253366827964769E-3</v>
      </c>
      <c r="Z276" s="96">
        <f t="shared" ref="Z276:Z339" si="164">(K-(L0-Y276*Ldif-alph*Y276^0.5))/R0</f>
        <v>0.77755174472803512</v>
      </c>
      <c r="AA276" s="94">
        <f t="shared" ref="AA276:AA339" si="165">IF(Z276&lt;1,X$14*((1-r.1)-Y$14*(1-r.1^2)+Z$14*(1-r.1^3)),0)</f>
        <v>865956.45978697285</v>
      </c>
      <c r="AB276" s="163">
        <f t="shared" si="161"/>
        <v>1.0253366827964769E-3</v>
      </c>
      <c r="AC276" s="96">
        <f t="shared" ref="AC276:AC339" si="166">(Kopt-(L0-AB276*Ldif-alph*AB276^0.5))/R0</f>
        <v>0.77755174472803512</v>
      </c>
      <c r="AD276" s="94">
        <f t="shared" si="163"/>
        <v>865956.45978697285</v>
      </c>
    </row>
    <row r="277" spans="10:30" x14ac:dyDescent="0.25">
      <c r="J277" s="56"/>
      <c r="K277" s="56"/>
      <c r="L277" s="130"/>
      <c r="M277" s="130"/>
      <c r="N277" s="130"/>
      <c r="O277" s="59"/>
      <c r="P277" s="59"/>
      <c r="Q277" s="59"/>
      <c r="R277" s="59"/>
      <c r="S277" s="59"/>
      <c r="T277" s="59"/>
      <c r="U277" s="59"/>
      <c r="V277" s="59"/>
      <c r="W277" s="50"/>
      <c r="X277" s="84">
        <v>742</v>
      </c>
      <c r="Y277" s="104">
        <f t="shared" si="162"/>
        <v>1.0293263196945177E-3</v>
      </c>
      <c r="Z277" s="96">
        <f t="shared" si="164"/>
        <v>0.77799629548711102</v>
      </c>
      <c r="AA277" s="94">
        <f t="shared" si="165"/>
        <v>862498.78430530743</v>
      </c>
      <c r="AB277" s="163">
        <f t="shared" ref="AB277:AB340" si="167">AB276+AB$15</f>
        <v>1.0293263196945177E-3</v>
      </c>
      <c r="AC277" s="96">
        <f t="shared" si="166"/>
        <v>0.77799629548711102</v>
      </c>
      <c r="AD277" s="94">
        <f t="shared" si="163"/>
        <v>862498.78430530743</v>
      </c>
    </row>
    <row r="278" spans="10:30" x14ac:dyDescent="0.25">
      <c r="J278" s="56"/>
      <c r="K278" s="56"/>
      <c r="L278" s="130"/>
      <c r="M278" s="130"/>
      <c r="N278" s="130"/>
      <c r="O278" s="59"/>
      <c r="P278" s="59"/>
      <c r="Q278" s="59"/>
      <c r="R278" s="59"/>
      <c r="S278" s="59"/>
      <c r="T278" s="59"/>
      <c r="U278" s="59"/>
      <c r="V278" s="59"/>
      <c r="W278" s="50"/>
      <c r="X278" s="84">
        <v>741</v>
      </c>
      <c r="Y278" s="104">
        <f t="shared" si="162"/>
        <v>1.0333159565925586E-3</v>
      </c>
      <c r="Z278" s="96">
        <f t="shared" si="164"/>
        <v>0.7784399855475036</v>
      </c>
      <c r="AA278" s="94">
        <f t="shared" si="165"/>
        <v>859054.70007333299</v>
      </c>
      <c r="AB278" s="163">
        <f t="shared" si="167"/>
        <v>1.0333159565925586E-3</v>
      </c>
      <c r="AC278" s="96">
        <f t="shared" si="166"/>
        <v>0.7784399855475036</v>
      </c>
      <c r="AD278" s="94">
        <f t="shared" si="163"/>
        <v>859054.70007333299</v>
      </c>
    </row>
    <row r="279" spans="10:30" x14ac:dyDescent="0.25">
      <c r="J279" s="56"/>
      <c r="K279" s="56"/>
      <c r="L279" s="130"/>
      <c r="M279" s="130"/>
      <c r="N279" s="130"/>
      <c r="O279" s="59"/>
      <c r="P279" s="59"/>
      <c r="Q279" s="59"/>
      <c r="R279" s="59"/>
      <c r="S279" s="59"/>
      <c r="T279" s="59"/>
      <c r="U279" s="59"/>
      <c r="V279" s="59"/>
      <c r="W279" s="50"/>
      <c r="X279" s="84">
        <v>740</v>
      </c>
      <c r="Y279" s="104">
        <f t="shared" si="162"/>
        <v>1.0373055934905994E-3</v>
      </c>
      <c r="Z279" s="96">
        <f t="shared" si="164"/>
        <v>0.7788828198891673</v>
      </c>
      <c r="AA279" s="94">
        <f t="shared" si="165"/>
        <v>855624.12845291279</v>
      </c>
      <c r="AB279" s="163">
        <f t="shared" si="167"/>
        <v>1.0373055934905994E-3</v>
      </c>
      <c r="AC279" s="96">
        <f t="shared" si="166"/>
        <v>0.7788828198891673</v>
      </c>
      <c r="AD279" s="94">
        <f t="shared" si="163"/>
        <v>855624.12845291279</v>
      </c>
    </row>
    <row r="280" spans="10:30" x14ac:dyDescent="0.25">
      <c r="J280" s="56"/>
      <c r="K280" s="56"/>
      <c r="L280" s="130"/>
      <c r="M280" s="130"/>
      <c r="N280" s="130"/>
      <c r="O280" s="59"/>
      <c r="P280" s="59"/>
      <c r="Q280" s="59"/>
      <c r="R280" s="59"/>
      <c r="S280" s="59"/>
      <c r="T280" s="59"/>
      <c r="U280" s="59"/>
      <c r="V280" s="59"/>
      <c r="W280" s="50"/>
      <c r="X280" s="84">
        <v>739</v>
      </c>
      <c r="Y280" s="104">
        <f t="shared" si="162"/>
        <v>1.0412952303886403E-3</v>
      </c>
      <c r="Z280" s="96">
        <f t="shared" si="164"/>
        <v>0.77932480344422628</v>
      </c>
      <c r="AA280" s="94">
        <f t="shared" si="165"/>
        <v>852206.99156126473</v>
      </c>
      <c r="AB280" s="163">
        <f t="shared" si="167"/>
        <v>1.0412952303886403E-3</v>
      </c>
      <c r="AC280" s="96">
        <f t="shared" si="166"/>
        <v>0.77932480344422628</v>
      </c>
      <c r="AD280" s="94">
        <f t="shared" si="163"/>
        <v>852206.99156126473</v>
      </c>
    </row>
    <row r="281" spans="10:30" x14ac:dyDescent="0.25">
      <c r="J281" s="56"/>
      <c r="K281" s="56"/>
      <c r="L281" s="130"/>
      <c r="M281" s="130"/>
      <c r="N281" s="130"/>
      <c r="O281" s="59"/>
      <c r="P281" s="59"/>
      <c r="Q281" s="59"/>
      <c r="R281" s="59"/>
      <c r="S281" s="59"/>
      <c r="T281" s="59"/>
      <c r="U281" s="59"/>
      <c r="V281" s="59"/>
      <c r="W281" s="50"/>
      <c r="X281" s="84">
        <v>738</v>
      </c>
      <c r="Y281" s="104">
        <f t="shared" si="162"/>
        <v>1.0452848672866811E-3</v>
      </c>
      <c r="Z281" s="96">
        <f t="shared" si="164"/>
        <v>0.77976594109759845</v>
      </c>
      <c r="AA281" s="94">
        <f t="shared" si="165"/>
        <v>848803.21226096386</v>
      </c>
      <c r="AB281" s="163">
        <f t="shared" si="167"/>
        <v>1.0452848672866811E-3</v>
      </c>
      <c r="AC281" s="96">
        <f t="shared" si="166"/>
        <v>0.77976594109759845</v>
      </c>
      <c r="AD281" s="94">
        <f t="shared" si="163"/>
        <v>848803.21226096386</v>
      </c>
    </row>
    <row r="282" spans="10:30" x14ac:dyDescent="0.25">
      <c r="J282" s="56"/>
      <c r="K282" s="56"/>
      <c r="L282" s="130"/>
      <c r="M282" s="130"/>
      <c r="N282" s="130"/>
      <c r="O282" s="59"/>
      <c r="P282" s="59"/>
      <c r="Q282" s="59"/>
      <c r="R282" s="59"/>
      <c r="S282" s="59"/>
      <c r="T282" s="59"/>
      <c r="U282" s="59"/>
      <c r="V282" s="59"/>
      <c r="W282" s="50"/>
      <c r="X282" s="84">
        <v>737</v>
      </c>
      <c r="Y282" s="104">
        <f t="shared" si="162"/>
        <v>1.049274504184722E-3</v>
      </c>
      <c r="Z282" s="96">
        <f t="shared" si="164"/>
        <v>0.78020623768764186</v>
      </c>
      <c r="AA282" s="94">
        <f t="shared" si="165"/>
        <v>845412.71414987394</v>
      </c>
      <c r="AB282" s="163">
        <f t="shared" si="167"/>
        <v>1.049274504184722E-3</v>
      </c>
      <c r="AC282" s="96">
        <f t="shared" si="166"/>
        <v>0.78020623768764186</v>
      </c>
      <c r="AD282" s="94">
        <f t="shared" si="163"/>
        <v>845412.71414987394</v>
      </c>
    </row>
    <row r="283" spans="10:30" x14ac:dyDescent="0.25">
      <c r="J283" s="56"/>
      <c r="K283" s="56"/>
      <c r="L283" s="130"/>
      <c r="M283" s="130"/>
      <c r="N283" s="130"/>
      <c r="O283" s="59"/>
      <c r="P283" s="59"/>
      <c r="Q283" s="59"/>
      <c r="R283" s="59"/>
      <c r="S283" s="59"/>
      <c r="T283" s="59"/>
      <c r="U283" s="59"/>
      <c r="V283" s="59"/>
      <c r="W283" s="50"/>
      <c r="X283" s="84">
        <v>736</v>
      </c>
      <c r="Y283" s="104">
        <f t="shared" si="162"/>
        <v>1.0532641410827628E-3</v>
      </c>
      <c r="Z283" s="96">
        <f t="shared" si="164"/>
        <v>0.78064569800675743</v>
      </c>
      <c r="AA283" s="94">
        <f t="shared" si="165"/>
        <v>842035.42155149707</v>
      </c>
      <c r="AB283" s="163">
        <f t="shared" si="167"/>
        <v>1.0532641410827628E-3</v>
      </c>
      <c r="AC283" s="96">
        <f t="shared" si="166"/>
        <v>0.78064569800675743</v>
      </c>
      <c r="AD283" s="94">
        <f t="shared" si="163"/>
        <v>842035.42155149707</v>
      </c>
    </row>
    <row r="284" spans="10:30" x14ac:dyDescent="0.25">
      <c r="J284" s="56"/>
      <c r="K284" s="56"/>
      <c r="L284" s="130"/>
      <c r="M284" s="130"/>
      <c r="N284" s="130"/>
      <c r="O284" s="59"/>
      <c r="P284" s="59"/>
      <c r="Q284" s="59"/>
      <c r="R284" s="59"/>
      <c r="S284" s="59"/>
      <c r="T284" s="59"/>
      <c r="U284" s="59"/>
      <c r="V284" s="59"/>
      <c r="W284" s="50"/>
      <c r="X284" s="84">
        <v>735</v>
      </c>
      <c r="Y284" s="104">
        <f t="shared" si="162"/>
        <v>1.0572537779808037E-3</v>
      </c>
      <c r="Z284" s="96">
        <f t="shared" si="164"/>
        <v>0.78108432680201478</v>
      </c>
      <c r="AA284" s="94">
        <f t="shared" si="165"/>
        <v>838671.25950522441</v>
      </c>
      <c r="AB284" s="163">
        <f t="shared" si="167"/>
        <v>1.0572537779808037E-3</v>
      </c>
      <c r="AC284" s="96">
        <f t="shared" si="166"/>
        <v>0.78108432680201478</v>
      </c>
      <c r="AD284" s="94">
        <f t="shared" si="163"/>
        <v>838671.25950522441</v>
      </c>
    </row>
    <row r="285" spans="10:30" x14ac:dyDescent="0.25">
      <c r="J285" s="56"/>
      <c r="K285" s="56"/>
      <c r="L285" s="130"/>
      <c r="M285" s="130"/>
      <c r="N285" s="130"/>
      <c r="O285" s="59"/>
      <c r="P285" s="59"/>
      <c r="Q285" s="59"/>
      <c r="R285" s="59"/>
      <c r="S285" s="59"/>
      <c r="T285" s="59"/>
      <c r="U285" s="59"/>
      <c r="V285" s="59"/>
      <c r="W285" s="50"/>
      <c r="X285" s="84">
        <v>734</v>
      </c>
      <c r="Y285" s="104">
        <f t="shared" si="162"/>
        <v>1.0612434148788445E-3</v>
      </c>
      <c r="Z285" s="96">
        <f t="shared" si="164"/>
        <v>0.78152212877573024</v>
      </c>
      <c r="AA285" s="94">
        <f t="shared" si="165"/>
        <v>835320.1537570511</v>
      </c>
      <c r="AB285" s="163">
        <f t="shared" si="167"/>
        <v>1.0612434148788445E-3</v>
      </c>
      <c r="AC285" s="96">
        <f t="shared" si="166"/>
        <v>0.78152212877573024</v>
      </c>
      <c r="AD285" s="94">
        <f t="shared" si="163"/>
        <v>835320.1537570511</v>
      </c>
    </row>
    <row r="286" spans="10:30" x14ac:dyDescent="0.25">
      <c r="J286" s="56"/>
      <c r="K286" s="56"/>
      <c r="L286" s="130"/>
      <c r="M286" s="130"/>
      <c r="N286" s="130"/>
      <c r="O286" s="59"/>
      <c r="P286" s="59"/>
      <c r="Q286" s="59"/>
      <c r="R286" s="59"/>
      <c r="S286" s="59"/>
      <c r="T286" s="59"/>
      <c r="U286" s="59"/>
      <c r="V286" s="59"/>
      <c r="W286" s="50"/>
      <c r="X286" s="84">
        <v>733</v>
      </c>
      <c r="Y286" s="104">
        <f t="shared" si="162"/>
        <v>1.0652330517768854E-3</v>
      </c>
      <c r="Z286" s="96">
        <f t="shared" si="164"/>
        <v>0.7819591085860842</v>
      </c>
      <c r="AA286" s="94">
        <f t="shared" si="165"/>
        <v>831982.03075006383</v>
      </c>
      <c r="AB286" s="163">
        <f t="shared" si="167"/>
        <v>1.0652330517768854E-3</v>
      </c>
      <c r="AC286" s="96">
        <f t="shared" si="166"/>
        <v>0.7819591085860842</v>
      </c>
      <c r="AD286" s="94">
        <f t="shared" si="163"/>
        <v>831982.03075006383</v>
      </c>
    </row>
    <row r="287" spans="10:30" x14ac:dyDescent="0.25">
      <c r="J287" s="56"/>
      <c r="K287" s="56"/>
      <c r="L287" s="130"/>
      <c r="M287" s="130"/>
      <c r="N287" s="130"/>
      <c r="O287" s="59"/>
      <c r="P287" s="59"/>
      <c r="Q287" s="59"/>
      <c r="R287" s="59"/>
      <c r="S287" s="59"/>
      <c r="T287" s="59"/>
      <c r="U287" s="59"/>
      <c r="V287" s="59"/>
      <c r="W287" s="50"/>
      <c r="X287" s="84">
        <v>732</v>
      </c>
      <c r="Y287" s="104">
        <f t="shared" si="162"/>
        <v>1.0692226886749262E-3</v>
      </c>
      <c r="Z287" s="96">
        <f t="shared" si="164"/>
        <v>0.78239527084766125</v>
      </c>
      <c r="AA287" s="94">
        <f t="shared" si="165"/>
        <v>828656.81761559658</v>
      </c>
      <c r="AB287" s="163">
        <f t="shared" si="167"/>
        <v>1.0692226886749262E-3</v>
      </c>
      <c r="AC287" s="96">
        <f t="shared" si="166"/>
        <v>0.78239527084766125</v>
      </c>
      <c r="AD287" s="94">
        <f t="shared" si="163"/>
        <v>828656.81761559658</v>
      </c>
    </row>
    <row r="288" spans="10:30" x14ac:dyDescent="0.25">
      <c r="J288" s="56"/>
      <c r="K288" s="56"/>
      <c r="L288" s="130"/>
      <c r="M288" s="130"/>
      <c r="N288" s="130"/>
      <c r="O288" s="59"/>
      <c r="P288" s="59"/>
      <c r="Q288" s="59"/>
      <c r="R288" s="59"/>
      <c r="S288" s="59"/>
      <c r="T288" s="59"/>
      <c r="U288" s="59"/>
      <c r="V288" s="59"/>
      <c r="W288" s="50"/>
      <c r="X288" s="84">
        <v>731</v>
      </c>
      <c r="Y288" s="104">
        <f t="shared" ref="Y288:Y351" si="168">Y287+Y$16</f>
        <v>1.0732123255729671E-3</v>
      </c>
      <c r="Z288" s="96">
        <f t="shared" si="164"/>
        <v>0.78283062013205817</v>
      </c>
      <c r="AA288" s="94">
        <f t="shared" si="165"/>
        <v>825344.44216396182</v>
      </c>
      <c r="AB288" s="163">
        <f t="shared" si="167"/>
        <v>1.0732123255729671E-3</v>
      </c>
      <c r="AC288" s="96">
        <f t="shared" si="166"/>
        <v>0.78283062013205817</v>
      </c>
      <c r="AD288" s="94">
        <f t="shared" si="163"/>
        <v>825344.44216396182</v>
      </c>
    </row>
    <row r="289" spans="10:30" x14ac:dyDescent="0.25">
      <c r="J289" s="56"/>
      <c r="K289" s="56"/>
      <c r="L289" s="130"/>
      <c r="M289" s="130"/>
      <c r="N289" s="130"/>
      <c r="O289" s="59"/>
      <c r="P289" s="59"/>
      <c r="Q289" s="59"/>
      <c r="R289" s="59"/>
      <c r="S289" s="59"/>
      <c r="T289" s="59"/>
      <c r="U289" s="59"/>
      <c r="V289" s="59"/>
      <c r="W289" s="50"/>
      <c r="X289" s="84">
        <v>730</v>
      </c>
      <c r="Y289" s="104">
        <f t="shared" si="168"/>
        <v>1.0772019624710079E-3</v>
      </c>
      <c r="Z289" s="96">
        <f t="shared" si="164"/>
        <v>0.78326516096840859</v>
      </c>
      <c r="AA289" s="94">
        <f t="shared" si="165"/>
        <v>822044.83287587157</v>
      </c>
      <c r="AB289" s="163">
        <f t="shared" si="167"/>
        <v>1.0772019624710079E-3</v>
      </c>
      <c r="AC289" s="96">
        <f t="shared" si="166"/>
        <v>0.78326516096840859</v>
      </c>
      <c r="AD289" s="94">
        <f t="shared" si="163"/>
        <v>822044.83287587157</v>
      </c>
    </row>
    <row r="290" spans="10:30" x14ac:dyDescent="0.25">
      <c r="J290" s="56"/>
      <c r="K290" s="56"/>
      <c r="L290" s="130"/>
      <c r="M290" s="130"/>
      <c r="N290" s="130"/>
      <c r="O290" s="59"/>
      <c r="P290" s="59"/>
      <c r="Q290" s="59"/>
      <c r="R290" s="59"/>
      <c r="S290" s="59"/>
      <c r="T290" s="59"/>
      <c r="U290" s="59"/>
      <c r="V290" s="59"/>
      <c r="W290" s="50"/>
      <c r="X290" s="84">
        <v>729</v>
      </c>
      <c r="Y290" s="104">
        <f t="shared" si="168"/>
        <v>1.0811915993690488E-3</v>
      </c>
      <c r="Z290" s="96">
        <f t="shared" si="164"/>
        <v>0.78369889784395996</v>
      </c>
      <c r="AA290" s="94">
        <f t="shared" si="165"/>
        <v>818757.91889355949</v>
      </c>
      <c r="AB290" s="163">
        <f t="shared" si="167"/>
        <v>1.0811915993690488E-3</v>
      </c>
      <c r="AC290" s="96">
        <f t="shared" si="166"/>
        <v>0.78369889784395996</v>
      </c>
      <c r="AD290" s="94">
        <f t="shared" si="163"/>
        <v>818757.91889355949</v>
      </c>
    </row>
    <row r="291" spans="10:30" x14ac:dyDescent="0.25">
      <c r="J291" s="56"/>
      <c r="K291" s="56"/>
      <c r="L291" s="130"/>
      <c r="M291" s="130"/>
      <c r="N291" s="130"/>
      <c r="O291" s="59"/>
      <c r="P291" s="59"/>
      <c r="Q291" s="59"/>
      <c r="R291" s="59"/>
      <c r="S291" s="59"/>
      <c r="T291" s="59"/>
      <c r="U291" s="59"/>
      <c r="V291" s="59"/>
      <c r="W291" s="50"/>
      <c r="X291" s="84">
        <v>728</v>
      </c>
      <c r="Y291" s="104">
        <f t="shared" si="168"/>
        <v>1.0851812362670896E-3</v>
      </c>
      <c r="Z291" s="96">
        <f t="shared" si="164"/>
        <v>0.78413183520459273</v>
      </c>
      <c r="AA291" s="94">
        <f t="shared" si="165"/>
        <v>815483.6300124001</v>
      </c>
      <c r="AB291" s="163">
        <f t="shared" si="167"/>
        <v>1.0851812362670896E-3</v>
      </c>
      <c r="AC291" s="96">
        <f t="shared" si="166"/>
        <v>0.78413183520459273</v>
      </c>
      <c r="AD291" s="94">
        <f t="shared" si="163"/>
        <v>815483.6300124001</v>
      </c>
    </row>
    <row r="292" spans="10:30" x14ac:dyDescent="0.25">
      <c r="J292" s="56"/>
      <c r="K292" s="56"/>
      <c r="L292" s="130"/>
      <c r="M292" s="130"/>
      <c r="N292" s="130"/>
      <c r="O292" s="59"/>
      <c r="P292" s="59"/>
      <c r="Q292" s="59"/>
      <c r="R292" s="59"/>
      <c r="S292" s="59"/>
      <c r="T292" s="59"/>
      <c r="U292" s="59"/>
      <c r="V292" s="59"/>
      <c r="W292" s="50"/>
      <c r="X292" s="84">
        <v>727</v>
      </c>
      <c r="Y292" s="104">
        <f t="shared" si="168"/>
        <v>1.0891708731651305E-3</v>
      </c>
      <c r="Z292" s="96">
        <f t="shared" si="164"/>
        <v>0.78456397745537099</v>
      </c>
      <c r="AA292" s="94">
        <f t="shared" si="165"/>
        <v>812221.89667237282</v>
      </c>
      <c r="AB292" s="163">
        <f t="shared" si="167"/>
        <v>1.0891708731651305E-3</v>
      </c>
      <c r="AC292" s="96">
        <f t="shared" si="166"/>
        <v>0.78456397745537099</v>
      </c>
      <c r="AD292" s="94">
        <f t="shared" si="163"/>
        <v>812221.89667237282</v>
      </c>
    </row>
    <row r="293" spans="10:30" x14ac:dyDescent="0.25">
      <c r="J293" s="56"/>
      <c r="K293" s="56"/>
      <c r="L293" s="130"/>
      <c r="M293" s="130"/>
      <c r="N293" s="130"/>
      <c r="O293" s="59"/>
      <c r="P293" s="59"/>
      <c r="Q293" s="59"/>
      <c r="R293" s="59"/>
      <c r="S293" s="59"/>
      <c r="T293" s="59"/>
      <c r="U293" s="59"/>
      <c r="V293" s="59"/>
      <c r="W293" s="50"/>
      <c r="X293" s="84">
        <v>726</v>
      </c>
      <c r="Y293" s="104">
        <f t="shared" si="168"/>
        <v>1.0931605100631713E-3</v>
      </c>
      <c r="Z293" s="96">
        <f t="shared" si="164"/>
        <v>0.78499532896104829</v>
      </c>
      <c r="AA293" s="94">
        <f t="shared" si="165"/>
        <v>808972.64994993794</v>
      </c>
      <c r="AB293" s="163">
        <f t="shared" si="167"/>
        <v>1.0931605100631713E-3</v>
      </c>
      <c r="AC293" s="96">
        <f t="shared" si="166"/>
        <v>0.78499532896104829</v>
      </c>
      <c r="AD293" s="94">
        <f t="shared" si="163"/>
        <v>808972.64994993794</v>
      </c>
    </row>
    <row r="294" spans="10:30" x14ac:dyDescent="0.25">
      <c r="J294" s="56"/>
      <c r="K294" s="56"/>
      <c r="L294" s="130"/>
      <c r="M294" s="130"/>
      <c r="N294" s="130"/>
      <c r="O294" s="59"/>
      <c r="P294" s="59"/>
      <c r="Q294" s="59"/>
      <c r="R294" s="59"/>
      <c r="S294" s="59"/>
      <c r="T294" s="59"/>
      <c r="U294" s="59"/>
      <c r="V294" s="59"/>
      <c r="W294" s="50"/>
      <c r="X294" s="84">
        <v>725</v>
      </c>
      <c r="Y294" s="104">
        <f t="shared" si="168"/>
        <v>1.0971501469612122E-3</v>
      </c>
      <c r="Z294" s="96">
        <f t="shared" si="164"/>
        <v>0.78542589404659513</v>
      </c>
      <c r="AA294" s="94">
        <f t="shared" si="165"/>
        <v>805735.82154980302</v>
      </c>
      <c r="AB294" s="163">
        <f t="shared" si="167"/>
        <v>1.0971501469612122E-3</v>
      </c>
      <c r="AC294" s="96">
        <f t="shared" si="166"/>
        <v>0.78542589404659513</v>
      </c>
      <c r="AD294" s="94">
        <f t="shared" si="163"/>
        <v>805735.82154980302</v>
      </c>
    </row>
    <row r="295" spans="10:30" x14ac:dyDescent="0.25">
      <c r="J295" s="56"/>
      <c r="K295" s="56"/>
      <c r="L295" s="130"/>
      <c r="M295" s="130"/>
      <c r="N295" s="130"/>
      <c r="O295" s="59"/>
      <c r="P295" s="59"/>
      <c r="Q295" s="59"/>
      <c r="R295" s="59"/>
      <c r="S295" s="59"/>
      <c r="T295" s="59"/>
      <c r="U295" s="59"/>
      <c r="V295" s="59"/>
      <c r="W295" s="50"/>
      <c r="X295" s="84">
        <v>724</v>
      </c>
      <c r="Y295" s="104">
        <f t="shared" si="168"/>
        <v>1.101139783859253E-3</v>
      </c>
      <c r="Z295" s="96">
        <f t="shared" si="164"/>
        <v>0.7858556769976982</v>
      </c>
      <c r="AA295" s="94">
        <f t="shared" si="165"/>
        <v>802511.34379699768</v>
      </c>
      <c r="AB295" s="163">
        <f t="shared" si="167"/>
        <v>1.101139783859253E-3</v>
      </c>
      <c r="AC295" s="96">
        <f t="shared" si="166"/>
        <v>0.7858556769976982</v>
      </c>
      <c r="AD295" s="94">
        <f t="shared" si="163"/>
        <v>802511.34379699768</v>
      </c>
    </row>
    <row r="296" spans="10:30" x14ac:dyDescent="0.25">
      <c r="J296" s="56"/>
      <c r="K296" s="56"/>
      <c r="L296" s="130"/>
      <c r="M296" s="130"/>
      <c r="N296" s="130"/>
      <c r="O296" s="59"/>
      <c r="P296" s="59"/>
      <c r="Q296" s="59"/>
      <c r="R296" s="59"/>
      <c r="S296" s="59"/>
      <c r="T296" s="59"/>
      <c r="U296" s="59"/>
      <c r="V296" s="59"/>
      <c r="W296" s="50"/>
      <c r="X296" s="84">
        <v>723</v>
      </c>
      <c r="Y296" s="104">
        <f t="shared" si="168"/>
        <v>1.1051294207572939E-3</v>
      </c>
      <c r="Z296" s="96">
        <f t="shared" si="164"/>
        <v>0.78628468206125279</v>
      </c>
      <c r="AA296" s="94">
        <f t="shared" si="165"/>
        <v>799299.14962904761</v>
      </c>
      <c r="AB296" s="163">
        <f t="shared" si="167"/>
        <v>1.1051294207572939E-3</v>
      </c>
      <c r="AC296" s="96">
        <f t="shared" si="166"/>
        <v>0.78628468206125279</v>
      </c>
      <c r="AD296" s="94">
        <f t="shared" si="163"/>
        <v>799299.14962904761</v>
      </c>
    </row>
    <row r="297" spans="10:30" x14ac:dyDescent="0.25">
      <c r="J297" s="56"/>
      <c r="K297" s="56"/>
      <c r="L297" s="130"/>
      <c r="M297" s="130"/>
      <c r="N297" s="130"/>
      <c r="O297" s="59"/>
      <c r="P297" s="59"/>
      <c r="Q297" s="59"/>
      <c r="R297" s="59"/>
      <c r="S297" s="59"/>
      <c r="T297" s="59"/>
      <c r="U297" s="59"/>
      <c r="V297" s="59"/>
      <c r="W297" s="50"/>
      <c r="X297" s="84">
        <v>722</v>
      </c>
      <c r="Y297" s="104">
        <f t="shared" si="168"/>
        <v>1.1091190576553347E-3</v>
      </c>
      <c r="Z297" s="96">
        <f t="shared" si="164"/>
        <v>0.78671291344587257</v>
      </c>
      <c r="AA297" s="94">
        <f t="shared" si="165"/>
        <v>796099.17258808692</v>
      </c>
      <c r="AB297" s="163">
        <f t="shared" si="167"/>
        <v>1.1091190576553347E-3</v>
      </c>
      <c r="AC297" s="96">
        <f t="shared" si="166"/>
        <v>0.78671291344587257</v>
      </c>
      <c r="AD297" s="94">
        <f t="shared" si="163"/>
        <v>796099.17258808692</v>
      </c>
    </row>
    <row r="298" spans="10:30" x14ac:dyDescent="0.25">
      <c r="J298" s="56"/>
      <c r="K298" s="56"/>
      <c r="L298" s="130"/>
      <c r="M298" s="130"/>
      <c r="N298" s="130"/>
      <c r="O298" s="59"/>
      <c r="P298" s="59"/>
      <c r="Q298" s="59"/>
      <c r="R298" s="59"/>
      <c r="S298" s="59"/>
      <c r="T298" s="59"/>
      <c r="U298" s="59"/>
      <c r="V298" s="59"/>
      <c r="W298" s="50"/>
      <c r="X298" s="84">
        <v>721</v>
      </c>
      <c r="Y298" s="104">
        <f t="shared" si="168"/>
        <v>1.1131086945533756E-3</v>
      </c>
      <c r="Z298" s="96">
        <f t="shared" si="164"/>
        <v>0.78714037532234615</v>
      </c>
      <c r="AA298" s="94">
        <f t="shared" si="165"/>
        <v>792911.34681345487</v>
      </c>
      <c r="AB298" s="163">
        <f t="shared" si="167"/>
        <v>1.1131086945533756E-3</v>
      </c>
      <c r="AC298" s="96">
        <f t="shared" si="166"/>
        <v>0.78714037532234615</v>
      </c>
      <c r="AD298" s="94">
        <f t="shared" si="163"/>
        <v>792911.34681345487</v>
      </c>
    </row>
    <row r="299" spans="10:30" x14ac:dyDescent="0.25">
      <c r="J299" s="56"/>
      <c r="K299" s="56"/>
      <c r="L299" s="130"/>
      <c r="M299" s="130"/>
      <c r="N299" s="130"/>
      <c r="O299" s="59"/>
      <c r="P299" s="59"/>
      <c r="Q299" s="59"/>
      <c r="R299" s="59"/>
      <c r="S299" s="59"/>
      <c r="T299" s="59"/>
      <c r="U299" s="59"/>
      <c r="V299" s="59"/>
      <c r="W299" s="50"/>
      <c r="X299" s="84">
        <v>720</v>
      </c>
      <c r="Y299" s="104">
        <f t="shared" si="168"/>
        <v>1.1170983314514164E-3</v>
      </c>
      <c r="Z299" s="96">
        <f t="shared" si="164"/>
        <v>0.78756707182412866</v>
      </c>
      <c r="AA299" s="94">
        <f t="shared" si="165"/>
        <v>789735.60703406099</v>
      </c>
      <c r="AB299" s="163">
        <f t="shared" si="167"/>
        <v>1.1170983314514164E-3</v>
      </c>
      <c r="AC299" s="96">
        <f t="shared" si="166"/>
        <v>0.78756707182412866</v>
      </c>
      <c r="AD299" s="94">
        <f t="shared" si="163"/>
        <v>789735.60703406099</v>
      </c>
    </row>
    <row r="300" spans="10:30" x14ac:dyDescent="0.25">
      <c r="J300" s="56"/>
      <c r="K300" s="56"/>
      <c r="L300" s="130"/>
      <c r="M300" s="130"/>
      <c r="N300" s="130"/>
      <c r="O300" s="59"/>
      <c r="P300" s="59"/>
      <c r="Q300" s="59"/>
      <c r="R300" s="59"/>
      <c r="S300" s="59"/>
      <c r="T300" s="59"/>
      <c r="U300" s="59"/>
      <c r="V300" s="59"/>
      <c r="W300" s="50"/>
      <c r="X300" s="84">
        <v>719</v>
      </c>
      <c r="Y300" s="104">
        <f t="shared" si="168"/>
        <v>1.1210879683494573E-3</v>
      </c>
      <c r="Z300" s="96">
        <f t="shared" si="164"/>
        <v>0.78799300704779818</v>
      </c>
      <c r="AA300" s="94">
        <f t="shared" si="165"/>
        <v>786571.88856111269</v>
      </c>
      <c r="AB300" s="163">
        <f t="shared" si="167"/>
        <v>1.1210879683494573E-3</v>
      </c>
      <c r="AC300" s="96">
        <f t="shared" si="166"/>
        <v>0.78799300704779818</v>
      </c>
      <c r="AD300" s="94">
        <f t="shared" si="163"/>
        <v>786571.88856111269</v>
      </c>
    </row>
    <row r="301" spans="10:30" x14ac:dyDescent="0.25">
      <c r="J301" s="56"/>
      <c r="K301" s="56"/>
      <c r="L301" s="130"/>
      <c r="M301" s="130"/>
      <c r="N301" s="130"/>
      <c r="O301" s="59"/>
      <c r="P301" s="59"/>
      <c r="Q301" s="59"/>
      <c r="R301" s="59"/>
      <c r="S301" s="59"/>
      <c r="T301" s="59"/>
      <c r="U301" s="59"/>
      <c r="V301" s="59"/>
      <c r="W301" s="50"/>
      <c r="X301" s="84">
        <v>718</v>
      </c>
      <c r="Y301" s="104">
        <f t="shared" si="168"/>
        <v>1.1250776052474981E-3</v>
      </c>
      <c r="Z301" s="96">
        <f t="shared" si="164"/>
        <v>0.78841818505352412</v>
      </c>
      <c r="AA301" s="94">
        <f t="shared" si="165"/>
        <v>783420.12728078268</v>
      </c>
      <c r="AB301" s="163">
        <f t="shared" si="167"/>
        <v>1.1250776052474981E-3</v>
      </c>
      <c r="AC301" s="96">
        <f t="shared" si="166"/>
        <v>0.78841818505352412</v>
      </c>
      <c r="AD301" s="94">
        <f t="shared" si="163"/>
        <v>783420.12728078268</v>
      </c>
    </row>
    <row r="302" spans="10:30" x14ac:dyDescent="0.25">
      <c r="J302" s="56"/>
      <c r="K302" s="56"/>
      <c r="L302" s="130"/>
      <c r="M302" s="130"/>
      <c r="N302" s="130"/>
      <c r="O302" s="59"/>
      <c r="P302" s="59"/>
      <c r="Q302" s="59"/>
      <c r="R302" s="59"/>
      <c r="S302" s="59"/>
      <c r="T302" s="59"/>
      <c r="U302" s="59"/>
      <c r="V302" s="59"/>
      <c r="W302" s="50"/>
      <c r="X302" s="84">
        <v>717</v>
      </c>
      <c r="Y302" s="104">
        <f t="shared" si="168"/>
        <v>1.129067242145539E-3</v>
      </c>
      <c r="Z302" s="96">
        <f t="shared" si="164"/>
        <v>0.78884260986550558</v>
      </c>
      <c r="AA302" s="94">
        <f t="shared" si="165"/>
        <v>780280.25964719325</v>
      </c>
      <c r="AB302" s="163">
        <f t="shared" si="167"/>
        <v>1.129067242145539E-3</v>
      </c>
      <c r="AC302" s="96">
        <f t="shared" si="166"/>
        <v>0.78884260986550558</v>
      </c>
      <c r="AD302" s="94">
        <f t="shared" si="163"/>
        <v>780280.25964719325</v>
      </c>
    </row>
    <row r="303" spans="10:30" x14ac:dyDescent="0.25">
      <c r="J303" s="56"/>
      <c r="K303" s="56"/>
      <c r="L303" s="130"/>
      <c r="M303" s="130"/>
      <c r="N303" s="130"/>
      <c r="O303" s="59"/>
      <c r="P303" s="59"/>
      <c r="Q303" s="59"/>
      <c r="R303" s="59"/>
      <c r="S303" s="59"/>
      <c r="T303" s="59"/>
      <c r="U303" s="59"/>
      <c r="V303" s="59"/>
      <c r="W303" s="50"/>
      <c r="X303" s="84">
        <v>716</v>
      </c>
      <c r="Y303" s="104">
        <f t="shared" si="168"/>
        <v>1.1330568790435798E-3</v>
      </c>
      <c r="Z303" s="96">
        <f t="shared" si="164"/>
        <v>0.78926628547243294</v>
      </c>
      <c r="AA303" s="94">
        <f t="shared" si="165"/>
        <v>777152.22267525655</v>
      </c>
      <c r="AB303" s="163">
        <f t="shared" si="167"/>
        <v>1.1330568790435798E-3</v>
      </c>
      <c r="AC303" s="96">
        <f t="shared" si="166"/>
        <v>0.78926628547243294</v>
      </c>
      <c r="AD303" s="94">
        <f t="shared" si="163"/>
        <v>777152.22267525655</v>
      </c>
    </row>
    <row r="304" spans="10:30" x14ac:dyDescent="0.25">
      <c r="J304" s="56"/>
      <c r="K304" s="56"/>
      <c r="L304" s="130"/>
      <c r="M304" s="130"/>
      <c r="N304" s="130"/>
      <c r="O304" s="59"/>
      <c r="P304" s="59"/>
      <c r="Q304" s="59"/>
      <c r="R304" s="59"/>
      <c r="S304" s="59"/>
      <c r="T304" s="59"/>
      <c r="U304" s="59"/>
      <c r="V304" s="59"/>
      <c r="W304" s="50"/>
      <c r="X304" s="84">
        <v>715</v>
      </c>
      <c r="Y304" s="104">
        <f t="shared" si="168"/>
        <v>1.1370465159416207E-3</v>
      </c>
      <c r="Z304" s="96">
        <f t="shared" si="164"/>
        <v>0.78968921582790574</v>
      </c>
      <c r="AA304" s="94">
        <f t="shared" si="165"/>
        <v>774035.95393392164</v>
      </c>
      <c r="AB304" s="163">
        <f t="shared" si="167"/>
        <v>1.1370465159416207E-3</v>
      </c>
      <c r="AC304" s="96">
        <f t="shared" si="166"/>
        <v>0.78968921582790574</v>
      </c>
      <c r="AD304" s="94">
        <f t="shared" si="163"/>
        <v>774035.95393392164</v>
      </c>
    </row>
    <row r="305" spans="10:30" x14ac:dyDescent="0.25">
      <c r="J305" s="56"/>
      <c r="K305" s="56"/>
      <c r="L305" s="130"/>
      <c r="M305" s="130"/>
      <c r="N305" s="130"/>
      <c r="O305" s="59"/>
      <c r="P305" s="59"/>
      <c r="Q305" s="59"/>
      <c r="R305" s="59"/>
      <c r="S305" s="59"/>
      <c r="T305" s="59"/>
      <c r="U305" s="59"/>
      <c r="V305" s="59"/>
      <c r="W305" s="50"/>
      <c r="X305" s="84">
        <v>714</v>
      </c>
      <c r="Y305" s="104">
        <f t="shared" si="168"/>
        <v>1.1410361528396615E-3</v>
      </c>
      <c r="Z305" s="96">
        <f t="shared" si="164"/>
        <v>0.79011140485087927</v>
      </c>
      <c r="AA305" s="94">
        <f t="shared" si="165"/>
        <v>770931.3915392512</v>
      </c>
      <c r="AB305" s="163">
        <f t="shared" si="167"/>
        <v>1.1410361528396615E-3</v>
      </c>
      <c r="AC305" s="96">
        <f t="shared" si="166"/>
        <v>0.79011140485087927</v>
      </c>
      <c r="AD305" s="94">
        <f t="shared" si="163"/>
        <v>770931.3915392512</v>
      </c>
    </row>
    <row r="306" spans="10:30" x14ac:dyDescent="0.25">
      <c r="J306" s="56"/>
      <c r="K306" s="56"/>
      <c r="L306" s="130"/>
      <c r="M306" s="130"/>
      <c r="N306" s="130"/>
      <c r="O306" s="59"/>
      <c r="P306" s="59"/>
      <c r="Q306" s="59"/>
      <c r="R306" s="59"/>
      <c r="S306" s="59"/>
      <c r="T306" s="59"/>
      <c r="U306" s="59"/>
      <c r="V306" s="59"/>
      <c r="W306" s="50"/>
      <c r="X306" s="84">
        <v>713</v>
      </c>
      <c r="Y306" s="104">
        <f t="shared" si="168"/>
        <v>1.1450257897377024E-3</v>
      </c>
      <c r="Z306" s="96">
        <f t="shared" si="164"/>
        <v>0.79053285642607896</v>
      </c>
      <c r="AA306" s="94">
        <f t="shared" si="165"/>
        <v>767838.47414780851</v>
      </c>
      <c r="AB306" s="163">
        <f t="shared" si="167"/>
        <v>1.1450257897377024E-3</v>
      </c>
      <c r="AC306" s="96">
        <f t="shared" si="166"/>
        <v>0.79053285642607896</v>
      </c>
      <c r="AD306" s="94">
        <f t="shared" si="163"/>
        <v>767838.47414780851</v>
      </c>
    </row>
    <row r="307" spans="10:30" x14ac:dyDescent="0.25">
      <c r="J307" s="56"/>
      <c r="K307" s="56"/>
      <c r="L307" s="130"/>
      <c r="M307" s="130"/>
      <c r="N307" s="130"/>
      <c r="O307" s="59"/>
      <c r="P307" s="59"/>
      <c r="Q307" s="59"/>
      <c r="R307" s="59"/>
      <c r="S307" s="59"/>
      <c r="T307" s="59"/>
      <c r="U307" s="59"/>
      <c r="V307" s="59"/>
      <c r="W307" s="50"/>
      <c r="X307" s="84">
        <v>712</v>
      </c>
      <c r="Y307" s="104">
        <f t="shared" si="168"/>
        <v>1.1490154266357432E-3</v>
      </c>
      <c r="Z307" s="96">
        <f t="shared" si="164"/>
        <v>0.79095357440442382</v>
      </c>
      <c r="AA307" s="94">
        <f t="shared" si="165"/>
        <v>764757.14095001854</v>
      </c>
      <c r="AB307" s="163">
        <f t="shared" si="167"/>
        <v>1.1490154266357432E-3</v>
      </c>
      <c r="AC307" s="96">
        <f t="shared" si="166"/>
        <v>0.79095357440442382</v>
      </c>
      <c r="AD307" s="94">
        <f t="shared" si="163"/>
        <v>764757.14095001854</v>
      </c>
    </row>
    <row r="308" spans="10:30" x14ac:dyDescent="0.25">
      <c r="J308" s="56"/>
      <c r="K308" s="56"/>
      <c r="L308" s="130"/>
      <c r="M308" s="130"/>
      <c r="N308" s="130"/>
      <c r="O308" s="59"/>
      <c r="P308" s="59"/>
      <c r="Q308" s="59"/>
      <c r="R308" s="59"/>
      <c r="S308" s="59"/>
      <c r="T308" s="59"/>
      <c r="U308" s="59"/>
      <c r="V308" s="59"/>
      <c r="W308" s="50"/>
      <c r="X308" s="84">
        <v>711</v>
      </c>
      <c r="Y308" s="104">
        <f t="shared" si="168"/>
        <v>1.1530050635337841E-3</v>
      </c>
      <c r="Z308" s="96">
        <f t="shared" si="164"/>
        <v>0.79137356260342795</v>
      </c>
      <c r="AA308" s="94">
        <f t="shared" si="165"/>
        <v>761687.33166375221</v>
      </c>
      <c r="AB308" s="163">
        <f t="shared" si="167"/>
        <v>1.1530050635337841E-3</v>
      </c>
      <c r="AC308" s="96">
        <f t="shared" si="166"/>
        <v>0.79137356260342795</v>
      </c>
      <c r="AD308" s="94">
        <f t="shared" si="163"/>
        <v>761687.33166375221</v>
      </c>
    </row>
    <row r="309" spans="10:30" x14ac:dyDescent="0.25">
      <c r="J309" s="56"/>
      <c r="K309" s="56"/>
      <c r="L309" s="130"/>
      <c r="M309" s="130"/>
      <c r="N309" s="130"/>
      <c r="O309" s="59"/>
      <c r="P309" s="59"/>
      <c r="Q309" s="59"/>
      <c r="R309" s="59"/>
      <c r="S309" s="59"/>
      <c r="T309" s="59"/>
      <c r="U309" s="59"/>
      <c r="V309" s="59"/>
      <c r="W309" s="50"/>
      <c r="X309" s="84">
        <v>710</v>
      </c>
      <c r="Y309" s="104">
        <f t="shared" si="168"/>
        <v>1.1569947004318249E-3</v>
      </c>
      <c r="Z309" s="96">
        <f t="shared" si="164"/>
        <v>0.79179282480762037</v>
      </c>
      <c r="AA309" s="94">
        <f t="shared" si="165"/>
        <v>758628.98652782966</v>
      </c>
      <c r="AB309" s="163">
        <f t="shared" si="167"/>
        <v>1.1569947004318249E-3</v>
      </c>
      <c r="AC309" s="96">
        <f t="shared" si="166"/>
        <v>0.79179282480762037</v>
      </c>
      <c r="AD309" s="94">
        <f t="shared" si="163"/>
        <v>758628.98652782966</v>
      </c>
    </row>
    <row r="310" spans="10:30" x14ac:dyDescent="0.25">
      <c r="J310" s="56"/>
      <c r="K310" s="56"/>
      <c r="L310" s="130"/>
      <c r="M310" s="130"/>
      <c r="N310" s="130"/>
      <c r="O310" s="59"/>
      <c r="P310" s="59"/>
      <c r="Q310" s="59"/>
      <c r="R310" s="59"/>
      <c r="S310" s="59"/>
      <c r="T310" s="59"/>
      <c r="U310" s="59"/>
      <c r="V310" s="59"/>
      <c r="W310" s="50"/>
      <c r="X310" s="84">
        <v>709</v>
      </c>
      <c r="Y310" s="104">
        <f t="shared" si="168"/>
        <v>1.1609843373298658E-3</v>
      </c>
      <c r="Z310" s="96">
        <f t="shared" si="164"/>
        <v>0.79221136476891729</v>
      </c>
      <c r="AA310" s="94">
        <f t="shared" si="165"/>
        <v>755582.04629592912</v>
      </c>
      <c r="AB310" s="163">
        <f t="shared" si="167"/>
        <v>1.1609843373298658E-3</v>
      </c>
      <c r="AC310" s="96">
        <f t="shared" si="166"/>
        <v>0.79221136476891729</v>
      </c>
      <c r="AD310" s="94">
        <f t="shared" si="163"/>
        <v>755582.04629592912</v>
      </c>
    </row>
    <row r="311" spans="10:30" x14ac:dyDescent="0.25">
      <c r="J311" s="56"/>
      <c r="K311" s="56"/>
      <c r="L311" s="130"/>
      <c r="M311" s="130"/>
      <c r="N311" s="130"/>
      <c r="O311" s="59"/>
      <c r="P311" s="59"/>
      <c r="Q311" s="59"/>
      <c r="R311" s="59"/>
      <c r="S311" s="59"/>
      <c r="T311" s="59"/>
      <c r="U311" s="59"/>
      <c r="V311" s="59"/>
      <c r="W311" s="50"/>
      <c r="X311" s="84">
        <v>708</v>
      </c>
      <c r="Y311" s="104">
        <f t="shared" si="168"/>
        <v>1.1649739742279066E-3</v>
      </c>
      <c r="Z311" s="96">
        <f t="shared" si="164"/>
        <v>0.79262918620704592</v>
      </c>
      <c r="AA311" s="94">
        <f t="shared" si="165"/>
        <v>752546.45223015989</v>
      </c>
      <c r="AB311" s="163">
        <f t="shared" si="167"/>
        <v>1.1649739742279066E-3</v>
      </c>
      <c r="AC311" s="96">
        <f t="shared" si="166"/>
        <v>0.79262918620704592</v>
      </c>
      <c r="AD311" s="94">
        <f t="shared" si="163"/>
        <v>752546.45223015989</v>
      </c>
    </row>
    <row r="312" spans="10:30" x14ac:dyDescent="0.25">
      <c r="J312" s="56"/>
      <c r="K312" s="56"/>
      <c r="L312" s="130"/>
      <c r="M312" s="130"/>
      <c r="N312" s="130"/>
      <c r="O312" s="59"/>
      <c r="P312" s="59"/>
      <c r="Q312" s="59"/>
      <c r="R312" s="59"/>
      <c r="S312" s="59"/>
      <c r="T312" s="59"/>
      <c r="U312" s="59"/>
      <c r="V312" s="59"/>
      <c r="W312" s="50"/>
      <c r="X312" s="84">
        <v>707</v>
      </c>
      <c r="Y312" s="104">
        <f t="shared" si="168"/>
        <v>1.1689636111259475E-3</v>
      </c>
      <c r="Z312" s="96">
        <f t="shared" si="164"/>
        <v>0.79304629280990036</v>
      </c>
      <c r="AA312" s="94">
        <f t="shared" si="165"/>
        <v>749522.14609519695</v>
      </c>
      <c r="AB312" s="163">
        <f t="shared" si="167"/>
        <v>1.1689636111259475E-3</v>
      </c>
      <c r="AC312" s="96">
        <f t="shared" si="166"/>
        <v>0.79304629280990036</v>
      </c>
      <c r="AD312" s="94">
        <f t="shared" si="163"/>
        <v>749522.14609519695</v>
      </c>
    </row>
    <row r="313" spans="10:30" x14ac:dyDescent="0.25">
      <c r="J313" s="56"/>
      <c r="K313" s="56"/>
      <c r="L313" s="130"/>
      <c r="M313" s="130"/>
      <c r="N313" s="130"/>
      <c r="O313" s="59"/>
      <c r="P313" s="59"/>
      <c r="Q313" s="59"/>
      <c r="R313" s="59"/>
      <c r="S313" s="59"/>
      <c r="T313" s="59"/>
      <c r="U313" s="59"/>
      <c r="V313" s="59"/>
      <c r="W313" s="50"/>
      <c r="X313" s="84">
        <v>706</v>
      </c>
      <c r="Y313" s="104">
        <f t="shared" si="168"/>
        <v>1.1729532480239883E-3</v>
      </c>
      <c r="Z313" s="96">
        <f t="shared" si="164"/>
        <v>0.79346268823394439</v>
      </c>
      <c r="AA313" s="94">
        <f t="shared" si="165"/>
        <v>746509.07015210588</v>
      </c>
      <c r="AB313" s="163">
        <f t="shared" si="167"/>
        <v>1.1729532480239883E-3</v>
      </c>
      <c r="AC313" s="96">
        <f t="shared" si="166"/>
        <v>0.79346268823394439</v>
      </c>
      <c r="AD313" s="94">
        <f t="shared" si="163"/>
        <v>746509.07015210588</v>
      </c>
    </row>
    <row r="314" spans="10:30" x14ac:dyDescent="0.25">
      <c r="J314" s="56"/>
      <c r="K314" s="56"/>
      <c r="L314" s="130"/>
      <c r="M314" s="130"/>
      <c r="N314" s="130"/>
      <c r="O314" s="59"/>
      <c r="P314" s="59"/>
      <c r="Q314" s="59"/>
      <c r="R314" s="59"/>
      <c r="S314" s="59"/>
      <c r="T314" s="59"/>
      <c r="U314" s="59"/>
      <c r="V314" s="59"/>
      <c r="W314" s="50"/>
      <c r="X314" s="84">
        <v>705</v>
      </c>
      <c r="Y314" s="104">
        <f t="shared" si="168"/>
        <v>1.1769428849220291E-3</v>
      </c>
      <c r="Z314" s="96">
        <f t="shared" si="164"/>
        <v>0.79387837610456746</v>
      </c>
      <c r="AA314" s="94">
        <f t="shared" si="165"/>
        <v>743507.16715257708</v>
      </c>
      <c r="AB314" s="163">
        <f t="shared" si="167"/>
        <v>1.1769428849220291E-3</v>
      </c>
      <c r="AC314" s="96">
        <f t="shared" si="166"/>
        <v>0.79387837610456746</v>
      </c>
      <c r="AD314" s="94">
        <f t="shared" si="163"/>
        <v>743507.16715257708</v>
      </c>
    </row>
    <row r="315" spans="10:30" x14ac:dyDescent="0.25">
      <c r="J315" s="56"/>
      <c r="K315" s="56"/>
      <c r="L315" s="130"/>
      <c r="M315" s="130"/>
      <c r="N315" s="130"/>
      <c r="O315" s="59"/>
      <c r="P315" s="59"/>
      <c r="Q315" s="59"/>
      <c r="R315" s="59"/>
      <c r="S315" s="59"/>
      <c r="T315" s="59"/>
      <c r="U315" s="59"/>
      <c r="V315" s="59"/>
      <c r="W315" s="50"/>
      <c r="X315" s="84">
        <v>704</v>
      </c>
      <c r="Y315" s="104">
        <f t="shared" si="168"/>
        <v>1.18093252182007E-3</v>
      </c>
      <c r="Z315" s="96">
        <f t="shared" si="164"/>
        <v>0.79429336001647288</v>
      </c>
      <c r="AA315" s="94">
        <f t="shared" si="165"/>
        <v>740516.38033296855</v>
      </c>
      <c r="AB315" s="163">
        <f t="shared" si="167"/>
        <v>1.18093252182007E-3</v>
      </c>
      <c r="AC315" s="96">
        <f t="shared" si="166"/>
        <v>0.79429336001647288</v>
      </c>
      <c r="AD315" s="94">
        <f t="shared" si="163"/>
        <v>740516.38033296855</v>
      </c>
    </row>
    <row r="316" spans="10:30" x14ac:dyDescent="0.25">
      <c r="J316" s="56"/>
      <c r="K316" s="56"/>
      <c r="L316" s="130"/>
      <c r="M316" s="130"/>
      <c r="N316" s="130"/>
      <c r="O316" s="59"/>
      <c r="P316" s="59"/>
      <c r="Q316" s="59"/>
      <c r="R316" s="59"/>
      <c r="S316" s="59"/>
      <c r="T316" s="59"/>
      <c r="U316" s="59"/>
      <c r="V316" s="59"/>
      <c r="W316" s="50"/>
      <c r="X316" s="84">
        <v>703</v>
      </c>
      <c r="Y316" s="104">
        <f t="shared" si="168"/>
        <v>1.1849221587181108E-3</v>
      </c>
      <c r="Z316" s="96">
        <f t="shared" si="164"/>
        <v>0.79470764353401313</v>
      </c>
      <c r="AA316" s="94">
        <f t="shared" si="165"/>
        <v>737536.65340876253</v>
      </c>
      <c r="AB316" s="163">
        <f t="shared" si="167"/>
        <v>1.1849221587181108E-3</v>
      </c>
      <c r="AC316" s="96">
        <f t="shared" si="166"/>
        <v>0.79470764353401313</v>
      </c>
      <c r="AD316" s="94">
        <f t="shared" si="163"/>
        <v>737536.65340876253</v>
      </c>
    </row>
    <row r="317" spans="10:30" x14ac:dyDescent="0.25">
      <c r="J317" s="56"/>
      <c r="K317" s="56"/>
      <c r="L317" s="130"/>
      <c r="M317" s="130"/>
      <c r="N317" s="130"/>
      <c r="O317" s="59"/>
      <c r="P317" s="59"/>
      <c r="Q317" s="59"/>
      <c r="R317" s="59"/>
      <c r="S317" s="59"/>
      <c r="T317" s="59"/>
      <c r="U317" s="59"/>
      <c r="V317" s="59"/>
      <c r="W317" s="50"/>
      <c r="X317" s="84">
        <v>702</v>
      </c>
      <c r="Y317" s="104">
        <f t="shared" si="168"/>
        <v>1.1889117956161517E-3</v>
      </c>
      <c r="Z317" s="96">
        <f t="shared" si="164"/>
        <v>0.79512123019157599</v>
      </c>
      <c r="AA317" s="94">
        <f t="shared" si="165"/>
        <v>734567.93056873151</v>
      </c>
      <c r="AB317" s="163">
        <f t="shared" si="167"/>
        <v>1.1889117956161517E-3</v>
      </c>
      <c r="AC317" s="96">
        <f t="shared" si="166"/>
        <v>0.79512123019157599</v>
      </c>
      <c r="AD317" s="94">
        <f t="shared" si="163"/>
        <v>734567.93056873151</v>
      </c>
    </row>
    <row r="318" spans="10:30" x14ac:dyDescent="0.25">
      <c r="J318" s="56"/>
      <c r="K318" s="56"/>
      <c r="L318" s="130"/>
      <c r="M318" s="130"/>
      <c r="N318" s="130"/>
      <c r="O318" s="59"/>
      <c r="P318" s="59"/>
      <c r="Q318" s="59"/>
      <c r="R318" s="59"/>
      <c r="S318" s="59"/>
      <c r="T318" s="59"/>
      <c r="U318" s="59"/>
      <c r="V318" s="59"/>
      <c r="W318" s="50"/>
      <c r="X318" s="84">
        <v>701</v>
      </c>
      <c r="Y318" s="104">
        <f t="shared" si="168"/>
        <v>1.1929014325141925E-3</v>
      </c>
      <c r="Z318" s="96">
        <f t="shared" si="164"/>
        <v>0.79553412349391339</v>
      </c>
      <c r="AA318" s="94">
        <f t="shared" si="165"/>
        <v>731610.15646954055</v>
      </c>
      <c r="AB318" s="163">
        <f t="shared" si="167"/>
        <v>1.1929014325141925E-3</v>
      </c>
      <c r="AC318" s="96">
        <f t="shared" si="166"/>
        <v>0.79553412349391339</v>
      </c>
      <c r="AD318" s="94">
        <f t="shared" si="163"/>
        <v>731610.15646954055</v>
      </c>
    </row>
    <row r="319" spans="10:30" x14ac:dyDescent="0.25">
      <c r="J319" s="56"/>
      <c r="K319" s="56"/>
      <c r="L319" s="130"/>
      <c r="M319" s="130"/>
      <c r="N319" s="130"/>
      <c r="O319" s="59"/>
      <c r="P319" s="59"/>
      <c r="Q319" s="59"/>
      <c r="R319" s="59"/>
      <c r="S319" s="59"/>
      <c r="T319" s="59"/>
      <c r="U319" s="59"/>
      <c r="V319" s="59"/>
      <c r="W319" s="50"/>
      <c r="X319" s="84">
        <v>700</v>
      </c>
      <c r="Y319" s="104">
        <f t="shared" si="168"/>
        <v>1.1968910694122334E-3</v>
      </c>
      <c r="Z319" s="96">
        <f t="shared" si="164"/>
        <v>0.79594632691650924</v>
      </c>
      <c r="AA319" s="94">
        <f t="shared" si="165"/>
        <v>728663.27623012278</v>
      </c>
      <c r="AB319" s="163">
        <f t="shared" si="167"/>
        <v>1.1968910694122334E-3</v>
      </c>
      <c r="AC319" s="96">
        <f t="shared" si="166"/>
        <v>0.79594632691650924</v>
      </c>
      <c r="AD319" s="94">
        <f t="shared" si="163"/>
        <v>728663.27623012278</v>
      </c>
    </row>
    <row r="320" spans="10:30" x14ac:dyDescent="0.25">
      <c r="J320" s="56"/>
      <c r="K320" s="56"/>
      <c r="L320" s="130"/>
      <c r="M320" s="130"/>
      <c r="N320" s="130"/>
      <c r="O320" s="59"/>
      <c r="P320" s="59"/>
      <c r="Q320" s="59"/>
      <c r="R320" s="59"/>
      <c r="S320" s="59"/>
      <c r="T320" s="59"/>
      <c r="U320" s="59"/>
      <c r="V320" s="59"/>
      <c r="W320" s="50"/>
      <c r="X320" s="84">
        <v>699</v>
      </c>
      <c r="Y320" s="104">
        <f t="shared" si="168"/>
        <v>1.2008807063102742E-3</v>
      </c>
      <c r="Z320" s="96">
        <f t="shared" si="164"/>
        <v>0.79635784390589714</v>
      </c>
      <c r="AA320" s="94">
        <f t="shared" si="165"/>
        <v>725727.23542646249</v>
      </c>
      <c r="AB320" s="163">
        <f t="shared" si="167"/>
        <v>1.2008807063102742E-3</v>
      </c>
      <c r="AC320" s="96">
        <f t="shared" si="166"/>
        <v>0.79635784390589714</v>
      </c>
      <c r="AD320" s="94">
        <f t="shared" si="163"/>
        <v>725727.23542646249</v>
      </c>
    </row>
    <row r="321" spans="10:30" x14ac:dyDescent="0.25">
      <c r="J321" s="56"/>
      <c r="K321" s="56"/>
      <c r="L321" s="130"/>
      <c r="M321" s="130"/>
      <c r="N321" s="130"/>
      <c r="O321" s="59"/>
      <c r="P321" s="59"/>
      <c r="Q321" s="59"/>
      <c r="R321" s="59"/>
      <c r="S321" s="59"/>
      <c r="T321" s="59"/>
      <c r="U321" s="59"/>
      <c r="V321" s="59"/>
      <c r="W321" s="50"/>
      <c r="X321" s="84">
        <v>698</v>
      </c>
      <c r="Y321" s="104">
        <f t="shared" si="168"/>
        <v>1.2048703432083151E-3</v>
      </c>
      <c r="Z321" s="96">
        <f t="shared" si="164"/>
        <v>0.79676867788001449</v>
      </c>
      <c r="AA321" s="94">
        <f t="shared" si="165"/>
        <v>722801.98008615361</v>
      </c>
      <c r="AB321" s="163">
        <f t="shared" si="167"/>
        <v>1.2048703432083151E-3</v>
      </c>
      <c r="AC321" s="96">
        <f t="shared" si="166"/>
        <v>0.79676867788001449</v>
      </c>
      <c r="AD321" s="94">
        <f t="shared" si="163"/>
        <v>722801.98008615361</v>
      </c>
    </row>
    <row r="322" spans="10:30" x14ac:dyDescent="0.25">
      <c r="J322" s="56"/>
      <c r="K322" s="56"/>
      <c r="L322" s="130"/>
      <c r="M322" s="130"/>
      <c r="N322" s="130"/>
      <c r="O322" s="59"/>
      <c r="P322" s="59"/>
      <c r="Q322" s="59"/>
      <c r="R322" s="59"/>
      <c r="S322" s="59"/>
      <c r="T322" s="59"/>
      <c r="U322" s="59"/>
      <c r="V322" s="59"/>
      <c r="W322" s="50"/>
      <c r="X322" s="84">
        <v>697</v>
      </c>
      <c r="Y322" s="104">
        <f t="shared" si="168"/>
        <v>1.2088599801063559E-3</v>
      </c>
      <c r="Z322" s="96">
        <f t="shared" si="164"/>
        <v>0.79717883222852615</v>
      </c>
      <c r="AA322" s="94">
        <f t="shared" si="165"/>
        <v>719887.45668322709</v>
      </c>
      <c r="AB322" s="163">
        <f t="shared" si="167"/>
        <v>1.2088599801063559E-3</v>
      </c>
      <c r="AC322" s="96">
        <f t="shared" si="166"/>
        <v>0.79717883222852615</v>
      </c>
      <c r="AD322" s="94">
        <f t="shared" si="163"/>
        <v>719887.45668322709</v>
      </c>
    </row>
    <row r="323" spans="10:30" x14ac:dyDescent="0.25">
      <c r="J323" s="56"/>
      <c r="K323" s="56"/>
      <c r="L323" s="130"/>
      <c r="M323" s="130"/>
      <c r="N323" s="130"/>
      <c r="O323" s="59"/>
      <c r="P323" s="59"/>
      <c r="Q323" s="59"/>
      <c r="R323" s="59"/>
      <c r="S323" s="59"/>
      <c r="T323" s="59"/>
      <c r="U323" s="59"/>
      <c r="V323" s="59"/>
      <c r="W323" s="50"/>
      <c r="X323" s="84">
        <v>696</v>
      </c>
      <c r="Y323" s="104">
        <f t="shared" si="168"/>
        <v>1.2128496170043968E-3</v>
      </c>
      <c r="Z323" s="96">
        <f t="shared" si="164"/>
        <v>0.79758831031315314</v>
      </c>
      <c r="AA323" s="94">
        <f t="shared" si="165"/>
        <v>716983.61213297746</v>
      </c>
      <c r="AB323" s="163">
        <f t="shared" si="167"/>
        <v>1.2128496170043968E-3</v>
      </c>
      <c r="AC323" s="96">
        <f t="shared" si="166"/>
        <v>0.79758831031315314</v>
      </c>
      <c r="AD323" s="94">
        <f t="shared" si="163"/>
        <v>716983.61213297746</v>
      </c>
    </row>
    <row r="324" spans="10:30" x14ac:dyDescent="0.25">
      <c r="J324" s="56"/>
      <c r="K324" s="56"/>
      <c r="L324" s="130"/>
      <c r="M324" s="130"/>
      <c r="N324" s="130"/>
      <c r="O324" s="59"/>
      <c r="P324" s="59"/>
      <c r="Q324" s="59"/>
      <c r="R324" s="59"/>
      <c r="S324" s="59"/>
      <c r="T324" s="59"/>
      <c r="U324" s="59"/>
      <c r="V324" s="59"/>
      <c r="W324" s="50"/>
      <c r="X324" s="84">
        <v>695</v>
      </c>
      <c r="Y324" s="104">
        <f t="shared" si="168"/>
        <v>1.2168392539024376E-3</v>
      </c>
      <c r="Z324" s="96">
        <f t="shared" si="164"/>
        <v>0.79799711546799712</v>
      </c>
      <c r="AA324" s="94">
        <f t="shared" si="165"/>
        <v>714090.39378687018</v>
      </c>
      <c r="AB324" s="163">
        <f t="shared" si="167"/>
        <v>1.2168392539024376E-3</v>
      </c>
      <c r="AC324" s="96">
        <f t="shared" si="166"/>
        <v>0.79799711546799712</v>
      </c>
      <c r="AD324" s="94">
        <f t="shared" si="163"/>
        <v>714090.39378687018</v>
      </c>
    </row>
    <row r="325" spans="10:30" x14ac:dyDescent="0.25">
      <c r="J325" s="56"/>
      <c r="K325" s="56"/>
      <c r="L325" s="130"/>
      <c r="M325" s="130"/>
      <c r="N325" s="130"/>
      <c r="O325" s="59"/>
      <c r="P325" s="59"/>
      <c r="Q325" s="59"/>
      <c r="R325" s="59"/>
      <c r="S325" s="59"/>
      <c r="T325" s="59"/>
      <c r="U325" s="59"/>
      <c r="V325" s="59"/>
      <c r="W325" s="50"/>
      <c r="X325" s="84">
        <v>694</v>
      </c>
      <c r="Y325" s="104">
        <f t="shared" si="168"/>
        <v>1.2208288908004785E-3</v>
      </c>
      <c r="Z325" s="96">
        <f t="shared" si="164"/>
        <v>0.79840525099984361</v>
      </c>
      <c r="AA325" s="94">
        <f t="shared" si="165"/>
        <v>711207.74942763045</v>
      </c>
      <c r="AB325" s="163">
        <f t="shared" si="167"/>
        <v>1.2208288908004785E-3</v>
      </c>
      <c r="AC325" s="96">
        <f t="shared" si="166"/>
        <v>0.79840525099984361</v>
      </c>
      <c r="AD325" s="94">
        <f t="shared" si="163"/>
        <v>711207.74942763045</v>
      </c>
    </row>
    <row r="326" spans="10:30" x14ac:dyDescent="0.25">
      <c r="J326" s="56"/>
      <c r="K326" s="56"/>
      <c r="L326" s="130"/>
      <c r="M326" s="130"/>
      <c r="N326" s="130"/>
      <c r="O326" s="59"/>
      <c r="P326" s="59"/>
      <c r="Q326" s="59"/>
      <c r="R326" s="59"/>
      <c r="S326" s="59"/>
      <c r="T326" s="59"/>
      <c r="U326" s="59"/>
      <c r="V326" s="59"/>
      <c r="W326" s="50"/>
      <c r="X326" s="84">
        <v>693</v>
      </c>
      <c r="Y326" s="104">
        <f t="shared" si="168"/>
        <v>1.2248185276985193E-3</v>
      </c>
      <c r="Z326" s="96">
        <f t="shared" si="164"/>
        <v>0.7988127201884947</v>
      </c>
      <c r="AA326" s="94">
        <f t="shared" si="165"/>
        <v>708335.62726417568</v>
      </c>
      <c r="AB326" s="163">
        <f t="shared" si="167"/>
        <v>1.2248185276985193E-3</v>
      </c>
      <c r="AC326" s="96">
        <f t="shared" si="166"/>
        <v>0.7988127201884947</v>
      </c>
      <c r="AD326" s="94">
        <f t="shared" si="163"/>
        <v>708335.62726417568</v>
      </c>
    </row>
    <row r="327" spans="10:30" x14ac:dyDescent="0.25">
      <c r="J327" s="56"/>
      <c r="K327" s="56"/>
      <c r="L327" s="130"/>
      <c r="M327" s="130"/>
      <c r="N327" s="130"/>
      <c r="O327" s="59"/>
      <c r="P327" s="59"/>
      <c r="Q327" s="59"/>
      <c r="R327" s="59"/>
      <c r="S327" s="59"/>
      <c r="T327" s="59"/>
      <c r="U327" s="59"/>
      <c r="V327" s="59"/>
      <c r="W327" s="50"/>
      <c r="X327" s="84">
        <v>692</v>
      </c>
      <c r="Y327" s="104">
        <f t="shared" si="168"/>
        <v>1.2288081645965602E-3</v>
      </c>
      <c r="Z327" s="96">
        <f t="shared" si="164"/>
        <v>0.79921952628705595</v>
      </c>
      <c r="AA327" s="94">
        <f t="shared" si="165"/>
        <v>705473.97592689842</v>
      </c>
      <c r="AB327" s="163">
        <f t="shared" si="167"/>
        <v>1.2288081645965602E-3</v>
      </c>
      <c r="AC327" s="96">
        <f t="shared" si="166"/>
        <v>0.79921952628705595</v>
      </c>
      <c r="AD327" s="94">
        <f t="shared" si="163"/>
        <v>705473.97592689842</v>
      </c>
    </row>
    <row r="328" spans="10:30" x14ac:dyDescent="0.25">
      <c r="J328" s="56"/>
      <c r="K328" s="56"/>
      <c r="L328" s="130"/>
      <c r="M328" s="130"/>
      <c r="N328" s="130"/>
      <c r="O328" s="59"/>
      <c r="P328" s="59"/>
      <c r="Q328" s="59"/>
      <c r="R328" s="59"/>
      <c r="S328" s="59"/>
      <c r="T328" s="59"/>
      <c r="U328" s="59"/>
      <c r="V328" s="59"/>
      <c r="W328" s="50"/>
      <c r="X328" s="84">
        <v>691</v>
      </c>
      <c r="Y328" s="104">
        <f t="shared" si="168"/>
        <v>1.232797801494601E-3</v>
      </c>
      <c r="Z328" s="96">
        <f t="shared" si="164"/>
        <v>0.79962567252225869</v>
      </c>
      <c r="AA328" s="94">
        <f t="shared" si="165"/>
        <v>702622.74446274876</v>
      </c>
      <c r="AB328" s="163">
        <f t="shared" si="167"/>
        <v>1.232797801494601E-3</v>
      </c>
      <c r="AC328" s="96">
        <f t="shared" si="166"/>
        <v>0.79962567252225869</v>
      </c>
      <c r="AD328" s="94">
        <f t="shared" si="163"/>
        <v>702622.74446274876</v>
      </c>
    </row>
    <row r="329" spans="10:30" x14ac:dyDescent="0.25">
      <c r="J329" s="56"/>
      <c r="K329" s="56"/>
      <c r="L329" s="130"/>
      <c r="M329" s="130"/>
      <c r="N329" s="130"/>
      <c r="O329" s="59"/>
      <c r="P329" s="59"/>
      <c r="Q329" s="59"/>
      <c r="R329" s="59"/>
      <c r="S329" s="59"/>
      <c r="T329" s="59"/>
      <c r="U329" s="59"/>
      <c r="V329" s="59"/>
      <c r="W329" s="50"/>
      <c r="X329" s="84">
        <v>690</v>
      </c>
      <c r="Y329" s="104">
        <f t="shared" si="168"/>
        <v>1.2367874383926419E-3</v>
      </c>
      <c r="Z329" s="96">
        <f t="shared" si="164"/>
        <v>0.80003116209473846</v>
      </c>
      <c r="AA329" s="94">
        <f t="shared" si="165"/>
        <v>699781.88233066304</v>
      </c>
      <c r="AB329" s="163">
        <f t="shared" si="167"/>
        <v>1.2367874383926419E-3</v>
      </c>
      <c r="AC329" s="96">
        <f t="shared" si="166"/>
        <v>0.80003116209473846</v>
      </c>
      <c r="AD329" s="94">
        <f t="shared" si="163"/>
        <v>699781.88233066304</v>
      </c>
    </row>
    <row r="330" spans="10:30" x14ac:dyDescent="0.25">
      <c r="J330" s="56"/>
      <c r="K330" s="56"/>
      <c r="L330" s="130"/>
      <c r="M330" s="130"/>
      <c r="N330" s="130"/>
      <c r="O330" s="59"/>
      <c r="P330" s="59"/>
      <c r="Q330" s="59"/>
      <c r="R330" s="59"/>
      <c r="S330" s="59"/>
      <c r="T330" s="59"/>
      <c r="U330" s="59"/>
      <c r="V330" s="59"/>
      <c r="W330" s="50"/>
      <c r="X330" s="84">
        <v>689</v>
      </c>
      <c r="Y330" s="104">
        <f t="shared" si="168"/>
        <v>1.2407770752906827E-3</v>
      </c>
      <c r="Z330" s="96">
        <f t="shared" si="164"/>
        <v>0.80043599817935096</v>
      </c>
      <c r="AA330" s="94">
        <f t="shared" si="165"/>
        <v>696951.33939676033</v>
      </c>
      <c r="AB330" s="163">
        <f t="shared" si="167"/>
        <v>1.2407770752906827E-3</v>
      </c>
      <c r="AC330" s="96">
        <f t="shared" si="166"/>
        <v>0.80043599817935096</v>
      </c>
      <c r="AD330" s="94">
        <f t="shared" si="163"/>
        <v>696951.33939676033</v>
      </c>
    </row>
    <row r="331" spans="10:30" x14ac:dyDescent="0.25">
      <c r="J331" s="56"/>
      <c r="K331" s="56"/>
      <c r="L331" s="130"/>
      <c r="M331" s="130"/>
      <c r="N331" s="130"/>
      <c r="O331" s="59"/>
      <c r="P331" s="59"/>
      <c r="Q331" s="59"/>
      <c r="R331" s="59"/>
      <c r="S331" s="59"/>
      <c r="T331" s="59"/>
      <c r="U331" s="59"/>
      <c r="V331" s="59"/>
      <c r="W331" s="50"/>
      <c r="X331" s="84">
        <v>688</v>
      </c>
      <c r="Y331" s="104">
        <f t="shared" si="168"/>
        <v>1.2447667121887236E-3</v>
      </c>
      <c r="Z331" s="96">
        <f t="shared" si="164"/>
        <v>0.80084018392544276</v>
      </c>
      <c r="AA331" s="94">
        <f t="shared" si="165"/>
        <v>694131.06592990004</v>
      </c>
      <c r="AB331" s="163">
        <f t="shared" si="167"/>
        <v>1.2447667121887236E-3</v>
      </c>
      <c r="AC331" s="96">
        <f t="shared" si="166"/>
        <v>0.80084018392544276</v>
      </c>
      <c r="AD331" s="94">
        <f t="shared" si="163"/>
        <v>694131.06592990004</v>
      </c>
    </row>
    <row r="332" spans="10:30" x14ac:dyDescent="0.25">
      <c r="J332" s="56"/>
      <c r="K332" s="56"/>
      <c r="L332" s="130"/>
      <c r="M332" s="130"/>
      <c r="N332" s="130"/>
      <c r="O332" s="59"/>
      <c r="P332" s="59"/>
      <c r="Q332" s="59"/>
      <c r="R332" s="59"/>
      <c r="S332" s="59"/>
      <c r="T332" s="59"/>
      <c r="U332" s="59"/>
      <c r="V332" s="59"/>
      <c r="W332" s="50"/>
      <c r="X332" s="84">
        <v>687</v>
      </c>
      <c r="Y332" s="104">
        <f t="shared" si="168"/>
        <v>1.2487563490867644E-3</v>
      </c>
      <c r="Z332" s="96">
        <f t="shared" si="164"/>
        <v>0.80124372245714759</v>
      </c>
      <c r="AA332" s="94">
        <f t="shared" si="165"/>
        <v>691321.01259709965</v>
      </c>
      <c r="AB332" s="163">
        <f t="shared" si="167"/>
        <v>1.2487563490867644E-3</v>
      </c>
      <c r="AC332" s="96">
        <f t="shared" si="166"/>
        <v>0.80124372245714759</v>
      </c>
      <c r="AD332" s="94">
        <f t="shared" si="163"/>
        <v>691321.01259709965</v>
      </c>
    </row>
    <row r="333" spans="10:30" x14ac:dyDescent="0.25">
      <c r="J333" s="56"/>
      <c r="K333" s="56"/>
      <c r="L333" s="130"/>
      <c r="M333" s="130"/>
      <c r="N333" s="130"/>
      <c r="O333" s="59"/>
      <c r="P333" s="59"/>
      <c r="Q333" s="59"/>
      <c r="R333" s="59"/>
      <c r="S333" s="59"/>
      <c r="T333" s="59"/>
      <c r="U333" s="59"/>
      <c r="V333" s="59"/>
      <c r="W333" s="50"/>
      <c r="X333" s="84">
        <v>686</v>
      </c>
      <c r="Y333" s="104">
        <f t="shared" si="168"/>
        <v>1.2527459859848053E-3</v>
      </c>
      <c r="Z333" s="96">
        <f t="shared" si="164"/>
        <v>0.80164661687366801</v>
      </c>
      <c r="AA333" s="94">
        <f t="shared" si="165"/>
        <v>688521.13045907614</v>
      </c>
      <c r="AB333" s="163">
        <f t="shared" si="167"/>
        <v>1.2527459859848053E-3</v>
      </c>
      <c r="AC333" s="96">
        <f t="shared" si="166"/>
        <v>0.80164661687366801</v>
      </c>
      <c r="AD333" s="94">
        <f t="shared" si="163"/>
        <v>688521.13045907614</v>
      </c>
    </row>
    <row r="334" spans="10:30" x14ac:dyDescent="0.25">
      <c r="J334" s="56"/>
      <c r="K334" s="56"/>
      <c r="L334" s="130"/>
      <c r="M334" s="130"/>
      <c r="N334" s="130"/>
      <c r="O334" s="59"/>
      <c r="P334" s="59"/>
      <c r="Q334" s="59"/>
      <c r="R334" s="59"/>
      <c r="S334" s="59"/>
      <c r="T334" s="59"/>
      <c r="U334" s="59"/>
      <c r="V334" s="59"/>
      <c r="W334" s="50"/>
      <c r="X334" s="84">
        <v>685</v>
      </c>
      <c r="Y334" s="104">
        <f t="shared" si="168"/>
        <v>1.2567356228828461E-3</v>
      </c>
      <c r="Z334" s="96">
        <f t="shared" si="164"/>
        <v>0.80204887024954941</v>
      </c>
      <c r="AA334" s="94">
        <f t="shared" si="165"/>
        <v>685731.37096589617</v>
      </c>
      <c r="AB334" s="163">
        <f t="shared" si="167"/>
        <v>1.2567356228828461E-3</v>
      </c>
      <c r="AC334" s="96">
        <f t="shared" si="166"/>
        <v>0.80204887024954941</v>
      </c>
      <c r="AD334" s="94">
        <f t="shared" si="163"/>
        <v>685731.37096589617</v>
      </c>
    </row>
    <row r="335" spans="10:30" x14ac:dyDescent="0.25">
      <c r="J335" s="56"/>
      <c r="K335" s="56"/>
      <c r="L335" s="130"/>
      <c r="M335" s="130"/>
      <c r="N335" s="130"/>
      <c r="O335" s="59"/>
      <c r="P335" s="59"/>
      <c r="Q335" s="59"/>
      <c r="R335" s="59"/>
      <c r="S335" s="59"/>
      <c r="T335" s="59"/>
      <c r="U335" s="59"/>
      <c r="V335" s="59"/>
      <c r="W335" s="50"/>
      <c r="X335" s="84">
        <v>684</v>
      </c>
      <c r="Y335" s="104">
        <f t="shared" si="168"/>
        <v>1.260725259780887E-3</v>
      </c>
      <c r="Z335" s="96">
        <f t="shared" si="164"/>
        <v>0.80245048563495214</v>
      </c>
      <c r="AA335" s="94">
        <f t="shared" si="165"/>
        <v>682951.68595266039</v>
      </c>
      <c r="AB335" s="163">
        <f t="shared" si="167"/>
        <v>1.260725259780887E-3</v>
      </c>
      <c r="AC335" s="96">
        <f t="shared" si="166"/>
        <v>0.80245048563495214</v>
      </c>
      <c r="AD335" s="94">
        <f t="shared" si="163"/>
        <v>682951.68595266039</v>
      </c>
    </row>
    <row r="336" spans="10:30" x14ac:dyDescent="0.25">
      <c r="J336" s="56"/>
      <c r="K336" s="56"/>
      <c r="L336" s="130"/>
      <c r="M336" s="130"/>
      <c r="N336" s="130"/>
      <c r="O336" s="59"/>
      <c r="P336" s="59"/>
      <c r="Q336" s="59"/>
      <c r="R336" s="59"/>
      <c r="S336" s="59"/>
      <c r="T336" s="59"/>
      <c r="U336" s="59"/>
      <c r="V336" s="59"/>
      <c r="W336" s="50"/>
      <c r="X336" s="84">
        <v>683</v>
      </c>
      <c r="Y336" s="104">
        <f t="shared" si="168"/>
        <v>1.2647148966789278E-3</v>
      </c>
      <c r="Z336" s="96">
        <f t="shared" si="164"/>
        <v>0.80285146605593238</v>
      </c>
      <c r="AA336" s="94">
        <f t="shared" si="165"/>
        <v>680182.02763516514</v>
      </c>
      <c r="AB336" s="163">
        <f t="shared" si="167"/>
        <v>1.2647148966789278E-3</v>
      </c>
      <c r="AC336" s="96">
        <f t="shared" si="166"/>
        <v>0.80285146605593238</v>
      </c>
      <c r="AD336" s="94">
        <f t="shared" si="163"/>
        <v>680182.02763516514</v>
      </c>
    </row>
    <row r="337" spans="10:30" x14ac:dyDescent="0.25">
      <c r="J337" s="56"/>
      <c r="K337" s="56"/>
      <c r="L337" s="130"/>
      <c r="M337" s="130"/>
      <c r="N337" s="130"/>
      <c r="O337" s="59"/>
      <c r="P337" s="59"/>
      <c r="Q337" s="59"/>
      <c r="R337" s="59"/>
      <c r="S337" s="59"/>
      <c r="T337" s="59"/>
      <c r="U337" s="59"/>
      <c r="V337" s="59"/>
      <c r="W337" s="50"/>
      <c r="X337" s="84">
        <v>682</v>
      </c>
      <c r="Y337" s="104">
        <f t="shared" si="168"/>
        <v>1.2687045335769687E-3</v>
      </c>
      <c r="Z337" s="96">
        <f t="shared" si="164"/>
        <v>0.80325181451468952</v>
      </c>
      <c r="AA337" s="94">
        <f t="shared" si="165"/>
        <v>677422.34860583826</v>
      </c>
      <c r="AB337" s="163">
        <f t="shared" si="167"/>
        <v>1.2687045335769687E-3</v>
      </c>
      <c r="AC337" s="96">
        <f t="shared" si="166"/>
        <v>0.80325181451468952</v>
      </c>
      <c r="AD337" s="94">
        <f t="shared" si="163"/>
        <v>677422.34860583826</v>
      </c>
    </row>
    <row r="338" spans="10:30" x14ac:dyDescent="0.25">
      <c r="J338" s="56"/>
      <c r="K338" s="56"/>
      <c r="L338" s="130"/>
      <c r="M338" s="130"/>
      <c r="N338" s="130"/>
      <c r="O338" s="59"/>
      <c r="P338" s="59"/>
      <c r="Q338" s="59"/>
      <c r="R338" s="59"/>
      <c r="S338" s="59"/>
      <c r="T338" s="59"/>
      <c r="U338" s="59"/>
      <c r="V338" s="59"/>
      <c r="W338" s="50"/>
      <c r="X338" s="84">
        <v>681</v>
      </c>
      <c r="Y338" s="104">
        <f t="shared" si="168"/>
        <v>1.2726941704750095E-3</v>
      </c>
      <c r="Z338" s="96">
        <f t="shared" si="164"/>
        <v>0.8036515339898489</v>
      </c>
      <c r="AA338" s="94">
        <f t="shared" si="165"/>
        <v>674672.60182944092</v>
      </c>
      <c r="AB338" s="163">
        <f t="shared" si="167"/>
        <v>1.2726941704750095E-3</v>
      </c>
      <c r="AC338" s="96">
        <f t="shared" si="166"/>
        <v>0.8036515339898489</v>
      </c>
      <c r="AD338" s="94">
        <f t="shared" si="163"/>
        <v>674672.60182944092</v>
      </c>
    </row>
    <row r="339" spans="10:30" x14ac:dyDescent="0.25">
      <c r="J339" s="56"/>
      <c r="K339" s="56"/>
      <c r="L339" s="130"/>
      <c r="M339" s="130"/>
      <c r="N339" s="130"/>
      <c r="O339" s="59"/>
      <c r="P339" s="59"/>
      <c r="Q339" s="59"/>
      <c r="R339" s="59"/>
      <c r="S339" s="59"/>
      <c r="T339" s="59"/>
      <c r="U339" s="59"/>
      <c r="V339" s="59"/>
      <c r="W339" s="50"/>
      <c r="X339" s="84">
        <v>680</v>
      </c>
      <c r="Y339" s="104">
        <f t="shared" si="168"/>
        <v>1.2766838073730504E-3</v>
      </c>
      <c r="Z339" s="96">
        <f t="shared" si="164"/>
        <v>0.80405062743670497</v>
      </c>
      <c r="AA339" s="94">
        <f t="shared" si="165"/>
        <v>671932.74063910835</v>
      </c>
      <c r="AB339" s="163">
        <f t="shared" si="167"/>
        <v>1.2766838073730504E-3</v>
      </c>
      <c r="AC339" s="96">
        <f t="shared" si="166"/>
        <v>0.80405062743670497</v>
      </c>
      <c r="AD339" s="94">
        <f t="shared" ref="AD339:AD402" si="169">IF(AC339&lt;1,X$14*((1-ropt)-Y$14*(1-ropt^2)+Z$14*(1-ropt^3)),0)</f>
        <v>671932.74063910835</v>
      </c>
    </row>
    <row r="340" spans="10:30" x14ac:dyDescent="0.25">
      <c r="J340" s="56"/>
      <c r="K340" s="56"/>
      <c r="L340" s="130"/>
      <c r="M340" s="130"/>
      <c r="N340" s="130"/>
      <c r="O340" s="59"/>
      <c r="P340" s="59"/>
      <c r="Q340" s="59"/>
      <c r="R340" s="59"/>
      <c r="S340" s="59"/>
      <c r="T340" s="59"/>
      <c r="U340" s="59"/>
      <c r="V340" s="59"/>
      <c r="W340" s="50"/>
      <c r="X340" s="84">
        <v>679</v>
      </c>
      <c r="Y340" s="104">
        <f t="shared" si="168"/>
        <v>1.2806734442710912E-3</v>
      </c>
      <c r="Z340" s="96">
        <f t="shared" ref="Z340:Z403" si="170">(K-(L0-Y340*Ldif-alph*Y340^0.5))/R0</f>
        <v>0.8044490977874873</v>
      </c>
      <c r="AA340" s="94">
        <f t="shared" ref="AA340:AA403" si="171">IF(Z340&lt;1,X$14*((1-r.1)-Y$14*(1-r.1^2)+Z$14*(1-r.1^3)),0)</f>
        <v>669202.71873223456</v>
      </c>
      <c r="AB340" s="163">
        <f t="shared" si="167"/>
        <v>1.2806734442710912E-3</v>
      </c>
      <c r="AC340" s="96">
        <f t="shared" ref="AC340:AC403" si="172">(Kopt-(L0-AB340*Ldif-alph*AB340^0.5))/R0</f>
        <v>0.8044490977874873</v>
      </c>
      <c r="AD340" s="94">
        <f t="shared" si="169"/>
        <v>669202.71873223456</v>
      </c>
    </row>
    <row r="341" spans="10:30" x14ac:dyDescent="0.25">
      <c r="J341" s="56"/>
      <c r="K341" s="56"/>
      <c r="L341" s="130"/>
      <c r="M341" s="130"/>
      <c r="N341" s="130"/>
      <c r="O341" s="59"/>
      <c r="P341" s="59"/>
      <c r="Q341" s="59"/>
      <c r="R341" s="59"/>
      <c r="S341" s="59"/>
      <c r="T341" s="59"/>
      <c r="U341" s="59"/>
      <c r="V341" s="59"/>
      <c r="W341" s="50"/>
      <c r="X341" s="84">
        <v>678</v>
      </c>
      <c r="Y341" s="104">
        <f t="shared" si="168"/>
        <v>1.2846630811691321E-3</v>
      </c>
      <c r="Z341" s="96">
        <f t="shared" si="170"/>
        <v>0.80484694795159561</v>
      </c>
      <c r="AA341" s="94">
        <f t="shared" si="171"/>
        <v>666482.49016662757</v>
      </c>
      <c r="AB341" s="163">
        <f t="shared" ref="AB341:AB404" si="173">AB340+AB$15</f>
        <v>1.2846630811691321E-3</v>
      </c>
      <c r="AC341" s="96">
        <f t="shared" si="172"/>
        <v>0.80484694795159561</v>
      </c>
      <c r="AD341" s="94">
        <f t="shared" si="169"/>
        <v>666482.49016662757</v>
      </c>
    </row>
    <row r="342" spans="10:30" x14ac:dyDescent="0.25">
      <c r="J342" s="56"/>
      <c r="K342" s="56"/>
      <c r="L342" s="130"/>
      <c r="M342" s="130"/>
      <c r="N342" s="130"/>
      <c r="O342" s="59"/>
      <c r="P342" s="59"/>
      <c r="Q342" s="59"/>
      <c r="R342" s="59"/>
      <c r="S342" s="59"/>
      <c r="T342" s="59"/>
      <c r="U342" s="59"/>
      <c r="V342" s="59"/>
      <c r="W342" s="50"/>
      <c r="X342" s="84">
        <v>677</v>
      </c>
      <c r="Y342" s="104">
        <f t="shared" si="168"/>
        <v>1.2886527180671729E-3</v>
      </c>
      <c r="Z342" s="96">
        <f t="shared" si="170"/>
        <v>0.80524418081587223</v>
      </c>
      <c r="AA342" s="94">
        <f t="shared" si="171"/>
        <v>663772.00935641187</v>
      </c>
      <c r="AB342" s="163">
        <f t="shared" si="173"/>
        <v>1.2886527180671729E-3</v>
      </c>
      <c r="AC342" s="96">
        <f t="shared" si="172"/>
        <v>0.80524418081587223</v>
      </c>
      <c r="AD342" s="94">
        <f t="shared" si="169"/>
        <v>663772.00935641187</v>
      </c>
    </row>
    <row r="343" spans="10:30" x14ac:dyDescent="0.25">
      <c r="J343" s="56"/>
      <c r="K343" s="56"/>
      <c r="L343" s="130"/>
      <c r="M343" s="130"/>
      <c r="N343" s="130"/>
      <c r="O343" s="59"/>
      <c r="P343" s="59"/>
      <c r="Q343" s="59"/>
      <c r="R343" s="59"/>
      <c r="S343" s="59"/>
      <c r="T343" s="59"/>
      <c r="U343" s="59"/>
      <c r="V343" s="59"/>
      <c r="W343" s="50"/>
      <c r="X343" s="84">
        <v>676</v>
      </c>
      <c r="Y343" s="104">
        <f t="shared" si="168"/>
        <v>1.2926423549652138E-3</v>
      </c>
      <c r="Z343" s="96">
        <f t="shared" si="170"/>
        <v>0.80564079924482412</v>
      </c>
      <c r="AA343" s="94">
        <f t="shared" si="171"/>
        <v>661071.2310683385</v>
      </c>
      <c r="AB343" s="163">
        <f t="shared" si="173"/>
        <v>1.2926423549652138E-3</v>
      </c>
      <c r="AC343" s="96">
        <f t="shared" si="172"/>
        <v>0.80564079924482412</v>
      </c>
      <c r="AD343" s="94">
        <f t="shared" si="169"/>
        <v>661071.2310683385</v>
      </c>
    </row>
    <row r="344" spans="10:30" x14ac:dyDescent="0.25">
      <c r="J344" s="56"/>
      <c r="K344" s="56"/>
      <c r="L344" s="130"/>
      <c r="M344" s="130"/>
      <c r="N344" s="130"/>
      <c r="O344" s="59"/>
      <c r="P344" s="59"/>
      <c r="Q344" s="59"/>
      <c r="R344" s="59"/>
      <c r="S344" s="59"/>
      <c r="T344" s="59"/>
      <c r="U344" s="59"/>
      <c r="V344" s="59"/>
      <c r="W344" s="50"/>
      <c r="X344" s="84">
        <v>675</v>
      </c>
      <c r="Y344" s="104">
        <f t="shared" si="168"/>
        <v>1.2966319918632546E-3</v>
      </c>
      <c r="Z344" s="96">
        <f t="shared" si="170"/>
        <v>0.8060368060808728</v>
      </c>
      <c r="AA344" s="94">
        <f t="shared" si="171"/>
        <v>658380.11041790759</v>
      </c>
      <c r="AB344" s="163">
        <f t="shared" si="173"/>
        <v>1.2966319918632546E-3</v>
      </c>
      <c r="AC344" s="96">
        <f t="shared" si="172"/>
        <v>0.8060368060808728</v>
      </c>
      <c r="AD344" s="94">
        <f t="shared" si="169"/>
        <v>658380.11041790759</v>
      </c>
    </row>
    <row r="345" spans="10:30" x14ac:dyDescent="0.25">
      <c r="J345" s="56"/>
      <c r="K345" s="56"/>
      <c r="L345" s="130"/>
      <c r="M345" s="130"/>
      <c r="N345" s="130"/>
      <c r="O345" s="59"/>
      <c r="P345" s="59"/>
      <c r="Q345" s="59"/>
      <c r="R345" s="59"/>
      <c r="S345" s="59"/>
      <c r="T345" s="59"/>
      <c r="U345" s="59"/>
      <c r="V345" s="59"/>
      <c r="W345" s="50"/>
      <c r="X345" s="84">
        <v>674</v>
      </c>
      <c r="Y345" s="104">
        <f t="shared" si="168"/>
        <v>1.3006216287612955E-3</v>
      </c>
      <c r="Z345" s="96">
        <f t="shared" si="170"/>
        <v>0.80643220414459715</v>
      </c>
      <c r="AA345" s="94">
        <f t="shared" si="171"/>
        <v>655698.60286558105</v>
      </c>
      <c r="AB345" s="163">
        <f t="shared" si="173"/>
        <v>1.3006216287612955E-3</v>
      </c>
      <c r="AC345" s="96">
        <f t="shared" si="172"/>
        <v>0.80643220414459715</v>
      </c>
      <c r="AD345" s="94">
        <f t="shared" si="169"/>
        <v>655698.60286558105</v>
      </c>
    </row>
    <row r="346" spans="10:30" x14ac:dyDescent="0.25">
      <c r="J346" s="56"/>
      <c r="K346" s="56"/>
      <c r="L346" s="130"/>
      <c r="M346" s="130"/>
      <c r="N346" s="130"/>
      <c r="O346" s="59"/>
      <c r="P346" s="59"/>
      <c r="Q346" s="59"/>
      <c r="R346" s="59"/>
      <c r="S346" s="59"/>
      <c r="T346" s="59"/>
      <c r="U346" s="59"/>
      <c r="V346" s="59"/>
      <c r="W346" s="50"/>
      <c r="X346" s="84">
        <v>673</v>
      </c>
      <c r="Y346" s="104">
        <f t="shared" si="168"/>
        <v>1.3046112656593363E-3</v>
      </c>
      <c r="Z346" s="96">
        <f t="shared" si="170"/>
        <v>0.80682699623495235</v>
      </c>
      <c r="AA346" s="94">
        <f t="shared" si="171"/>
        <v>653026.66421319474</v>
      </c>
      <c r="AB346" s="163">
        <f t="shared" si="173"/>
        <v>1.3046112656593363E-3</v>
      </c>
      <c r="AC346" s="96">
        <f t="shared" si="172"/>
        <v>0.80682699623495235</v>
      </c>
      <c r="AD346" s="94">
        <f t="shared" si="169"/>
        <v>653026.66421319474</v>
      </c>
    </row>
    <row r="347" spans="10:30" x14ac:dyDescent="0.25">
      <c r="J347" s="56"/>
      <c r="K347" s="56"/>
      <c r="L347" s="130"/>
      <c r="M347" s="130"/>
      <c r="N347" s="130"/>
      <c r="O347" s="59"/>
      <c r="P347" s="59"/>
      <c r="Q347" s="59"/>
      <c r="R347" s="59"/>
      <c r="S347" s="59"/>
      <c r="T347" s="59"/>
      <c r="U347" s="59"/>
      <c r="V347" s="59"/>
      <c r="W347" s="50"/>
      <c r="X347" s="84">
        <v>672</v>
      </c>
      <c r="Y347" s="104">
        <f t="shared" si="168"/>
        <v>1.3086009025573772E-3</v>
      </c>
      <c r="Z347" s="96">
        <f t="shared" si="170"/>
        <v>0.80722118512952445</v>
      </c>
      <c r="AA347" s="94">
        <f t="shared" si="171"/>
        <v>650364.25060013821</v>
      </c>
      <c r="AB347" s="163">
        <f t="shared" si="173"/>
        <v>1.3086009025573772E-3</v>
      </c>
      <c r="AC347" s="96">
        <f t="shared" si="172"/>
        <v>0.80722118512952445</v>
      </c>
      <c r="AD347" s="94">
        <f t="shared" si="169"/>
        <v>650364.25060013821</v>
      </c>
    </row>
    <row r="348" spans="10:30" x14ac:dyDescent="0.25">
      <c r="J348" s="56"/>
      <c r="K348" s="56"/>
      <c r="L348" s="130"/>
      <c r="M348" s="130"/>
      <c r="N348" s="130"/>
      <c r="O348" s="59"/>
      <c r="P348" s="59"/>
      <c r="Q348" s="59"/>
      <c r="R348" s="59"/>
      <c r="S348" s="59"/>
      <c r="T348" s="59"/>
      <c r="U348" s="59"/>
      <c r="V348" s="59"/>
      <c r="W348" s="50"/>
      <c r="X348" s="84">
        <v>671</v>
      </c>
      <c r="Y348" s="104">
        <f t="shared" si="168"/>
        <v>1.312590539455418E-3</v>
      </c>
      <c r="Z348" s="96">
        <f t="shared" si="170"/>
        <v>0.80761477358473133</v>
      </c>
      <c r="AA348" s="94">
        <f t="shared" si="171"/>
        <v>647711.31849994906</v>
      </c>
      <c r="AB348" s="163">
        <f t="shared" si="173"/>
        <v>1.312590539455418E-3</v>
      </c>
      <c r="AC348" s="96">
        <f t="shared" si="172"/>
        <v>0.80761477358473133</v>
      </c>
      <c r="AD348" s="94">
        <f t="shared" si="169"/>
        <v>647711.31849994906</v>
      </c>
    </row>
    <row r="349" spans="10:30" x14ac:dyDescent="0.25">
      <c r="J349" s="56"/>
      <c r="K349" s="56"/>
      <c r="L349" s="130"/>
      <c r="M349" s="130"/>
      <c r="N349" s="130"/>
      <c r="O349" s="59"/>
      <c r="P349" s="59"/>
      <c r="Q349" s="59"/>
      <c r="R349" s="59"/>
      <c r="S349" s="59"/>
      <c r="T349" s="59"/>
      <c r="U349" s="59"/>
      <c r="V349" s="59"/>
      <c r="W349" s="50"/>
      <c r="X349" s="84">
        <v>670</v>
      </c>
      <c r="Y349" s="104">
        <f t="shared" si="168"/>
        <v>1.3165801763534589E-3</v>
      </c>
      <c r="Z349" s="96">
        <f t="shared" si="170"/>
        <v>0.80800776433607291</v>
      </c>
      <c r="AA349" s="94">
        <f t="shared" si="171"/>
        <v>645067.82471657661</v>
      </c>
      <c r="AB349" s="163">
        <f t="shared" si="173"/>
        <v>1.3165801763534589E-3</v>
      </c>
      <c r="AC349" s="96">
        <f t="shared" si="172"/>
        <v>0.80800776433607291</v>
      </c>
      <c r="AD349" s="94">
        <f t="shared" si="169"/>
        <v>645067.82471657661</v>
      </c>
    </row>
    <row r="350" spans="10:30" x14ac:dyDescent="0.25">
      <c r="J350" s="56"/>
      <c r="K350" s="56"/>
      <c r="L350" s="130"/>
      <c r="M350" s="130"/>
      <c r="N350" s="130"/>
      <c r="O350" s="59"/>
      <c r="P350" s="59"/>
      <c r="Q350" s="59"/>
      <c r="R350" s="59"/>
      <c r="S350" s="59"/>
      <c r="T350" s="59"/>
      <c r="U350" s="59"/>
      <c r="V350" s="59"/>
      <c r="W350" s="50"/>
      <c r="X350" s="84">
        <v>669</v>
      </c>
      <c r="Y350" s="104">
        <f t="shared" si="168"/>
        <v>1.3205698132514997E-3</v>
      </c>
      <c r="Z350" s="96">
        <f t="shared" si="170"/>
        <v>0.80840016009833393</v>
      </c>
      <c r="AA350" s="94">
        <f t="shared" si="171"/>
        <v>642433.72638102074</v>
      </c>
      <c r="AB350" s="163">
        <f t="shared" si="173"/>
        <v>1.3205698132514997E-3</v>
      </c>
      <c r="AC350" s="96">
        <f t="shared" si="172"/>
        <v>0.80840016009833393</v>
      </c>
      <c r="AD350" s="94">
        <f t="shared" si="169"/>
        <v>642433.72638102074</v>
      </c>
    </row>
    <row r="351" spans="10:30" x14ac:dyDescent="0.25">
      <c r="J351" s="56"/>
      <c r="K351" s="56"/>
      <c r="L351" s="130"/>
      <c r="M351" s="130"/>
      <c r="N351" s="130"/>
      <c r="O351" s="59"/>
      <c r="P351" s="59"/>
      <c r="Q351" s="59"/>
      <c r="R351" s="59"/>
      <c r="S351" s="59"/>
      <c r="T351" s="59"/>
      <c r="U351" s="59"/>
      <c r="V351" s="59"/>
      <c r="W351" s="50"/>
      <c r="X351" s="84">
        <v>668</v>
      </c>
      <c r="Y351" s="104">
        <f t="shared" si="168"/>
        <v>1.3245594501495406E-3</v>
      </c>
      <c r="Z351" s="96">
        <f t="shared" si="170"/>
        <v>0.80879196356581384</v>
      </c>
      <c r="AA351" s="94">
        <f t="shared" si="171"/>
        <v>639808.98094779812</v>
      </c>
      <c r="AB351" s="163">
        <f t="shared" si="173"/>
        <v>1.3245594501495406E-3</v>
      </c>
      <c r="AC351" s="96">
        <f t="shared" si="172"/>
        <v>0.80879196356581384</v>
      </c>
      <c r="AD351" s="94">
        <f t="shared" si="169"/>
        <v>639808.98094779812</v>
      </c>
    </row>
    <row r="352" spans="10:30" x14ac:dyDescent="0.25">
      <c r="J352" s="56"/>
      <c r="K352" s="56"/>
      <c r="L352" s="130"/>
      <c r="M352" s="130"/>
      <c r="N352" s="130"/>
      <c r="O352" s="59"/>
      <c r="P352" s="59"/>
      <c r="Q352" s="59"/>
      <c r="R352" s="59"/>
      <c r="S352" s="59"/>
      <c r="T352" s="59"/>
      <c r="U352" s="59"/>
      <c r="V352" s="59"/>
      <c r="W352" s="50"/>
      <c r="X352" s="84">
        <v>667</v>
      </c>
      <c r="Y352" s="104">
        <f t="shared" ref="Y352:Y415" si="174">Y351+Y$16</f>
        <v>1.3285490870475814E-3</v>
      </c>
      <c r="Z352" s="96">
        <f t="shared" si="170"/>
        <v>0.80918317741253321</v>
      </c>
      <c r="AA352" s="94">
        <f t="shared" si="171"/>
        <v>637193.5461915941</v>
      </c>
      <c r="AB352" s="163">
        <f t="shared" si="173"/>
        <v>1.3285490870475814E-3</v>
      </c>
      <c r="AC352" s="96">
        <f t="shared" si="172"/>
        <v>0.80918317741253321</v>
      </c>
      <c r="AD352" s="94">
        <f t="shared" si="169"/>
        <v>637193.5461915941</v>
      </c>
    </row>
    <row r="353" spans="10:30" x14ac:dyDescent="0.25">
      <c r="J353" s="56"/>
      <c r="K353" s="56"/>
      <c r="L353" s="130"/>
      <c r="M353" s="130"/>
      <c r="N353" s="130"/>
      <c r="O353" s="59"/>
      <c r="P353" s="59"/>
      <c r="Q353" s="59"/>
      <c r="R353" s="59"/>
      <c r="S353" s="59"/>
      <c r="T353" s="59"/>
      <c r="U353" s="59"/>
      <c r="V353" s="59"/>
      <c r="W353" s="50"/>
      <c r="X353" s="84">
        <v>666</v>
      </c>
      <c r="Y353" s="104">
        <f t="shared" si="174"/>
        <v>1.3325387239456223E-3</v>
      </c>
      <c r="Z353" s="96">
        <f t="shared" si="170"/>
        <v>0.80957380429246184</v>
      </c>
      <c r="AA353" s="94">
        <f t="shared" si="171"/>
        <v>634587.38020379865</v>
      </c>
      <c r="AB353" s="163">
        <f t="shared" si="173"/>
        <v>1.3325387239456223E-3</v>
      </c>
      <c r="AC353" s="96">
        <f t="shared" si="172"/>
        <v>0.80957380429246184</v>
      </c>
      <c r="AD353" s="94">
        <f t="shared" si="169"/>
        <v>634587.38020379865</v>
      </c>
    </row>
    <row r="354" spans="10:30" x14ac:dyDescent="0.25">
      <c r="J354" s="56"/>
      <c r="K354" s="56"/>
      <c r="L354" s="130"/>
      <c r="M354" s="130"/>
      <c r="N354" s="130"/>
      <c r="O354" s="59"/>
      <c r="P354" s="59"/>
      <c r="Q354" s="59"/>
      <c r="R354" s="59"/>
      <c r="S354" s="59"/>
      <c r="T354" s="59"/>
      <c r="U354" s="59"/>
      <c r="V354" s="59"/>
      <c r="W354" s="50"/>
      <c r="X354" s="84">
        <v>665</v>
      </c>
      <c r="Y354" s="104">
        <f t="shared" si="174"/>
        <v>1.3365283608436631E-3</v>
      </c>
      <c r="Z354" s="96">
        <f t="shared" si="170"/>
        <v>0.80996384683970857</v>
      </c>
      <c r="AA354" s="94">
        <f t="shared" si="171"/>
        <v>631990.44138932996</v>
      </c>
      <c r="AB354" s="163">
        <f t="shared" si="173"/>
        <v>1.3365283608436631E-3</v>
      </c>
      <c r="AC354" s="96">
        <f t="shared" si="172"/>
        <v>0.80996384683970857</v>
      </c>
      <c r="AD354" s="94">
        <f t="shared" si="169"/>
        <v>631990.44138932996</v>
      </c>
    </row>
    <row r="355" spans="10:30" x14ac:dyDescent="0.25">
      <c r="J355" s="56"/>
      <c r="K355" s="56"/>
      <c r="L355" s="130"/>
      <c r="M355" s="130"/>
      <c r="N355" s="130"/>
      <c r="O355" s="59"/>
      <c r="P355" s="59"/>
      <c r="Q355" s="59"/>
      <c r="R355" s="59"/>
      <c r="S355" s="59"/>
      <c r="T355" s="59"/>
      <c r="U355" s="59"/>
      <c r="V355" s="59"/>
      <c r="W355" s="50"/>
      <c r="X355" s="84">
        <v>664</v>
      </c>
      <c r="Y355" s="104">
        <f t="shared" si="174"/>
        <v>1.340517997741704E-3</v>
      </c>
      <c r="Z355" s="96">
        <f t="shared" si="170"/>
        <v>0.81035330766874947</v>
      </c>
      <c r="AA355" s="94">
        <f t="shared" si="171"/>
        <v>629402.68846322072</v>
      </c>
      <c r="AB355" s="163">
        <f t="shared" si="173"/>
        <v>1.340517997741704E-3</v>
      </c>
      <c r="AC355" s="96">
        <f t="shared" si="172"/>
        <v>0.81035330766874947</v>
      </c>
      <c r="AD355" s="94">
        <f t="shared" si="169"/>
        <v>629402.68846322072</v>
      </c>
    </row>
    <row r="356" spans="10:30" x14ac:dyDescent="0.25">
      <c r="J356" s="56"/>
      <c r="K356" s="56"/>
      <c r="L356" s="130"/>
      <c r="M356" s="130"/>
      <c r="N356" s="130"/>
      <c r="O356" s="59"/>
      <c r="P356" s="59"/>
      <c r="Q356" s="59"/>
      <c r="R356" s="59"/>
      <c r="S356" s="59"/>
      <c r="T356" s="59"/>
      <c r="U356" s="59"/>
      <c r="V356" s="59"/>
      <c r="W356" s="50"/>
      <c r="X356" s="84">
        <v>663</v>
      </c>
      <c r="Y356" s="104">
        <f t="shared" si="174"/>
        <v>1.3445076346397448E-3</v>
      </c>
      <c r="Z356" s="96">
        <f t="shared" si="170"/>
        <v>0.81074218937461084</v>
      </c>
      <c r="AA356" s="94">
        <f t="shared" si="171"/>
        <v>626824.0804475249</v>
      </c>
      <c r="AB356" s="163">
        <f t="shared" si="173"/>
        <v>1.3445076346397448E-3</v>
      </c>
      <c r="AC356" s="96">
        <f t="shared" si="172"/>
        <v>0.81074218937461084</v>
      </c>
      <c r="AD356" s="94">
        <f t="shared" si="169"/>
        <v>626824.0804475249</v>
      </c>
    </row>
    <row r="357" spans="10:30" x14ac:dyDescent="0.25">
      <c r="J357" s="56"/>
      <c r="K357" s="56"/>
      <c r="L357" s="130"/>
      <c r="M357" s="130"/>
      <c r="N357" s="130"/>
      <c r="O357" s="59"/>
      <c r="P357" s="59"/>
      <c r="Q357" s="59"/>
      <c r="R357" s="59"/>
      <c r="S357" s="59"/>
      <c r="T357" s="59"/>
      <c r="U357" s="59"/>
      <c r="V357" s="59"/>
      <c r="W357" s="50"/>
      <c r="X357" s="84">
        <v>662</v>
      </c>
      <c r="Y357" s="104">
        <f t="shared" si="174"/>
        <v>1.3484972715377857E-3</v>
      </c>
      <c r="Z357" s="96">
        <f t="shared" si="170"/>
        <v>0.81113049453309827</v>
      </c>
      <c r="AA357" s="94">
        <f t="shared" si="171"/>
        <v>624254.57666796038</v>
      </c>
      <c r="AB357" s="163">
        <f t="shared" si="173"/>
        <v>1.3484972715377857E-3</v>
      </c>
      <c r="AC357" s="96">
        <f t="shared" si="172"/>
        <v>0.81113049453309827</v>
      </c>
      <c r="AD357" s="94">
        <f t="shared" si="169"/>
        <v>624254.57666796038</v>
      </c>
    </row>
    <row r="358" spans="10:30" x14ac:dyDescent="0.25">
      <c r="J358" s="56"/>
      <c r="K358" s="56"/>
      <c r="L358" s="130"/>
      <c r="M358" s="130"/>
      <c r="N358" s="130"/>
      <c r="O358" s="59"/>
      <c r="P358" s="59"/>
      <c r="Q358" s="59"/>
      <c r="R358" s="59"/>
      <c r="S358" s="59"/>
      <c r="T358" s="59"/>
      <c r="U358" s="59"/>
      <c r="V358" s="59"/>
      <c r="W358" s="50"/>
      <c r="X358" s="84">
        <v>661</v>
      </c>
      <c r="Y358" s="104">
        <f t="shared" si="174"/>
        <v>1.3524869084358265E-3</v>
      </c>
      <c r="Z358" s="96">
        <f t="shared" si="170"/>
        <v>0.81151822570096022</v>
      </c>
      <c r="AA358" s="94">
        <f t="shared" si="171"/>
        <v>621694.13675099879</v>
      </c>
      <c r="AB358" s="163">
        <f t="shared" si="173"/>
        <v>1.3524869084358265E-3</v>
      </c>
      <c r="AC358" s="96">
        <f t="shared" si="172"/>
        <v>0.81151822570096022</v>
      </c>
      <c r="AD358" s="94">
        <f t="shared" si="169"/>
        <v>621694.13675099879</v>
      </c>
    </row>
    <row r="359" spans="10:30" x14ac:dyDescent="0.25">
      <c r="J359" s="56"/>
      <c r="K359" s="56"/>
      <c r="L359" s="130"/>
      <c r="M359" s="130"/>
      <c r="N359" s="130"/>
      <c r="O359" s="59"/>
      <c r="P359" s="59"/>
      <c r="Q359" s="59"/>
      <c r="R359" s="59"/>
      <c r="S359" s="59"/>
      <c r="T359" s="59"/>
      <c r="U359" s="59"/>
      <c r="V359" s="59"/>
      <c r="W359" s="50"/>
      <c r="X359" s="84">
        <v>660</v>
      </c>
      <c r="Y359" s="104">
        <f t="shared" si="174"/>
        <v>1.3564765453338674E-3</v>
      </c>
      <c r="Z359" s="96">
        <f t="shared" si="170"/>
        <v>0.81190538541611945</v>
      </c>
      <c r="AA359" s="94">
        <f t="shared" si="171"/>
        <v>619142.72062052565</v>
      </c>
      <c r="AB359" s="163">
        <f t="shared" si="173"/>
        <v>1.3564765453338674E-3</v>
      </c>
      <c r="AC359" s="96">
        <f t="shared" si="172"/>
        <v>0.81190538541611945</v>
      </c>
      <c r="AD359" s="94">
        <f t="shared" si="169"/>
        <v>619142.72062052565</v>
      </c>
    </row>
    <row r="360" spans="10:30" x14ac:dyDescent="0.25">
      <c r="J360" s="56"/>
      <c r="K360" s="56"/>
      <c r="L360" s="130"/>
      <c r="M360" s="130"/>
      <c r="N360" s="130"/>
      <c r="O360" s="59"/>
      <c r="P360" s="59"/>
      <c r="Q360" s="59"/>
      <c r="R360" s="59"/>
      <c r="S360" s="59"/>
      <c r="T360" s="59"/>
      <c r="U360" s="59"/>
      <c r="V360" s="59"/>
      <c r="W360" s="50"/>
      <c r="X360" s="84">
        <v>659</v>
      </c>
      <c r="Y360" s="104">
        <f t="shared" si="174"/>
        <v>1.3604661822319082E-3</v>
      </c>
      <c r="Z360" s="96">
        <f t="shared" si="170"/>
        <v>0.81229197619784299</v>
      </c>
      <c r="AA360" s="94">
        <f t="shared" si="171"/>
        <v>616600.28849494492</v>
      </c>
      <c r="AB360" s="163">
        <f t="shared" si="173"/>
        <v>1.3604661822319082E-3</v>
      </c>
      <c r="AC360" s="96">
        <f t="shared" si="172"/>
        <v>0.81229197619784299</v>
      </c>
      <c r="AD360" s="94">
        <f t="shared" si="169"/>
        <v>616600.28849494492</v>
      </c>
    </row>
    <row r="361" spans="10:30" x14ac:dyDescent="0.25">
      <c r="J361" s="56"/>
      <c r="K361" s="56"/>
      <c r="L361" s="130"/>
      <c r="M361" s="130"/>
      <c r="N361" s="130"/>
      <c r="O361" s="59"/>
      <c r="P361" s="59"/>
      <c r="Q361" s="59"/>
      <c r="R361" s="59"/>
      <c r="S361" s="59"/>
      <c r="T361" s="59"/>
      <c r="U361" s="59"/>
      <c r="V361" s="59"/>
      <c r="W361" s="50"/>
      <c r="X361" s="84">
        <v>658</v>
      </c>
      <c r="Y361" s="104">
        <f t="shared" si="174"/>
        <v>1.3644558191299491E-3</v>
      </c>
      <c r="Z361" s="96">
        <f t="shared" si="170"/>
        <v>0.81267800054694395</v>
      </c>
      <c r="AA361" s="94">
        <f t="shared" si="171"/>
        <v>614066.80088408873</v>
      </c>
      <c r="AB361" s="163">
        <f t="shared" si="173"/>
        <v>1.3644558191299491E-3</v>
      </c>
      <c r="AC361" s="96">
        <f t="shared" si="172"/>
        <v>0.81267800054694395</v>
      </c>
      <c r="AD361" s="94">
        <f t="shared" si="169"/>
        <v>614066.80088408873</v>
      </c>
    </row>
    <row r="362" spans="10:30" x14ac:dyDescent="0.25">
      <c r="J362" s="56"/>
      <c r="K362" s="56"/>
      <c r="L362" s="130"/>
      <c r="M362" s="130"/>
      <c r="N362" s="130"/>
      <c r="O362" s="59"/>
      <c r="P362" s="59"/>
      <c r="Q362" s="59"/>
      <c r="R362" s="59"/>
      <c r="S362" s="59"/>
      <c r="T362" s="59"/>
      <c r="U362" s="59"/>
      <c r="V362" s="59"/>
      <c r="W362" s="50"/>
      <c r="X362" s="84">
        <v>657</v>
      </c>
      <c r="Y362" s="104">
        <f t="shared" si="174"/>
        <v>1.3684454560279899E-3</v>
      </c>
      <c r="Z362" s="96">
        <f t="shared" si="170"/>
        <v>0.8130634609459666</v>
      </c>
      <c r="AA362" s="94">
        <f t="shared" si="171"/>
        <v>611542.21858625358</v>
      </c>
      <c r="AB362" s="163">
        <f t="shared" si="173"/>
        <v>1.3684454560279899E-3</v>
      </c>
      <c r="AC362" s="96">
        <f t="shared" si="172"/>
        <v>0.8130634609459666</v>
      </c>
      <c r="AD362" s="94">
        <f t="shared" si="169"/>
        <v>611542.21858625358</v>
      </c>
    </row>
    <row r="363" spans="10:30" x14ac:dyDescent="0.25">
      <c r="J363" s="56"/>
      <c r="K363" s="56"/>
      <c r="L363" s="130"/>
      <c r="M363" s="130"/>
      <c r="N363" s="130"/>
      <c r="O363" s="59"/>
      <c r="P363" s="59"/>
      <c r="Q363" s="59"/>
      <c r="R363" s="59"/>
      <c r="S363" s="59"/>
      <c r="T363" s="59"/>
      <c r="U363" s="59"/>
      <c r="V363" s="59"/>
      <c r="W363" s="50"/>
      <c r="X363" s="84">
        <v>656</v>
      </c>
      <c r="Y363" s="104">
        <f t="shared" si="174"/>
        <v>1.3724350929260308E-3</v>
      </c>
      <c r="Z363" s="96">
        <f t="shared" si="170"/>
        <v>0.81344835985937958</v>
      </c>
      <c r="AA363" s="94">
        <f t="shared" si="171"/>
        <v>609026.50268522277</v>
      </c>
      <c r="AB363" s="163">
        <f t="shared" si="173"/>
        <v>1.3724350929260308E-3</v>
      </c>
      <c r="AC363" s="96">
        <f t="shared" si="172"/>
        <v>0.81344835985937958</v>
      </c>
      <c r="AD363" s="94">
        <f t="shared" si="169"/>
        <v>609026.50268522277</v>
      </c>
    </row>
    <row r="364" spans="10:30" x14ac:dyDescent="0.25">
      <c r="J364" s="56"/>
      <c r="K364" s="56"/>
      <c r="L364" s="130"/>
      <c r="M364" s="130"/>
      <c r="N364" s="130"/>
      <c r="O364" s="59"/>
      <c r="P364" s="59"/>
      <c r="Q364" s="59"/>
      <c r="R364" s="59"/>
      <c r="S364" s="59"/>
      <c r="T364" s="59"/>
      <c r="U364" s="59"/>
      <c r="V364" s="59"/>
      <c r="W364" s="50"/>
      <c r="X364" s="84">
        <v>655</v>
      </c>
      <c r="Y364" s="104">
        <f t="shared" si="174"/>
        <v>1.3764247298240716E-3</v>
      </c>
      <c r="Z364" s="96">
        <f t="shared" si="170"/>
        <v>0.81383269973374461</v>
      </c>
      <c r="AA364" s="94">
        <f t="shared" si="171"/>
        <v>606519.61454745615</v>
      </c>
      <c r="AB364" s="163">
        <f t="shared" si="173"/>
        <v>1.3764247298240716E-3</v>
      </c>
      <c r="AC364" s="96">
        <f t="shared" si="172"/>
        <v>0.81383269973374461</v>
      </c>
      <c r="AD364" s="94">
        <f t="shared" si="169"/>
        <v>606519.61454745615</v>
      </c>
    </row>
    <row r="365" spans="10:30" x14ac:dyDescent="0.25">
      <c r="J365" s="56"/>
      <c r="K365" s="56"/>
      <c r="L365" s="130"/>
      <c r="M365" s="130"/>
      <c r="N365" s="130"/>
      <c r="O365" s="59"/>
      <c r="P365" s="59"/>
      <c r="Q365" s="59"/>
      <c r="R365" s="59"/>
      <c r="S365" s="59"/>
      <c r="T365" s="59"/>
      <c r="U365" s="59"/>
      <c r="V365" s="59"/>
      <c r="W365" s="50"/>
      <c r="X365" s="84">
        <v>654</v>
      </c>
      <c r="Y365" s="104">
        <f t="shared" si="174"/>
        <v>1.3804143667221125E-3</v>
      </c>
      <c r="Z365" s="96">
        <f t="shared" si="170"/>
        <v>0.8142164829979176</v>
      </c>
      <c r="AA365" s="94">
        <f t="shared" si="171"/>
        <v>604021.51581910276</v>
      </c>
      <c r="AB365" s="163">
        <f t="shared" si="173"/>
        <v>1.3804143667221125E-3</v>
      </c>
      <c r="AC365" s="96">
        <f t="shared" si="172"/>
        <v>0.8142164829979176</v>
      </c>
      <c r="AD365" s="94">
        <f t="shared" si="169"/>
        <v>604021.51581910276</v>
      </c>
    </row>
    <row r="366" spans="10:30" x14ac:dyDescent="0.25">
      <c r="J366" s="56"/>
      <c r="K366" s="56"/>
      <c r="L366" s="130"/>
      <c r="M366" s="130"/>
      <c r="N366" s="130"/>
      <c r="O366" s="59"/>
      <c r="P366" s="59"/>
      <c r="Q366" s="59"/>
      <c r="R366" s="59"/>
      <c r="S366" s="59"/>
      <c r="T366" s="59"/>
      <c r="U366" s="59"/>
      <c r="V366" s="59"/>
      <c r="W366" s="50"/>
      <c r="X366" s="84">
        <v>653</v>
      </c>
      <c r="Y366" s="104">
        <f t="shared" si="174"/>
        <v>1.3844040036201533E-3</v>
      </c>
      <c r="Z366" s="96">
        <f t="shared" si="170"/>
        <v>0.81459971206320692</v>
      </c>
      <c r="AA366" s="94">
        <f t="shared" si="171"/>
        <v>601532.16842330119</v>
      </c>
      <c r="AB366" s="163">
        <f t="shared" si="173"/>
        <v>1.3844040036201533E-3</v>
      </c>
      <c r="AC366" s="96">
        <f t="shared" si="172"/>
        <v>0.81459971206320692</v>
      </c>
      <c r="AD366" s="94">
        <f t="shared" si="169"/>
        <v>601532.16842330119</v>
      </c>
    </row>
    <row r="367" spans="10:30" x14ac:dyDescent="0.25">
      <c r="J367" s="56"/>
      <c r="K367" s="56"/>
      <c r="L367" s="130"/>
      <c r="M367" s="130"/>
      <c r="N367" s="130"/>
      <c r="O367" s="59"/>
      <c r="P367" s="59"/>
      <c r="Q367" s="59"/>
      <c r="R367" s="59"/>
      <c r="S367" s="59"/>
      <c r="T367" s="59"/>
      <c r="U367" s="59"/>
      <c r="V367" s="59"/>
      <c r="W367" s="50"/>
      <c r="X367" s="84">
        <v>652</v>
      </c>
      <c r="Y367" s="104">
        <f t="shared" si="174"/>
        <v>1.3883936405181942E-3</v>
      </c>
      <c r="Z367" s="96">
        <f t="shared" si="170"/>
        <v>0.81498238932357125</v>
      </c>
      <c r="AA367" s="94">
        <f t="shared" si="171"/>
        <v>599051.53455725464</v>
      </c>
      <c r="AB367" s="163">
        <f t="shared" si="173"/>
        <v>1.3883936405181942E-3</v>
      </c>
      <c r="AC367" s="96">
        <f t="shared" si="172"/>
        <v>0.81498238932357125</v>
      </c>
      <c r="AD367" s="94">
        <f t="shared" si="169"/>
        <v>599051.53455725464</v>
      </c>
    </row>
    <row r="368" spans="10:30" x14ac:dyDescent="0.25">
      <c r="J368" s="56"/>
      <c r="K368" s="56"/>
      <c r="L368" s="130"/>
      <c r="M368" s="130"/>
      <c r="N368" s="130"/>
      <c r="O368" s="59"/>
      <c r="P368" s="59"/>
      <c r="Q368" s="59"/>
      <c r="R368" s="59"/>
      <c r="S368" s="59"/>
      <c r="T368" s="59"/>
      <c r="U368" s="59"/>
      <c r="V368" s="59"/>
      <c r="W368" s="50"/>
      <c r="X368" s="84">
        <v>651</v>
      </c>
      <c r="Y368" s="104">
        <f t="shared" si="174"/>
        <v>1.392383277416235E-3</v>
      </c>
      <c r="Z368" s="96">
        <f t="shared" si="170"/>
        <v>0.81536451715577474</v>
      </c>
      <c r="AA368" s="94">
        <f t="shared" si="171"/>
        <v>596579.57668960327</v>
      </c>
      <c r="AB368" s="163">
        <f t="shared" si="173"/>
        <v>1.392383277416235E-3</v>
      </c>
      <c r="AC368" s="96">
        <f t="shared" si="172"/>
        <v>0.81536451715577474</v>
      </c>
      <c r="AD368" s="94">
        <f t="shared" si="169"/>
        <v>596579.57668960327</v>
      </c>
    </row>
    <row r="369" spans="10:30" x14ac:dyDescent="0.25">
      <c r="J369" s="56"/>
      <c r="K369" s="56"/>
      <c r="L369" s="130"/>
      <c r="M369" s="130"/>
      <c r="N369" s="130"/>
      <c r="O369" s="59"/>
      <c r="P369" s="59"/>
      <c r="Q369" s="59"/>
      <c r="R369" s="59"/>
      <c r="S369" s="59"/>
      <c r="T369" s="59"/>
      <c r="U369" s="59"/>
      <c r="V369" s="59"/>
      <c r="W369" s="50"/>
      <c r="X369" s="84">
        <v>650</v>
      </c>
      <c r="Y369" s="104">
        <f t="shared" si="174"/>
        <v>1.3963729143142759E-3</v>
      </c>
      <c r="Z369" s="96">
        <f t="shared" si="170"/>
        <v>0.81574609791957675</v>
      </c>
      <c r="AA369" s="94">
        <f t="shared" si="171"/>
        <v>594116.25755758828</v>
      </c>
      <c r="AB369" s="163">
        <f t="shared" si="173"/>
        <v>1.3963729143142759E-3</v>
      </c>
      <c r="AC369" s="96">
        <f t="shared" si="172"/>
        <v>0.81574609791957675</v>
      </c>
      <c r="AD369" s="94">
        <f t="shared" si="169"/>
        <v>594116.25755758828</v>
      </c>
    </row>
    <row r="370" spans="10:30" x14ac:dyDescent="0.25">
      <c r="J370" s="56"/>
      <c r="K370" s="56"/>
      <c r="L370" s="130"/>
      <c r="M370" s="130"/>
      <c r="N370" s="130"/>
      <c r="O370" s="59"/>
      <c r="P370" s="59"/>
      <c r="Q370" s="59"/>
      <c r="R370" s="59"/>
      <c r="S370" s="59"/>
      <c r="T370" s="59"/>
      <c r="U370" s="59"/>
      <c r="V370" s="59"/>
      <c r="W370" s="50"/>
      <c r="X370" s="84">
        <v>649</v>
      </c>
      <c r="Y370" s="104">
        <f t="shared" si="174"/>
        <v>1.4003625512123167E-3</v>
      </c>
      <c r="Z370" s="96">
        <f t="shared" si="170"/>
        <v>0.81612713395788561</v>
      </c>
      <c r="AA370" s="94">
        <f t="shared" si="171"/>
        <v>591661.540164473</v>
      </c>
      <c r="AB370" s="163">
        <f t="shared" si="173"/>
        <v>1.4003625512123167E-3</v>
      </c>
      <c r="AC370" s="96">
        <f t="shared" si="172"/>
        <v>0.81612713395788561</v>
      </c>
      <c r="AD370" s="94">
        <f t="shared" si="169"/>
        <v>591661.540164473</v>
      </c>
    </row>
    <row r="371" spans="10:30" x14ac:dyDescent="0.25">
      <c r="J371" s="56"/>
      <c r="K371" s="56"/>
      <c r="L371" s="130"/>
      <c r="M371" s="130"/>
      <c r="N371" s="130"/>
      <c r="O371" s="59"/>
      <c r="P371" s="59"/>
      <c r="Q371" s="59"/>
      <c r="R371" s="59"/>
      <c r="S371" s="59"/>
      <c r="T371" s="59"/>
      <c r="U371" s="59"/>
      <c r="V371" s="59"/>
      <c r="W371" s="50"/>
      <c r="X371" s="84">
        <v>648</v>
      </c>
      <c r="Y371" s="104">
        <f t="shared" si="174"/>
        <v>1.4043521881103576E-3</v>
      </c>
      <c r="Z371" s="96">
        <f t="shared" si="170"/>
        <v>0.81650762759693718</v>
      </c>
      <c r="AA371" s="94">
        <f t="shared" si="171"/>
        <v>589215.38777682534</v>
      </c>
      <c r="AB371" s="163">
        <f t="shared" si="173"/>
        <v>1.4043521881103576E-3</v>
      </c>
      <c r="AC371" s="96">
        <f t="shared" si="172"/>
        <v>0.81650762759693718</v>
      </c>
      <c r="AD371" s="94">
        <f t="shared" si="169"/>
        <v>589215.38777682534</v>
      </c>
    </row>
    <row r="372" spans="10:30" x14ac:dyDescent="0.25">
      <c r="J372" s="56"/>
      <c r="K372" s="56"/>
      <c r="L372" s="130"/>
      <c r="M372" s="130"/>
      <c r="N372" s="130"/>
      <c r="O372" s="59"/>
      <c r="P372" s="59"/>
      <c r="Q372" s="59"/>
      <c r="R372" s="59"/>
      <c r="S372" s="59"/>
      <c r="T372" s="59"/>
      <c r="U372" s="59"/>
      <c r="V372" s="59"/>
      <c r="W372" s="50"/>
      <c r="X372" s="84">
        <v>647</v>
      </c>
      <c r="Y372" s="104">
        <f t="shared" si="174"/>
        <v>1.4083418250083984E-3</v>
      </c>
      <c r="Z372" s="96">
        <f t="shared" si="170"/>
        <v>0.81688758114645932</v>
      </c>
      <c r="AA372" s="94">
        <f t="shared" si="171"/>
        <v>586777.76392190449</v>
      </c>
      <c r="AB372" s="163">
        <f t="shared" si="173"/>
        <v>1.4083418250083984E-3</v>
      </c>
      <c r="AC372" s="96">
        <f t="shared" si="172"/>
        <v>0.81688758114645932</v>
      </c>
      <c r="AD372" s="94">
        <f t="shared" si="169"/>
        <v>586777.76392190449</v>
      </c>
    </row>
    <row r="373" spans="10:30" x14ac:dyDescent="0.25">
      <c r="J373" s="56"/>
      <c r="K373" s="56"/>
      <c r="L373" s="130"/>
      <c r="M373" s="130"/>
      <c r="N373" s="130"/>
      <c r="O373" s="59"/>
      <c r="P373" s="59"/>
      <c r="Q373" s="59"/>
      <c r="R373" s="59"/>
      <c r="S373" s="59"/>
      <c r="T373" s="59"/>
      <c r="U373" s="59"/>
      <c r="V373" s="59"/>
      <c r="W373" s="50"/>
      <c r="X373" s="84">
        <v>646</v>
      </c>
      <c r="Y373" s="104">
        <f t="shared" si="174"/>
        <v>1.4123314619064393E-3</v>
      </c>
      <c r="Z373" s="96">
        <f t="shared" si="170"/>
        <v>0.81726699689982751</v>
      </c>
      <c r="AA373" s="94">
        <f t="shared" si="171"/>
        <v>584348.6323851347</v>
      </c>
      <c r="AB373" s="163">
        <f t="shared" si="173"/>
        <v>1.4123314619064393E-3</v>
      </c>
      <c r="AC373" s="96">
        <f t="shared" si="172"/>
        <v>0.81726699689982751</v>
      </c>
      <c r="AD373" s="94">
        <f t="shared" si="169"/>
        <v>584348.6323851347</v>
      </c>
    </row>
    <row r="374" spans="10:30" x14ac:dyDescent="0.25">
      <c r="J374" s="56"/>
      <c r="K374" s="56"/>
      <c r="L374" s="130"/>
      <c r="M374" s="130"/>
      <c r="N374" s="130"/>
      <c r="O374" s="59"/>
      <c r="P374" s="59"/>
      <c r="Q374" s="59"/>
      <c r="R374" s="59"/>
      <c r="S374" s="59"/>
      <c r="T374" s="59"/>
      <c r="U374" s="59"/>
      <c r="V374" s="59"/>
      <c r="W374" s="50"/>
      <c r="X374" s="84">
        <v>645</v>
      </c>
      <c r="Y374" s="104">
        <f t="shared" si="174"/>
        <v>1.4163210988044801E-3</v>
      </c>
      <c r="Z374" s="96">
        <f t="shared" si="170"/>
        <v>0.81764587713423986</v>
      </c>
      <c r="AA374" s="94">
        <f t="shared" si="171"/>
        <v>581927.9572074638</v>
      </c>
      <c r="AB374" s="163">
        <f t="shared" si="173"/>
        <v>1.4163210988044801E-3</v>
      </c>
      <c r="AC374" s="96">
        <f t="shared" si="172"/>
        <v>0.81764587713423986</v>
      </c>
      <c r="AD374" s="94">
        <f t="shared" si="169"/>
        <v>581927.9572074638</v>
      </c>
    </row>
    <row r="375" spans="10:30" x14ac:dyDescent="0.25">
      <c r="J375" s="56"/>
      <c r="K375" s="56"/>
      <c r="L375" s="130"/>
      <c r="M375" s="130"/>
      <c r="N375" s="130"/>
      <c r="O375" s="59"/>
      <c r="P375" s="59"/>
      <c r="Q375" s="59"/>
      <c r="R375" s="59"/>
      <c r="S375" s="59"/>
      <c r="T375" s="59"/>
      <c r="U375" s="59"/>
      <c r="V375" s="59"/>
      <c r="W375" s="50"/>
      <c r="X375" s="84">
        <v>644</v>
      </c>
      <c r="Y375" s="104">
        <f t="shared" si="174"/>
        <v>1.420310735702521E-3</v>
      </c>
      <c r="Z375" s="96">
        <f t="shared" si="170"/>
        <v>0.8180242241108644</v>
      </c>
      <c r="AA375" s="94">
        <f t="shared" si="171"/>
        <v>579515.70268292597</v>
      </c>
      <c r="AB375" s="163">
        <f t="shared" si="173"/>
        <v>1.420310735702521E-3</v>
      </c>
      <c r="AC375" s="96">
        <f t="shared" si="172"/>
        <v>0.8180242241108644</v>
      </c>
      <c r="AD375" s="94">
        <f t="shared" si="169"/>
        <v>579515.70268292597</v>
      </c>
    </row>
    <row r="376" spans="10:30" x14ac:dyDescent="0.25">
      <c r="J376" s="56"/>
      <c r="K376" s="56"/>
      <c r="L376" s="130"/>
      <c r="M376" s="130"/>
      <c r="N376" s="130"/>
      <c r="O376" s="59"/>
      <c r="P376" s="59"/>
      <c r="Q376" s="59"/>
      <c r="R376" s="59"/>
      <c r="S376" s="59"/>
      <c r="T376" s="59"/>
      <c r="U376" s="59"/>
      <c r="V376" s="59"/>
      <c r="W376" s="50"/>
      <c r="X376" s="84">
        <v>643</v>
      </c>
      <c r="Y376" s="104">
        <f t="shared" si="174"/>
        <v>1.4243003726005618E-3</v>
      </c>
      <c r="Z376" s="96">
        <f t="shared" si="170"/>
        <v>0.8184020400750055</v>
      </c>
      <c r="AA376" s="94">
        <f t="shared" si="171"/>
        <v>577111.83335609909</v>
      </c>
      <c r="AB376" s="163">
        <f t="shared" si="173"/>
        <v>1.4243003726005618E-3</v>
      </c>
      <c r="AC376" s="96">
        <f t="shared" si="172"/>
        <v>0.8184020400750055</v>
      </c>
      <c r="AD376" s="94">
        <f t="shared" si="169"/>
        <v>577111.83335609909</v>
      </c>
    </row>
    <row r="377" spans="10:30" x14ac:dyDescent="0.25">
      <c r="J377" s="56"/>
      <c r="K377" s="56"/>
      <c r="L377" s="130"/>
      <c r="M377" s="130"/>
      <c r="N377" s="130"/>
      <c r="O377" s="59"/>
      <c r="P377" s="59"/>
      <c r="Q377" s="59"/>
      <c r="R377" s="59"/>
      <c r="S377" s="59"/>
      <c r="T377" s="59"/>
      <c r="U377" s="59"/>
      <c r="V377" s="59"/>
      <c r="W377" s="50"/>
      <c r="X377" s="84">
        <v>642</v>
      </c>
      <c r="Y377" s="104">
        <f t="shared" si="174"/>
        <v>1.4282900094986027E-3</v>
      </c>
      <c r="Z377" s="96">
        <f t="shared" si="170"/>
        <v>0.81877932725624736</v>
      </c>
      <c r="AA377" s="94">
        <f t="shared" si="171"/>
        <v>574716.31401972042</v>
      </c>
      <c r="AB377" s="163">
        <f t="shared" si="173"/>
        <v>1.4282900094986027E-3</v>
      </c>
      <c r="AC377" s="96">
        <f t="shared" si="172"/>
        <v>0.81877932725624736</v>
      </c>
      <c r="AD377" s="94">
        <f t="shared" si="169"/>
        <v>574716.31401972042</v>
      </c>
    </row>
    <row r="378" spans="10:30" x14ac:dyDescent="0.25">
      <c r="J378" s="56"/>
      <c r="K378" s="56"/>
      <c r="L378" s="130"/>
      <c r="M378" s="130"/>
      <c r="N378" s="130"/>
      <c r="O378" s="59"/>
      <c r="P378" s="59"/>
      <c r="Q378" s="59"/>
      <c r="R378" s="59"/>
      <c r="S378" s="59"/>
      <c r="T378" s="59"/>
      <c r="U378" s="59"/>
      <c r="V378" s="59"/>
      <c r="W378" s="50"/>
      <c r="X378" s="84">
        <v>641</v>
      </c>
      <c r="Y378" s="104">
        <f t="shared" si="174"/>
        <v>1.4322796463966435E-3</v>
      </c>
      <c r="Z378" s="96">
        <f t="shared" si="170"/>
        <v>0.81915608786862648</v>
      </c>
      <c r="AA378" s="94">
        <f t="shared" si="171"/>
        <v>572329.10971214948</v>
      </c>
      <c r="AB378" s="163">
        <f t="shared" si="173"/>
        <v>1.4322796463966435E-3</v>
      </c>
      <c r="AC378" s="96">
        <f t="shared" si="172"/>
        <v>0.81915608786862648</v>
      </c>
      <c r="AD378" s="94">
        <f t="shared" si="169"/>
        <v>572329.10971214948</v>
      </c>
    </row>
    <row r="379" spans="10:30" x14ac:dyDescent="0.25">
      <c r="J379" s="56"/>
      <c r="K379" s="56"/>
      <c r="L379" s="130"/>
      <c r="M379" s="130"/>
      <c r="N379" s="130"/>
      <c r="O379" s="59"/>
      <c r="P379" s="59"/>
      <c r="Q379" s="59"/>
      <c r="R379" s="59"/>
      <c r="S379" s="59"/>
      <c r="T379" s="59"/>
      <c r="U379" s="59"/>
      <c r="V379" s="59"/>
      <c r="W379" s="50"/>
      <c r="X379" s="84">
        <v>640</v>
      </c>
      <c r="Y379" s="104">
        <f t="shared" si="174"/>
        <v>1.4362692832946844E-3</v>
      </c>
      <c r="Z379" s="96">
        <f t="shared" si="170"/>
        <v>0.81953232411075638</v>
      </c>
      <c r="AA379" s="94">
        <f t="shared" si="171"/>
        <v>569950.18571513938</v>
      </c>
      <c r="AB379" s="163">
        <f t="shared" si="173"/>
        <v>1.4362692832946844E-3</v>
      </c>
      <c r="AC379" s="96">
        <f t="shared" si="172"/>
        <v>0.81953232411075638</v>
      </c>
      <c r="AD379" s="94">
        <f t="shared" si="169"/>
        <v>569950.18571513938</v>
      </c>
    </row>
    <row r="380" spans="10:30" x14ac:dyDescent="0.25">
      <c r="J380" s="56"/>
      <c r="K380" s="56"/>
      <c r="L380" s="130"/>
      <c r="M380" s="130"/>
      <c r="N380" s="130"/>
      <c r="O380" s="59"/>
      <c r="P380" s="59"/>
      <c r="Q380" s="59"/>
      <c r="R380" s="59"/>
      <c r="S380" s="59"/>
      <c r="T380" s="59"/>
      <c r="U380" s="59"/>
      <c r="V380" s="59"/>
      <c r="W380" s="50"/>
      <c r="X380" s="84">
        <v>639</v>
      </c>
      <c r="Y380" s="104">
        <f t="shared" si="174"/>
        <v>1.4402589201927252E-3</v>
      </c>
      <c r="Z380" s="96">
        <f t="shared" si="170"/>
        <v>0.81990803816601265</v>
      </c>
      <c r="AA380" s="94">
        <f t="shared" si="171"/>
        <v>567579.50755125086</v>
      </c>
      <c r="AB380" s="163">
        <f t="shared" si="173"/>
        <v>1.4402589201927252E-3</v>
      </c>
      <c r="AC380" s="96">
        <f t="shared" si="172"/>
        <v>0.81990803816601265</v>
      </c>
      <c r="AD380" s="94">
        <f t="shared" si="169"/>
        <v>567579.50755125086</v>
      </c>
    </row>
    <row r="381" spans="10:30" x14ac:dyDescent="0.25">
      <c r="J381" s="56"/>
      <c r="K381" s="56"/>
      <c r="L381" s="130"/>
      <c r="M381" s="130"/>
      <c r="N381" s="130"/>
      <c r="O381" s="59"/>
      <c r="P381" s="59"/>
      <c r="Q381" s="59"/>
      <c r="R381" s="59"/>
      <c r="S381" s="59"/>
      <c r="T381" s="59"/>
      <c r="U381" s="59"/>
      <c r="V381" s="59"/>
      <c r="W381" s="50"/>
      <c r="X381" s="84">
        <v>638</v>
      </c>
      <c r="Y381" s="104">
        <f t="shared" si="174"/>
        <v>1.4442485570907661E-3</v>
      </c>
      <c r="Z381" s="96">
        <f t="shared" si="170"/>
        <v>0.8202832322026411</v>
      </c>
      <c r="AA381" s="94">
        <f t="shared" si="171"/>
        <v>565217.04098177154</v>
      </c>
      <c r="AB381" s="163">
        <f t="shared" si="173"/>
        <v>1.4442485570907661E-3</v>
      </c>
      <c r="AC381" s="96">
        <f t="shared" si="172"/>
        <v>0.8202832322026411</v>
      </c>
      <c r="AD381" s="94">
        <f t="shared" si="169"/>
        <v>565217.04098177154</v>
      </c>
    </row>
    <row r="382" spans="10:30" x14ac:dyDescent="0.25">
      <c r="J382" s="56"/>
      <c r="K382" s="56"/>
      <c r="L382" s="130"/>
      <c r="M382" s="130"/>
      <c r="N382" s="130"/>
      <c r="O382" s="59"/>
      <c r="P382" s="59"/>
      <c r="Q382" s="59"/>
      <c r="R382" s="59"/>
      <c r="S382" s="59"/>
      <c r="T382" s="59"/>
      <c r="U382" s="59"/>
      <c r="V382" s="59"/>
      <c r="W382" s="50"/>
      <c r="X382" s="84">
        <v>637</v>
      </c>
      <c r="Y382" s="104">
        <f t="shared" si="174"/>
        <v>1.4482381939888069E-3</v>
      </c>
      <c r="Z382" s="96">
        <f t="shared" si="170"/>
        <v>0.82065790837394048</v>
      </c>
      <c r="AA382" s="94">
        <f t="shared" si="171"/>
        <v>562862.7520041744</v>
      </c>
      <c r="AB382" s="163">
        <f t="shared" si="173"/>
        <v>1.4482381939888069E-3</v>
      </c>
      <c r="AC382" s="96">
        <f t="shared" si="172"/>
        <v>0.82065790837394048</v>
      </c>
      <c r="AD382" s="94">
        <f t="shared" si="169"/>
        <v>562862.7520041744</v>
      </c>
    </row>
    <row r="383" spans="10:30" x14ac:dyDescent="0.25">
      <c r="J383" s="56"/>
      <c r="K383" s="56"/>
      <c r="L383" s="130"/>
      <c r="M383" s="130"/>
      <c r="N383" s="130"/>
      <c r="O383" s="59"/>
      <c r="P383" s="59"/>
      <c r="Q383" s="59"/>
      <c r="R383" s="59"/>
      <c r="S383" s="59"/>
      <c r="T383" s="59"/>
      <c r="U383" s="59"/>
      <c r="V383" s="59"/>
      <c r="W383" s="50"/>
      <c r="X383" s="84">
        <v>636</v>
      </c>
      <c r="Y383" s="104">
        <f t="shared" si="174"/>
        <v>1.4522278308868478E-3</v>
      </c>
      <c r="Z383" s="96">
        <f t="shared" si="170"/>
        <v>0.8210320688183772</v>
      </c>
      <c r="AA383" s="94">
        <f t="shared" si="171"/>
        <v>560516.60685002571</v>
      </c>
      <c r="AB383" s="163">
        <f t="shared" si="173"/>
        <v>1.4522278308868478E-3</v>
      </c>
      <c r="AC383" s="96">
        <f t="shared" si="172"/>
        <v>0.8210320688183772</v>
      </c>
      <c r="AD383" s="94">
        <f t="shared" si="169"/>
        <v>560516.60685002571</v>
      </c>
    </row>
    <row r="384" spans="10:30" x14ac:dyDescent="0.25">
      <c r="J384" s="56"/>
      <c r="K384" s="56"/>
      <c r="L384" s="130"/>
      <c r="M384" s="130"/>
      <c r="N384" s="130"/>
      <c r="O384" s="59"/>
      <c r="P384" s="59"/>
      <c r="Q384" s="59"/>
      <c r="R384" s="59"/>
      <c r="S384" s="59"/>
      <c r="T384" s="59"/>
      <c r="U384" s="59"/>
      <c r="V384" s="59"/>
      <c r="W384" s="50"/>
      <c r="X384" s="84">
        <v>635</v>
      </c>
      <c r="Y384" s="104">
        <f t="shared" si="174"/>
        <v>1.4562174677848886E-3</v>
      </c>
      <c r="Z384" s="96">
        <f t="shared" si="170"/>
        <v>0.82140571565974918</v>
      </c>
      <c r="AA384" s="94">
        <f t="shared" si="171"/>
        <v>558178.57198261225</v>
      </c>
      <c r="AB384" s="163">
        <f t="shared" si="173"/>
        <v>1.4562174677848886E-3</v>
      </c>
      <c r="AC384" s="96">
        <f t="shared" si="172"/>
        <v>0.82140571565974918</v>
      </c>
      <c r="AD384" s="94">
        <f t="shared" si="169"/>
        <v>558178.57198261225</v>
      </c>
    </row>
    <row r="385" spans="10:30" x14ac:dyDescent="0.25">
      <c r="J385" s="56"/>
      <c r="K385" s="56"/>
      <c r="L385" s="130"/>
      <c r="M385" s="130"/>
      <c r="N385" s="130"/>
      <c r="O385" s="59"/>
      <c r="P385" s="59"/>
      <c r="Q385" s="59"/>
      <c r="R385" s="59"/>
      <c r="S385" s="59"/>
      <c r="T385" s="59"/>
      <c r="U385" s="59"/>
      <c r="V385" s="59"/>
      <c r="W385" s="50"/>
      <c r="X385" s="84">
        <v>634</v>
      </c>
      <c r="Y385" s="104">
        <f t="shared" si="174"/>
        <v>1.4602071046829295E-3</v>
      </c>
      <c r="Z385" s="96">
        <f t="shared" si="170"/>
        <v>0.82177885100731085</v>
      </c>
      <c r="AA385" s="94">
        <f t="shared" si="171"/>
        <v>555848.61409480055</v>
      </c>
      <c r="AB385" s="163">
        <f t="shared" si="173"/>
        <v>1.4602071046829295E-3</v>
      </c>
      <c r="AC385" s="96">
        <f t="shared" si="172"/>
        <v>0.82177885100731085</v>
      </c>
      <c r="AD385" s="94">
        <f t="shared" si="169"/>
        <v>555848.61409480055</v>
      </c>
    </row>
    <row r="386" spans="10:30" x14ac:dyDescent="0.25">
      <c r="J386" s="56"/>
      <c r="K386" s="56"/>
      <c r="L386" s="130"/>
      <c r="M386" s="130"/>
      <c r="N386" s="130"/>
      <c r="O386" s="59"/>
      <c r="P386" s="59"/>
      <c r="Q386" s="59"/>
      <c r="R386" s="59"/>
      <c r="S386" s="59"/>
      <c r="T386" s="59"/>
      <c r="U386" s="59"/>
      <c r="V386" s="59"/>
      <c r="W386" s="50"/>
      <c r="X386" s="84">
        <v>633</v>
      </c>
      <c r="Y386" s="104">
        <f t="shared" si="174"/>
        <v>1.4641967415809703E-3</v>
      </c>
      <c r="Z386" s="96">
        <f t="shared" si="170"/>
        <v>0.82215147695592672</v>
      </c>
      <c r="AA386" s="94">
        <f t="shared" si="171"/>
        <v>553526.70010676968</v>
      </c>
      <c r="AB386" s="163">
        <f t="shared" si="173"/>
        <v>1.4641967415809703E-3</v>
      </c>
      <c r="AC386" s="96">
        <f t="shared" si="172"/>
        <v>0.82215147695592672</v>
      </c>
      <c r="AD386" s="94">
        <f t="shared" si="169"/>
        <v>553526.70010676968</v>
      </c>
    </row>
    <row r="387" spans="10:30" x14ac:dyDescent="0.25">
      <c r="J387" s="56"/>
      <c r="K387" s="56"/>
      <c r="L387" s="130"/>
      <c r="M387" s="130"/>
      <c r="N387" s="130"/>
      <c r="O387" s="59"/>
      <c r="P387" s="59"/>
      <c r="Q387" s="59"/>
      <c r="R387" s="59"/>
      <c r="S387" s="59"/>
      <c r="T387" s="59"/>
      <c r="U387" s="59"/>
      <c r="V387" s="59"/>
      <c r="W387" s="50"/>
      <c r="X387" s="84">
        <v>632</v>
      </c>
      <c r="Y387" s="104">
        <f t="shared" si="174"/>
        <v>1.4681863784790112E-3</v>
      </c>
      <c r="Z387" s="96">
        <f t="shared" si="170"/>
        <v>0.82252359558619237</v>
      </c>
      <c r="AA387" s="94">
        <f t="shared" si="171"/>
        <v>551212.79716393363</v>
      </c>
      <c r="AB387" s="163">
        <f t="shared" si="173"/>
        <v>1.4681863784790112E-3</v>
      </c>
      <c r="AC387" s="96">
        <f t="shared" si="172"/>
        <v>0.82252359558619237</v>
      </c>
      <c r="AD387" s="94">
        <f t="shared" si="169"/>
        <v>551212.79716393363</v>
      </c>
    </row>
    <row r="388" spans="10:30" x14ac:dyDescent="0.25">
      <c r="J388" s="56"/>
      <c r="K388" s="56"/>
      <c r="L388" s="130"/>
      <c r="M388" s="130"/>
      <c r="N388" s="130"/>
      <c r="O388" s="59"/>
      <c r="P388" s="59"/>
      <c r="Q388" s="59"/>
      <c r="R388" s="59"/>
      <c r="S388" s="59"/>
      <c r="T388" s="59"/>
      <c r="U388" s="59"/>
      <c r="V388" s="59"/>
      <c r="W388" s="50"/>
      <c r="X388" s="84">
        <v>631</v>
      </c>
      <c r="Y388" s="104">
        <f t="shared" si="174"/>
        <v>1.472176015377052E-3</v>
      </c>
      <c r="Z388" s="96">
        <f t="shared" si="170"/>
        <v>0.82289520896458368</v>
      </c>
      <c r="AA388" s="94">
        <f t="shared" si="171"/>
        <v>548906.87263472355</v>
      </c>
      <c r="AB388" s="163">
        <f t="shared" si="173"/>
        <v>1.472176015377052E-3</v>
      </c>
      <c r="AC388" s="96">
        <f t="shared" si="172"/>
        <v>0.82289520896458368</v>
      </c>
      <c r="AD388" s="94">
        <f t="shared" si="169"/>
        <v>548906.87263472355</v>
      </c>
    </row>
    <row r="389" spans="10:30" x14ac:dyDescent="0.25">
      <c r="J389" s="56"/>
      <c r="K389" s="56"/>
      <c r="L389" s="130"/>
      <c r="M389" s="130"/>
      <c r="N389" s="130"/>
      <c r="O389" s="59"/>
      <c r="P389" s="59"/>
      <c r="Q389" s="59"/>
      <c r="R389" s="59"/>
      <c r="S389" s="59"/>
      <c r="T389" s="59"/>
      <c r="U389" s="59"/>
      <c r="V389" s="59"/>
      <c r="W389" s="50"/>
      <c r="X389" s="84">
        <v>630</v>
      </c>
      <c r="Y389" s="104">
        <f t="shared" si="174"/>
        <v>1.4761656522750929E-3</v>
      </c>
      <c r="Z389" s="96">
        <f t="shared" si="170"/>
        <v>0.82326631914358572</v>
      </c>
      <c r="AA389" s="94">
        <f t="shared" si="171"/>
        <v>546608.89410849637</v>
      </c>
      <c r="AB389" s="163">
        <f t="shared" si="173"/>
        <v>1.4761656522750929E-3</v>
      </c>
      <c r="AC389" s="96">
        <f t="shared" si="172"/>
        <v>0.82326631914358572</v>
      </c>
      <c r="AD389" s="94">
        <f t="shared" si="169"/>
        <v>546608.89410849637</v>
      </c>
    </row>
    <row r="390" spans="10:30" x14ac:dyDescent="0.25">
      <c r="J390" s="56"/>
      <c r="K390" s="56"/>
      <c r="L390" s="130"/>
      <c r="M390" s="130"/>
      <c r="N390" s="130"/>
      <c r="O390" s="59"/>
      <c r="P390" s="59"/>
      <c r="Q390" s="59"/>
      <c r="R390" s="59"/>
      <c r="S390" s="59"/>
      <c r="T390" s="59"/>
      <c r="U390" s="59"/>
      <c r="V390" s="59"/>
      <c r="W390" s="50"/>
      <c r="X390" s="84">
        <v>629</v>
      </c>
      <c r="Y390" s="104">
        <f t="shared" si="174"/>
        <v>1.4801552891731337E-3</v>
      </c>
      <c r="Z390" s="96">
        <f t="shared" si="170"/>
        <v>0.82363692816182232</v>
      </c>
      <c r="AA390" s="94">
        <f t="shared" si="171"/>
        <v>544318.82939346961</v>
      </c>
      <c r="AB390" s="163">
        <f t="shared" si="173"/>
        <v>1.4801552891731337E-3</v>
      </c>
      <c r="AC390" s="96">
        <f t="shared" si="172"/>
        <v>0.82363692816182232</v>
      </c>
      <c r="AD390" s="94">
        <f t="shared" si="169"/>
        <v>544318.82939346961</v>
      </c>
    </row>
    <row r="391" spans="10:30" x14ac:dyDescent="0.25">
      <c r="J391" s="56"/>
      <c r="K391" s="56"/>
      <c r="L391" s="130"/>
      <c r="M391" s="130"/>
      <c r="N391" s="130"/>
      <c r="O391" s="59"/>
      <c r="P391" s="59"/>
      <c r="Q391" s="59"/>
      <c r="R391" s="59"/>
      <c r="S391" s="59"/>
      <c r="T391" s="59"/>
      <c r="U391" s="59"/>
      <c r="V391" s="59"/>
      <c r="W391" s="50"/>
      <c r="X391" s="84">
        <v>628</v>
      </c>
      <c r="Y391" s="104">
        <f t="shared" si="174"/>
        <v>1.4841449260711746E-3</v>
      </c>
      <c r="Z391" s="96">
        <f t="shared" si="170"/>
        <v>0.82400703804418807</v>
      </c>
      <c r="AA391" s="94">
        <f t="shared" si="171"/>
        <v>542036.64651464683</v>
      </c>
      <c r="AB391" s="163">
        <f t="shared" si="173"/>
        <v>1.4841449260711746E-3</v>
      </c>
      <c r="AC391" s="96">
        <f t="shared" si="172"/>
        <v>0.82400703804418807</v>
      </c>
      <c r="AD391" s="94">
        <f t="shared" si="169"/>
        <v>542036.64651464683</v>
      </c>
    </row>
    <row r="392" spans="10:30" x14ac:dyDescent="0.25">
      <c r="J392" s="56"/>
      <c r="K392" s="56"/>
      <c r="L392" s="130"/>
      <c r="M392" s="130"/>
      <c r="N392" s="130"/>
      <c r="O392" s="59"/>
      <c r="P392" s="59"/>
      <c r="Q392" s="59"/>
      <c r="R392" s="59"/>
      <c r="S392" s="59"/>
      <c r="T392" s="59"/>
      <c r="U392" s="59"/>
      <c r="V392" s="59"/>
      <c r="W392" s="50"/>
      <c r="X392" s="84">
        <v>627</v>
      </c>
      <c r="Y392" s="104">
        <f t="shared" si="174"/>
        <v>1.4881345629692154E-3</v>
      </c>
      <c r="Z392" s="96">
        <f t="shared" si="170"/>
        <v>0.82437665080198441</v>
      </c>
      <c r="AA392" s="94">
        <f t="shared" si="171"/>
        <v>539762.31371174229</v>
      </c>
      <c r="AB392" s="163">
        <f t="shared" si="173"/>
        <v>1.4881345629692154E-3</v>
      </c>
      <c r="AC392" s="96">
        <f t="shared" si="172"/>
        <v>0.82437665080198441</v>
      </c>
      <c r="AD392" s="94">
        <f t="shared" si="169"/>
        <v>539762.31371174229</v>
      </c>
    </row>
    <row r="393" spans="10:30" x14ac:dyDescent="0.25">
      <c r="J393" s="56"/>
      <c r="K393" s="56"/>
      <c r="L393" s="130"/>
      <c r="M393" s="130"/>
      <c r="N393" s="130"/>
      <c r="O393" s="59"/>
      <c r="P393" s="59"/>
      <c r="Q393" s="59"/>
      <c r="R393" s="59"/>
      <c r="S393" s="59"/>
      <c r="T393" s="59"/>
      <c r="U393" s="59"/>
      <c r="V393" s="59"/>
      <c r="W393" s="50"/>
      <c r="X393" s="84">
        <v>626</v>
      </c>
      <c r="Y393" s="104">
        <f t="shared" si="174"/>
        <v>1.4921241998672563E-3</v>
      </c>
      <c r="Z393" s="96">
        <f t="shared" si="170"/>
        <v>0.82474576843303127</v>
      </c>
      <c r="AA393" s="94">
        <f t="shared" si="171"/>
        <v>537495.79943725152</v>
      </c>
      <c r="AB393" s="163">
        <f t="shared" si="173"/>
        <v>1.4921241998672563E-3</v>
      </c>
      <c r="AC393" s="96">
        <f t="shared" si="172"/>
        <v>0.82474576843303127</v>
      </c>
      <c r="AD393" s="94">
        <f t="shared" si="169"/>
        <v>537495.79943725152</v>
      </c>
    </row>
    <row r="394" spans="10:30" x14ac:dyDescent="0.25">
      <c r="J394" s="56"/>
      <c r="K394" s="56"/>
      <c r="L394" s="130"/>
      <c r="M394" s="130"/>
      <c r="N394" s="130"/>
      <c r="O394" s="59"/>
      <c r="P394" s="59"/>
      <c r="Q394" s="59"/>
      <c r="R394" s="59"/>
      <c r="S394" s="59"/>
      <c r="T394" s="59"/>
      <c r="U394" s="59"/>
      <c r="V394" s="59"/>
      <c r="W394" s="50"/>
      <c r="X394" s="84">
        <v>625</v>
      </c>
      <c r="Y394" s="104">
        <f t="shared" si="174"/>
        <v>1.4961138367652971E-3</v>
      </c>
      <c r="Z394" s="96">
        <f t="shared" si="170"/>
        <v>0.82511439292181699</v>
      </c>
      <c r="AA394" s="94">
        <f t="shared" si="171"/>
        <v>535237.07235433022</v>
      </c>
      <c r="AB394" s="163">
        <f t="shared" si="173"/>
        <v>1.4961138367652971E-3</v>
      </c>
      <c r="AC394" s="96">
        <f t="shared" si="172"/>
        <v>0.82511439292181699</v>
      </c>
      <c r="AD394" s="94">
        <f t="shared" si="169"/>
        <v>535237.07235433022</v>
      </c>
    </row>
    <row r="395" spans="10:30" x14ac:dyDescent="0.25">
      <c r="J395" s="56"/>
      <c r="K395" s="56"/>
      <c r="L395" s="130"/>
      <c r="M395" s="130"/>
      <c r="N395" s="130"/>
      <c r="O395" s="59"/>
      <c r="P395" s="59"/>
      <c r="Q395" s="59"/>
      <c r="R395" s="59"/>
      <c r="S395" s="59"/>
      <c r="T395" s="59"/>
      <c r="U395" s="59"/>
      <c r="V395" s="59"/>
      <c r="W395" s="50"/>
      <c r="X395" s="84">
        <v>624</v>
      </c>
      <c r="Y395" s="104">
        <f t="shared" si="174"/>
        <v>1.500103473663338E-3</v>
      </c>
      <c r="Z395" s="96">
        <f t="shared" si="170"/>
        <v>0.82548252623959595</v>
      </c>
      <c r="AA395" s="94">
        <f t="shared" si="171"/>
        <v>532986.10133498278</v>
      </c>
      <c r="AB395" s="163">
        <f t="shared" si="173"/>
        <v>1.500103473663338E-3</v>
      </c>
      <c r="AC395" s="96">
        <f t="shared" si="172"/>
        <v>0.82548252623959595</v>
      </c>
      <c r="AD395" s="94">
        <f t="shared" si="169"/>
        <v>532986.10133498278</v>
      </c>
    </row>
    <row r="396" spans="10:30" x14ac:dyDescent="0.25">
      <c r="J396" s="56"/>
      <c r="K396" s="56"/>
      <c r="L396" s="130"/>
      <c r="M396" s="130"/>
      <c r="N396" s="130"/>
      <c r="O396" s="59"/>
      <c r="P396" s="59"/>
      <c r="Q396" s="59"/>
      <c r="R396" s="59"/>
      <c r="S396" s="59"/>
      <c r="T396" s="59"/>
      <c r="U396" s="59"/>
      <c r="V396" s="59"/>
      <c r="W396" s="50"/>
      <c r="X396" s="84">
        <v>623</v>
      </c>
      <c r="Y396" s="104">
        <f t="shared" si="174"/>
        <v>1.5040931105613788E-3</v>
      </c>
      <c r="Z396" s="96">
        <f t="shared" si="170"/>
        <v>0.8258501703445279</v>
      </c>
      <c r="AA396" s="94">
        <f t="shared" si="171"/>
        <v>530742.85545802466</v>
      </c>
      <c r="AB396" s="163">
        <f t="shared" si="173"/>
        <v>1.5040931105613788E-3</v>
      </c>
      <c r="AC396" s="96">
        <f t="shared" si="172"/>
        <v>0.8258501703445279</v>
      </c>
      <c r="AD396" s="94">
        <f t="shared" si="169"/>
        <v>530742.85545802466</v>
      </c>
    </row>
    <row r="397" spans="10:30" x14ac:dyDescent="0.25">
      <c r="J397" s="56"/>
      <c r="K397" s="56"/>
      <c r="L397" s="130"/>
      <c r="M397" s="130"/>
      <c r="N397" s="130"/>
      <c r="O397" s="59"/>
      <c r="P397" s="59"/>
      <c r="Q397" s="59"/>
      <c r="R397" s="59"/>
      <c r="S397" s="59"/>
      <c r="T397" s="59"/>
      <c r="U397" s="59"/>
      <c r="V397" s="59"/>
      <c r="W397" s="50"/>
      <c r="X397" s="84">
        <v>622</v>
      </c>
      <c r="Y397" s="104">
        <f t="shared" si="174"/>
        <v>1.5080827474594197E-3</v>
      </c>
      <c r="Z397" s="96">
        <f t="shared" si="170"/>
        <v>0.82621732718180063</v>
      </c>
      <c r="AA397" s="94">
        <f t="shared" si="171"/>
        <v>528507.30400715314</v>
      </c>
      <c r="AB397" s="163">
        <f t="shared" si="173"/>
        <v>1.5080827474594197E-3</v>
      </c>
      <c r="AC397" s="96">
        <f t="shared" si="172"/>
        <v>0.82621732718180063</v>
      </c>
      <c r="AD397" s="94">
        <f t="shared" si="169"/>
        <v>528507.30400715314</v>
      </c>
    </row>
    <row r="398" spans="10:30" x14ac:dyDescent="0.25">
      <c r="J398" s="56"/>
      <c r="K398" s="56"/>
      <c r="L398" s="130"/>
      <c r="M398" s="130"/>
      <c r="N398" s="130"/>
      <c r="O398" s="59"/>
      <c r="P398" s="59"/>
      <c r="Q398" s="59"/>
      <c r="R398" s="59"/>
      <c r="S398" s="59"/>
      <c r="T398" s="59"/>
      <c r="U398" s="59"/>
      <c r="V398" s="59"/>
      <c r="W398" s="50"/>
      <c r="X398" s="84">
        <v>621</v>
      </c>
      <c r="Y398" s="104">
        <f t="shared" si="174"/>
        <v>1.5120723843574605E-3</v>
      </c>
      <c r="Z398" s="96">
        <f t="shared" si="170"/>
        <v>0.82658399868374011</v>
      </c>
      <c r="AA398" s="94">
        <f t="shared" si="171"/>
        <v>526279.41646911879</v>
      </c>
      <c r="AB398" s="163">
        <f t="shared" si="173"/>
        <v>1.5120723843574605E-3</v>
      </c>
      <c r="AC398" s="96">
        <f t="shared" si="172"/>
        <v>0.82658399868374011</v>
      </c>
      <c r="AD398" s="94">
        <f t="shared" si="169"/>
        <v>526279.41646911879</v>
      </c>
    </row>
    <row r="399" spans="10:30" x14ac:dyDescent="0.25">
      <c r="J399" s="56"/>
      <c r="K399" s="56"/>
      <c r="L399" s="130"/>
      <c r="M399" s="130"/>
      <c r="N399" s="130"/>
      <c r="O399" s="59"/>
      <c r="P399" s="59"/>
      <c r="Q399" s="59"/>
      <c r="R399" s="59"/>
      <c r="S399" s="59"/>
      <c r="T399" s="59"/>
      <c r="U399" s="59"/>
      <c r="V399" s="59"/>
      <c r="W399" s="50"/>
      <c r="X399" s="84">
        <v>620</v>
      </c>
      <c r="Y399" s="104">
        <f t="shared" si="174"/>
        <v>1.5160620212555014E-3</v>
      </c>
      <c r="Z399" s="96">
        <f t="shared" si="170"/>
        <v>0.82695018676993937</v>
      </c>
      <c r="AA399" s="94">
        <f t="shared" si="171"/>
        <v>524059.16253178072</v>
      </c>
      <c r="AB399" s="163">
        <f t="shared" si="173"/>
        <v>1.5160620212555014E-3</v>
      </c>
      <c r="AC399" s="96">
        <f t="shared" si="172"/>
        <v>0.82695018676993937</v>
      </c>
      <c r="AD399" s="94">
        <f t="shared" si="169"/>
        <v>524059.16253178072</v>
      </c>
    </row>
    <row r="400" spans="10:30" x14ac:dyDescent="0.25">
      <c r="J400" s="56"/>
      <c r="K400" s="56"/>
      <c r="L400" s="130"/>
      <c r="M400" s="130"/>
      <c r="N400" s="130"/>
      <c r="O400" s="59"/>
      <c r="P400" s="59"/>
      <c r="Q400" s="59"/>
      <c r="R400" s="59"/>
      <c r="S400" s="59"/>
      <c r="T400" s="59"/>
      <c r="U400" s="59"/>
      <c r="V400" s="59"/>
      <c r="W400" s="50"/>
      <c r="X400" s="84">
        <v>619</v>
      </c>
      <c r="Y400" s="104">
        <f t="shared" si="174"/>
        <v>1.5200516581535422E-3</v>
      </c>
      <c r="Z400" s="96">
        <f t="shared" si="170"/>
        <v>0.82731589334736455</v>
      </c>
      <c r="AA400" s="94">
        <f t="shared" si="171"/>
        <v>521846.51208232885</v>
      </c>
      <c r="AB400" s="163">
        <f t="shared" si="173"/>
        <v>1.5200516581535422E-3</v>
      </c>
      <c r="AC400" s="96">
        <f t="shared" si="172"/>
        <v>0.82731589334736455</v>
      </c>
      <c r="AD400" s="94">
        <f t="shared" si="169"/>
        <v>521846.51208232885</v>
      </c>
    </row>
    <row r="401" spans="10:30" x14ac:dyDescent="0.25">
      <c r="J401" s="56"/>
      <c r="K401" s="56"/>
      <c r="L401" s="130"/>
      <c r="M401" s="130"/>
      <c r="N401" s="130"/>
      <c r="O401" s="59"/>
      <c r="P401" s="59"/>
      <c r="Q401" s="59"/>
      <c r="R401" s="59"/>
      <c r="S401" s="59"/>
      <c r="T401" s="59"/>
      <c r="U401" s="59"/>
      <c r="V401" s="59"/>
      <c r="W401" s="50"/>
      <c r="X401" s="84">
        <v>618</v>
      </c>
      <c r="Y401" s="104">
        <f t="shared" si="174"/>
        <v>1.5240412950515831E-3</v>
      </c>
      <c r="Z401" s="96">
        <f t="shared" si="170"/>
        <v>0.8276811203104838</v>
      </c>
      <c r="AA401" s="94">
        <f t="shared" si="171"/>
        <v>519641.4352053742</v>
      </c>
      <c r="AB401" s="163">
        <f t="shared" si="173"/>
        <v>1.5240412950515831E-3</v>
      </c>
      <c r="AC401" s="96">
        <f t="shared" si="172"/>
        <v>0.8276811203104838</v>
      </c>
      <c r="AD401" s="94">
        <f t="shared" si="169"/>
        <v>519641.4352053742</v>
      </c>
    </row>
    <row r="402" spans="10:30" x14ac:dyDescent="0.25">
      <c r="J402" s="56"/>
      <c r="K402" s="56"/>
      <c r="L402" s="130"/>
      <c r="M402" s="130"/>
      <c r="N402" s="130"/>
      <c r="O402" s="59"/>
      <c r="P402" s="59"/>
      <c r="Q402" s="59"/>
      <c r="R402" s="59"/>
      <c r="S402" s="59"/>
      <c r="T402" s="59"/>
      <c r="U402" s="59"/>
      <c r="V402" s="59"/>
      <c r="W402" s="50"/>
      <c r="X402" s="84">
        <v>617</v>
      </c>
      <c r="Y402" s="104">
        <f t="shared" si="174"/>
        <v>1.5280309319496239E-3</v>
      </c>
      <c r="Z402" s="96">
        <f t="shared" si="170"/>
        <v>0.82804586954136683</v>
      </c>
      <c r="AA402" s="94">
        <f t="shared" si="171"/>
        <v>517443.90218123113</v>
      </c>
      <c r="AB402" s="163">
        <f t="shared" si="173"/>
        <v>1.5280309319496239E-3</v>
      </c>
      <c r="AC402" s="96">
        <f t="shared" si="172"/>
        <v>0.82804586954136683</v>
      </c>
      <c r="AD402" s="94">
        <f t="shared" si="169"/>
        <v>517443.90218123113</v>
      </c>
    </row>
    <row r="403" spans="10:30" x14ac:dyDescent="0.25">
      <c r="J403" s="56"/>
      <c r="K403" s="56"/>
      <c r="L403" s="130"/>
      <c r="M403" s="130"/>
      <c r="N403" s="130"/>
      <c r="O403" s="59"/>
      <c r="P403" s="59"/>
      <c r="Q403" s="59"/>
      <c r="R403" s="59"/>
      <c r="S403" s="59"/>
      <c r="T403" s="59"/>
      <c r="U403" s="59"/>
      <c r="V403" s="59"/>
      <c r="W403" s="50"/>
      <c r="X403" s="84">
        <v>616</v>
      </c>
      <c r="Y403" s="104">
        <f t="shared" si="174"/>
        <v>1.5320205688476648E-3</v>
      </c>
      <c r="Z403" s="96">
        <f t="shared" si="170"/>
        <v>0.82841014290981851</v>
      </c>
      <c r="AA403" s="94">
        <f t="shared" si="171"/>
        <v>515253.88348400575</v>
      </c>
      <c r="AB403" s="163">
        <f t="shared" si="173"/>
        <v>1.5320205688476648E-3</v>
      </c>
      <c r="AC403" s="96">
        <f t="shared" si="172"/>
        <v>0.82841014290981851</v>
      </c>
      <c r="AD403" s="94">
        <f t="shared" ref="AD403:AD466" si="175">IF(AC403&lt;1,X$14*((1-ropt)-Y$14*(1-ropt^2)+Z$14*(1-ropt^3)),0)</f>
        <v>515253.88348400575</v>
      </c>
    </row>
    <row r="404" spans="10:30" x14ac:dyDescent="0.25">
      <c r="J404" s="56"/>
      <c r="K404" s="56"/>
      <c r="L404" s="130"/>
      <c r="M404" s="130"/>
      <c r="N404" s="130"/>
      <c r="O404" s="59"/>
      <c r="P404" s="59"/>
      <c r="Q404" s="59"/>
      <c r="R404" s="59"/>
      <c r="S404" s="59"/>
      <c r="T404" s="59"/>
      <c r="U404" s="59"/>
      <c r="V404" s="59"/>
      <c r="W404" s="50"/>
      <c r="X404" s="84">
        <v>615</v>
      </c>
      <c r="Y404" s="104">
        <f t="shared" si="174"/>
        <v>1.5360102057457056E-3</v>
      </c>
      <c r="Z404" s="96">
        <f t="shared" ref="Z404:Z467" si="176">(K-(L0-Y404*Ldif-alph*Y404^0.5))/R0</f>
        <v>0.82877394227346135</v>
      </c>
      <c r="AA404" s="94">
        <f t="shared" ref="AA404:AA467" si="177">IF(Z404&lt;1,X$14*((1-r.1)-Y$14*(1-r.1^2)+Z$14*(1-r.1^3)),0)</f>
        <v>513071.34978000837</v>
      </c>
      <c r="AB404" s="163">
        <f t="shared" si="173"/>
        <v>1.5360102057457056E-3</v>
      </c>
      <c r="AC404" s="96">
        <f t="shared" ref="AC404:AC467" si="178">(Kopt-(L0-AB404*Ldif-alph*AB404^0.5))/R0</f>
        <v>0.82877394227346135</v>
      </c>
      <c r="AD404" s="94">
        <f t="shared" si="175"/>
        <v>513071.34978000837</v>
      </c>
    </row>
    <row r="405" spans="10:30" x14ac:dyDescent="0.25">
      <c r="J405" s="56"/>
      <c r="K405" s="56"/>
      <c r="L405" s="130"/>
      <c r="M405" s="130"/>
      <c r="N405" s="130"/>
      <c r="O405" s="59"/>
      <c r="P405" s="59"/>
      <c r="Q405" s="59"/>
      <c r="R405" s="59"/>
      <c r="S405" s="59"/>
      <c r="T405" s="59"/>
      <c r="U405" s="59"/>
      <c r="V405" s="59"/>
      <c r="W405" s="50"/>
      <c r="X405" s="84">
        <v>614</v>
      </c>
      <c r="Y405" s="104">
        <f t="shared" si="174"/>
        <v>1.5399998426437465E-3</v>
      </c>
      <c r="Z405" s="96">
        <f t="shared" si="176"/>
        <v>0.82913726947788369</v>
      </c>
      <c r="AA405" s="94">
        <f t="shared" si="177"/>
        <v>510896.27192578354</v>
      </c>
      <c r="AB405" s="163">
        <f t="shared" ref="AB405:AB468" si="179">AB404+AB$15</f>
        <v>1.5399998426437465E-3</v>
      </c>
      <c r="AC405" s="96">
        <f t="shared" si="178"/>
        <v>0.82913726947788369</v>
      </c>
      <c r="AD405" s="94">
        <f t="shared" si="175"/>
        <v>510896.27192578354</v>
      </c>
    </row>
    <row r="406" spans="10:30" x14ac:dyDescent="0.25">
      <c r="J406" s="56"/>
      <c r="K406" s="56"/>
      <c r="L406" s="130"/>
      <c r="M406" s="130"/>
      <c r="N406" s="130"/>
      <c r="O406" s="59"/>
      <c r="P406" s="59"/>
      <c r="Q406" s="59"/>
      <c r="R406" s="59"/>
      <c r="S406" s="59"/>
      <c r="T406" s="59"/>
      <c r="U406" s="59"/>
      <c r="V406" s="59"/>
      <c r="W406" s="50"/>
      <c r="X406" s="84">
        <v>613</v>
      </c>
      <c r="Y406" s="104">
        <f t="shared" si="174"/>
        <v>1.5439894795417873E-3</v>
      </c>
      <c r="Z406" s="96">
        <f t="shared" si="176"/>
        <v>0.82950012635670789</v>
      </c>
      <c r="AA406" s="94">
        <f t="shared" si="177"/>
        <v>508728.62096662569</v>
      </c>
      <c r="AB406" s="163">
        <f t="shared" si="179"/>
        <v>1.5439894795417873E-3</v>
      </c>
      <c r="AC406" s="96">
        <f t="shared" si="178"/>
        <v>0.82950012635670789</v>
      </c>
      <c r="AD406" s="94">
        <f t="shared" si="175"/>
        <v>508728.62096662569</v>
      </c>
    </row>
    <row r="407" spans="10:30" x14ac:dyDescent="0.25">
      <c r="J407" s="56"/>
      <c r="K407" s="56"/>
      <c r="L407" s="130"/>
      <c r="M407" s="130"/>
      <c r="N407" s="130"/>
      <c r="O407" s="59"/>
      <c r="P407" s="59"/>
      <c r="Q407" s="59"/>
      <c r="R407" s="59"/>
      <c r="S407" s="59"/>
      <c r="T407" s="59"/>
      <c r="U407" s="59"/>
      <c r="V407" s="59"/>
      <c r="W407" s="50"/>
      <c r="X407" s="84">
        <v>612</v>
      </c>
      <c r="Y407" s="104">
        <f t="shared" si="174"/>
        <v>1.5479791164398282E-3</v>
      </c>
      <c r="Z407" s="96">
        <f t="shared" si="176"/>
        <v>0.829862514731736</v>
      </c>
      <c r="AA407" s="94">
        <f t="shared" si="177"/>
        <v>506568.36813465372</v>
      </c>
      <c r="AB407" s="163">
        <f t="shared" si="179"/>
        <v>1.5479791164398282E-3</v>
      </c>
      <c r="AC407" s="96">
        <f t="shared" si="178"/>
        <v>0.829862514731736</v>
      </c>
      <c r="AD407" s="94">
        <f t="shared" si="175"/>
        <v>506568.36813465372</v>
      </c>
    </row>
    <row r="408" spans="10:30" x14ac:dyDescent="0.25">
      <c r="J408" s="56"/>
      <c r="K408" s="56"/>
      <c r="L408" s="130"/>
      <c r="M408" s="130"/>
      <c r="N408" s="130"/>
      <c r="O408" s="59"/>
      <c r="P408" s="59"/>
      <c r="Q408" s="59"/>
      <c r="R408" s="59"/>
      <c r="S408" s="59"/>
      <c r="T408" s="59"/>
      <c r="U408" s="59"/>
      <c r="V408" s="59"/>
      <c r="W408" s="50"/>
      <c r="X408" s="84">
        <v>611</v>
      </c>
      <c r="Y408" s="104">
        <f t="shared" si="174"/>
        <v>1.551968753337869E-3</v>
      </c>
      <c r="Z408" s="96">
        <f t="shared" si="176"/>
        <v>0.83022443641302468</v>
      </c>
      <c r="AA408" s="94">
        <f t="shared" si="177"/>
        <v>504415.48484731489</v>
      </c>
      <c r="AB408" s="163">
        <f t="shared" si="179"/>
        <v>1.551968753337869E-3</v>
      </c>
      <c r="AC408" s="96">
        <f t="shared" si="178"/>
        <v>0.83022443641302468</v>
      </c>
      <c r="AD408" s="94">
        <f t="shared" si="175"/>
        <v>504415.48484731489</v>
      </c>
    </row>
    <row r="409" spans="10:30" x14ac:dyDescent="0.25">
      <c r="J409" s="56"/>
      <c r="K409" s="56"/>
      <c r="L409" s="130"/>
      <c r="M409" s="130"/>
      <c r="N409" s="130"/>
      <c r="O409" s="59"/>
      <c r="P409" s="59"/>
      <c r="Q409" s="59"/>
      <c r="R409" s="59"/>
      <c r="S409" s="59"/>
      <c r="T409" s="59"/>
      <c r="U409" s="59"/>
      <c r="V409" s="59"/>
      <c r="W409" s="50"/>
      <c r="X409" s="84">
        <v>610</v>
      </c>
      <c r="Y409" s="104">
        <f t="shared" si="174"/>
        <v>1.5559583902359099E-3</v>
      </c>
      <c r="Z409" s="96">
        <f t="shared" si="176"/>
        <v>0.8305858931990161</v>
      </c>
      <c r="AA409" s="94">
        <f t="shared" si="177"/>
        <v>502269.94270556641</v>
      </c>
      <c r="AB409" s="163">
        <f t="shared" si="179"/>
        <v>1.5559583902359099E-3</v>
      </c>
      <c r="AC409" s="96">
        <f t="shared" si="178"/>
        <v>0.8305858931990161</v>
      </c>
      <c r="AD409" s="94">
        <f t="shared" si="175"/>
        <v>502269.94270556641</v>
      </c>
    </row>
    <row r="410" spans="10:30" x14ac:dyDescent="0.25">
      <c r="J410" s="56"/>
      <c r="K410" s="56"/>
      <c r="L410" s="130"/>
      <c r="M410" s="130"/>
      <c r="N410" s="130"/>
      <c r="O410" s="59"/>
      <c r="P410" s="59"/>
      <c r="Q410" s="59"/>
      <c r="R410" s="59"/>
      <c r="S410" s="59"/>
      <c r="T410" s="59"/>
      <c r="U410" s="59"/>
      <c r="V410" s="59"/>
      <c r="W410" s="50"/>
      <c r="X410" s="84">
        <v>609</v>
      </c>
      <c r="Y410" s="104">
        <f t="shared" si="174"/>
        <v>1.5599480271339507E-3</v>
      </c>
      <c r="Z410" s="96">
        <f t="shared" si="176"/>
        <v>0.83094688687662699</v>
      </c>
      <c r="AA410" s="94">
        <f t="shared" si="177"/>
        <v>500131.71349231899</v>
      </c>
      <c r="AB410" s="163">
        <f t="shared" si="179"/>
        <v>1.5599480271339507E-3</v>
      </c>
      <c r="AC410" s="96">
        <f t="shared" si="178"/>
        <v>0.83094688687662699</v>
      </c>
      <c r="AD410" s="94">
        <f t="shared" si="175"/>
        <v>500131.71349231899</v>
      </c>
    </row>
    <row r="411" spans="10:30" x14ac:dyDescent="0.25">
      <c r="J411" s="56"/>
      <c r="K411" s="56"/>
      <c r="L411" s="130"/>
      <c r="M411" s="130"/>
      <c r="N411" s="130"/>
      <c r="O411" s="59"/>
      <c r="P411" s="59"/>
      <c r="Q411" s="59"/>
      <c r="R411" s="59"/>
      <c r="S411" s="59"/>
      <c r="T411" s="59"/>
      <c r="U411" s="59"/>
      <c r="V411" s="59"/>
      <c r="W411" s="50"/>
      <c r="X411" s="84">
        <v>608</v>
      </c>
      <c r="Y411" s="104">
        <f t="shared" si="174"/>
        <v>1.5639376640319916E-3</v>
      </c>
      <c r="Z411" s="96">
        <f t="shared" si="176"/>
        <v>0.83130741922135543</v>
      </c>
      <c r="AA411" s="94">
        <f t="shared" si="177"/>
        <v>498000.76917079143</v>
      </c>
      <c r="AB411" s="163">
        <f t="shared" si="179"/>
        <v>1.5639376640319916E-3</v>
      </c>
      <c r="AC411" s="96">
        <f t="shared" si="178"/>
        <v>0.83130741922135543</v>
      </c>
      <c r="AD411" s="94">
        <f t="shared" si="175"/>
        <v>498000.76917079143</v>
      </c>
    </row>
    <row r="412" spans="10:30" x14ac:dyDescent="0.25">
      <c r="J412" s="56"/>
      <c r="K412" s="56"/>
      <c r="L412" s="130"/>
      <c r="M412" s="130"/>
      <c r="N412" s="130"/>
      <c r="O412" s="59"/>
      <c r="P412" s="59"/>
      <c r="Q412" s="59"/>
      <c r="R412" s="59"/>
      <c r="S412" s="59"/>
      <c r="T412" s="59"/>
      <c r="U412" s="59"/>
      <c r="V412" s="59"/>
      <c r="W412" s="50"/>
      <c r="X412" s="84">
        <v>607</v>
      </c>
      <c r="Y412" s="104">
        <f t="shared" si="174"/>
        <v>1.5679273009300324E-3</v>
      </c>
      <c r="Z412" s="96">
        <f t="shared" si="176"/>
        <v>0.83166749199738421</v>
      </c>
      <c r="AA412" s="94">
        <f t="shared" si="177"/>
        <v>495877.08188288822</v>
      </c>
      <c r="AB412" s="163">
        <f t="shared" si="179"/>
        <v>1.5679273009300324E-3</v>
      </c>
      <c r="AC412" s="96">
        <f t="shared" si="178"/>
        <v>0.83166749199738421</v>
      </c>
      <c r="AD412" s="94">
        <f t="shared" si="175"/>
        <v>495877.08188288822</v>
      </c>
    </row>
    <row r="413" spans="10:30" x14ac:dyDescent="0.25">
      <c r="J413" s="56"/>
      <c r="K413" s="56"/>
      <c r="L413" s="130"/>
      <c r="M413" s="130"/>
      <c r="N413" s="130"/>
      <c r="O413" s="59"/>
      <c r="P413" s="59"/>
      <c r="Q413" s="59"/>
      <c r="R413" s="59"/>
      <c r="S413" s="59"/>
      <c r="T413" s="59"/>
      <c r="U413" s="59"/>
      <c r="V413" s="59"/>
      <c r="W413" s="50"/>
      <c r="X413" s="84">
        <v>606</v>
      </c>
      <c r="Y413" s="104">
        <f t="shared" si="174"/>
        <v>1.5719169378280733E-3</v>
      </c>
      <c r="Z413" s="96">
        <f t="shared" si="176"/>
        <v>0.83202710695768256</v>
      </c>
      <c r="AA413" s="94">
        <f t="shared" si="177"/>
        <v>493760.62394760235</v>
      </c>
      <c r="AB413" s="163">
        <f t="shared" si="179"/>
        <v>1.5719169378280733E-3</v>
      </c>
      <c r="AC413" s="96">
        <f t="shared" si="178"/>
        <v>0.83202710695768256</v>
      </c>
      <c r="AD413" s="94">
        <f t="shared" si="175"/>
        <v>493760.62394760235</v>
      </c>
    </row>
    <row r="414" spans="10:30" x14ac:dyDescent="0.25">
      <c r="J414" s="56"/>
      <c r="K414" s="56"/>
      <c r="L414" s="130"/>
      <c r="M414" s="130"/>
      <c r="N414" s="130"/>
      <c r="O414" s="59"/>
      <c r="P414" s="59"/>
      <c r="Q414" s="59"/>
      <c r="R414" s="59"/>
      <c r="S414" s="59"/>
      <c r="T414" s="59"/>
      <c r="U414" s="59"/>
      <c r="V414" s="59"/>
      <c r="W414" s="50"/>
      <c r="X414" s="84">
        <v>605</v>
      </c>
      <c r="Y414" s="104">
        <f t="shared" si="174"/>
        <v>1.5759065747261141E-3</v>
      </c>
      <c r="Z414" s="96">
        <f t="shared" si="176"/>
        <v>0.83238626584410036</v>
      </c>
      <c r="AA414" s="94">
        <f t="shared" si="177"/>
        <v>491651.36785948067</v>
      </c>
      <c r="AB414" s="163">
        <f t="shared" si="179"/>
        <v>1.5759065747261141E-3</v>
      </c>
      <c r="AC414" s="96">
        <f t="shared" si="178"/>
        <v>0.83238626584410036</v>
      </c>
      <c r="AD414" s="94">
        <f t="shared" si="175"/>
        <v>491651.36785948067</v>
      </c>
    </row>
    <row r="415" spans="10:30" x14ac:dyDescent="0.25">
      <c r="J415" s="56"/>
      <c r="K415" s="56"/>
      <c r="L415" s="130"/>
      <c r="M415" s="130"/>
      <c r="N415" s="130"/>
      <c r="O415" s="59"/>
      <c r="P415" s="59"/>
      <c r="Q415" s="59"/>
      <c r="R415" s="59"/>
      <c r="S415" s="59"/>
      <c r="T415" s="59"/>
      <c r="U415" s="59"/>
      <c r="V415" s="59"/>
      <c r="W415" s="50"/>
      <c r="X415" s="84">
        <v>604</v>
      </c>
      <c r="Y415" s="104">
        <f t="shared" si="174"/>
        <v>1.579896211624155E-3</v>
      </c>
      <c r="Z415" s="96">
        <f t="shared" si="176"/>
        <v>0.83274497038747353</v>
      </c>
      <c r="AA415" s="94">
        <f t="shared" si="177"/>
        <v>489549.28628702468</v>
      </c>
      <c r="AB415" s="163">
        <f t="shared" si="179"/>
        <v>1.579896211624155E-3</v>
      </c>
      <c r="AC415" s="96">
        <f t="shared" si="178"/>
        <v>0.83274497038747353</v>
      </c>
      <c r="AD415" s="94">
        <f t="shared" si="175"/>
        <v>489549.28628702468</v>
      </c>
    </row>
    <row r="416" spans="10:30" x14ac:dyDescent="0.25">
      <c r="J416" s="56"/>
      <c r="K416" s="56"/>
      <c r="L416" s="130"/>
      <c r="M416" s="130"/>
      <c r="N416" s="130"/>
      <c r="O416" s="59"/>
      <c r="P416" s="59"/>
      <c r="Q416" s="59"/>
      <c r="R416" s="59"/>
      <c r="S416" s="59"/>
      <c r="T416" s="59"/>
      <c r="U416" s="59"/>
      <c r="V416" s="59"/>
      <c r="W416" s="50"/>
      <c r="X416" s="84">
        <v>603</v>
      </c>
      <c r="Y416" s="104">
        <f t="shared" ref="Y416:Y479" si="180">Y415+Y$16</f>
        <v>1.5838858485221958E-3</v>
      </c>
      <c r="Z416" s="96">
        <f t="shared" si="176"/>
        <v>0.83310322230771161</v>
      </c>
      <c r="AA416" s="94">
        <f t="shared" si="177"/>
        <v>487454.35207121028</v>
      </c>
      <c r="AB416" s="163">
        <f t="shared" si="179"/>
        <v>1.5838858485221958E-3</v>
      </c>
      <c r="AC416" s="96">
        <f t="shared" si="178"/>
        <v>0.83310322230771161</v>
      </c>
      <c r="AD416" s="94">
        <f t="shared" si="175"/>
        <v>487454.35207121028</v>
      </c>
    </row>
    <row r="417" spans="10:30" x14ac:dyDescent="0.25">
      <c r="J417" s="56"/>
      <c r="K417" s="56"/>
      <c r="L417" s="130"/>
      <c r="M417" s="130"/>
      <c r="N417" s="130"/>
      <c r="O417" s="59"/>
      <c r="P417" s="59"/>
      <c r="Q417" s="59"/>
      <c r="R417" s="59"/>
      <c r="S417" s="59"/>
      <c r="T417" s="59"/>
      <c r="U417" s="59"/>
      <c r="V417" s="59"/>
      <c r="W417" s="50"/>
      <c r="X417" s="84">
        <v>602</v>
      </c>
      <c r="Y417" s="104">
        <f t="shared" si="180"/>
        <v>1.5878754854202367E-3</v>
      </c>
      <c r="Z417" s="96">
        <f t="shared" si="176"/>
        <v>0.83346102331391003</v>
      </c>
      <c r="AA417" s="94">
        <f t="shared" si="177"/>
        <v>485366.53822387487</v>
      </c>
      <c r="AB417" s="163">
        <f t="shared" si="179"/>
        <v>1.5878754854202367E-3</v>
      </c>
      <c r="AC417" s="96">
        <f t="shared" si="178"/>
        <v>0.83346102331391003</v>
      </c>
      <c r="AD417" s="94">
        <f t="shared" si="175"/>
        <v>485366.53822387487</v>
      </c>
    </row>
    <row r="418" spans="10:30" x14ac:dyDescent="0.25">
      <c r="J418" s="56"/>
      <c r="K418" s="56"/>
      <c r="L418" s="130"/>
      <c r="M418" s="130"/>
      <c r="N418" s="130"/>
      <c r="O418" s="59"/>
      <c r="P418" s="59"/>
      <c r="Q418" s="59"/>
      <c r="R418" s="59"/>
      <c r="S418" s="59"/>
      <c r="T418" s="59"/>
      <c r="U418" s="59"/>
      <c r="V418" s="59"/>
      <c r="W418" s="50"/>
      <c r="X418" s="84">
        <v>601</v>
      </c>
      <c r="Y418" s="104">
        <f t="shared" si="180"/>
        <v>1.5918651223182775E-3</v>
      </c>
      <c r="Z418" s="96">
        <f t="shared" si="176"/>
        <v>0.83381837510442702</v>
      </c>
      <c r="AA418" s="94">
        <f t="shared" si="177"/>
        <v>483285.81792632648</v>
      </c>
      <c r="AB418" s="163">
        <f t="shared" si="179"/>
        <v>1.5918651223182775E-3</v>
      </c>
      <c r="AC418" s="96">
        <f t="shared" si="178"/>
        <v>0.83381837510442702</v>
      </c>
      <c r="AD418" s="94">
        <f t="shared" si="175"/>
        <v>483285.81792632648</v>
      </c>
    </row>
    <row r="419" spans="10:30" x14ac:dyDescent="0.25">
      <c r="J419" s="56"/>
      <c r="K419" s="56"/>
      <c r="L419" s="130"/>
      <c r="M419" s="130"/>
      <c r="N419" s="130"/>
      <c r="O419" s="59"/>
      <c r="P419" s="59"/>
      <c r="Q419" s="59"/>
      <c r="R419" s="59"/>
      <c r="S419" s="59"/>
      <c r="T419" s="59"/>
      <c r="U419" s="59"/>
      <c r="V419" s="59"/>
      <c r="W419" s="50"/>
      <c r="X419" s="84">
        <v>600</v>
      </c>
      <c r="Y419" s="104">
        <f t="shared" si="180"/>
        <v>1.5958547592163184E-3</v>
      </c>
      <c r="Z419" s="96">
        <f t="shared" si="176"/>
        <v>0.83417527936699154</v>
      </c>
      <c r="AA419" s="94">
        <f t="shared" si="177"/>
        <v>481212.16452776792</v>
      </c>
      <c r="AB419" s="163">
        <f t="shared" si="179"/>
        <v>1.5958547592163184E-3</v>
      </c>
      <c r="AC419" s="96">
        <f t="shared" si="178"/>
        <v>0.83417527936699154</v>
      </c>
      <c r="AD419" s="94">
        <f t="shared" si="175"/>
        <v>481212.16452776792</v>
      </c>
    </row>
    <row r="420" spans="10:30" x14ac:dyDescent="0.25">
      <c r="J420" s="56"/>
      <c r="K420" s="56"/>
      <c r="L420" s="130"/>
      <c r="M420" s="130"/>
      <c r="N420" s="130"/>
      <c r="O420" s="59"/>
      <c r="P420" s="59"/>
      <c r="Q420" s="59"/>
      <c r="R420" s="59"/>
      <c r="S420" s="59"/>
      <c r="T420" s="59"/>
      <c r="U420" s="59"/>
      <c r="V420" s="59"/>
      <c r="W420" s="50"/>
      <c r="X420" s="84">
        <v>599</v>
      </c>
      <c r="Y420" s="104">
        <f t="shared" si="180"/>
        <v>1.5998443961143592E-3</v>
      </c>
      <c r="Z420" s="96">
        <f t="shared" si="176"/>
        <v>0.83453173777878686</v>
      </c>
      <c r="AA420" s="94">
        <f t="shared" si="177"/>
        <v>479145.5515438923</v>
      </c>
      <c r="AB420" s="163">
        <f t="shared" si="179"/>
        <v>1.5998443961143592E-3</v>
      </c>
      <c r="AC420" s="96">
        <f t="shared" si="178"/>
        <v>0.83453173777878686</v>
      </c>
      <c r="AD420" s="94">
        <f t="shared" si="175"/>
        <v>479145.5515438923</v>
      </c>
    </row>
    <row r="421" spans="10:30" x14ac:dyDescent="0.25">
      <c r="J421" s="56"/>
      <c r="K421" s="56"/>
      <c r="L421" s="130"/>
      <c r="M421" s="130"/>
      <c r="N421" s="130"/>
      <c r="O421" s="59"/>
      <c r="P421" s="59"/>
      <c r="Q421" s="59"/>
      <c r="R421" s="59"/>
      <c r="S421" s="59"/>
      <c r="T421" s="59"/>
      <c r="U421" s="59"/>
      <c r="V421" s="59"/>
      <c r="W421" s="50"/>
      <c r="X421" s="84">
        <v>598</v>
      </c>
      <c r="Y421" s="104">
        <f t="shared" si="180"/>
        <v>1.6038340330124001E-3</v>
      </c>
      <c r="Z421" s="96">
        <f t="shared" si="176"/>
        <v>0.83488775200654541</v>
      </c>
      <c r="AA421" s="94">
        <f t="shared" si="177"/>
        <v>477085.9526554101</v>
      </c>
      <c r="AB421" s="163">
        <f t="shared" si="179"/>
        <v>1.6038340330124001E-3</v>
      </c>
      <c r="AC421" s="96">
        <f t="shared" si="178"/>
        <v>0.83488775200654541</v>
      </c>
      <c r="AD421" s="94">
        <f t="shared" si="175"/>
        <v>477085.9526554101</v>
      </c>
    </row>
    <row r="422" spans="10:30" x14ac:dyDescent="0.25">
      <c r="J422" s="56"/>
      <c r="K422" s="56"/>
      <c r="L422" s="130"/>
      <c r="M422" s="130"/>
      <c r="N422" s="130"/>
      <c r="O422" s="59"/>
      <c r="P422" s="59"/>
      <c r="Q422" s="59"/>
      <c r="R422" s="59"/>
      <c r="S422" s="59"/>
      <c r="T422" s="59"/>
      <c r="U422" s="59"/>
      <c r="V422" s="59"/>
      <c r="W422" s="50"/>
      <c r="X422" s="84">
        <v>597</v>
      </c>
      <c r="Y422" s="104">
        <f t="shared" si="180"/>
        <v>1.6078236699104409E-3</v>
      </c>
      <c r="Z422" s="96">
        <f t="shared" si="176"/>
        <v>0.83524332370664955</v>
      </c>
      <c r="AA422" s="94">
        <f t="shared" si="177"/>
        <v>475033.34170655702</v>
      </c>
      <c r="AB422" s="163">
        <f t="shared" si="179"/>
        <v>1.6078236699104409E-3</v>
      </c>
      <c r="AC422" s="96">
        <f t="shared" si="178"/>
        <v>0.83524332370664955</v>
      </c>
      <c r="AD422" s="94">
        <f t="shared" si="175"/>
        <v>475033.34170655702</v>
      </c>
    </row>
    <row r="423" spans="10:30" x14ac:dyDescent="0.25">
      <c r="J423" s="56"/>
      <c r="K423" s="56"/>
      <c r="L423" s="130"/>
      <c r="M423" s="130"/>
      <c r="N423" s="130"/>
      <c r="O423" s="59"/>
      <c r="P423" s="59"/>
      <c r="Q423" s="59"/>
      <c r="R423" s="59"/>
      <c r="S423" s="59"/>
      <c r="T423" s="59"/>
      <c r="U423" s="59"/>
      <c r="V423" s="59"/>
      <c r="W423" s="50"/>
      <c r="X423" s="84">
        <v>596</v>
      </c>
      <c r="Y423" s="104">
        <f t="shared" si="180"/>
        <v>1.6118133068084817E-3</v>
      </c>
      <c r="Z423" s="96">
        <f t="shared" si="176"/>
        <v>0.83559845452519943</v>
      </c>
      <c r="AA423" s="94">
        <f t="shared" si="177"/>
        <v>472987.69270380022</v>
      </c>
      <c r="AB423" s="163">
        <f t="shared" si="179"/>
        <v>1.6118133068084817E-3</v>
      </c>
      <c r="AC423" s="96">
        <f t="shared" si="178"/>
        <v>0.83559845452519943</v>
      </c>
      <c r="AD423" s="94">
        <f t="shared" si="175"/>
        <v>472987.69270380022</v>
      </c>
    </row>
    <row r="424" spans="10:30" x14ac:dyDescent="0.25">
      <c r="J424" s="56"/>
      <c r="K424" s="56"/>
      <c r="L424" s="130"/>
      <c r="M424" s="130"/>
      <c r="N424" s="130"/>
      <c r="O424" s="59"/>
      <c r="P424" s="59"/>
      <c r="Q424" s="59"/>
      <c r="R424" s="59"/>
      <c r="S424" s="59"/>
      <c r="T424" s="59"/>
      <c r="U424" s="59"/>
      <c r="V424" s="59"/>
      <c r="W424" s="50"/>
      <c r="X424" s="84">
        <v>595</v>
      </c>
      <c r="Y424" s="104">
        <f t="shared" si="180"/>
        <v>1.6158029437065226E-3</v>
      </c>
      <c r="Z424" s="96">
        <f t="shared" si="176"/>
        <v>0.83595314609812954</v>
      </c>
      <c r="AA424" s="94">
        <f t="shared" si="177"/>
        <v>470948.97981427808</v>
      </c>
      <c r="AB424" s="163">
        <f t="shared" si="179"/>
        <v>1.6158029437065226E-3</v>
      </c>
      <c r="AC424" s="96">
        <f t="shared" si="178"/>
        <v>0.83595314609812954</v>
      </c>
      <c r="AD424" s="94">
        <f t="shared" si="175"/>
        <v>470948.97981427808</v>
      </c>
    </row>
    <row r="425" spans="10:30" x14ac:dyDescent="0.25">
      <c r="J425" s="56"/>
      <c r="K425" s="56"/>
      <c r="L425" s="130"/>
      <c r="M425" s="130"/>
      <c r="N425" s="130"/>
      <c r="O425" s="59"/>
      <c r="P425" s="59"/>
      <c r="Q425" s="59"/>
      <c r="R425" s="59"/>
      <c r="S425" s="59"/>
      <c r="T425" s="59"/>
      <c r="U425" s="59"/>
      <c r="V425" s="59"/>
      <c r="W425" s="50"/>
      <c r="X425" s="84">
        <v>594</v>
      </c>
      <c r="Y425" s="104">
        <f t="shared" si="180"/>
        <v>1.6197925806045634E-3</v>
      </c>
      <c r="Z425" s="96">
        <f t="shared" si="176"/>
        <v>0.83630740005126936</v>
      </c>
      <c r="AA425" s="94">
        <f t="shared" si="177"/>
        <v>468917.17736456625</v>
      </c>
      <c r="AB425" s="163">
        <f t="shared" si="179"/>
        <v>1.6197925806045634E-3</v>
      </c>
      <c r="AC425" s="96">
        <f t="shared" si="178"/>
        <v>0.83630740005126936</v>
      </c>
      <c r="AD425" s="94">
        <f t="shared" si="175"/>
        <v>468917.17736456625</v>
      </c>
    </row>
    <row r="426" spans="10:30" x14ac:dyDescent="0.25">
      <c r="J426" s="56"/>
      <c r="K426" s="56"/>
      <c r="L426" s="130"/>
      <c r="M426" s="130"/>
      <c r="N426" s="130"/>
      <c r="O426" s="59"/>
      <c r="P426" s="59"/>
      <c r="Q426" s="59"/>
      <c r="R426" s="59"/>
      <c r="S426" s="59"/>
      <c r="T426" s="59"/>
      <c r="U426" s="59"/>
      <c r="V426" s="59"/>
      <c r="W426" s="50"/>
      <c r="X426" s="84">
        <v>593</v>
      </c>
      <c r="Y426" s="104">
        <f t="shared" si="180"/>
        <v>1.6237822175026043E-3</v>
      </c>
      <c r="Z426" s="96">
        <f t="shared" si="176"/>
        <v>0.83666121800045312</v>
      </c>
      <c r="AA426" s="94">
        <f t="shared" si="177"/>
        <v>466892.25983917044</v>
      </c>
      <c r="AB426" s="163">
        <f t="shared" si="179"/>
        <v>1.6237822175026043E-3</v>
      </c>
      <c r="AC426" s="96">
        <f t="shared" si="178"/>
        <v>0.83666121800045312</v>
      </c>
      <c r="AD426" s="94">
        <f t="shared" si="175"/>
        <v>466892.25983917044</v>
      </c>
    </row>
    <row r="427" spans="10:30" x14ac:dyDescent="0.25">
      <c r="J427" s="56"/>
      <c r="K427" s="56"/>
      <c r="L427" s="130"/>
      <c r="M427" s="130"/>
      <c r="N427" s="130"/>
      <c r="O427" s="59"/>
      <c r="P427" s="59"/>
      <c r="Q427" s="59"/>
      <c r="R427" s="59"/>
      <c r="S427" s="59"/>
      <c r="T427" s="59"/>
      <c r="U427" s="59"/>
      <c r="V427" s="59"/>
      <c r="W427" s="50"/>
      <c r="X427" s="84">
        <v>592</v>
      </c>
      <c r="Y427" s="104">
        <f t="shared" si="180"/>
        <v>1.6277718544006451E-3</v>
      </c>
      <c r="Z427" s="96">
        <f t="shared" si="176"/>
        <v>0.83701460155158658</v>
      </c>
      <c r="AA427" s="94">
        <f t="shared" si="177"/>
        <v>464874.20187929209</v>
      </c>
      <c r="AB427" s="163">
        <f t="shared" si="179"/>
        <v>1.6277718544006451E-3</v>
      </c>
      <c r="AC427" s="96">
        <f t="shared" si="178"/>
        <v>0.83701460155158658</v>
      </c>
      <c r="AD427" s="94">
        <f t="shared" si="175"/>
        <v>464874.20187929209</v>
      </c>
    </row>
    <row r="428" spans="10:30" x14ac:dyDescent="0.25">
      <c r="J428" s="56"/>
      <c r="K428" s="56"/>
      <c r="L428" s="130"/>
      <c r="M428" s="130"/>
      <c r="N428" s="130"/>
      <c r="O428" s="59"/>
      <c r="P428" s="59"/>
      <c r="Q428" s="59"/>
      <c r="R428" s="59"/>
      <c r="S428" s="59"/>
      <c r="T428" s="59"/>
      <c r="U428" s="59"/>
      <c r="V428" s="59"/>
      <c r="W428" s="50"/>
      <c r="X428" s="84">
        <v>591</v>
      </c>
      <c r="Y428" s="104">
        <f t="shared" si="180"/>
        <v>1.631761491298686E-3</v>
      </c>
      <c r="Z428" s="96">
        <f t="shared" si="176"/>
        <v>0.83736755230075288</v>
      </c>
      <c r="AA428" s="94">
        <f t="shared" si="177"/>
        <v>462862.97828134656</v>
      </c>
      <c r="AB428" s="163">
        <f t="shared" si="179"/>
        <v>1.631761491298686E-3</v>
      </c>
      <c r="AC428" s="96">
        <f t="shared" si="178"/>
        <v>0.83736755230075288</v>
      </c>
      <c r="AD428" s="94">
        <f t="shared" si="175"/>
        <v>462862.97828134656</v>
      </c>
    </row>
    <row r="429" spans="10:30" x14ac:dyDescent="0.25">
      <c r="J429" s="56"/>
      <c r="K429" s="56"/>
      <c r="L429" s="130"/>
      <c r="M429" s="130"/>
      <c r="N429" s="130"/>
      <c r="O429" s="59"/>
      <c r="P429" s="59"/>
      <c r="Q429" s="59"/>
      <c r="R429" s="59"/>
      <c r="S429" s="59"/>
      <c r="T429" s="59"/>
      <c r="U429" s="59"/>
      <c r="V429" s="59"/>
      <c r="W429" s="50"/>
      <c r="X429" s="84">
        <v>590</v>
      </c>
      <c r="Y429" s="104">
        <f t="shared" si="180"/>
        <v>1.6357511281967268E-3</v>
      </c>
      <c r="Z429" s="96">
        <f t="shared" si="176"/>
        <v>0.83772007183427288</v>
      </c>
      <c r="AA429" s="94">
        <f t="shared" si="177"/>
        <v>460858.56399578723</v>
      </c>
      <c r="AB429" s="163">
        <f t="shared" si="179"/>
        <v>1.6357511281967268E-3</v>
      </c>
      <c r="AC429" s="96">
        <f t="shared" si="178"/>
        <v>0.83772007183427288</v>
      </c>
      <c r="AD429" s="94">
        <f t="shared" si="175"/>
        <v>460858.56399578723</v>
      </c>
    </row>
    <row r="430" spans="10:30" x14ac:dyDescent="0.25">
      <c r="J430" s="56"/>
      <c r="K430" s="56"/>
      <c r="L430" s="130"/>
      <c r="M430" s="130"/>
      <c r="N430" s="130"/>
      <c r="O430" s="59"/>
      <c r="P430" s="59"/>
      <c r="Q430" s="59"/>
      <c r="R430" s="59"/>
      <c r="S430" s="59"/>
      <c r="T430" s="59"/>
      <c r="U430" s="59"/>
      <c r="V430" s="59"/>
      <c r="W430" s="50"/>
      <c r="X430" s="84">
        <v>589</v>
      </c>
      <c r="Y430" s="104">
        <f t="shared" si="180"/>
        <v>1.6397407650947677E-3</v>
      </c>
      <c r="Z430" s="96">
        <f t="shared" si="176"/>
        <v>0.83807216172880927</v>
      </c>
      <c r="AA430" s="94">
        <f t="shared" si="177"/>
        <v>458860.93412566592</v>
      </c>
      <c r="AB430" s="163">
        <f t="shared" si="179"/>
        <v>1.6397407650947677E-3</v>
      </c>
      <c r="AC430" s="96">
        <f t="shared" si="178"/>
        <v>0.83807216172880927</v>
      </c>
      <c r="AD430" s="94">
        <f t="shared" si="175"/>
        <v>458860.93412566592</v>
      </c>
    </row>
    <row r="431" spans="10:30" x14ac:dyDescent="0.25">
      <c r="J431" s="56"/>
      <c r="K431" s="56"/>
      <c r="L431" s="130"/>
      <c r="M431" s="130"/>
      <c r="N431" s="130"/>
      <c r="O431" s="59"/>
      <c r="P431" s="59"/>
      <c r="Q431" s="59"/>
      <c r="R431" s="59"/>
      <c r="S431" s="59"/>
      <c r="T431" s="59"/>
      <c r="U431" s="59"/>
      <c r="V431" s="59"/>
      <c r="W431" s="50"/>
      <c r="X431" s="84">
        <v>588</v>
      </c>
      <c r="Y431" s="104">
        <f t="shared" si="180"/>
        <v>1.6437304019928085E-3</v>
      </c>
      <c r="Z431" s="96">
        <f t="shared" si="176"/>
        <v>0.83842382355143685</v>
      </c>
      <c r="AA431" s="94">
        <f t="shared" si="177"/>
        <v>456870.06392540125</v>
      </c>
      <c r="AB431" s="163">
        <f t="shared" si="179"/>
        <v>1.6437304019928085E-3</v>
      </c>
      <c r="AC431" s="96">
        <f t="shared" si="178"/>
        <v>0.83842382355143685</v>
      </c>
      <c r="AD431" s="94">
        <f t="shared" si="175"/>
        <v>456870.06392540125</v>
      </c>
    </row>
    <row r="432" spans="10:30" x14ac:dyDescent="0.25">
      <c r="J432" s="56"/>
      <c r="K432" s="56"/>
      <c r="L432" s="130"/>
      <c r="M432" s="130"/>
      <c r="N432" s="130"/>
      <c r="O432" s="59"/>
      <c r="P432" s="59"/>
      <c r="Q432" s="59"/>
      <c r="R432" s="59"/>
      <c r="S432" s="59"/>
      <c r="T432" s="59"/>
      <c r="U432" s="59"/>
      <c r="V432" s="59"/>
      <c r="W432" s="50"/>
      <c r="X432" s="84">
        <v>587</v>
      </c>
      <c r="Y432" s="104">
        <f t="shared" si="180"/>
        <v>1.6477200388908494E-3</v>
      </c>
      <c r="Z432" s="96">
        <f t="shared" si="176"/>
        <v>0.83877505885972836</v>
      </c>
      <c r="AA432" s="94">
        <f t="shared" si="177"/>
        <v>454885.92879947089</v>
      </c>
      <c r="AB432" s="163">
        <f t="shared" si="179"/>
        <v>1.6477200388908494E-3</v>
      </c>
      <c r="AC432" s="96">
        <f t="shared" si="178"/>
        <v>0.83877505885972836</v>
      </c>
      <c r="AD432" s="94">
        <f t="shared" si="175"/>
        <v>454885.92879947089</v>
      </c>
    </row>
    <row r="433" spans="10:30" x14ac:dyDescent="0.25">
      <c r="J433" s="56"/>
      <c r="K433" s="56"/>
      <c r="L433" s="130"/>
      <c r="M433" s="130"/>
      <c r="N433" s="130"/>
      <c r="O433" s="59"/>
      <c r="P433" s="59"/>
      <c r="Q433" s="59"/>
      <c r="R433" s="59"/>
      <c r="S433" s="59"/>
      <c r="T433" s="59"/>
      <c r="U433" s="59"/>
      <c r="V433" s="59"/>
      <c r="W433" s="50"/>
      <c r="X433" s="84">
        <v>586</v>
      </c>
      <c r="Y433" s="104">
        <f t="shared" si="180"/>
        <v>1.6517096757888902E-3</v>
      </c>
      <c r="Z433" s="96">
        <f t="shared" si="176"/>
        <v>0.83912586920182874</v>
      </c>
      <c r="AA433" s="94">
        <f t="shared" si="177"/>
        <v>452908.50430117419</v>
      </c>
      <c r="AB433" s="163">
        <f t="shared" si="179"/>
        <v>1.6517096757888902E-3</v>
      </c>
      <c r="AC433" s="96">
        <f t="shared" si="178"/>
        <v>0.83912586920182874</v>
      </c>
      <c r="AD433" s="94">
        <f t="shared" si="175"/>
        <v>452908.50430117419</v>
      </c>
    </row>
    <row r="434" spans="10:30" x14ac:dyDescent="0.25">
      <c r="J434" s="56"/>
      <c r="K434" s="56"/>
      <c r="L434" s="130"/>
      <c r="M434" s="130"/>
      <c r="N434" s="130"/>
      <c r="O434" s="59"/>
      <c r="P434" s="59"/>
      <c r="Q434" s="59"/>
      <c r="R434" s="59"/>
      <c r="S434" s="59"/>
      <c r="T434" s="59"/>
      <c r="U434" s="59"/>
      <c r="V434" s="59"/>
      <c r="W434" s="50"/>
      <c r="X434" s="84">
        <v>585</v>
      </c>
      <c r="Y434" s="104">
        <f t="shared" si="180"/>
        <v>1.6556993126869311E-3</v>
      </c>
      <c r="Z434" s="96">
        <f t="shared" si="176"/>
        <v>0.83947625611655108</v>
      </c>
      <c r="AA434" s="94">
        <f t="shared" si="177"/>
        <v>450937.76613128535</v>
      </c>
      <c r="AB434" s="163">
        <f t="shared" si="179"/>
        <v>1.6556993126869311E-3</v>
      </c>
      <c r="AC434" s="96">
        <f t="shared" si="178"/>
        <v>0.83947625611655108</v>
      </c>
      <c r="AD434" s="94">
        <f t="shared" si="175"/>
        <v>450937.76613128535</v>
      </c>
    </row>
    <row r="435" spans="10:30" x14ac:dyDescent="0.25">
      <c r="J435" s="56"/>
      <c r="K435" s="56"/>
      <c r="L435" s="130"/>
      <c r="M435" s="130"/>
      <c r="N435" s="130"/>
      <c r="O435" s="59"/>
      <c r="P435" s="59"/>
      <c r="Q435" s="59"/>
      <c r="R435" s="59"/>
      <c r="S435" s="59"/>
      <c r="T435" s="59"/>
      <c r="U435" s="59"/>
      <c r="V435" s="59"/>
      <c r="W435" s="50"/>
      <c r="X435" s="84">
        <v>584</v>
      </c>
      <c r="Y435" s="104">
        <f t="shared" si="180"/>
        <v>1.6596889495849719E-3</v>
      </c>
      <c r="Z435" s="96">
        <f t="shared" si="176"/>
        <v>0.83982622113343042</v>
      </c>
      <c r="AA435" s="94">
        <f t="shared" si="177"/>
        <v>448973.69013694243</v>
      </c>
      <c r="AB435" s="163">
        <f t="shared" si="179"/>
        <v>1.6596889495849719E-3</v>
      </c>
      <c r="AC435" s="96">
        <f t="shared" si="178"/>
        <v>0.83982622113343042</v>
      </c>
      <c r="AD435" s="94">
        <f t="shared" si="175"/>
        <v>448973.69013694243</v>
      </c>
    </row>
    <row r="436" spans="10:30" x14ac:dyDescent="0.25">
      <c r="J436" s="56"/>
      <c r="K436" s="56"/>
      <c r="L436" s="130"/>
      <c r="M436" s="130"/>
      <c r="N436" s="130"/>
      <c r="O436" s="59"/>
      <c r="P436" s="59"/>
      <c r="Q436" s="59"/>
      <c r="R436" s="59"/>
      <c r="S436" s="59"/>
      <c r="T436" s="59"/>
      <c r="U436" s="59"/>
      <c r="V436" s="59"/>
      <c r="W436" s="50"/>
      <c r="X436" s="84">
        <v>583</v>
      </c>
      <c r="Y436" s="104">
        <f t="shared" si="180"/>
        <v>1.6636785864830128E-3</v>
      </c>
      <c r="Z436" s="96">
        <f t="shared" si="176"/>
        <v>0.84017576577282815</v>
      </c>
      <c r="AA436" s="94">
        <f t="shared" si="177"/>
        <v>447016.25231028342</v>
      </c>
      <c r="AB436" s="163">
        <f t="shared" si="179"/>
        <v>1.6636785864830128E-3</v>
      </c>
      <c r="AC436" s="96">
        <f t="shared" si="178"/>
        <v>0.84017576577282815</v>
      </c>
      <c r="AD436" s="94">
        <f t="shared" si="175"/>
        <v>447016.25231028342</v>
      </c>
    </row>
    <row r="437" spans="10:30" x14ac:dyDescent="0.25">
      <c r="J437" s="56"/>
      <c r="K437" s="56"/>
      <c r="L437" s="130"/>
      <c r="M437" s="130"/>
      <c r="N437" s="130"/>
      <c r="O437" s="59"/>
      <c r="P437" s="59"/>
      <c r="Q437" s="59"/>
      <c r="R437" s="59"/>
      <c r="S437" s="59"/>
      <c r="T437" s="59"/>
      <c r="U437" s="59"/>
      <c r="V437" s="59"/>
      <c r="W437" s="50"/>
      <c r="X437" s="84">
        <v>582</v>
      </c>
      <c r="Y437" s="104">
        <f t="shared" si="180"/>
        <v>1.6676682233810536E-3</v>
      </c>
      <c r="Z437" s="96">
        <f t="shared" si="176"/>
        <v>0.84052489154598353</v>
      </c>
      <c r="AA437" s="94">
        <f t="shared" si="177"/>
        <v>445065.42878735601</v>
      </c>
      <c r="AB437" s="163">
        <f t="shared" si="179"/>
        <v>1.6676682233810536E-3</v>
      </c>
      <c r="AC437" s="96">
        <f t="shared" si="178"/>
        <v>0.84052489154598353</v>
      </c>
      <c r="AD437" s="94">
        <f t="shared" si="175"/>
        <v>445065.42878735601</v>
      </c>
    </row>
    <row r="438" spans="10:30" x14ac:dyDescent="0.25">
      <c r="J438" s="56"/>
      <c r="K438" s="56"/>
      <c r="L438" s="130"/>
      <c r="M438" s="130"/>
      <c r="N438" s="130"/>
      <c r="O438" s="59"/>
      <c r="P438" s="59"/>
      <c r="Q438" s="59"/>
      <c r="R438" s="59"/>
      <c r="S438" s="59"/>
      <c r="T438" s="59"/>
      <c r="U438" s="59"/>
      <c r="V438" s="59"/>
      <c r="W438" s="50"/>
      <c r="X438" s="84">
        <v>581</v>
      </c>
      <c r="Y438" s="104">
        <f t="shared" si="180"/>
        <v>1.6716578602790945E-3</v>
      </c>
      <c r="Z438" s="96">
        <f t="shared" si="176"/>
        <v>0.84087359995511557</v>
      </c>
      <c r="AA438" s="94">
        <f t="shared" si="177"/>
        <v>443121.19584678131</v>
      </c>
      <c r="AB438" s="163">
        <f t="shared" si="179"/>
        <v>1.6716578602790945E-3</v>
      </c>
      <c r="AC438" s="96">
        <f t="shared" si="178"/>
        <v>0.84087359995511557</v>
      </c>
      <c r="AD438" s="94">
        <f t="shared" si="175"/>
        <v>443121.19584678131</v>
      </c>
    </row>
    <row r="439" spans="10:30" x14ac:dyDescent="0.25">
      <c r="J439" s="56"/>
      <c r="K439" s="56"/>
      <c r="L439" s="130"/>
      <c r="M439" s="130"/>
      <c r="N439" s="130"/>
      <c r="O439" s="59"/>
      <c r="P439" s="59"/>
      <c r="Q439" s="59"/>
      <c r="R439" s="59"/>
      <c r="S439" s="59"/>
      <c r="T439" s="59"/>
      <c r="U439" s="59"/>
      <c r="V439" s="59"/>
      <c r="W439" s="50"/>
      <c r="X439" s="84">
        <v>580</v>
      </c>
      <c r="Y439" s="104">
        <f t="shared" si="180"/>
        <v>1.6756474971771353E-3</v>
      </c>
      <c r="Z439" s="96">
        <f t="shared" si="176"/>
        <v>0.84122189249347545</v>
      </c>
      <c r="AA439" s="94">
        <f t="shared" si="177"/>
        <v>441183.52990868478</v>
      </c>
      <c r="AB439" s="163">
        <f t="shared" si="179"/>
        <v>1.6756474971771353E-3</v>
      </c>
      <c r="AC439" s="96">
        <f t="shared" si="178"/>
        <v>0.84122189249347545</v>
      </c>
      <c r="AD439" s="94">
        <f t="shared" si="175"/>
        <v>441183.52990868478</v>
      </c>
    </row>
    <row r="440" spans="10:30" x14ac:dyDescent="0.25">
      <c r="J440" s="56"/>
      <c r="K440" s="56"/>
      <c r="L440" s="130"/>
      <c r="M440" s="130"/>
      <c r="N440" s="130"/>
      <c r="O440" s="59"/>
      <c r="P440" s="59"/>
      <c r="Q440" s="59"/>
      <c r="R440" s="59"/>
      <c r="S440" s="59"/>
      <c r="T440" s="59"/>
      <c r="U440" s="59"/>
      <c r="V440" s="59"/>
      <c r="W440" s="50"/>
      <c r="X440" s="84">
        <v>579</v>
      </c>
      <c r="Y440" s="104">
        <f t="shared" si="180"/>
        <v>1.6796371340751762E-3</v>
      </c>
      <c r="Z440" s="96">
        <f t="shared" si="176"/>
        <v>0.84156977064543736</v>
      </c>
      <c r="AA440" s="94">
        <f t="shared" si="177"/>
        <v>439252.4075334376</v>
      </c>
      <c r="AB440" s="163">
        <f t="shared" si="179"/>
        <v>1.6796371340751762E-3</v>
      </c>
      <c r="AC440" s="96">
        <f t="shared" si="178"/>
        <v>0.84156977064543736</v>
      </c>
      <c r="AD440" s="94">
        <f t="shared" si="175"/>
        <v>439252.4075334376</v>
      </c>
    </row>
    <row r="441" spans="10:30" x14ac:dyDescent="0.25">
      <c r="J441" s="56"/>
      <c r="K441" s="56"/>
      <c r="L441" s="130"/>
      <c r="M441" s="130"/>
      <c r="N441" s="130"/>
      <c r="O441" s="59"/>
      <c r="P441" s="59"/>
      <c r="Q441" s="59"/>
      <c r="R441" s="59"/>
      <c r="S441" s="59"/>
      <c r="T441" s="59"/>
      <c r="U441" s="59"/>
      <c r="V441" s="59"/>
      <c r="W441" s="50"/>
      <c r="X441" s="84">
        <v>578</v>
      </c>
      <c r="Y441" s="104">
        <f t="shared" si="180"/>
        <v>1.683626770973217E-3</v>
      </c>
      <c r="Z441" s="96">
        <f t="shared" si="176"/>
        <v>0.84191723588656153</v>
      </c>
      <c r="AA441" s="94">
        <f t="shared" si="177"/>
        <v>437327.80542053742</v>
      </c>
      <c r="AB441" s="163">
        <f t="shared" si="179"/>
        <v>1.683626770973217E-3</v>
      </c>
      <c r="AC441" s="96">
        <f t="shared" si="178"/>
        <v>0.84191723588656153</v>
      </c>
      <c r="AD441" s="94">
        <f t="shared" si="175"/>
        <v>437327.80542053742</v>
      </c>
    </row>
    <row r="442" spans="10:30" x14ac:dyDescent="0.25">
      <c r="J442" s="56"/>
      <c r="K442" s="56"/>
      <c r="L442" s="130"/>
      <c r="M442" s="130"/>
      <c r="N442" s="130"/>
      <c r="O442" s="59"/>
      <c r="P442" s="59"/>
      <c r="Q442" s="59"/>
      <c r="R442" s="59"/>
      <c r="S442" s="59"/>
      <c r="T442" s="59"/>
      <c r="U442" s="59"/>
      <c r="V442" s="59"/>
      <c r="W442" s="50"/>
      <c r="X442" s="84">
        <v>577</v>
      </c>
      <c r="Y442" s="104">
        <f t="shared" si="180"/>
        <v>1.6876164078712579E-3</v>
      </c>
      <c r="Z442" s="96">
        <f t="shared" si="176"/>
        <v>0.84226428968367684</v>
      </c>
      <c r="AA442" s="94">
        <f t="shared" si="177"/>
        <v>435409.70040741347</v>
      </c>
      <c r="AB442" s="163">
        <f t="shared" si="179"/>
        <v>1.6876164078712579E-3</v>
      </c>
      <c r="AC442" s="96">
        <f t="shared" si="178"/>
        <v>0.84226428968367684</v>
      </c>
      <c r="AD442" s="94">
        <f t="shared" si="175"/>
        <v>435409.70040741347</v>
      </c>
    </row>
    <row r="443" spans="10:30" x14ac:dyDescent="0.25">
      <c r="J443" s="56"/>
      <c r="K443" s="56"/>
      <c r="L443" s="130"/>
      <c r="M443" s="130"/>
      <c r="N443" s="130"/>
      <c r="O443" s="59"/>
      <c r="P443" s="59"/>
      <c r="Q443" s="59"/>
      <c r="R443" s="59"/>
      <c r="S443" s="59"/>
      <c r="T443" s="59"/>
      <c r="U443" s="59"/>
      <c r="V443" s="59"/>
      <c r="W443" s="50"/>
      <c r="X443" s="84">
        <v>576</v>
      </c>
      <c r="Y443" s="104">
        <f t="shared" si="180"/>
        <v>1.6916060447692987E-3</v>
      </c>
      <c r="Z443" s="96">
        <f t="shared" si="176"/>
        <v>0.8426109334949432</v>
      </c>
      <c r="AA443" s="94">
        <f t="shared" si="177"/>
        <v>433498.06946833082</v>
      </c>
      <c r="AB443" s="163">
        <f t="shared" si="179"/>
        <v>1.6916060447692987E-3</v>
      </c>
      <c r="AC443" s="96">
        <f t="shared" si="178"/>
        <v>0.8426109334949432</v>
      </c>
      <c r="AD443" s="94">
        <f t="shared" si="175"/>
        <v>433498.06946833082</v>
      </c>
    </row>
    <row r="444" spans="10:30" x14ac:dyDescent="0.25">
      <c r="J444" s="56"/>
      <c r="K444" s="56"/>
      <c r="L444" s="130"/>
      <c r="M444" s="130"/>
      <c r="N444" s="130"/>
      <c r="O444" s="59"/>
      <c r="P444" s="59"/>
      <c r="Q444" s="59"/>
      <c r="R444" s="59"/>
      <c r="S444" s="59"/>
      <c r="T444" s="59"/>
      <c r="U444" s="59"/>
      <c r="V444" s="59"/>
      <c r="W444" s="50"/>
      <c r="X444" s="84">
        <v>575</v>
      </c>
      <c r="Y444" s="104">
        <f t="shared" si="180"/>
        <v>1.6955956816673396E-3</v>
      </c>
      <c r="Z444" s="96">
        <f t="shared" si="176"/>
        <v>0.8429571687699311</v>
      </c>
      <c r="AA444" s="94">
        <f t="shared" si="177"/>
        <v>431592.88971322856</v>
      </c>
      <c r="AB444" s="163">
        <f t="shared" si="179"/>
        <v>1.6955956816673396E-3</v>
      </c>
      <c r="AC444" s="96">
        <f t="shared" si="178"/>
        <v>0.8429571687699311</v>
      </c>
      <c r="AD444" s="94">
        <f t="shared" si="175"/>
        <v>431592.88971322856</v>
      </c>
    </row>
    <row r="445" spans="10:30" x14ac:dyDescent="0.25">
      <c r="J445" s="56"/>
      <c r="K445" s="56"/>
      <c r="L445" s="130"/>
      <c r="M445" s="130"/>
      <c r="N445" s="130"/>
      <c r="O445" s="59"/>
      <c r="P445" s="59"/>
      <c r="Q445" s="59"/>
      <c r="R445" s="59"/>
      <c r="S445" s="59"/>
      <c r="T445" s="59"/>
      <c r="U445" s="59"/>
      <c r="V445" s="59"/>
      <c r="W445" s="50"/>
      <c r="X445" s="84">
        <v>574</v>
      </c>
      <c r="Y445" s="104">
        <f t="shared" si="180"/>
        <v>1.6995853185653804E-3</v>
      </c>
      <c r="Z445" s="96">
        <f t="shared" si="176"/>
        <v>0.84330299694968758</v>
      </c>
      <c r="AA445" s="94">
        <f t="shared" si="177"/>
        <v>429694.138386618</v>
      </c>
      <c r="AB445" s="163">
        <f t="shared" si="179"/>
        <v>1.6995853185653804E-3</v>
      </c>
      <c r="AC445" s="96">
        <f t="shared" si="178"/>
        <v>0.84330299694968758</v>
      </c>
      <c r="AD445" s="94">
        <f t="shared" si="175"/>
        <v>429694.138386618</v>
      </c>
    </row>
    <row r="446" spans="10:30" x14ac:dyDescent="0.25">
      <c r="J446" s="56"/>
      <c r="K446" s="56"/>
      <c r="L446" s="130"/>
      <c r="M446" s="130"/>
      <c r="N446" s="130"/>
      <c r="O446" s="59"/>
      <c r="P446" s="59"/>
      <c r="Q446" s="59"/>
      <c r="R446" s="59"/>
      <c r="S446" s="59"/>
      <c r="T446" s="59"/>
      <c r="U446" s="59"/>
      <c r="V446" s="59"/>
      <c r="W446" s="50"/>
      <c r="X446" s="84">
        <v>573</v>
      </c>
      <c r="Y446" s="104">
        <f t="shared" si="180"/>
        <v>1.7035749554634213E-3</v>
      </c>
      <c r="Z446" s="96">
        <f t="shared" si="176"/>
        <v>0.84364841946680502</v>
      </c>
      <c r="AA446" s="94">
        <f t="shared" si="177"/>
        <v>427801.79286649299</v>
      </c>
      <c r="AB446" s="163">
        <f t="shared" si="179"/>
        <v>1.7035749554634213E-3</v>
      </c>
      <c r="AC446" s="96">
        <f t="shared" si="178"/>
        <v>0.84364841946680502</v>
      </c>
      <c r="AD446" s="94">
        <f t="shared" si="175"/>
        <v>427801.79286649299</v>
      </c>
    </row>
    <row r="447" spans="10:30" x14ac:dyDescent="0.25">
      <c r="J447" s="56"/>
      <c r="K447" s="56"/>
      <c r="L447" s="130"/>
      <c r="M447" s="130"/>
      <c r="N447" s="130"/>
      <c r="O447" s="59"/>
      <c r="P447" s="59"/>
      <c r="Q447" s="59"/>
      <c r="R447" s="59"/>
      <c r="S447" s="59"/>
      <c r="T447" s="59"/>
      <c r="U447" s="59"/>
      <c r="V447" s="59"/>
      <c r="W447" s="50"/>
      <c r="X447" s="84">
        <v>572</v>
      </c>
      <c r="Y447" s="104">
        <f t="shared" si="180"/>
        <v>1.7075645923614621E-3</v>
      </c>
      <c r="Z447" s="96">
        <f t="shared" si="176"/>
        <v>0.84399343774550428</v>
      </c>
      <c r="AA447" s="94">
        <f t="shared" si="177"/>
        <v>425915.83066315227</v>
      </c>
      <c r="AB447" s="163">
        <f t="shared" si="179"/>
        <v>1.7075645923614621E-3</v>
      </c>
      <c r="AC447" s="96">
        <f t="shared" si="178"/>
        <v>0.84399343774550428</v>
      </c>
      <c r="AD447" s="94">
        <f t="shared" si="175"/>
        <v>425915.83066315227</v>
      </c>
    </row>
    <row r="448" spans="10:30" x14ac:dyDescent="0.25">
      <c r="J448" s="56"/>
      <c r="K448" s="56"/>
      <c r="L448" s="130"/>
      <c r="M448" s="130"/>
      <c r="N448" s="130"/>
      <c r="O448" s="59"/>
      <c r="P448" s="59"/>
      <c r="Q448" s="59"/>
      <c r="R448" s="59"/>
      <c r="S448" s="59"/>
      <c r="T448" s="59"/>
      <c r="U448" s="59"/>
      <c r="V448" s="59"/>
      <c r="W448" s="50"/>
      <c r="X448" s="84">
        <v>571</v>
      </c>
      <c r="Y448" s="104">
        <f t="shared" si="180"/>
        <v>1.711554229259503E-3</v>
      </c>
      <c r="Z448" s="96">
        <f t="shared" si="176"/>
        <v>0.84433805320167643</v>
      </c>
      <c r="AA448" s="94">
        <f t="shared" si="177"/>
        <v>424036.22941827291</v>
      </c>
      <c r="AB448" s="163">
        <f t="shared" si="179"/>
        <v>1.711554229259503E-3</v>
      </c>
      <c r="AC448" s="96">
        <f t="shared" si="178"/>
        <v>0.84433805320167643</v>
      </c>
      <c r="AD448" s="94">
        <f t="shared" si="175"/>
        <v>424036.22941827291</v>
      </c>
    </row>
    <row r="449" spans="10:30" x14ac:dyDescent="0.25">
      <c r="J449" s="56"/>
      <c r="K449" s="56"/>
      <c r="L449" s="130"/>
      <c r="M449" s="130"/>
      <c r="N449" s="130"/>
      <c r="O449" s="59"/>
      <c r="P449" s="59"/>
      <c r="Q449" s="59"/>
      <c r="R449" s="59"/>
      <c r="S449" s="59"/>
      <c r="T449" s="59"/>
      <c r="U449" s="59"/>
      <c r="V449" s="59"/>
      <c r="W449" s="50"/>
      <c r="X449" s="84">
        <v>570</v>
      </c>
      <c r="Y449" s="104">
        <f t="shared" si="180"/>
        <v>1.7155438661575438E-3</v>
      </c>
      <c r="Z449" s="96">
        <f t="shared" si="176"/>
        <v>0.84468226724297801</v>
      </c>
      <c r="AA449" s="94">
        <f t="shared" si="177"/>
        <v>422162.96690368035</v>
      </c>
      <c r="AB449" s="163">
        <f t="shared" si="179"/>
        <v>1.7155438661575438E-3</v>
      </c>
      <c r="AC449" s="96">
        <f t="shared" si="178"/>
        <v>0.84468226724297801</v>
      </c>
      <c r="AD449" s="94">
        <f t="shared" si="175"/>
        <v>422162.96690368035</v>
      </c>
    </row>
    <row r="450" spans="10:30" x14ac:dyDescent="0.25">
      <c r="J450" s="56"/>
      <c r="K450" s="56"/>
      <c r="L450" s="130"/>
      <c r="M450" s="130"/>
      <c r="N450" s="130"/>
      <c r="O450" s="59"/>
      <c r="P450" s="59"/>
      <c r="Q450" s="59"/>
      <c r="R450" s="59"/>
      <c r="S450" s="59"/>
      <c r="T450" s="59"/>
      <c r="U450" s="59"/>
      <c r="V450" s="59"/>
      <c r="W450" s="50"/>
      <c r="X450" s="84">
        <v>569</v>
      </c>
      <c r="Y450" s="104">
        <f t="shared" si="180"/>
        <v>1.7195335030555847E-3</v>
      </c>
      <c r="Z450" s="96">
        <f t="shared" si="176"/>
        <v>0.84502608126888135</v>
      </c>
      <c r="AA450" s="94">
        <f t="shared" si="177"/>
        <v>420296.02102038858</v>
      </c>
      <c r="AB450" s="163">
        <f t="shared" si="179"/>
        <v>1.7195335030555847E-3</v>
      </c>
      <c r="AC450" s="96">
        <f t="shared" si="178"/>
        <v>0.84502608126888135</v>
      </c>
      <c r="AD450" s="94">
        <f t="shared" si="175"/>
        <v>420296.02102038858</v>
      </c>
    </row>
    <row r="451" spans="10:30" x14ac:dyDescent="0.25">
      <c r="J451" s="56"/>
      <c r="K451" s="56"/>
      <c r="L451" s="130"/>
      <c r="M451" s="130"/>
      <c r="N451" s="130"/>
      <c r="O451" s="59"/>
      <c r="P451" s="59"/>
      <c r="Q451" s="59"/>
      <c r="R451" s="59"/>
      <c r="S451" s="59"/>
      <c r="T451" s="59"/>
      <c r="U451" s="59"/>
      <c r="V451" s="59"/>
      <c r="W451" s="50"/>
      <c r="X451" s="84">
        <v>568</v>
      </c>
      <c r="Y451" s="104">
        <f t="shared" si="180"/>
        <v>1.7235231399536255E-3</v>
      </c>
      <c r="Z451" s="96">
        <f t="shared" si="176"/>
        <v>0.8453694966707469</v>
      </c>
      <c r="AA451" s="94">
        <f t="shared" si="177"/>
        <v>418435.36979751801</v>
      </c>
      <c r="AB451" s="163">
        <f t="shared" si="179"/>
        <v>1.7235231399536255E-3</v>
      </c>
      <c r="AC451" s="96">
        <f t="shared" si="178"/>
        <v>0.8453694966707469</v>
      </c>
      <c r="AD451" s="94">
        <f t="shared" si="175"/>
        <v>418435.36979751801</v>
      </c>
    </row>
    <row r="452" spans="10:30" x14ac:dyDescent="0.25">
      <c r="J452" s="56"/>
      <c r="K452" s="56"/>
      <c r="L452" s="130"/>
      <c r="M452" s="130"/>
      <c r="N452" s="130"/>
      <c r="O452" s="59"/>
      <c r="P452" s="59"/>
      <c r="Q452" s="59"/>
      <c r="R452" s="59"/>
      <c r="S452" s="59"/>
      <c r="T452" s="59"/>
      <c r="U452" s="59"/>
      <c r="V452" s="59"/>
      <c r="W452" s="50"/>
      <c r="X452" s="84">
        <v>567</v>
      </c>
      <c r="Y452" s="104">
        <f t="shared" si="180"/>
        <v>1.7275127768516664E-3</v>
      </c>
      <c r="Z452" s="96">
        <f t="shared" si="176"/>
        <v>0.84571251483188603</v>
      </c>
      <c r="AA452" s="94">
        <f t="shared" si="177"/>
        <v>416580.9913912678</v>
      </c>
      <c r="AB452" s="163">
        <f t="shared" si="179"/>
        <v>1.7275127768516664E-3</v>
      </c>
      <c r="AC452" s="96">
        <f t="shared" si="178"/>
        <v>0.84571251483188603</v>
      </c>
      <c r="AD452" s="94">
        <f t="shared" si="175"/>
        <v>416580.9913912678</v>
      </c>
    </row>
    <row r="453" spans="10:30" x14ac:dyDescent="0.25">
      <c r="J453" s="56"/>
      <c r="K453" s="56"/>
      <c r="L453" s="130"/>
      <c r="M453" s="130"/>
      <c r="N453" s="130"/>
      <c r="O453" s="59"/>
      <c r="P453" s="59"/>
      <c r="Q453" s="59"/>
      <c r="R453" s="59"/>
      <c r="S453" s="59"/>
      <c r="T453" s="59"/>
      <c r="U453" s="59"/>
      <c r="V453" s="59"/>
      <c r="W453" s="50"/>
      <c r="X453" s="84">
        <v>566</v>
      </c>
      <c r="Y453" s="104">
        <f t="shared" si="180"/>
        <v>1.7315024137497072E-3</v>
      </c>
      <c r="Z453" s="96">
        <f t="shared" si="176"/>
        <v>0.84605513712763358</v>
      </c>
      <c r="AA453" s="94">
        <f t="shared" si="177"/>
        <v>414732.86408385471</v>
      </c>
      <c r="AB453" s="163">
        <f t="shared" si="179"/>
        <v>1.7315024137497072E-3</v>
      </c>
      <c r="AC453" s="96">
        <f t="shared" si="178"/>
        <v>0.84605513712763358</v>
      </c>
      <c r="AD453" s="94">
        <f t="shared" si="175"/>
        <v>414732.86408385471</v>
      </c>
    </row>
    <row r="454" spans="10:30" x14ac:dyDescent="0.25">
      <c r="J454" s="56"/>
      <c r="K454" s="56"/>
      <c r="L454" s="130"/>
      <c r="M454" s="130"/>
      <c r="N454" s="130"/>
      <c r="O454" s="59"/>
      <c r="P454" s="59"/>
      <c r="Q454" s="59"/>
      <c r="R454" s="59"/>
      <c r="S454" s="59"/>
      <c r="T454" s="59"/>
      <c r="U454" s="59"/>
      <c r="V454" s="59"/>
      <c r="W454" s="50"/>
      <c r="X454" s="84">
        <v>565</v>
      </c>
      <c r="Y454" s="104">
        <f t="shared" si="180"/>
        <v>1.7354920506477481E-3</v>
      </c>
      <c r="Z454" s="96">
        <f t="shared" si="176"/>
        <v>0.84639736492539763</v>
      </c>
      <c r="AA454" s="94">
        <f t="shared" si="177"/>
        <v>412890.9662825751</v>
      </c>
      <c r="AB454" s="163">
        <f t="shared" si="179"/>
        <v>1.7354920506477481E-3</v>
      </c>
      <c r="AC454" s="96">
        <f t="shared" si="178"/>
        <v>0.84639736492539763</v>
      </c>
      <c r="AD454" s="94">
        <f t="shared" si="175"/>
        <v>412890.9662825751</v>
      </c>
    </row>
    <row r="455" spans="10:30" x14ac:dyDescent="0.25">
      <c r="J455" s="56"/>
      <c r="K455" s="56"/>
      <c r="L455" s="130"/>
      <c r="M455" s="130"/>
      <c r="N455" s="130"/>
      <c r="O455" s="59"/>
      <c r="P455" s="59"/>
      <c r="Q455" s="59"/>
      <c r="R455" s="59"/>
      <c r="S455" s="59"/>
      <c r="T455" s="59"/>
      <c r="U455" s="59"/>
      <c r="V455" s="59"/>
      <c r="W455" s="50"/>
      <c r="X455" s="84">
        <v>564</v>
      </c>
      <c r="Y455" s="104">
        <f t="shared" si="180"/>
        <v>1.7394816875457889E-3</v>
      </c>
      <c r="Z455" s="96">
        <f t="shared" si="176"/>
        <v>0.84673919958474075</v>
      </c>
      <c r="AA455" s="94">
        <f t="shared" si="177"/>
        <v>411055.27651870291</v>
      </c>
      <c r="AB455" s="163">
        <f t="shared" si="179"/>
        <v>1.7394816875457889E-3</v>
      </c>
      <c r="AC455" s="96">
        <f t="shared" si="178"/>
        <v>0.84673919958474075</v>
      </c>
      <c r="AD455" s="94">
        <f t="shared" si="175"/>
        <v>411055.27651870291</v>
      </c>
    </row>
    <row r="456" spans="10:30" x14ac:dyDescent="0.25">
      <c r="J456" s="56"/>
      <c r="K456" s="56"/>
      <c r="L456" s="130"/>
      <c r="M456" s="130"/>
      <c r="N456" s="130"/>
      <c r="O456" s="59"/>
      <c r="P456" s="59"/>
      <c r="Q456" s="59"/>
      <c r="R456" s="59"/>
      <c r="S456" s="59"/>
      <c r="T456" s="59"/>
      <c r="U456" s="59"/>
      <c r="V456" s="59"/>
      <c r="W456" s="50"/>
      <c r="X456" s="84">
        <v>563</v>
      </c>
      <c r="Y456" s="104">
        <f t="shared" si="180"/>
        <v>1.7434713244438298E-3</v>
      </c>
      <c r="Z456" s="96">
        <f t="shared" si="176"/>
        <v>0.84708064245742765</v>
      </c>
      <c r="AA456" s="94">
        <f t="shared" si="177"/>
        <v>409225.77344657882</v>
      </c>
      <c r="AB456" s="163">
        <f t="shared" si="179"/>
        <v>1.7434713244438298E-3</v>
      </c>
      <c r="AC456" s="96">
        <f t="shared" si="178"/>
        <v>0.84708064245742765</v>
      </c>
      <c r="AD456" s="94">
        <f t="shared" si="175"/>
        <v>409225.77344657882</v>
      </c>
    </row>
    <row r="457" spans="10:30" x14ac:dyDescent="0.25">
      <c r="J457" s="56"/>
      <c r="K457" s="56"/>
      <c r="L457" s="130"/>
      <c r="M457" s="130"/>
      <c r="N457" s="130"/>
      <c r="O457" s="59"/>
      <c r="P457" s="59"/>
      <c r="Q457" s="59"/>
      <c r="R457" s="59"/>
      <c r="S457" s="59"/>
      <c r="T457" s="59"/>
      <c r="U457" s="59"/>
      <c r="V457" s="59"/>
      <c r="W457" s="50"/>
      <c r="X457" s="84">
        <v>562</v>
      </c>
      <c r="Y457" s="104">
        <f t="shared" si="180"/>
        <v>1.7474609613418706E-3</v>
      </c>
      <c r="Z457" s="96">
        <f t="shared" si="176"/>
        <v>0.84742169488750041</v>
      </c>
      <c r="AA457" s="94">
        <f t="shared" si="177"/>
        <v>407402.43584255304</v>
      </c>
      <c r="AB457" s="163">
        <f t="shared" si="179"/>
        <v>1.7474609613418706E-3</v>
      </c>
      <c r="AC457" s="96">
        <f t="shared" si="178"/>
        <v>0.84742169488750041</v>
      </c>
      <c r="AD457" s="94">
        <f t="shared" si="175"/>
        <v>407402.43584255304</v>
      </c>
    </row>
    <row r="458" spans="10:30" x14ac:dyDescent="0.25">
      <c r="J458" s="56"/>
      <c r="K458" s="56"/>
      <c r="L458" s="130"/>
      <c r="M458" s="130"/>
      <c r="N458" s="130"/>
      <c r="O458" s="59"/>
      <c r="P458" s="59"/>
      <c r="Q458" s="59"/>
      <c r="R458" s="59"/>
      <c r="S458" s="59"/>
      <c r="T458" s="59"/>
      <c r="U458" s="59"/>
      <c r="V458" s="59"/>
      <c r="W458" s="50"/>
      <c r="X458" s="84">
        <v>561</v>
      </c>
      <c r="Y458" s="104">
        <f t="shared" si="180"/>
        <v>1.7514505982399115E-3</v>
      </c>
      <c r="Z458" s="96">
        <f t="shared" si="176"/>
        <v>0.84776235821132584</v>
      </c>
      <c r="AA458" s="94">
        <f t="shared" si="177"/>
        <v>405585.24260409159</v>
      </c>
      <c r="AB458" s="163">
        <f t="shared" si="179"/>
        <v>1.7514505982399115E-3</v>
      </c>
      <c r="AC458" s="96">
        <f t="shared" si="178"/>
        <v>0.84776235821132584</v>
      </c>
      <c r="AD458" s="94">
        <f t="shared" si="175"/>
        <v>405585.24260409159</v>
      </c>
    </row>
    <row r="459" spans="10:30" x14ac:dyDescent="0.25">
      <c r="J459" s="56"/>
      <c r="K459" s="56"/>
      <c r="L459" s="130"/>
      <c r="M459" s="130"/>
      <c r="N459" s="130"/>
      <c r="O459" s="59"/>
      <c r="P459" s="59"/>
      <c r="Q459" s="59"/>
      <c r="R459" s="59"/>
      <c r="S459" s="59"/>
      <c r="T459" s="59"/>
      <c r="U459" s="59"/>
      <c r="V459" s="59"/>
      <c r="W459" s="50"/>
      <c r="X459" s="84">
        <v>560</v>
      </c>
      <c r="Y459" s="104">
        <f t="shared" si="180"/>
        <v>1.7554402351379523E-3</v>
      </c>
      <c r="Z459" s="96">
        <f t="shared" si="176"/>
        <v>0.84810263375767458</v>
      </c>
      <c r="AA459" s="94">
        <f t="shared" si="177"/>
        <v>403774.17274871579</v>
      </c>
      <c r="AB459" s="163">
        <f t="shared" si="179"/>
        <v>1.7554402351379523E-3</v>
      </c>
      <c r="AC459" s="96">
        <f t="shared" si="178"/>
        <v>0.84810263375767458</v>
      </c>
      <c r="AD459" s="94">
        <f t="shared" si="175"/>
        <v>403774.17274871579</v>
      </c>
    </row>
    <row r="460" spans="10:30" x14ac:dyDescent="0.25">
      <c r="J460" s="56"/>
      <c r="K460" s="56"/>
      <c r="L460" s="130"/>
      <c r="M460" s="130"/>
      <c r="N460" s="130"/>
      <c r="O460" s="59"/>
      <c r="P460" s="59"/>
      <c r="Q460" s="59"/>
      <c r="R460" s="59"/>
      <c r="S460" s="59"/>
      <c r="T460" s="59"/>
      <c r="U460" s="59"/>
      <c r="V460" s="59"/>
      <c r="W460" s="50"/>
      <c r="X460" s="84">
        <v>559</v>
      </c>
      <c r="Y460" s="104">
        <f t="shared" si="180"/>
        <v>1.7594298720359932E-3</v>
      </c>
      <c r="Z460" s="96">
        <f t="shared" si="176"/>
        <v>0.84844252284776289</v>
      </c>
      <c r="AA460" s="94">
        <f t="shared" si="177"/>
        <v>401969.20541314111</v>
      </c>
      <c r="AB460" s="163">
        <f t="shared" si="179"/>
        <v>1.7594298720359932E-3</v>
      </c>
      <c r="AC460" s="96">
        <f t="shared" si="178"/>
        <v>0.84844252284776289</v>
      </c>
      <c r="AD460" s="94">
        <f t="shared" si="175"/>
        <v>401969.20541314111</v>
      </c>
    </row>
    <row r="461" spans="10:30" x14ac:dyDescent="0.25">
      <c r="J461" s="56"/>
      <c r="K461" s="56"/>
      <c r="L461" s="130"/>
      <c r="M461" s="130"/>
      <c r="N461" s="130"/>
      <c r="O461" s="59"/>
      <c r="P461" s="59"/>
      <c r="Q461" s="59"/>
      <c r="R461" s="59"/>
      <c r="S461" s="59"/>
      <c r="T461" s="59"/>
      <c r="U461" s="59"/>
      <c r="V461" s="59"/>
      <c r="W461" s="50"/>
      <c r="X461" s="84">
        <v>558</v>
      </c>
      <c r="Y461" s="104">
        <f t="shared" si="180"/>
        <v>1.763419508934034E-3</v>
      </c>
      <c r="Z461" s="96">
        <f t="shared" si="176"/>
        <v>0.84878202679532933</v>
      </c>
      <c r="AA461" s="94">
        <f t="shared" si="177"/>
        <v>400170.31985224976</v>
      </c>
      <c r="AB461" s="163">
        <f t="shared" si="179"/>
        <v>1.763419508934034E-3</v>
      </c>
      <c r="AC461" s="96">
        <f t="shared" si="178"/>
        <v>0.84878202679532933</v>
      </c>
      <c r="AD461" s="94">
        <f t="shared" si="175"/>
        <v>400170.31985224976</v>
      </c>
    </row>
    <row r="462" spans="10:30" x14ac:dyDescent="0.25">
      <c r="J462" s="56"/>
      <c r="K462" s="56"/>
      <c r="L462" s="130"/>
      <c r="M462" s="130"/>
      <c r="N462" s="130"/>
      <c r="O462" s="59"/>
      <c r="P462" s="59"/>
      <c r="Q462" s="59"/>
      <c r="R462" s="59"/>
      <c r="S462" s="59"/>
      <c r="T462" s="59"/>
      <c r="U462" s="59"/>
      <c r="V462" s="59"/>
      <c r="W462" s="50"/>
      <c r="X462" s="84">
        <v>557</v>
      </c>
      <c r="Y462" s="104">
        <f t="shared" si="180"/>
        <v>1.7674091458320749E-3</v>
      </c>
      <c r="Z462" s="96">
        <f t="shared" si="176"/>
        <v>0.8491211469066765</v>
      </c>
      <c r="AA462" s="94">
        <f t="shared" si="177"/>
        <v>398377.4954382414</v>
      </c>
      <c r="AB462" s="163">
        <f t="shared" si="179"/>
        <v>1.7674091458320749E-3</v>
      </c>
      <c r="AC462" s="96">
        <f t="shared" si="178"/>
        <v>0.8491211469066765</v>
      </c>
      <c r="AD462" s="94">
        <f t="shared" si="175"/>
        <v>398377.4954382414</v>
      </c>
    </row>
    <row r="463" spans="10:30" x14ac:dyDescent="0.25">
      <c r="J463" s="56"/>
      <c r="K463" s="56"/>
      <c r="L463" s="130"/>
      <c r="M463" s="130"/>
      <c r="N463" s="130"/>
      <c r="O463" s="59"/>
      <c r="P463" s="59"/>
      <c r="Q463" s="59"/>
      <c r="R463" s="59"/>
      <c r="S463" s="59"/>
      <c r="T463" s="59"/>
      <c r="U463" s="59"/>
      <c r="V463" s="59"/>
      <c r="W463" s="50"/>
      <c r="X463" s="84">
        <v>556</v>
      </c>
      <c r="Y463" s="104">
        <f t="shared" si="180"/>
        <v>1.7713987827301157E-3</v>
      </c>
      <c r="Z463" s="96">
        <f t="shared" si="176"/>
        <v>0.84945988448074983</v>
      </c>
      <c r="AA463" s="94">
        <f t="shared" si="177"/>
        <v>396590.71165961132</v>
      </c>
      <c r="AB463" s="163">
        <f t="shared" si="179"/>
        <v>1.7713987827301157E-3</v>
      </c>
      <c r="AC463" s="96">
        <f t="shared" si="178"/>
        <v>0.84945988448074983</v>
      </c>
      <c r="AD463" s="94">
        <f t="shared" si="175"/>
        <v>396590.71165961132</v>
      </c>
    </row>
    <row r="464" spans="10:30" x14ac:dyDescent="0.25">
      <c r="J464" s="56"/>
      <c r="K464" s="56"/>
      <c r="L464" s="130"/>
      <c r="M464" s="130"/>
      <c r="N464" s="130"/>
      <c r="O464" s="59"/>
      <c r="P464" s="59"/>
      <c r="Q464" s="59"/>
      <c r="R464" s="59"/>
      <c r="S464" s="59"/>
      <c r="T464" s="59"/>
      <c r="U464" s="59"/>
      <c r="V464" s="59"/>
      <c r="W464" s="50"/>
      <c r="X464" s="84">
        <v>555</v>
      </c>
      <c r="Y464" s="104">
        <f t="shared" si="180"/>
        <v>1.7753884196281566E-3</v>
      </c>
      <c r="Z464" s="96">
        <f t="shared" si="176"/>
        <v>0.84979824080917532</v>
      </c>
      <c r="AA464" s="94">
        <f t="shared" si="177"/>
        <v>394809.94812032272</v>
      </c>
      <c r="AB464" s="163">
        <f t="shared" si="179"/>
        <v>1.7753884196281566E-3</v>
      </c>
      <c r="AC464" s="96">
        <f t="shared" si="178"/>
        <v>0.84979824080917532</v>
      </c>
      <c r="AD464" s="94">
        <f t="shared" si="175"/>
        <v>394809.94812032272</v>
      </c>
    </row>
    <row r="465" spans="10:30" x14ac:dyDescent="0.25">
      <c r="J465" s="56"/>
      <c r="K465" s="56"/>
      <c r="L465" s="130"/>
      <c r="M465" s="130"/>
      <c r="N465" s="130"/>
      <c r="O465" s="59"/>
      <c r="P465" s="59"/>
      <c r="Q465" s="59"/>
      <c r="R465" s="59"/>
      <c r="S465" s="59"/>
      <c r="T465" s="59"/>
      <c r="U465" s="59"/>
      <c r="V465" s="59"/>
      <c r="W465" s="50"/>
      <c r="X465" s="84">
        <v>554</v>
      </c>
      <c r="Y465" s="104">
        <f t="shared" si="180"/>
        <v>1.7793780565261974E-3</v>
      </c>
      <c r="Z465" s="96">
        <f t="shared" si="176"/>
        <v>0.85013621717633614</v>
      </c>
      <c r="AA465" s="94">
        <f t="shared" si="177"/>
        <v>393035.18453881977</v>
      </c>
      <c r="AB465" s="163">
        <f t="shared" si="179"/>
        <v>1.7793780565261974E-3</v>
      </c>
      <c r="AC465" s="96">
        <f t="shared" si="178"/>
        <v>0.85013621717633614</v>
      </c>
      <c r="AD465" s="94">
        <f t="shared" si="175"/>
        <v>393035.18453881977</v>
      </c>
    </row>
    <row r="466" spans="10:30" x14ac:dyDescent="0.25">
      <c r="J466" s="56"/>
      <c r="K466" s="56"/>
      <c r="L466" s="130"/>
      <c r="M466" s="130"/>
      <c r="N466" s="130"/>
      <c r="O466" s="59"/>
      <c r="P466" s="59"/>
      <c r="Q466" s="59"/>
      <c r="R466" s="59"/>
      <c r="S466" s="59"/>
      <c r="T466" s="59"/>
      <c r="U466" s="59"/>
      <c r="V466" s="59"/>
      <c r="W466" s="50"/>
      <c r="X466" s="84">
        <v>553</v>
      </c>
      <c r="Y466" s="104">
        <f t="shared" si="180"/>
        <v>1.7833676934242383E-3</v>
      </c>
      <c r="Z466" s="96">
        <f t="shared" si="176"/>
        <v>0.85047381485940832</v>
      </c>
      <c r="AA466" s="94">
        <f t="shared" si="177"/>
        <v>391266.40074722312</v>
      </c>
      <c r="AB466" s="163">
        <f t="shared" si="179"/>
        <v>1.7833676934242383E-3</v>
      </c>
      <c r="AC466" s="96">
        <f t="shared" si="178"/>
        <v>0.85047381485940832</v>
      </c>
      <c r="AD466" s="94">
        <f t="shared" si="175"/>
        <v>391266.40074722312</v>
      </c>
    </row>
    <row r="467" spans="10:30" x14ac:dyDescent="0.25">
      <c r="J467" s="56"/>
      <c r="K467" s="56"/>
      <c r="L467" s="130"/>
      <c r="M467" s="130"/>
      <c r="N467" s="130"/>
      <c r="O467" s="59"/>
      <c r="P467" s="59"/>
      <c r="Q467" s="59"/>
      <c r="R467" s="59"/>
      <c r="S467" s="59"/>
      <c r="T467" s="59"/>
      <c r="U467" s="59"/>
      <c r="V467" s="59"/>
      <c r="W467" s="50"/>
      <c r="X467" s="84">
        <v>552</v>
      </c>
      <c r="Y467" s="104">
        <f t="shared" si="180"/>
        <v>1.7873573303222791E-3</v>
      </c>
      <c r="Z467" s="96">
        <f t="shared" si="176"/>
        <v>0.85081103512844325</v>
      </c>
      <c r="AA467" s="94">
        <f t="shared" si="177"/>
        <v>389503.57669031579</v>
      </c>
      <c r="AB467" s="163">
        <f t="shared" si="179"/>
        <v>1.7873573303222791E-3</v>
      </c>
      <c r="AC467" s="96">
        <f t="shared" si="178"/>
        <v>0.85081103512844325</v>
      </c>
      <c r="AD467" s="94">
        <f t="shared" ref="AD467:AD530" si="181">IF(AC467&lt;1,X$14*((1-ropt)-Y$14*(1-ropt^2)+Z$14*(1-ropt^3)),0)</f>
        <v>389503.57669031579</v>
      </c>
    </row>
    <row r="468" spans="10:30" x14ac:dyDescent="0.25">
      <c r="J468" s="56"/>
      <c r="K468" s="56"/>
      <c r="L468" s="130"/>
      <c r="M468" s="130"/>
      <c r="N468" s="130"/>
      <c r="O468" s="59"/>
      <c r="P468" s="59"/>
      <c r="Q468" s="59"/>
      <c r="R468" s="59"/>
      <c r="S468" s="59"/>
      <c r="T468" s="59"/>
      <c r="U468" s="59"/>
      <c r="V468" s="59"/>
      <c r="W468" s="50"/>
      <c r="X468" s="84">
        <v>551</v>
      </c>
      <c r="Y468" s="104">
        <f t="shared" si="180"/>
        <v>1.79134696722032E-3</v>
      </c>
      <c r="Z468" s="96">
        <f t="shared" ref="Z468:Z531" si="182">(K-(L0-Y468*Ldif-alph*Y468^0.5))/R0</f>
        <v>0.85114787924639357</v>
      </c>
      <c r="AA468" s="94">
        <f t="shared" ref="AA468:AA531" si="183">IF(Z468&lt;1,X$14*((1-r.1)-Y$14*(1-r.1^2)+Z$14*(1-r.1^3)),0)</f>
        <v>387746.69242480886</v>
      </c>
      <c r="AB468" s="163">
        <f t="shared" si="179"/>
        <v>1.79134696722032E-3</v>
      </c>
      <c r="AC468" s="96">
        <f t="shared" ref="AC468:AC531" si="184">(Kopt-(L0-AB468*Ldif-alph*AB468^0.5))/R0</f>
        <v>0.85114787924639357</v>
      </c>
      <c r="AD468" s="94">
        <f t="shared" si="181"/>
        <v>387746.69242480886</v>
      </c>
    </row>
    <row r="469" spans="10:30" x14ac:dyDescent="0.25">
      <c r="J469" s="56"/>
      <c r="K469" s="56"/>
      <c r="L469" s="130"/>
      <c r="M469" s="130"/>
      <c r="N469" s="130"/>
      <c r="O469" s="59"/>
      <c r="P469" s="59"/>
      <c r="Q469" s="59"/>
      <c r="R469" s="59"/>
      <c r="S469" s="59"/>
      <c r="T469" s="59"/>
      <c r="U469" s="59"/>
      <c r="V469" s="59"/>
      <c r="W469" s="50"/>
      <c r="X469" s="84">
        <v>550</v>
      </c>
      <c r="Y469" s="104">
        <f t="shared" si="180"/>
        <v>1.7953366041183608E-3</v>
      </c>
      <c r="Z469" s="96">
        <f t="shared" si="182"/>
        <v>0.85148434846919963</v>
      </c>
      <c r="AA469" s="94">
        <f t="shared" si="183"/>
        <v>385995.72811831749</v>
      </c>
      <c r="AB469" s="163">
        <f t="shared" ref="AB469:AB532" si="185">AB468+AB$15</f>
        <v>1.7953366041183608E-3</v>
      </c>
      <c r="AC469" s="96">
        <f t="shared" si="184"/>
        <v>0.85148434846919963</v>
      </c>
      <c r="AD469" s="94">
        <f t="shared" si="181"/>
        <v>385995.72811831749</v>
      </c>
    </row>
    <row r="470" spans="10:30" x14ac:dyDescent="0.25">
      <c r="J470" s="56"/>
      <c r="K470" s="56"/>
      <c r="L470" s="130"/>
      <c r="M470" s="130"/>
      <c r="N470" s="130"/>
      <c r="O470" s="59"/>
      <c r="P470" s="59"/>
      <c r="Q470" s="59"/>
      <c r="R470" s="59"/>
      <c r="S470" s="59"/>
      <c r="T470" s="59"/>
      <c r="U470" s="59"/>
      <c r="V470" s="59"/>
      <c r="W470" s="50"/>
      <c r="X470" s="84">
        <v>549</v>
      </c>
      <c r="Y470" s="104">
        <f t="shared" si="180"/>
        <v>1.7993262410164017E-3</v>
      </c>
      <c r="Z470" s="96">
        <f t="shared" si="182"/>
        <v>0.85182044404581281</v>
      </c>
      <c r="AA470" s="94">
        <f t="shared" si="183"/>
        <v>384250.66404865158</v>
      </c>
      <c r="AB470" s="163">
        <f t="shared" si="185"/>
        <v>1.7993262410164017E-3</v>
      </c>
      <c r="AC470" s="96">
        <f t="shared" si="184"/>
        <v>0.85182044404581281</v>
      </c>
      <c r="AD470" s="94">
        <f t="shared" si="181"/>
        <v>384250.66404865158</v>
      </c>
    </row>
    <row r="471" spans="10:30" x14ac:dyDescent="0.25">
      <c r="J471" s="56"/>
      <c r="K471" s="56"/>
      <c r="L471" s="130"/>
      <c r="M471" s="130"/>
      <c r="N471" s="130"/>
      <c r="O471" s="59"/>
      <c r="P471" s="59"/>
      <c r="Q471" s="59"/>
      <c r="R471" s="59"/>
      <c r="S471" s="59"/>
      <c r="T471" s="59"/>
      <c r="U471" s="59"/>
      <c r="V471" s="59"/>
      <c r="W471" s="50"/>
      <c r="X471" s="84">
        <v>548</v>
      </c>
      <c r="Y471" s="104">
        <f t="shared" si="180"/>
        <v>1.8033158779144425E-3</v>
      </c>
      <c r="Z471" s="96">
        <f t="shared" si="182"/>
        <v>0.85215616721827447</v>
      </c>
      <c r="AA471" s="94">
        <f t="shared" si="183"/>
        <v>382511.4806028388</v>
      </c>
      <c r="AB471" s="163">
        <f t="shared" si="185"/>
        <v>1.8033158779144425E-3</v>
      </c>
      <c r="AC471" s="96">
        <f t="shared" si="184"/>
        <v>0.85215616721827447</v>
      </c>
      <c r="AD471" s="94">
        <f t="shared" si="181"/>
        <v>382511.4806028388</v>
      </c>
    </row>
    <row r="472" spans="10:30" x14ac:dyDescent="0.25">
      <c r="J472" s="56"/>
      <c r="K472" s="56"/>
      <c r="L472" s="130"/>
      <c r="M472" s="130"/>
      <c r="N472" s="130"/>
      <c r="O472" s="59"/>
      <c r="P472" s="59"/>
      <c r="Q472" s="59"/>
      <c r="R472" s="59"/>
      <c r="S472" s="59"/>
      <c r="T472" s="59"/>
      <c r="U472" s="59"/>
      <c r="V472" s="59"/>
      <c r="W472" s="50"/>
      <c r="X472" s="84">
        <v>547</v>
      </c>
      <c r="Y472" s="104">
        <f t="shared" si="180"/>
        <v>1.8073055148124834E-3</v>
      </c>
      <c r="Z472" s="96">
        <f t="shared" si="182"/>
        <v>0.85249151922175936</v>
      </c>
      <c r="AA472" s="94">
        <f t="shared" si="183"/>
        <v>380778.15827632986</v>
      </c>
      <c r="AB472" s="163">
        <f t="shared" si="185"/>
        <v>1.8073055148124834E-3</v>
      </c>
      <c r="AC472" s="96">
        <f t="shared" si="184"/>
        <v>0.85249151922175936</v>
      </c>
      <c r="AD472" s="94">
        <f t="shared" si="181"/>
        <v>380778.15827632986</v>
      </c>
    </row>
    <row r="473" spans="10:30" x14ac:dyDescent="0.25">
      <c r="J473" s="56"/>
      <c r="K473" s="56"/>
      <c r="L473" s="130"/>
      <c r="M473" s="130"/>
      <c r="N473" s="130"/>
      <c r="O473" s="59"/>
      <c r="P473" s="59"/>
      <c r="Q473" s="59"/>
      <c r="R473" s="59"/>
      <c r="S473" s="59"/>
      <c r="T473" s="59"/>
      <c r="U473" s="59"/>
      <c r="V473" s="59"/>
      <c r="W473" s="50"/>
      <c r="X473" s="84">
        <v>546</v>
      </c>
      <c r="Y473" s="104">
        <f t="shared" si="180"/>
        <v>1.8112951517105242E-3</v>
      </c>
      <c r="Z473" s="96">
        <f t="shared" si="182"/>
        <v>0.85282650128462612</v>
      </c>
      <c r="AA473" s="94">
        <f t="shared" si="183"/>
        <v>379050.67767217255</v>
      </c>
      <c r="AB473" s="163">
        <f t="shared" si="185"/>
        <v>1.8112951517105242E-3</v>
      </c>
      <c r="AC473" s="96">
        <f t="shared" si="184"/>
        <v>0.85282650128462612</v>
      </c>
      <c r="AD473" s="94">
        <f t="shared" si="181"/>
        <v>379050.67767217255</v>
      </c>
    </row>
    <row r="474" spans="10:30" x14ac:dyDescent="0.25">
      <c r="J474" s="56"/>
      <c r="K474" s="56"/>
      <c r="L474" s="130"/>
      <c r="M474" s="130"/>
      <c r="N474" s="130"/>
      <c r="O474" s="59"/>
      <c r="P474" s="59"/>
      <c r="Q474" s="59"/>
      <c r="R474" s="59"/>
      <c r="S474" s="59"/>
      <c r="T474" s="59"/>
      <c r="U474" s="59"/>
      <c r="V474" s="59"/>
      <c r="W474" s="50"/>
      <c r="X474" s="84">
        <v>545</v>
      </c>
      <c r="Y474" s="104">
        <f t="shared" si="180"/>
        <v>1.8152847886085651E-3</v>
      </c>
      <c r="Z474" s="96">
        <f t="shared" si="182"/>
        <v>0.85316111462847655</v>
      </c>
      <c r="AA474" s="94">
        <f t="shared" si="183"/>
        <v>377329.01950014947</v>
      </c>
      <c r="AB474" s="163">
        <f t="shared" si="185"/>
        <v>1.8152847886085651E-3</v>
      </c>
      <c r="AC474" s="96">
        <f t="shared" si="184"/>
        <v>0.85316111462847655</v>
      </c>
      <c r="AD474" s="94">
        <f t="shared" si="181"/>
        <v>377329.01950014947</v>
      </c>
    </row>
    <row r="475" spans="10:30" x14ac:dyDescent="0.25">
      <c r="J475" s="56"/>
      <c r="K475" s="56"/>
      <c r="L475" s="130"/>
      <c r="M475" s="130"/>
      <c r="N475" s="130"/>
      <c r="O475" s="59"/>
      <c r="P475" s="59"/>
      <c r="Q475" s="59"/>
      <c r="R475" s="59"/>
      <c r="S475" s="59"/>
      <c r="T475" s="59"/>
      <c r="U475" s="59"/>
      <c r="V475" s="59"/>
      <c r="W475" s="50"/>
      <c r="X475" s="84">
        <v>544</v>
      </c>
      <c r="Y475" s="104">
        <f t="shared" si="180"/>
        <v>1.8192744255066059E-3</v>
      </c>
      <c r="Z475" s="96">
        <f t="shared" si="182"/>
        <v>0.85349536046819818</v>
      </c>
      <c r="AA475" s="94">
        <f t="shared" si="183"/>
        <v>375613.16457600641</v>
      </c>
      <c r="AB475" s="163">
        <f t="shared" si="185"/>
        <v>1.8192744255066059E-3</v>
      </c>
      <c r="AC475" s="96">
        <f t="shared" si="184"/>
        <v>0.85349536046819818</v>
      </c>
      <c r="AD475" s="94">
        <f t="shared" si="181"/>
        <v>375613.16457600641</v>
      </c>
    </row>
    <row r="476" spans="10:30" x14ac:dyDescent="0.25">
      <c r="J476" s="56"/>
      <c r="K476" s="56"/>
      <c r="L476" s="130"/>
      <c r="M476" s="130"/>
      <c r="N476" s="130"/>
      <c r="O476" s="59"/>
      <c r="P476" s="59"/>
      <c r="Q476" s="59"/>
      <c r="R476" s="59"/>
      <c r="S476" s="59"/>
      <c r="T476" s="59"/>
      <c r="U476" s="59"/>
      <c r="V476" s="59"/>
      <c r="W476" s="50"/>
      <c r="X476" s="84">
        <v>543</v>
      </c>
      <c r="Y476" s="104">
        <f t="shared" si="180"/>
        <v>1.8232640624046468E-3</v>
      </c>
      <c r="Z476" s="96">
        <f t="shared" si="182"/>
        <v>0.85382924001203031</v>
      </c>
      <c r="AA476" s="94">
        <f t="shared" si="183"/>
        <v>373903.09382056072</v>
      </c>
      <c r="AB476" s="163">
        <f t="shared" si="185"/>
        <v>1.8232640624046468E-3</v>
      </c>
      <c r="AC476" s="96">
        <f t="shared" si="184"/>
        <v>0.85382924001203031</v>
      </c>
      <c r="AD476" s="94">
        <f t="shared" si="181"/>
        <v>373903.09382056072</v>
      </c>
    </row>
    <row r="477" spans="10:30" x14ac:dyDescent="0.25">
      <c r="J477" s="56"/>
      <c r="K477" s="56"/>
      <c r="L477" s="130"/>
      <c r="M477" s="130"/>
      <c r="N477" s="130"/>
      <c r="O477" s="59"/>
      <c r="P477" s="59"/>
      <c r="Q477" s="59"/>
      <c r="R477" s="59"/>
      <c r="S477" s="59"/>
      <c r="T477" s="59"/>
      <c r="U477" s="59"/>
      <c r="V477" s="59"/>
      <c r="W477" s="50"/>
      <c r="X477" s="84">
        <v>542</v>
      </c>
      <c r="Y477" s="104">
        <f t="shared" si="180"/>
        <v>1.8272536993026876E-3</v>
      </c>
      <c r="Z477" s="96">
        <f t="shared" si="182"/>
        <v>0.8541627544615995</v>
      </c>
      <c r="AA477" s="94">
        <f t="shared" si="183"/>
        <v>372198.78825898428</v>
      </c>
      <c r="AB477" s="163">
        <f t="shared" si="185"/>
        <v>1.8272536993026876E-3</v>
      </c>
      <c r="AC477" s="96">
        <f t="shared" si="184"/>
        <v>0.8541627544615995</v>
      </c>
      <c r="AD477" s="94">
        <f t="shared" si="181"/>
        <v>372198.78825898428</v>
      </c>
    </row>
    <row r="478" spans="10:30" x14ac:dyDescent="0.25">
      <c r="J478" s="56"/>
      <c r="K478" s="56"/>
      <c r="L478" s="130"/>
      <c r="M478" s="130"/>
      <c r="N478" s="130"/>
      <c r="O478" s="59"/>
      <c r="P478" s="59"/>
      <c r="Q478" s="59"/>
      <c r="R478" s="59"/>
      <c r="S478" s="59"/>
      <c r="T478" s="59"/>
      <c r="U478" s="59"/>
      <c r="V478" s="59"/>
      <c r="W478" s="50"/>
      <c r="X478" s="84">
        <v>541</v>
      </c>
      <c r="Y478" s="104">
        <f t="shared" si="180"/>
        <v>1.8312433362007285E-3</v>
      </c>
      <c r="Z478" s="96">
        <f t="shared" si="182"/>
        <v>0.85449590501197747</v>
      </c>
      <c r="AA478" s="94">
        <f t="shared" si="183"/>
        <v>370500.22901996027</v>
      </c>
      <c r="AB478" s="163">
        <f t="shared" si="185"/>
        <v>1.8312433362007285E-3</v>
      </c>
      <c r="AC478" s="96">
        <f t="shared" si="184"/>
        <v>0.85449590501197747</v>
      </c>
      <c r="AD478" s="94">
        <f t="shared" si="181"/>
        <v>370500.22901996027</v>
      </c>
    </row>
    <row r="479" spans="10:30" x14ac:dyDescent="0.25">
      <c r="J479" s="56"/>
      <c r="K479" s="56"/>
      <c r="L479" s="130"/>
      <c r="M479" s="130"/>
      <c r="N479" s="130"/>
      <c r="O479" s="59"/>
      <c r="P479" s="59"/>
      <c r="Q479" s="59"/>
      <c r="R479" s="59"/>
      <c r="S479" s="59"/>
      <c r="T479" s="59"/>
      <c r="U479" s="59"/>
      <c r="V479" s="59"/>
      <c r="W479" s="50"/>
      <c r="X479" s="84">
        <v>540</v>
      </c>
      <c r="Y479" s="104">
        <f t="shared" si="180"/>
        <v>1.8352329730987693E-3</v>
      </c>
      <c r="Z479" s="96">
        <f t="shared" si="182"/>
        <v>0.85482869285173357</v>
      </c>
      <c r="AA479" s="94">
        <f t="shared" si="183"/>
        <v>368807.39733488497</v>
      </c>
      <c r="AB479" s="163">
        <f t="shared" si="185"/>
        <v>1.8352329730987693E-3</v>
      </c>
      <c r="AC479" s="96">
        <f t="shared" si="184"/>
        <v>0.85482869285173357</v>
      </c>
      <c r="AD479" s="94">
        <f t="shared" si="181"/>
        <v>368807.39733488497</v>
      </c>
    </row>
    <row r="480" spans="10:30" x14ac:dyDescent="0.25">
      <c r="J480" s="56"/>
      <c r="K480" s="56"/>
      <c r="L480" s="130"/>
      <c r="M480" s="130"/>
      <c r="N480" s="130"/>
      <c r="O480" s="59"/>
      <c r="P480" s="59"/>
      <c r="Q480" s="59"/>
      <c r="R480" s="59"/>
      <c r="S480" s="59"/>
      <c r="T480" s="59"/>
      <c r="U480" s="59"/>
      <c r="V480" s="59"/>
      <c r="W480" s="50"/>
      <c r="X480" s="84">
        <v>539</v>
      </c>
      <c r="Y480" s="104">
        <f t="shared" ref="Y480:Y543" si="186">Y479+Y$16</f>
        <v>1.8392226099968102E-3</v>
      </c>
      <c r="Z480" s="96">
        <f t="shared" si="182"/>
        <v>0.85516111916297799</v>
      </c>
      <c r="AA480" s="94">
        <f t="shared" si="183"/>
        <v>367120.2745371192</v>
      </c>
      <c r="AB480" s="163">
        <f t="shared" si="185"/>
        <v>1.8392226099968102E-3</v>
      </c>
      <c r="AC480" s="96">
        <f t="shared" si="184"/>
        <v>0.85516111916297799</v>
      </c>
      <c r="AD480" s="94">
        <f t="shared" si="181"/>
        <v>367120.2745371192</v>
      </c>
    </row>
    <row r="481" spans="10:30" x14ac:dyDescent="0.25">
      <c r="J481" s="56"/>
      <c r="K481" s="56"/>
      <c r="L481" s="130"/>
      <c r="M481" s="130"/>
      <c r="N481" s="130"/>
      <c r="O481" s="59"/>
      <c r="P481" s="59"/>
      <c r="Q481" s="59"/>
      <c r="R481" s="59"/>
      <c r="S481" s="59"/>
      <c r="T481" s="59"/>
      <c r="U481" s="59"/>
      <c r="V481" s="59"/>
      <c r="W481" s="50"/>
      <c r="X481" s="84">
        <v>538</v>
      </c>
      <c r="Y481" s="104">
        <f t="shared" si="186"/>
        <v>1.843212246894851E-3</v>
      </c>
      <c r="Z481" s="96">
        <f t="shared" si="182"/>
        <v>0.85549318512141626</v>
      </c>
      <c r="AA481" s="94">
        <f t="shared" si="183"/>
        <v>365438.84206118243</v>
      </c>
      <c r="AB481" s="163">
        <f t="shared" si="185"/>
        <v>1.843212246894851E-3</v>
      </c>
      <c r="AC481" s="96">
        <f t="shared" si="184"/>
        <v>0.85549318512141626</v>
      </c>
      <c r="AD481" s="94">
        <f t="shared" si="181"/>
        <v>365438.84206118243</v>
      </c>
    </row>
    <row r="482" spans="10:30" x14ac:dyDescent="0.25">
      <c r="J482" s="56"/>
      <c r="K482" s="56"/>
      <c r="L482" s="130"/>
      <c r="M482" s="130"/>
      <c r="N482" s="130"/>
      <c r="O482" s="59"/>
      <c r="P482" s="59"/>
      <c r="Q482" s="59"/>
      <c r="R482" s="59"/>
      <c r="S482" s="59"/>
      <c r="T482" s="59"/>
      <c r="U482" s="59"/>
      <c r="V482" s="59"/>
      <c r="W482" s="50"/>
      <c r="X482" s="84">
        <v>537</v>
      </c>
      <c r="Y482" s="104">
        <f t="shared" si="186"/>
        <v>1.8472018837928919E-3</v>
      </c>
      <c r="Z482" s="96">
        <f t="shared" si="182"/>
        <v>0.85582489189639233</v>
      </c>
      <c r="AA482" s="94">
        <f t="shared" si="183"/>
        <v>363763.08144202211</v>
      </c>
      <c r="AB482" s="163">
        <f t="shared" si="185"/>
        <v>1.8472018837928919E-3</v>
      </c>
      <c r="AC482" s="96">
        <f t="shared" si="184"/>
        <v>0.85582489189639233</v>
      </c>
      <c r="AD482" s="94">
        <f t="shared" si="181"/>
        <v>363763.08144202211</v>
      </c>
    </row>
    <row r="483" spans="10:30" x14ac:dyDescent="0.25">
      <c r="J483" s="56"/>
      <c r="K483" s="56"/>
      <c r="L483" s="130"/>
      <c r="M483" s="130"/>
      <c r="N483" s="130"/>
      <c r="O483" s="59"/>
      <c r="P483" s="59"/>
      <c r="Q483" s="59"/>
      <c r="R483" s="59"/>
      <c r="S483" s="59"/>
      <c r="T483" s="59"/>
      <c r="U483" s="59"/>
      <c r="V483" s="59"/>
      <c r="W483" s="50"/>
      <c r="X483" s="84">
        <v>536</v>
      </c>
      <c r="Y483" s="104">
        <f t="shared" si="186"/>
        <v>1.8511915206909327E-3</v>
      </c>
      <c r="Z483" s="96">
        <f t="shared" si="182"/>
        <v>0.85615624065094109</v>
      </c>
      <c r="AA483" s="94">
        <f t="shared" si="183"/>
        <v>362092.97431422491</v>
      </c>
      <c r="AB483" s="163">
        <f t="shared" si="185"/>
        <v>1.8511915206909327E-3</v>
      </c>
      <c r="AC483" s="96">
        <f t="shared" si="184"/>
        <v>0.85615624065094109</v>
      </c>
      <c r="AD483" s="94">
        <f t="shared" si="181"/>
        <v>362092.97431422491</v>
      </c>
    </row>
    <row r="484" spans="10:30" x14ac:dyDescent="0.25">
      <c r="J484" s="56"/>
      <c r="K484" s="56"/>
      <c r="L484" s="130"/>
      <c r="M484" s="130"/>
      <c r="N484" s="130"/>
      <c r="O484" s="59"/>
      <c r="P484" s="59"/>
      <c r="Q484" s="59"/>
      <c r="R484" s="59"/>
      <c r="S484" s="59"/>
      <c r="T484" s="59"/>
      <c r="U484" s="59"/>
      <c r="V484" s="59"/>
      <c r="W484" s="50"/>
      <c r="X484" s="84">
        <v>535</v>
      </c>
      <c r="Y484" s="104">
        <f t="shared" si="186"/>
        <v>1.8551811575889736E-3</v>
      </c>
      <c r="Z484" s="96">
        <f t="shared" si="182"/>
        <v>0.8564872325418379</v>
      </c>
      <c r="AA484" s="94">
        <f t="shared" si="183"/>
        <v>360428.50241125893</v>
      </c>
      <c r="AB484" s="163">
        <f t="shared" si="185"/>
        <v>1.8551811575889736E-3</v>
      </c>
      <c r="AC484" s="96">
        <f t="shared" si="184"/>
        <v>0.8564872325418379</v>
      </c>
      <c r="AD484" s="94">
        <f t="shared" si="181"/>
        <v>360428.50241125893</v>
      </c>
    </row>
    <row r="485" spans="10:30" x14ac:dyDescent="0.25">
      <c r="J485" s="56"/>
      <c r="K485" s="56"/>
      <c r="L485" s="130"/>
      <c r="M485" s="130"/>
      <c r="N485" s="130"/>
      <c r="O485" s="59"/>
      <c r="P485" s="59"/>
      <c r="Q485" s="59"/>
      <c r="R485" s="59"/>
      <c r="S485" s="59"/>
      <c r="T485" s="59"/>
      <c r="U485" s="59"/>
      <c r="V485" s="59"/>
      <c r="W485" s="50"/>
      <c r="X485" s="84">
        <v>534</v>
      </c>
      <c r="Y485" s="104">
        <f t="shared" si="186"/>
        <v>1.8591707944870144E-3</v>
      </c>
      <c r="Z485" s="96">
        <f t="shared" si="182"/>
        <v>0.85681786871963406</v>
      </c>
      <c r="AA485" s="94">
        <f t="shared" si="183"/>
        <v>358769.6475647898</v>
      </c>
      <c r="AB485" s="163">
        <f t="shared" si="185"/>
        <v>1.8591707944870144E-3</v>
      </c>
      <c r="AC485" s="96">
        <f t="shared" si="184"/>
        <v>0.85681786871963406</v>
      </c>
      <c r="AD485" s="94">
        <f t="shared" si="181"/>
        <v>358769.6475647898</v>
      </c>
    </row>
    <row r="486" spans="10:30" x14ac:dyDescent="0.25">
      <c r="J486" s="56"/>
      <c r="K486" s="56"/>
      <c r="L486" s="130"/>
      <c r="M486" s="130"/>
      <c r="N486" s="130"/>
      <c r="O486" s="59"/>
      <c r="P486" s="59"/>
      <c r="Q486" s="59"/>
      <c r="R486" s="59"/>
      <c r="S486" s="59"/>
      <c r="T486" s="59"/>
      <c r="U486" s="59"/>
      <c r="V486" s="59"/>
      <c r="W486" s="50"/>
      <c r="X486" s="84">
        <v>533</v>
      </c>
      <c r="Y486" s="104">
        <f t="shared" si="186"/>
        <v>1.8631604313850553E-3</v>
      </c>
      <c r="Z486" s="96">
        <f t="shared" si="182"/>
        <v>0.85714815032872127</v>
      </c>
      <c r="AA486" s="94">
        <f t="shared" si="183"/>
        <v>357116.39170384925</v>
      </c>
      <c r="AB486" s="163">
        <f t="shared" si="185"/>
        <v>1.8631604313850553E-3</v>
      </c>
      <c r="AC486" s="96">
        <f t="shared" si="184"/>
        <v>0.85714815032872127</v>
      </c>
      <c r="AD486" s="94">
        <f t="shared" si="181"/>
        <v>357116.39170384925</v>
      </c>
    </row>
    <row r="487" spans="10:30" x14ac:dyDescent="0.25">
      <c r="J487" s="56"/>
      <c r="K487" s="56"/>
      <c r="L487" s="130"/>
      <c r="M487" s="130"/>
      <c r="N487" s="130"/>
      <c r="O487" s="59"/>
      <c r="P487" s="59"/>
      <c r="Q487" s="59"/>
      <c r="R487" s="59"/>
      <c r="S487" s="59"/>
      <c r="T487" s="59"/>
      <c r="U487" s="59"/>
      <c r="V487" s="59"/>
      <c r="W487" s="50"/>
      <c r="X487" s="84">
        <v>532</v>
      </c>
      <c r="Y487" s="104">
        <f t="shared" si="186"/>
        <v>1.8671500682830961E-3</v>
      </c>
      <c r="Z487" s="96">
        <f t="shared" si="182"/>
        <v>0.8574780785073608</v>
      </c>
      <c r="AA487" s="94">
        <f t="shared" si="183"/>
        <v>355468.71685419569</v>
      </c>
      <c r="AB487" s="163">
        <f t="shared" si="185"/>
        <v>1.8671500682830961E-3</v>
      </c>
      <c r="AC487" s="96">
        <f t="shared" si="184"/>
        <v>0.8574780785073608</v>
      </c>
      <c r="AD487" s="94">
        <f t="shared" si="181"/>
        <v>355468.71685419569</v>
      </c>
    </row>
    <row r="488" spans="10:30" x14ac:dyDescent="0.25">
      <c r="J488" s="56"/>
      <c r="K488" s="56"/>
      <c r="L488" s="130"/>
      <c r="M488" s="130"/>
      <c r="N488" s="130"/>
      <c r="O488" s="59"/>
      <c r="P488" s="59"/>
      <c r="Q488" s="59"/>
      <c r="R488" s="59"/>
      <c r="S488" s="59"/>
      <c r="T488" s="59"/>
      <c r="U488" s="59"/>
      <c r="V488" s="59"/>
      <c r="W488" s="50"/>
      <c r="X488" s="84">
        <v>531</v>
      </c>
      <c r="Y488" s="104">
        <f t="shared" si="186"/>
        <v>1.871139705181137E-3</v>
      </c>
      <c r="Z488" s="96">
        <f t="shared" si="182"/>
        <v>0.85780765438773954</v>
      </c>
      <c r="AA488" s="94">
        <f t="shared" si="183"/>
        <v>353826.60513753915</v>
      </c>
      <c r="AB488" s="163">
        <f t="shared" si="185"/>
        <v>1.871139705181137E-3</v>
      </c>
      <c r="AC488" s="96">
        <f t="shared" si="184"/>
        <v>0.85780765438773954</v>
      </c>
      <c r="AD488" s="94">
        <f t="shared" si="181"/>
        <v>353826.60513753915</v>
      </c>
    </row>
    <row r="489" spans="10:30" x14ac:dyDescent="0.25">
      <c r="J489" s="56"/>
      <c r="K489" s="56"/>
      <c r="L489" s="130"/>
      <c r="M489" s="130"/>
      <c r="N489" s="130"/>
      <c r="O489" s="59"/>
      <c r="P489" s="59"/>
      <c r="Q489" s="59"/>
      <c r="R489" s="59"/>
      <c r="S489" s="59"/>
      <c r="T489" s="59"/>
      <c r="U489" s="59"/>
      <c r="V489" s="59"/>
      <c r="W489" s="50"/>
      <c r="X489" s="84">
        <v>530</v>
      </c>
      <c r="Y489" s="104">
        <f t="shared" si="186"/>
        <v>1.8751293420791778E-3</v>
      </c>
      <c r="Z489" s="96">
        <f t="shared" si="182"/>
        <v>0.85813687909601133</v>
      </c>
      <c r="AA489" s="94">
        <f t="shared" si="183"/>
        <v>352190.0387708458</v>
      </c>
      <c r="AB489" s="163">
        <f t="shared" si="185"/>
        <v>1.8751293420791778E-3</v>
      </c>
      <c r="AC489" s="96">
        <f t="shared" si="184"/>
        <v>0.85813687909601133</v>
      </c>
      <c r="AD489" s="94">
        <f t="shared" si="181"/>
        <v>352190.0387708458</v>
      </c>
    </row>
    <row r="490" spans="10:30" x14ac:dyDescent="0.25">
      <c r="J490" s="56"/>
      <c r="K490" s="56"/>
      <c r="L490" s="130"/>
      <c r="M490" s="130"/>
      <c r="N490" s="130"/>
      <c r="O490" s="59"/>
      <c r="P490" s="59"/>
      <c r="Q490" s="59"/>
      <c r="R490" s="59"/>
      <c r="S490" s="59"/>
      <c r="T490" s="59"/>
      <c r="U490" s="59"/>
      <c r="V490" s="59"/>
      <c r="W490" s="50"/>
      <c r="X490" s="84">
        <v>529</v>
      </c>
      <c r="Y490" s="104">
        <f t="shared" si="186"/>
        <v>1.8791189789772187E-3</v>
      </c>
      <c r="Z490" s="96">
        <f t="shared" si="182"/>
        <v>0.85846575375234735</v>
      </c>
      <c r="AA490" s="94">
        <f t="shared" si="183"/>
        <v>350559.00006559538</v>
      </c>
      <c r="AB490" s="163">
        <f t="shared" si="185"/>
        <v>1.8791189789772187E-3</v>
      </c>
      <c r="AC490" s="96">
        <f t="shared" si="184"/>
        <v>0.85846575375234735</v>
      </c>
      <c r="AD490" s="94">
        <f t="shared" si="181"/>
        <v>350559.00006559538</v>
      </c>
    </row>
    <row r="491" spans="10:30" x14ac:dyDescent="0.25">
      <c r="J491" s="56"/>
      <c r="K491" s="56"/>
      <c r="L491" s="130"/>
      <c r="M491" s="130"/>
      <c r="N491" s="130"/>
      <c r="O491" s="59"/>
      <c r="P491" s="59"/>
      <c r="Q491" s="59"/>
      <c r="R491" s="59"/>
      <c r="S491" s="59"/>
      <c r="T491" s="59"/>
      <c r="U491" s="59"/>
      <c r="V491" s="59"/>
      <c r="W491" s="50"/>
      <c r="X491" s="84">
        <v>528</v>
      </c>
      <c r="Y491" s="104">
        <f t="shared" si="186"/>
        <v>1.8831086158752595E-3</v>
      </c>
      <c r="Z491" s="96">
        <f t="shared" si="182"/>
        <v>0.85879427947096687</v>
      </c>
      <c r="AA491" s="94">
        <f t="shared" si="183"/>
        <v>348933.47142716002</v>
      </c>
      <c r="AB491" s="163">
        <f t="shared" si="185"/>
        <v>1.8831086158752595E-3</v>
      </c>
      <c r="AC491" s="96">
        <f t="shared" si="184"/>
        <v>0.85879427947096687</v>
      </c>
      <c r="AD491" s="94">
        <f t="shared" si="181"/>
        <v>348933.47142716002</v>
      </c>
    </row>
    <row r="492" spans="10:30" x14ac:dyDescent="0.25">
      <c r="J492" s="56"/>
      <c r="K492" s="56"/>
      <c r="L492" s="130"/>
      <c r="M492" s="130"/>
      <c r="N492" s="130"/>
      <c r="O492" s="59"/>
      <c r="P492" s="59"/>
      <c r="Q492" s="59"/>
      <c r="R492" s="59"/>
      <c r="S492" s="59"/>
      <c r="T492" s="59"/>
      <c r="U492" s="59"/>
      <c r="V492" s="59"/>
      <c r="W492" s="50"/>
      <c r="X492" s="84">
        <v>527</v>
      </c>
      <c r="Y492" s="104">
        <f t="shared" si="186"/>
        <v>1.8870982527733004E-3</v>
      </c>
      <c r="Z492" s="96">
        <f t="shared" si="182"/>
        <v>0.85912245736020421</v>
      </c>
      <c r="AA492" s="94">
        <f t="shared" si="183"/>
        <v>347313.43535398011</v>
      </c>
      <c r="AB492" s="163">
        <f t="shared" si="185"/>
        <v>1.8870982527733004E-3</v>
      </c>
      <c r="AC492" s="96">
        <f t="shared" si="184"/>
        <v>0.85912245736020421</v>
      </c>
      <c r="AD492" s="94">
        <f t="shared" si="181"/>
        <v>347313.43535398011</v>
      </c>
    </row>
    <row r="493" spans="10:30" x14ac:dyDescent="0.25">
      <c r="J493" s="56"/>
      <c r="K493" s="56"/>
      <c r="L493" s="130"/>
      <c r="M493" s="130"/>
      <c r="N493" s="130"/>
      <c r="O493" s="59"/>
      <c r="P493" s="59"/>
      <c r="Q493" s="59"/>
      <c r="R493" s="59"/>
      <c r="S493" s="59"/>
      <c r="T493" s="59"/>
      <c r="U493" s="59"/>
      <c r="V493" s="59"/>
      <c r="W493" s="50"/>
      <c r="X493" s="84">
        <v>526</v>
      </c>
      <c r="Y493" s="104">
        <f t="shared" si="186"/>
        <v>1.8910878896713412E-3</v>
      </c>
      <c r="Z493" s="96">
        <f t="shared" si="182"/>
        <v>0.85945028852252492</v>
      </c>
      <c r="AA493" s="94">
        <f t="shared" si="183"/>
        <v>345698.87443702604</v>
      </c>
      <c r="AB493" s="163">
        <f t="shared" si="185"/>
        <v>1.8910878896713412E-3</v>
      </c>
      <c r="AC493" s="96">
        <f t="shared" si="184"/>
        <v>0.85945028852252492</v>
      </c>
      <c r="AD493" s="94">
        <f t="shared" si="181"/>
        <v>345698.87443702604</v>
      </c>
    </row>
    <row r="494" spans="10:30" x14ac:dyDescent="0.25">
      <c r="J494" s="56"/>
      <c r="K494" s="56"/>
      <c r="L494" s="130"/>
      <c r="M494" s="130"/>
      <c r="N494" s="130"/>
      <c r="O494" s="59"/>
      <c r="P494" s="59"/>
      <c r="Q494" s="59"/>
      <c r="R494" s="59"/>
      <c r="S494" s="59"/>
      <c r="T494" s="59"/>
      <c r="U494" s="59"/>
      <c r="V494" s="59"/>
      <c r="W494" s="50"/>
      <c r="X494" s="84">
        <v>525</v>
      </c>
      <c r="Y494" s="104">
        <f t="shared" si="186"/>
        <v>1.8950775265693821E-3</v>
      </c>
      <c r="Z494" s="96">
        <f t="shared" si="182"/>
        <v>0.85977777405459443</v>
      </c>
      <c r="AA494" s="94">
        <f t="shared" si="183"/>
        <v>344089.77135897666</v>
      </c>
      <c r="AB494" s="163">
        <f t="shared" si="185"/>
        <v>1.8950775265693821E-3</v>
      </c>
      <c r="AC494" s="96">
        <f t="shared" si="184"/>
        <v>0.85977777405459443</v>
      </c>
      <c r="AD494" s="94">
        <f t="shared" si="181"/>
        <v>344089.77135897666</v>
      </c>
    </row>
    <row r="495" spans="10:30" x14ac:dyDescent="0.25">
      <c r="J495" s="56"/>
      <c r="K495" s="56"/>
      <c r="L495" s="130"/>
      <c r="M495" s="130"/>
      <c r="N495" s="130"/>
      <c r="O495" s="59"/>
      <c r="P495" s="59"/>
      <c r="Q495" s="59"/>
      <c r="R495" s="59"/>
      <c r="S495" s="59"/>
      <c r="T495" s="59"/>
      <c r="U495" s="59"/>
      <c r="V495" s="59"/>
      <c r="W495" s="50"/>
      <c r="X495" s="84">
        <v>524</v>
      </c>
      <c r="Y495" s="104">
        <f t="shared" si="186"/>
        <v>1.8990671634674229E-3</v>
      </c>
      <c r="Z495" s="96">
        <f t="shared" si="182"/>
        <v>0.86010491504729925</v>
      </c>
      <c r="AA495" s="94">
        <f t="shared" si="183"/>
        <v>342486.10889365961</v>
      </c>
      <c r="AB495" s="163">
        <f t="shared" si="185"/>
        <v>1.8990671634674229E-3</v>
      </c>
      <c r="AC495" s="96">
        <f t="shared" si="184"/>
        <v>0.86010491504729925</v>
      </c>
      <c r="AD495" s="94">
        <f t="shared" si="181"/>
        <v>342486.10889365961</v>
      </c>
    </row>
    <row r="496" spans="10:30" x14ac:dyDescent="0.25">
      <c r="J496" s="56"/>
      <c r="K496" s="56"/>
      <c r="L496" s="130"/>
      <c r="M496" s="130"/>
      <c r="N496" s="130"/>
      <c r="O496" s="59"/>
      <c r="P496" s="59"/>
      <c r="Q496" s="59"/>
      <c r="R496" s="59"/>
      <c r="S496" s="59"/>
      <c r="T496" s="59"/>
      <c r="U496" s="59"/>
      <c r="V496" s="59"/>
      <c r="W496" s="50"/>
      <c r="X496" s="84">
        <v>523</v>
      </c>
      <c r="Y496" s="104">
        <f t="shared" si="186"/>
        <v>1.9030568003654638E-3</v>
      </c>
      <c r="Z496" s="96">
        <f t="shared" si="182"/>
        <v>0.86043171258580475</v>
      </c>
      <c r="AA496" s="94">
        <f t="shared" si="183"/>
        <v>340887.86990529927</v>
      </c>
      <c r="AB496" s="163">
        <f t="shared" si="185"/>
        <v>1.9030568003654638E-3</v>
      </c>
      <c r="AC496" s="96">
        <f t="shared" si="184"/>
        <v>0.86043171258580475</v>
      </c>
      <c r="AD496" s="94">
        <f t="shared" si="181"/>
        <v>340887.86990529927</v>
      </c>
    </row>
    <row r="497" spans="10:30" x14ac:dyDescent="0.25">
      <c r="J497" s="56"/>
      <c r="K497" s="56"/>
      <c r="L497" s="130"/>
      <c r="M497" s="130"/>
      <c r="N497" s="130"/>
      <c r="O497" s="59"/>
      <c r="P497" s="59"/>
      <c r="Q497" s="59"/>
      <c r="R497" s="59"/>
      <c r="S497" s="59"/>
      <c r="T497" s="59"/>
      <c r="U497" s="59"/>
      <c r="V497" s="59"/>
      <c r="W497" s="50"/>
      <c r="X497" s="84">
        <v>522</v>
      </c>
      <c r="Y497" s="104">
        <f t="shared" si="186"/>
        <v>1.9070464372635046E-3</v>
      </c>
      <c r="Z497" s="96">
        <f t="shared" si="182"/>
        <v>0.86075816774959701</v>
      </c>
      <c r="AA497" s="94">
        <f t="shared" si="183"/>
        <v>339295.03734786407</v>
      </c>
      <c r="AB497" s="163">
        <f t="shared" si="185"/>
        <v>1.9070464372635046E-3</v>
      </c>
      <c r="AC497" s="96">
        <f t="shared" si="184"/>
        <v>0.86075816774959701</v>
      </c>
      <c r="AD497" s="94">
        <f t="shared" si="181"/>
        <v>339295.03734786407</v>
      </c>
    </row>
    <row r="498" spans="10:30" x14ac:dyDescent="0.25">
      <c r="J498" s="56"/>
      <c r="K498" s="56"/>
      <c r="L498" s="130"/>
      <c r="M498" s="130"/>
      <c r="N498" s="130"/>
      <c r="O498" s="59"/>
      <c r="P498" s="59"/>
      <c r="Q498" s="59"/>
      <c r="R498" s="59"/>
      <c r="S498" s="59"/>
      <c r="T498" s="59"/>
      <c r="U498" s="59"/>
      <c r="V498" s="59"/>
      <c r="W498" s="50"/>
      <c r="X498" s="84">
        <v>521</v>
      </c>
      <c r="Y498" s="104">
        <f t="shared" si="186"/>
        <v>1.9110360741615455E-3</v>
      </c>
      <c r="Z498" s="96">
        <f t="shared" si="182"/>
        <v>0.86108428161250561</v>
      </c>
      <c r="AA498" s="94">
        <f t="shared" si="183"/>
        <v>337707.59426448948</v>
      </c>
      <c r="AB498" s="163">
        <f t="shared" si="185"/>
        <v>1.9110360741615455E-3</v>
      </c>
      <c r="AC498" s="96">
        <f t="shared" si="184"/>
        <v>0.86108428161250561</v>
      </c>
      <c r="AD498" s="94">
        <f t="shared" si="181"/>
        <v>337707.59426448948</v>
      </c>
    </row>
    <row r="499" spans="10:30" x14ac:dyDescent="0.25">
      <c r="J499" s="56"/>
      <c r="K499" s="56"/>
      <c r="L499" s="130"/>
      <c r="M499" s="130"/>
      <c r="N499" s="130"/>
      <c r="O499" s="59"/>
      <c r="P499" s="59"/>
      <c r="Q499" s="59"/>
      <c r="R499" s="59"/>
      <c r="S499" s="59"/>
      <c r="T499" s="59"/>
      <c r="U499" s="59"/>
      <c r="V499" s="59"/>
      <c r="W499" s="50"/>
      <c r="X499" s="84">
        <v>520</v>
      </c>
      <c r="Y499" s="104">
        <f t="shared" si="186"/>
        <v>1.9150257110595863E-3</v>
      </c>
      <c r="Z499" s="96">
        <f t="shared" si="182"/>
        <v>0.86141005524277181</v>
      </c>
      <c r="AA499" s="94">
        <f t="shared" si="183"/>
        <v>336125.52378670289</v>
      </c>
      <c r="AB499" s="163">
        <f t="shared" si="185"/>
        <v>1.9150257110595863E-3</v>
      </c>
      <c r="AC499" s="96">
        <f t="shared" si="184"/>
        <v>0.86141005524277181</v>
      </c>
      <c r="AD499" s="94">
        <f t="shared" si="181"/>
        <v>336125.52378670289</v>
      </c>
    </row>
    <row r="500" spans="10:30" x14ac:dyDescent="0.25">
      <c r="J500" s="56"/>
      <c r="K500" s="56"/>
      <c r="L500" s="130"/>
      <c r="M500" s="130"/>
      <c r="N500" s="130"/>
      <c r="O500" s="59"/>
      <c r="P500" s="59"/>
      <c r="Q500" s="59"/>
      <c r="R500" s="59"/>
      <c r="S500" s="59"/>
      <c r="T500" s="59"/>
      <c r="U500" s="59"/>
      <c r="V500" s="59"/>
      <c r="W500" s="50"/>
      <c r="X500" s="84">
        <v>519</v>
      </c>
      <c r="Y500" s="104">
        <f t="shared" si="186"/>
        <v>1.9190153479576272E-3</v>
      </c>
      <c r="Z500" s="96">
        <f t="shared" si="182"/>
        <v>0.86173548970306824</v>
      </c>
      <c r="AA500" s="94">
        <f t="shared" si="183"/>
        <v>334548.80913388112</v>
      </c>
      <c r="AB500" s="163">
        <f t="shared" si="185"/>
        <v>1.9190153479576272E-3</v>
      </c>
      <c r="AC500" s="96">
        <f t="shared" si="184"/>
        <v>0.86173548970306824</v>
      </c>
      <c r="AD500" s="94">
        <f t="shared" si="181"/>
        <v>334548.80913388112</v>
      </c>
    </row>
    <row r="501" spans="10:30" x14ac:dyDescent="0.25">
      <c r="J501" s="56"/>
      <c r="K501" s="56"/>
      <c r="L501" s="130"/>
      <c r="M501" s="130"/>
      <c r="N501" s="130"/>
      <c r="O501" s="59"/>
      <c r="P501" s="59"/>
      <c r="Q501" s="59"/>
      <c r="R501" s="59"/>
      <c r="S501" s="59"/>
      <c r="T501" s="59"/>
      <c r="U501" s="59"/>
      <c r="V501" s="59"/>
      <c r="W501" s="50"/>
      <c r="X501" s="84">
        <v>518</v>
      </c>
      <c r="Y501" s="104">
        <f t="shared" si="186"/>
        <v>1.923004984855668E-3</v>
      </c>
      <c r="Z501" s="96">
        <f t="shared" si="182"/>
        <v>0.8620605860505518</v>
      </c>
      <c r="AA501" s="94">
        <f t="shared" si="183"/>
        <v>332977.4336125516</v>
      </c>
      <c r="AB501" s="163">
        <f t="shared" si="185"/>
        <v>1.923004984855668E-3</v>
      </c>
      <c r="AC501" s="96">
        <f t="shared" si="184"/>
        <v>0.8620605860505518</v>
      </c>
      <c r="AD501" s="94">
        <f t="shared" si="181"/>
        <v>332977.4336125516</v>
      </c>
    </row>
    <row r="502" spans="10:30" x14ac:dyDescent="0.25">
      <c r="J502" s="56"/>
      <c r="K502" s="56"/>
      <c r="L502" s="130"/>
      <c r="M502" s="130"/>
      <c r="N502" s="130"/>
      <c r="O502" s="59"/>
      <c r="P502" s="59"/>
      <c r="Q502" s="59"/>
      <c r="R502" s="59"/>
      <c r="S502" s="59"/>
      <c r="T502" s="59"/>
      <c r="U502" s="59"/>
      <c r="V502" s="59"/>
      <c r="W502" s="50"/>
      <c r="X502" s="84">
        <v>517</v>
      </c>
      <c r="Y502" s="104">
        <f t="shared" si="186"/>
        <v>1.9269946217537089E-3</v>
      </c>
      <c r="Z502" s="96">
        <f t="shared" si="182"/>
        <v>0.8623853453368916</v>
      </c>
      <c r="AA502" s="94">
        <f t="shared" si="183"/>
        <v>331411.38061581482</v>
      </c>
      <c r="AB502" s="163">
        <f t="shared" si="185"/>
        <v>1.9269946217537089E-3</v>
      </c>
      <c r="AC502" s="96">
        <f t="shared" si="184"/>
        <v>0.8623853453368916</v>
      </c>
      <c r="AD502" s="94">
        <f t="shared" si="181"/>
        <v>331411.38061581482</v>
      </c>
    </row>
    <row r="503" spans="10:30" x14ac:dyDescent="0.25">
      <c r="W503" s="50"/>
      <c r="X503" s="84">
        <v>516</v>
      </c>
      <c r="Y503" s="104">
        <f t="shared" si="186"/>
        <v>1.9309842586517497E-3</v>
      </c>
      <c r="Z503" s="96">
        <f t="shared" si="182"/>
        <v>0.86270976860832882</v>
      </c>
      <c r="AA503" s="94">
        <f t="shared" si="183"/>
        <v>329850.63362262567</v>
      </c>
      <c r="AB503" s="163">
        <f t="shared" si="185"/>
        <v>1.9309842586517497E-3</v>
      </c>
      <c r="AC503" s="96">
        <f t="shared" si="184"/>
        <v>0.86270976860832882</v>
      </c>
      <c r="AD503" s="94">
        <f t="shared" si="181"/>
        <v>329850.63362262567</v>
      </c>
    </row>
    <row r="504" spans="10:30" x14ac:dyDescent="0.25">
      <c r="W504" s="50"/>
      <c r="X504" s="84">
        <v>515</v>
      </c>
      <c r="Y504" s="104">
        <f t="shared" si="186"/>
        <v>1.9349738955497906E-3</v>
      </c>
      <c r="Z504" s="96">
        <f t="shared" si="182"/>
        <v>0.86303385690568901</v>
      </c>
      <c r="AA504" s="94">
        <f t="shared" si="183"/>
        <v>328295.17619729805</v>
      </c>
      <c r="AB504" s="163">
        <f t="shared" si="185"/>
        <v>1.9349738955497906E-3</v>
      </c>
      <c r="AC504" s="96">
        <f t="shared" si="184"/>
        <v>0.86303385690568901</v>
      </c>
      <c r="AD504" s="94">
        <f t="shared" si="181"/>
        <v>328295.17619729805</v>
      </c>
    </row>
    <row r="505" spans="10:30" x14ac:dyDescent="0.25">
      <c r="X505" s="84">
        <v>514</v>
      </c>
      <c r="Y505" s="104">
        <f t="shared" si="186"/>
        <v>1.9389635324478314E-3</v>
      </c>
      <c r="Z505" s="96">
        <f t="shared" si="182"/>
        <v>0.8633576112644451</v>
      </c>
      <c r="AA505" s="94">
        <f t="shared" si="183"/>
        <v>326744.99198877416</v>
      </c>
      <c r="AB505" s="163">
        <f t="shared" si="185"/>
        <v>1.9389635324478314E-3</v>
      </c>
      <c r="AC505" s="96">
        <f t="shared" si="184"/>
        <v>0.8633576112644451</v>
      </c>
      <c r="AD505" s="94">
        <f t="shared" si="181"/>
        <v>326744.99198877416</v>
      </c>
    </row>
    <row r="506" spans="10:30" x14ac:dyDescent="0.25">
      <c r="X506" s="84">
        <v>513</v>
      </c>
      <c r="Y506" s="104">
        <f t="shared" si="186"/>
        <v>1.9429531693458723E-3</v>
      </c>
      <c r="Z506" s="96">
        <f t="shared" si="182"/>
        <v>0.8636810327147415</v>
      </c>
      <c r="AA506" s="94">
        <f t="shared" si="183"/>
        <v>325200.06473008852</v>
      </c>
      <c r="AB506" s="163">
        <f t="shared" si="185"/>
        <v>1.9429531693458723E-3</v>
      </c>
      <c r="AC506" s="96">
        <f t="shared" si="184"/>
        <v>0.8636810327147415</v>
      </c>
      <c r="AD506" s="94">
        <f t="shared" si="181"/>
        <v>325200.06473008852</v>
      </c>
    </row>
    <row r="507" spans="10:30" x14ac:dyDescent="0.25">
      <c r="X507" s="84">
        <v>512</v>
      </c>
      <c r="Y507" s="104">
        <f t="shared" si="186"/>
        <v>1.9469428062439131E-3</v>
      </c>
      <c r="Z507" s="96">
        <f t="shared" si="182"/>
        <v>0.86400412228144274</v>
      </c>
      <c r="AA507" s="94">
        <f t="shared" si="183"/>
        <v>323660.37823771295</v>
      </c>
      <c r="AB507" s="163">
        <f t="shared" si="185"/>
        <v>1.9469428062439131E-3</v>
      </c>
      <c r="AC507" s="96">
        <f t="shared" si="184"/>
        <v>0.86400412228144274</v>
      </c>
      <c r="AD507" s="94">
        <f t="shared" si="181"/>
        <v>323660.37823771295</v>
      </c>
    </row>
    <row r="508" spans="10:30" x14ac:dyDescent="0.25">
      <c r="X508" s="84">
        <v>511</v>
      </c>
      <c r="Y508" s="104">
        <f t="shared" si="186"/>
        <v>1.950932443141954E-3</v>
      </c>
      <c r="Z508" s="96">
        <f t="shared" si="182"/>
        <v>0.86432688098415789</v>
      </c>
      <c r="AA508" s="94">
        <f t="shared" si="183"/>
        <v>322125.9164110205</v>
      </c>
      <c r="AB508" s="163">
        <f t="shared" si="185"/>
        <v>1.950932443141954E-3</v>
      </c>
      <c r="AC508" s="96">
        <f t="shared" si="184"/>
        <v>0.86432688098415789</v>
      </c>
      <c r="AD508" s="94">
        <f t="shared" si="181"/>
        <v>322125.9164110205</v>
      </c>
    </row>
    <row r="509" spans="10:30" x14ac:dyDescent="0.25">
      <c r="X509" s="84">
        <v>510</v>
      </c>
      <c r="Y509" s="104">
        <f t="shared" si="186"/>
        <v>1.9549220800399946E-3</v>
      </c>
      <c r="Z509" s="96">
        <f t="shared" si="182"/>
        <v>0.86464930983729249</v>
      </c>
      <c r="AA509" s="94">
        <f t="shared" si="183"/>
        <v>320596.66323162103</v>
      </c>
      <c r="AB509" s="163">
        <f t="shared" si="185"/>
        <v>1.9549220800399946E-3</v>
      </c>
      <c r="AC509" s="96">
        <f t="shared" si="184"/>
        <v>0.86464930983729249</v>
      </c>
      <c r="AD509" s="94">
        <f t="shared" si="181"/>
        <v>320596.66323162103</v>
      </c>
    </row>
    <row r="510" spans="10:30" x14ac:dyDescent="0.25">
      <c r="X510" s="84">
        <v>509</v>
      </c>
      <c r="Y510" s="104">
        <f t="shared" si="186"/>
        <v>1.9589117169380352E-3</v>
      </c>
      <c r="Z510" s="96">
        <f t="shared" si="182"/>
        <v>0.86497140985007392</v>
      </c>
      <c r="AA510" s="94">
        <f t="shared" si="183"/>
        <v>319072.6027628422</v>
      </c>
      <c r="AB510" s="163">
        <f t="shared" si="185"/>
        <v>1.9589117169380352E-3</v>
      </c>
      <c r="AC510" s="96">
        <f t="shared" si="184"/>
        <v>0.86497140985007392</v>
      </c>
      <c r="AD510" s="94">
        <f t="shared" si="181"/>
        <v>319072.6027628422</v>
      </c>
    </row>
    <row r="511" spans="10:30" x14ac:dyDescent="0.25">
      <c r="X511" s="84">
        <v>508</v>
      </c>
      <c r="Y511" s="104">
        <f t="shared" si="186"/>
        <v>1.9629013538360759E-3</v>
      </c>
      <c r="Z511" s="96">
        <f t="shared" si="182"/>
        <v>0.86529318202659888</v>
      </c>
      <c r="AA511" s="94">
        <f t="shared" si="183"/>
        <v>317553.71914908272</v>
      </c>
      <c r="AB511" s="163">
        <f t="shared" si="185"/>
        <v>1.9629013538360759E-3</v>
      </c>
      <c r="AC511" s="96">
        <f t="shared" si="184"/>
        <v>0.86529318202659888</v>
      </c>
      <c r="AD511" s="94">
        <f t="shared" si="181"/>
        <v>317553.71914908272</v>
      </c>
    </row>
    <row r="512" spans="10:30" x14ac:dyDescent="0.25">
      <c r="X512" s="84">
        <v>507</v>
      </c>
      <c r="Y512" s="104">
        <f t="shared" si="186"/>
        <v>1.9668909907341165E-3</v>
      </c>
      <c r="Z512" s="96">
        <f t="shared" si="182"/>
        <v>0.86561462736585848</v>
      </c>
      <c r="AA512" s="94">
        <f t="shared" si="183"/>
        <v>316039.99661529943</v>
      </c>
      <c r="AB512" s="163">
        <f t="shared" si="185"/>
        <v>1.9668909907341165E-3</v>
      </c>
      <c r="AC512" s="96">
        <f t="shared" si="184"/>
        <v>0.86561462736585848</v>
      </c>
      <c r="AD512" s="94">
        <f t="shared" si="181"/>
        <v>316039.99661529943</v>
      </c>
    </row>
    <row r="513" spans="24:30" x14ac:dyDescent="0.25">
      <c r="X513" s="84">
        <v>506</v>
      </c>
      <c r="Y513" s="104">
        <f t="shared" si="186"/>
        <v>1.9708806276321571E-3</v>
      </c>
      <c r="Z513" s="96">
        <f t="shared" si="182"/>
        <v>0.86593574686178798</v>
      </c>
      <c r="AA513" s="94">
        <f t="shared" si="183"/>
        <v>314531.419466366</v>
      </c>
      <c r="AB513" s="163">
        <f t="shared" si="185"/>
        <v>1.9708806276321571E-3</v>
      </c>
      <c r="AC513" s="96">
        <f t="shared" si="184"/>
        <v>0.86593574686178798</v>
      </c>
      <c r="AD513" s="94">
        <f t="shared" si="181"/>
        <v>314531.419466366</v>
      </c>
    </row>
    <row r="514" spans="24:30" x14ac:dyDescent="0.25">
      <c r="X514" s="84">
        <v>505</v>
      </c>
      <c r="Y514" s="104">
        <f t="shared" si="186"/>
        <v>1.9748702645301978E-3</v>
      </c>
      <c r="Z514" s="96">
        <f t="shared" si="182"/>
        <v>0.86625654150328757</v>
      </c>
      <c r="AA514" s="94">
        <f t="shared" si="183"/>
        <v>313027.97208658146</v>
      </c>
      <c r="AB514" s="163">
        <f t="shared" si="185"/>
        <v>1.9748702645301978E-3</v>
      </c>
      <c r="AC514" s="96">
        <f t="shared" si="184"/>
        <v>0.86625654150328757</v>
      </c>
      <c r="AD514" s="94">
        <f t="shared" si="181"/>
        <v>313027.97208658146</v>
      </c>
    </row>
    <row r="515" spans="24:30" x14ac:dyDescent="0.25">
      <c r="X515" s="84">
        <v>504</v>
      </c>
      <c r="Y515" s="104">
        <f t="shared" si="186"/>
        <v>1.9788599014282384E-3</v>
      </c>
      <c r="Z515" s="96">
        <f t="shared" si="182"/>
        <v>0.86657701227427286</v>
      </c>
      <c r="AA515" s="94">
        <f t="shared" si="183"/>
        <v>311529.63893904269</v>
      </c>
      <c r="AB515" s="163">
        <f t="shared" si="185"/>
        <v>1.9788599014282384E-3</v>
      </c>
      <c r="AC515" s="96">
        <f t="shared" si="184"/>
        <v>0.86657701227427286</v>
      </c>
      <c r="AD515" s="94">
        <f t="shared" si="181"/>
        <v>311529.63893904269</v>
      </c>
    </row>
    <row r="516" spans="24:30" x14ac:dyDescent="0.25">
      <c r="X516" s="84">
        <v>503</v>
      </c>
      <c r="Y516" s="104">
        <f t="shared" si="186"/>
        <v>1.982849538326279E-3</v>
      </c>
      <c r="Z516" s="96">
        <f t="shared" si="182"/>
        <v>0.86689716015369245</v>
      </c>
      <c r="AA516" s="94">
        <f t="shared" si="183"/>
        <v>310036.40456515667</v>
      </c>
      <c r="AB516" s="163">
        <f t="shared" si="185"/>
        <v>1.982849538326279E-3</v>
      </c>
      <c r="AC516" s="96">
        <f t="shared" si="184"/>
        <v>0.86689716015369245</v>
      </c>
      <c r="AD516" s="94">
        <f t="shared" si="181"/>
        <v>310036.40456515667</v>
      </c>
    </row>
    <row r="517" spans="24:30" x14ac:dyDescent="0.25">
      <c r="X517" s="84">
        <v>502</v>
      </c>
      <c r="Y517" s="104">
        <f t="shared" si="186"/>
        <v>1.9868391752243197E-3</v>
      </c>
      <c r="Z517" s="96">
        <f t="shared" si="182"/>
        <v>0.86721698611558518</v>
      </c>
      <c r="AA517" s="94">
        <f t="shared" si="183"/>
        <v>308548.25358400319</v>
      </c>
      <c r="AB517" s="163">
        <f t="shared" si="185"/>
        <v>1.9868391752243197E-3</v>
      </c>
      <c r="AC517" s="96">
        <f t="shared" si="184"/>
        <v>0.86721698611558518</v>
      </c>
      <c r="AD517" s="94">
        <f t="shared" si="181"/>
        <v>308548.25358400319</v>
      </c>
    </row>
    <row r="518" spans="24:30" x14ac:dyDescent="0.25">
      <c r="X518" s="84">
        <v>501</v>
      </c>
      <c r="Y518" s="104">
        <f t="shared" si="186"/>
        <v>1.9908288121223603E-3</v>
      </c>
      <c r="Z518" s="96">
        <f t="shared" si="182"/>
        <v>0.86753649112909403</v>
      </c>
      <c r="AA518" s="94">
        <f t="shared" si="183"/>
        <v>307065.17069187068</v>
      </c>
      <c r="AB518" s="163">
        <f t="shared" si="185"/>
        <v>1.9908288121223603E-3</v>
      </c>
      <c r="AC518" s="96">
        <f t="shared" si="184"/>
        <v>0.86753649112909403</v>
      </c>
      <c r="AD518" s="94">
        <f t="shared" si="181"/>
        <v>307065.17069187068</v>
      </c>
    </row>
    <row r="519" spans="24:30" x14ac:dyDescent="0.25">
      <c r="X519" s="84">
        <v>500</v>
      </c>
      <c r="Y519" s="104">
        <f t="shared" si="186"/>
        <v>1.9948184490204009E-3</v>
      </c>
      <c r="Z519" s="96">
        <f t="shared" si="182"/>
        <v>0.86785567615851411</v>
      </c>
      <c r="AA519" s="94">
        <f t="shared" si="183"/>
        <v>305587.14066166151</v>
      </c>
      <c r="AB519" s="163">
        <f t="shared" si="185"/>
        <v>1.9948184490204009E-3</v>
      </c>
      <c r="AC519" s="96">
        <f t="shared" si="184"/>
        <v>0.86785567615851411</v>
      </c>
      <c r="AD519" s="94">
        <f t="shared" si="181"/>
        <v>305587.14066166151</v>
      </c>
    </row>
    <row r="520" spans="24:30" x14ac:dyDescent="0.25">
      <c r="X520" s="84">
        <v>499</v>
      </c>
      <c r="Y520" s="104">
        <f t="shared" si="186"/>
        <v>1.9988080859184416E-3</v>
      </c>
      <c r="Z520" s="96">
        <f t="shared" si="182"/>
        <v>0.86817454216331769</v>
      </c>
      <c r="AA520" s="94">
        <f t="shared" si="183"/>
        <v>304114.14834239072</v>
      </c>
      <c r="AB520" s="163">
        <f t="shared" si="185"/>
        <v>1.9988080859184416E-3</v>
      </c>
      <c r="AC520" s="96">
        <f t="shared" si="184"/>
        <v>0.86817454216331769</v>
      </c>
      <c r="AD520" s="94">
        <f t="shared" si="181"/>
        <v>304114.14834239072</v>
      </c>
    </row>
    <row r="521" spans="24:30" x14ac:dyDescent="0.25">
      <c r="X521" s="84">
        <v>498</v>
      </c>
      <c r="Y521" s="104">
        <f t="shared" si="186"/>
        <v>2.0027977228164822E-3</v>
      </c>
      <c r="Z521" s="96">
        <f t="shared" si="182"/>
        <v>0.86849309009819142</v>
      </c>
      <c r="AA521" s="94">
        <f t="shared" si="183"/>
        <v>302646.17865864217</v>
      </c>
      <c r="AB521" s="163">
        <f t="shared" si="185"/>
        <v>2.0027977228164822E-3</v>
      </c>
      <c r="AC521" s="96">
        <f t="shared" si="184"/>
        <v>0.86849309009819142</v>
      </c>
      <c r="AD521" s="94">
        <f t="shared" si="181"/>
        <v>302646.17865864217</v>
      </c>
    </row>
    <row r="522" spans="24:30" x14ac:dyDescent="0.25">
      <c r="X522" s="84">
        <v>497</v>
      </c>
      <c r="Y522" s="104">
        <f t="shared" si="186"/>
        <v>2.0067873597145228E-3</v>
      </c>
      <c r="Z522" s="96">
        <f t="shared" si="182"/>
        <v>0.86881132091307611</v>
      </c>
      <c r="AA522" s="94">
        <f t="shared" si="183"/>
        <v>301183.21661000873</v>
      </c>
      <c r="AB522" s="163">
        <f t="shared" si="185"/>
        <v>2.0067873597145228E-3</v>
      </c>
      <c r="AC522" s="96">
        <f t="shared" si="184"/>
        <v>0.86881132091307611</v>
      </c>
      <c r="AD522" s="94">
        <f t="shared" si="181"/>
        <v>301183.21661000873</v>
      </c>
    </row>
    <row r="523" spans="24:30" x14ac:dyDescent="0.25">
      <c r="X523" s="84">
        <v>496</v>
      </c>
      <c r="Y523" s="104">
        <f t="shared" si="186"/>
        <v>2.0107769966125635E-3</v>
      </c>
      <c r="Z523" s="96">
        <f t="shared" si="182"/>
        <v>0.869129235553183</v>
      </c>
      <c r="AA523" s="94">
        <f t="shared" si="183"/>
        <v>299725.24727064971</v>
      </c>
      <c r="AB523" s="163">
        <f t="shared" si="185"/>
        <v>2.0107769966125635E-3</v>
      </c>
      <c r="AC523" s="96">
        <f t="shared" si="184"/>
        <v>0.869129235553183</v>
      </c>
      <c r="AD523" s="94">
        <f t="shared" si="181"/>
        <v>299725.24727064971</v>
      </c>
    </row>
    <row r="524" spans="24:30" x14ac:dyDescent="0.25">
      <c r="X524" s="84">
        <v>495</v>
      </c>
      <c r="Y524" s="104">
        <f t="shared" si="186"/>
        <v>2.0147666335106041E-3</v>
      </c>
      <c r="Z524" s="96">
        <f t="shared" si="182"/>
        <v>0.86944683495904806</v>
      </c>
      <c r="AA524" s="94">
        <f t="shared" si="183"/>
        <v>298272.25578867638</v>
      </c>
      <c r="AB524" s="163">
        <f t="shared" si="185"/>
        <v>2.0147666335106041E-3</v>
      </c>
      <c r="AC524" s="96">
        <f t="shared" si="184"/>
        <v>0.86944683495904806</v>
      </c>
      <c r="AD524" s="94">
        <f t="shared" si="181"/>
        <v>298272.25578867638</v>
      </c>
    </row>
    <row r="525" spans="24:30" x14ac:dyDescent="0.25">
      <c r="X525" s="84">
        <v>494</v>
      </c>
      <c r="Y525" s="104">
        <f t="shared" si="186"/>
        <v>2.0187562704086447E-3</v>
      </c>
      <c r="Z525" s="96">
        <f t="shared" si="182"/>
        <v>0.86976412006654458</v>
      </c>
      <c r="AA525" s="94">
        <f t="shared" si="183"/>
        <v>296824.22738572501</v>
      </c>
      <c r="AB525" s="163">
        <f t="shared" si="185"/>
        <v>2.0187562704086447E-3</v>
      </c>
      <c r="AC525" s="96">
        <f t="shared" si="184"/>
        <v>0.86976412006654458</v>
      </c>
      <c r="AD525" s="94">
        <f t="shared" si="181"/>
        <v>296824.22738572501</v>
      </c>
    </row>
    <row r="526" spans="24:30" x14ac:dyDescent="0.25">
      <c r="X526" s="84">
        <v>493</v>
      </c>
      <c r="Y526" s="104">
        <f t="shared" si="186"/>
        <v>2.0227459073066853E-3</v>
      </c>
      <c r="Z526" s="96">
        <f t="shared" si="182"/>
        <v>0.87008109180693272</v>
      </c>
      <c r="AA526" s="94">
        <f t="shared" si="183"/>
        <v>295381.14735637559</v>
      </c>
      <c r="AB526" s="163">
        <f t="shared" si="185"/>
        <v>2.0227459073066853E-3</v>
      </c>
      <c r="AC526" s="96">
        <f t="shared" si="184"/>
        <v>0.87008109180693272</v>
      </c>
      <c r="AD526" s="94">
        <f t="shared" si="181"/>
        <v>295381.14735637559</v>
      </c>
    </row>
    <row r="527" spans="24:30" x14ac:dyDescent="0.25">
      <c r="X527" s="84">
        <v>492</v>
      </c>
      <c r="Y527" s="104">
        <f t="shared" si="186"/>
        <v>2.026735544204726E-3</v>
      </c>
      <c r="Z527" s="96">
        <f t="shared" si="182"/>
        <v>0.87039775110687223</v>
      </c>
      <c r="AA527" s="94">
        <f t="shared" si="183"/>
        <v>293943.00106773444</v>
      </c>
      <c r="AB527" s="163">
        <f t="shared" si="185"/>
        <v>2.026735544204726E-3</v>
      </c>
      <c r="AC527" s="96">
        <f t="shared" si="184"/>
        <v>0.87039775110687223</v>
      </c>
      <c r="AD527" s="94">
        <f t="shared" si="181"/>
        <v>293943.00106773444</v>
      </c>
    </row>
    <row r="528" spans="24:30" x14ac:dyDescent="0.25">
      <c r="X528" s="84">
        <v>491</v>
      </c>
      <c r="Y528" s="104">
        <f t="shared" si="186"/>
        <v>2.0307251811027666E-3</v>
      </c>
      <c r="Z528" s="96">
        <f t="shared" si="182"/>
        <v>0.87071409888847839</v>
      </c>
      <c r="AA528" s="94">
        <f t="shared" si="183"/>
        <v>292509.77395881788</v>
      </c>
      <c r="AB528" s="163">
        <f t="shared" si="185"/>
        <v>2.0307251811027666E-3</v>
      </c>
      <c r="AC528" s="96">
        <f t="shared" si="184"/>
        <v>0.87071409888847839</v>
      </c>
      <c r="AD528" s="94">
        <f t="shared" si="181"/>
        <v>292509.77395881788</v>
      </c>
    </row>
    <row r="529" spans="24:30" x14ac:dyDescent="0.25">
      <c r="X529" s="84">
        <v>490</v>
      </c>
      <c r="Y529" s="104">
        <f t="shared" si="186"/>
        <v>2.0347148180008072E-3</v>
      </c>
      <c r="Z529" s="96">
        <f t="shared" si="182"/>
        <v>0.87103013606932433</v>
      </c>
      <c r="AA529" s="94">
        <f t="shared" si="183"/>
        <v>291081.45154019725</v>
      </c>
      <c r="AB529" s="163">
        <f t="shared" si="185"/>
        <v>2.0347148180008072E-3</v>
      </c>
      <c r="AC529" s="96">
        <f t="shared" si="184"/>
        <v>0.87103013606932433</v>
      </c>
      <c r="AD529" s="94">
        <f t="shared" si="181"/>
        <v>291081.45154019725</v>
      </c>
    </row>
    <row r="530" spans="24:30" x14ac:dyDescent="0.25">
      <c r="X530" s="84">
        <v>489</v>
      </c>
      <c r="Y530" s="104">
        <f t="shared" si="186"/>
        <v>2.0387044548988479E-3</v>
      </c>
      <c r="Z530" s="96">
        <f t="shared" si="182"/>
        <v>0.87134586356250332</v>
      </c>
      <c r="AA530" s="94">
        <f t="shared" si="183"/>
        <v>289658.0193933649</v>
      </c>
      <c r="AB530" s="163">
        <f t="shared" si="185"/>
        <v>2.0387044548988479E-3</v>
      </c>
      <c r="AC530" s="96">
        <f t="shared" si="184"/>
        <v>0.87134586356250332</v>
      </c>
      <c r="AD530" s="94">
        <f t="shared" si="181"/>
        <v>289658.0193933649</v>
      </c>
    </row>
    <row r="531" spans="24:30" x14ac:dyDescent="0.25">
      <c r="X531" s="84">
        <v>488</v>
      </c>
      <c r="Y531" s="104">
        <f t="shared" si="186"/>
        <v>2.0426940917968885E-3</v>
      </c>
      <c r="Z531" s="96">
        <f t="shared" si="182"/>
        <v>0.87166128227662654</v>
      </c>
      <c r="AA531" s="94">
        <f t="shared" si="183"/>
        <v>288239.46317039471</v>
      </c>
      <c r="AB531" s="163">
        <f t="shared" si="185"/>
        <v>2.0426940917968885E-3</v>
      </c>
      <c r="AC531" s="96">
        <f t="shared" si="184"/>
        <v>0.87166128227662654</v>
      </c>
      <c r="AD531" s="94">
        <f t="shared" ref="AD531:AD594" si="187">IF(AC531&lt;1,X$14*((1-ropt)-Y$14*(1-ropt^2)+Z$14*(1-ropt^3)),0)</f>
        <v>288239.46317039471</v>
      </c>
    </row>
    <row r="532" spans="24:30" x14ac:dyDescent="0.25">
      <c r="X532" s="84">
        <v>487</v>
      </c>
      <c r="Y532" s="104">
        <f t="shared" si="186"/>
        <v>2.0466837286949291E-3</v>
      </c>
      <c r="Z532" s="96">
        <f t="shared" ref="Z532:Z595" si="188">(K-(L0-Y532*Ldif-alph*Y532^0.5))/R0</f>
        <v>0.87197639311588748</v>
      </c>
      <c r="AA532" s="94">
        <f t="shared" ref="AA532:AA595" si="189">IF(Z532&lt;1,X$14*((1-r.1)-Y$14*(1-r.1^2)+Z$14*(1-r.1^3)),0)</f>
        <v>286825.76859331044</v>
      </c>
      <c r="AB532" s="163">
        <f t="shared" si="185"/>
        <v>2.0466837286949291E-3</v>
      </c>
      <c r="AC532" s="96">
        <f t="shared" ref="AC532:AC595" si="190">(Kopt-(L0-AB532*Ldif-alph*AB532^0.5))/R0</f>
        <v>0.87197639311588748</v>
      </c>
      <c r="AD532" s="94">
        <f t="shared" si="187"/>
        <v>286825.76859331044</v>
      </c>
    </row>
    <row r="533" spans="24:30" x14ac:dyDescent="0.25">
      <c r="X533" s="84">
        <v>486</v>
      </c>
      <c r="Y533" s="104">
        <f t="shared" si="186"/>
        <v>2.0506733655929698E-3</v>
      </c>
      <c r="Z533" s="96">
        <f t="shared" si="188"/>
        <v>0.87229119698006241</v>
      </c>
      <c r="AA533" s="94">
        <f t="shared" si="189"/>
        <v>285416.92145374173</v>
      </c>
      <c r="AB533" s="163">
        <f t="shared" ref="AB533:AB596" si="191">AB532+AB$15</f>
        <v>2.0506733655929698E-3</v>
      </c>
      <c r="AC533" s="96">
        <f t="shared" si="190"/>
        <v>0.87229119698006241</v>
      </c>
      <c r="AD533" s="94">
        <f t="shared" si="187"/>
        <v>285416.92145374173</v>
      </c>
    </row>
    <row r="534" spans="24:30" x14ac:dyDescent="0.25">
      <c r="X534" s="84">
        <v>485</v>
      </c>
      <c r="Y534" s="104">
        <f t="shared" si="186"/>
        <v>2.0546630024910104E-3</v>
      </c>
      <c r="Z534" s="96">
        <f t="shared" si="188"/>
        <v>0.87260569476456173</v>
      </c>
      <c r="AA534" s="94">
        <f t="shared" si="189"/>
        <v>284012.90761235106</v>
      </c>
      <c r="AB534" s="163">
        <f t="shared" si="191"/>
        <v>2.0546630024910104E-3</v>
      </c>
      <c r="AC534" s="96">
        <f t="shared" si="190"/>
        <v>0.87260569476456173</v>
      </c>
      <c r="AD534" s="94">
        <f t="shared" si="187"/>
        <v>284012.90761235106</v>
      </c>
    </row>
    <row r="535" spans="24:30" x14ac:dyDescent="0.25">
      <c r="X535" s="84">
        <v>484</v>
      </c>
      <c r="Y535" s="104">
        <f t="shared" si="186"/>
        <v>2.058652639389051E-3</v>
      </c>
      <c r="Z535" s="96">
        <f t="shared" si="188"/>
        <v>0.87291988736044512</v>
      </c>
      <c r="AA535" s="94">
        <f t="shared" si="189"/>
        <v>282613.71299843356</v>
      </c>
      <c r="AB535" s="163">
        <f t="shared" si="191"/>
        <v>2.058652639389051E-3</v>
      </c>
      <c r="AC535" s="96">
        <f t="shared" si="190"/>
        <v>0.87291988736044512</v>
      </c>
      <c r="AD535" s="94">
        <f t="shared" si="187"/>
        <v>282613.71299843356</v>
      </c>
    </row>
    <row r="536" spans="24:30" x14ac:dyDescent="0.25">
      <c r="X536" s="84">
        <v>483</v>
      </c>
      <c r="Y536" s="104">
        <f t="shared" si="186"/>
        <v>2.0626422762870917E-3</v>
      </c>
      <c r="Z536" s="96">
        <f t="shared" si="188"/>
        <v>0.87323377565446458</v>
      </c>
      <c r="AA536" s="94">
        <f t="shared" si="189"/>
        <v>281219.32360939635</v>
      </c>
      <c r="AB536" s="163">
        <f t="shared" si="191"/>
        <v>2.0626422762870917E-3</v>
      </c>
      <c r="AC536" s="96">
        <f t="shared" si="190"/>
        <v>0.87323377565446458</v>
      </c>
      <c r="AD536" s="94">
        <f t="shared" si="187"/>
        <v>281219.32360939635</v>
      </c>
    </row>
    <row r="537" spans="24:30" x14ac:dyDescent="0.25">
      <c r="X537" s="84">
        <v>482</v>
      </c>
      <c r="Y537" s="104">
        <f t="shared" si="186"/>
        <v>2.0666319131851323E-3</v>
      </c>
      <c r="Z537" s="96">
        <f t="shared" si="188"/>
        <v>0.87354736052907733</v>
      </c>
      <c r="AA537" s="94">
        <f t="shared" si="189"/>
        <v>279829.72551035607</v>
      </c>
      <c r="AB537" s="163">
        <f t="shared" si="191"/>
        <v>2.0666319131851323E-3</v>
      </c>
      <c r="AC537" s="96">
        <f t="shared" si="190"/>
        <v>0.87354736052907733</v>
      </c>
      <c r="AD537" s="94">
        <f t="shared" si="187"/>
        <v>279829.72551035607</v>
      </c>
    </row>
    <row r="538" spans="24:30" x14ac:dyDescent="0.25">
      <c r="X538" s="84">
        <v>481</v>
      </c>
      <c r="Y538" s="104">
        <f t="shared" si="186"/>
        <v>2.0706215500831729E-3</v>
      </c>
      <c r="Z538" s="96">
        <f t="shared" si="188"/>
        <v>0.87386064286249154</v>
      </c>
      <c r="AA538" s="94">
        <f t="shared" si="189"/>
        <v>278444.90483361855</v>
      </c>
      <c r="AB538" s="163">
        <f t="shared" si="191"/>
        <v>2.0706215500831729E-3</v>
      </c>
      <c r="AC538" s="96">
        <f t="shared" si="190"/>
        <v>0.87386064286249154</v>
      </c>
      <c r="AD538" s="94">
        <f t="shared" si="187"/>
        <v>278444.90483361855</v>
      </c>
    </row>
    <row r="539" spans="24:30" x14ac:dyDescent="0.25">
      <c r="X539" s="84">
        <v>480</v>
      </c>
      <c r="Y539" s="104">
        <f t="shared" si="186"/>
        <v>2.0746111869812136E-3</v>
      </c>
      <c r="Z539" s="96">
        <f t="shared" si="188"/>
        <v>0.87417362352868067</v>
      </c>
      <c r="AA539" s="94">
        <f t="shared" si="189"/>
        <v>277064.84777828812</v>
      </c>
      <c r="AB539" s="163">
        <f t="shared" si="191"/>
        <v>2.0746111869812136E-3</v>
      </c>
      <c r="AC539" s="96">
        <f t="shared" si="190"/>
        <v>0.87417362352868067</v>
      </c>
      <c r="AD539" s="94">
        <f t="shared" si="187"/>
        <v>277064.84777828812</v>
      </c>
    </row>
    <row r="540" spans="24:30" x14ac:dyDescent="0.25">
      <c r="X540" s="84">
        <v>479</v>
      </c>
      <c r="Y540" s="104">
        <f t="shared" si="186"/>
        <v>2.0786008238792542E-3</v>
      </c>
      <c r="Z540" s="96">
        <f t="shared" si="188"/>
        <v>0.87448630339742506</v>
      </c>
      <c r="AA540" s="94">
        <f t="shared" si="189"/>
        <v>275689.54060975654</v>
      </c>
      <c r="AB540" s="163">
        <f t="shared" si="191"/>
        <v>2.0786008238792542E-3</v>
      </c>
      <c r="AC540" s="96">
        <f t="shared" si="190"/>
        <v>0.87448630339742506</v>
      </c>
      <c r="AD540" s="94">
        <f t="shared" si="187"/>
        <v>275689.54060975654</v>
      </c>
    </row>
    <row r="541" spans="24:30" x14ac:dyDescent="0.25">
      <c r="X541" s="84">
        <v>478</v>
      </c>
      <c r="Y541" s="104">
        <f t="shared" si="186"/>
        <v>2.0825904607772948E-3</v>
      </c>
      <c r="Z541" s="96">
        <f t="shared" si="188"/>
        <v>0.87479868333432687</v>
      </c>
      <c r="AA541" s="94">
        <f t="shared" si="189"/>
        <v>274318.96965931851</v>
      </c>
      <c r="AB541" s="163">
        <f t="shared" si="191"/>
        <v>2.0825904607772948E-3</v>
      </c>
      <c r="AC541" s="96">
        <f t="shared" si="190"/>
        <v>0.87479868333432687</v>
      </c>
      <c r="AD541" s="94">
        <f t="shared" si="187"/>
        <v>274318.96965931851</v>
      </c>
    </row>
    <row r="542" spans="24:30" x14ac:dyDescent="0.25">
      <c r="X542" s="84">
        <v>477</v>
      </c>
      <c r="Y542" s="104">
        <f t="shared" si="186"/>
        <v>2.0865800976753355E-3</v>
      </c>
      <c r="Z542" s="96">
        <f t="shared" si="188"/>
        <v>0.87511076420084899</v>
      </c>
      <c r="AA542" s="94">
        <f t="shared" si="189"/>
        <v>272953.12132367998</v>
      </c>
      <c r="AB542" s="163">
        <f t="shared" si="191"/>
        <v>2.0865800976753355E-3</v>
      </c>
      <c r="AC542" s="96">
        <f t="shared" si="190"/>
        <v>0.87511076420084899</v>
      </c>
      <c r="AD542" s="94">
        <f t="shared" si="187"/>
        <v>272953.12132367998</v>
      </c>
    </row>
    <row r="543" spans="24:30" x14ac:dyDescent="0.25">
      <c r="X543" s="84">
        <v>476</v>
      </c>
      <c r="Y543" s="104">
        <f t="shared" si="186"/>
        <v>2.0905697345733761E-3</v>
      </c>
      <c r="Z543" s="96">
        <f t="shared" si="188"/>
        <v>0.87542254685433607</v>
      </c>
      <c r="AA543" s="94">
        <f t="shared" si="189"/>
        <v>271591.98206455214</v>
      </c>
      <c r="AB543" s="163">
        <f t="shared" si="191"/>
        <v>2.0905697345733761E-3</v>
      </c>
      <c r="AC543" s="96">
        <f t="shared" si="190"/>
        <v>0.87542254685433607</v>
      </c>
      <c r="AD543" s="94">
        <f t="shared" si="187"/>
        <v>271591.98206455214</v>
      </c>
    </row>
    <row r="544" spans="24:30" x14ac:dyDescent="0.25">
      <c r="X544" s="84">
        <v>475</v>
      </c>
      <c r="Y544" s="104">
        <f t="shared" ref="Y544:Y607" si="192">Y543+Y$16</f>
        <v>2.0945593714714167E-3</v>
      </c>
      <c r="Z544" s="96">
        <f t="shared" si="188"/>
        <v>0.87573403214804824</v>
      </c>
      <c r="AA544" s="94">
        <f t="shared" si="189"/>
        <v>270235.53840819094</v>
      </c>
      <c r="AB544" s="163">
        <f t="shared" si="191"/>
        <v>2.0945593714714167E-3</v>
      </c>
      <c r="AC544" s="96">
        <f t="shared" si="190"/>
        <v>0.87573403214804824</v>
      </c>
      <c r="AD544" s="94">
        <f t="shared" si="187"/>
        <v>270235.53840819094</v>
      </c>
    </row>
    <row r="545" spans="24:30" x14ac:dyDescent="0.25">
      <c r="X545" s="84">
        <v>474</v>
      </c>
      <c r="Y545" s="104">
        <f t="shared" si="192"/>
        <v>2.0985490083694574E-3</v>
      </c>
      <c r="Z545" s="96">
        <f t="shared" si="188"/>
        <v>0.87604522093117687</v>
      </c>
      <c r="AA545" s="94">
        <f t="shared" si="189"/>
        <v>268883.77694501233</v>
      </c>
      <c r="AB545" s="163">
        <f t="shared" si="191"/>
        <v>2.0985490083694574E-3</v>
      </c>
      <c r="AC545" s="96">
        <f t="shared" si="190"/>
        <v>0.87604522093117687</v>
      </c>
      <c r="AD545" s="94">
        <f t="shared" si="187"/>
        <v>268883.77694501233</v>
      </c>
    </row>
    <row r="546" spans="24:30" x14ac:dyDescent="0.25">
      <c r="X546" s="84">
        <v>473</v>
      </c>
      <c r="Y546" s="104">
        <f t="shared" si="192"/>
        <v>2.102538645267498E-3</v>
      </c>
      <c r="Z546" s="96">
        <f t="shared" si="188"/>
        <v>0.87635611404888691</v>
      </c>
      <c r="AA546" s="94">
        <f t="shared" si="189"/>
        <v>267536.68432910665</v>
      </c>
      <c r="AB546" s="163">
        <f t="shared" si="191"/>
        <v>2.102538645267498E-3</v>
      </c>
      <c r="AC546" s="96">
        <f t="shared" si="190"/>
        <v>0.87635611404888691</v>
      </c>
      <c r="AD546" s="94">
        <f t="shared" si="187"/>
        <v>267536.68432910665</v>
      </c>
    </row>
    <row r="547" spans="24:30" x14ac:dyDescent="0.25">
      <c r="X547" s="84">
        <v>472</v>
      </c>
      <c r="Y547" s="104">
        <f t="shared" si="192"/>
        <v>2.1065282821655386E-3</v>
      </c>
      <c r="Z547" s="96">
        <f t="shared" si="188"/>
        <v>0.87666671234233307</v>
      </c>
      <c r="AA547" s="94">
        <f t="shared" si="189"/>
        <v>266194.24727785395</v>
      </c>
      <c r="AB547" s="163">
        <f t="shared" si="191"/>
        <v>2.1065282821655386E-3</v>
      </c>
      <c r="AC547" s="96">
        <f t="shared" si="190"/>
        <v>0.87666671234233307</v>
      </c>
      <c r="AD547" s="94">
        <f t="shared" si="187"/>
        <v>266194.24727785395</v>
      </c>
    </row>
    <row r="548" spans="24:30" x14ac:dyDescent="0.25">
      <c r="X548" s="84">
        <v>471</v>
      </c>
      <c r="Y548" s="104">
        <f t="shared" si="192"/>
        <v>2.1105179190635793E-3</v>
      </c>
      <c r="Z548" s="96">
        <f t="shared" si="188"/>
        <v>0.87697701664868499</v>
      </c>
      <c r="AA548" s="94">
        <f t="shared" si="189"/>
        <v>264856.45257151389</v>
      </c>
      <c r="AB548" s="163">
        <f t="shared" si="191"/>
        <v>2.1105179190635793E-3</v>
      </c>
      <c r="AC548" s="96">
        <f t="shared" si="190"/>
        <v>0.87697701664868499</v>
      </c>
      <c r="AD548" s="94">
        <f t="shared" si="187"/>
        <v>264856.45257151389</v>
      </c>
    </row>
    <row r="549" spans="24:30" x14ac:dyDescent="0.25">
      <c r="X549" s="84">
        <v>470</v>
      </c>
      <c r="Y549" s="104">
        <f t="shared" si="192"/>
        <v>2.1145075559616199E-3</v>
      </c>
      <c r="Z549" s="96">
        <f t="shared" si="188"/>
        <v>0.87728702780116441</v>
      </c>
      <c r="AA549" s="94">
        <f t="shared" si="189"/>
        <v>263523.28705276351</v>
      </c>
      <c r="AB549" s="163">
        <f t="shared" si="191"/>
        <v>2.1145075559616199E-3</v>
      </c>
      <c r="AC549" s="96">
        <f t="shared" si="190"/>
        <v>0.87728702780116441</v>
      </c>
      <c r="AD549" s="94">
        <f t="shared" si="187"/>
        <v>263523.28705276351</v>
      </c>
    </row>
    <row r="550" spans="24:30" x14ac:dyDescent="0.25">
      <c r="X550" s="84">
        <v>469</v>
      </c>
      <c r="Y550" s="104">
        <f t="shared" si="192"/>
        <v>2.1184971928596605E-3</v>
      </c>
      <c r="Z550" s="96">
        <f t="shared" si="188"/>
        <v>0.87759674662906229</v>
      </c>
      <c r="AA550" s="94">
        <f t="shared" si="189"/>
        <v>262194.737626324</v>
      </c>
      <c r="AB550" s="163">
        <f t="shared" si="191"/>
        <v>2.1184971928596605E-3</v>
      </c>
      <c r="AC550" s="96">
        <f t="shared" si="190"/>
        <v>0.87759674662906229</v>
      </c>
      <c r="AD550" s="94">
        <f t="shared" si="187"/>
        <v>262194.737626324</v>
      </c>
    </row>
    <row r="551" spans="24:30" x14ac:dyDescent="0.25">
      <c r="X551" s="84">
        <v>468</v>
      </c>
      <c r="Y551" s="104">
        <f t="shared" si="192"/>
        <v>2.1224868297577012E-3</v>
      </c>
      <c r="Z551" s="96">
        <f t="shared" si="188"/>
        <v>0.87790617395776738</v>
      </c>
      <c r="AA551" s="94">
        <f t="shared" si="189"/>
        <v>260870.79125854123</v>
      </c>
      <c r="AB551" s="163">
        <f t="shared" si="191"/>
        <v>2.1224868297577012E-3</v>
      </c>
      <c r="AC551" s="96">
        <f t="shared" si="190"/>
        <v>0.87790617395776738</v>
      </c>
      <c r="AD551" s="94">
        <f t="shared" si="187"/>
        <v>260870.79125854123</v>
      </c>
    </row>
    <row r="552" spans="24:30" x14ac:dyDescent="0.25">
      <c r="X552" s="84">
        <v>467</v>
      </c>
      <c r="Y552" s="104">
        <f t="shared" si="192"/>
        <v>2.1264764666557418E-3</v>
      </c>
      <c r="Z552" s="96">
        <f t="shared" si="188"/>
        <v>0.87821531060878721</v>
      </c>
      <c r="AA552" s="94">
        <f t="shared" si="189"/>
        <v>259551.43497699901</v>
      </c>
      <c r="AB552" s="163">
        <f t="shared" si="191"/>
        <v>2.1264764666557418E-3</v>
      </c>
      <c r="AC552" s="96">
        <f t="shared" si="190"/>
        <v>0.87821531060878721</v>
      </c>
      <c r="AD552" s="94">
        <f t="shared" si="187"/>
        <v>259551.43497699901</v>
      </c>
    </row>
    <row r="553" spans="24:30" x14ac:dyDescent="0.25">
      <c r="X553" s="84">
        <v>466</v>
      </c>
      <c r="Y553" s="104">
        <f t="shared" si="192"/>
        <v>2.1304661035537824E-3</v>
      </c>
      <c r="Z553" s="96">
        <f t="shared" si="188"/>
        <v>0.87852415739978551</v>
      </c>
      <c r="AA553" s="94">
        <f t="shared" si="189"/>
        <v>258236.6558700625</v>
      </c>
      <c r="AB553" s="163">
        <f t="shared" si="191"/>
        <v>2.1304661035537824E-3</v>
      </c>
      <c r="AC553" s="96">
        <f t="shared" si="190"/>
        <v>0.87852415739978551</v>
      </c>
      <c r="AD553" s="94">
        <f t="shared" si="187"/>
        <v>258236.6558700625</v>
      </c>
    </row>
    <row r="554" spans="24:30" x14ac:dyDescent="0.25">
      <c r="X554" s="84">
        <v>465</v>
      </c>
      <c r="Y554" s="104">
        <f t="shared" si="192"/>
        <v>2.1344557404518231E-3</v>
      </c>
      <c r="Z554" s="96">
        <f t="shared" si="188"/>
        <v>0.87883271514459083</v>
      </c>
      <c r="AA554" s="94">
        <f t="shared" si="189"/>
        <v>256926.44108655772</v>
      </c>
      <c r="AB554" s="163">
        <f t="shared" si="191"/>
        <v>2.1344557404518231E-3</v>
      </c>
      <c r="AC554" s="96">
        <f t="shared" si="190"/>
        <v>0.87883271514459083</v>
      </c>
      <c r="AD554" s="94">
        <f t="shared" si="187"/>
        <v>256926.44108655772</v>
      </c>
    </row>
    <row r="555" spans="24:30" x14ac:dyDescent="0.25">
      <c r="X555" s="84">
        <v>464</v>
      </c>
      <c r="Y555" s="104">
        <f t="shared" si="192"/>
        <v>2.1384453773498637E-3</v>
      </c>
      <c r="Z555" s="96">
        <f t="shared" si="188"/>
        <v>0.87914098465324153</v>
      </c>
      <c r="AA555" s="94">
        <f t="shared" si="189"/>
        <v>255620.77783528957</v>
      </c>
      <c r="AB555" s="163">
        <f t="shared" si="191"/>
        <v>2.1384453773498637E-3</v>
      </c>
      <c r="AC555" s="96">
        <f t="shared" si="190"/>
        <v>0.87914098465324153</v>
      </c>
      <c r="AD555" s="94">
        <f t="shared" si="187"/>
        <v>255620.77783528957</v>
      </c>
    </row>
    <row r="556" spans="24:30" x14ac:dyDescent="0.25">
      <c r="X556" s="84">
        <v>463</v>
      </c>
      <c r="Y556" s="104">
        <f t="shared" si="192"/>
        <v>2.1424350142479043E-3</v>
      </c>
      <c r="Z556" s="96">
        <f t="shared" si="188"/>
        <v>0.87944896673198869</v>
      </c>
      <c r="AA556" s="94">
        <f t="shared" si="189"/>
        <v>254319.65338474087</v>
      </c>
      <c r="AB556" s="163">
        <f t="shared" si="191"/>
        <v>2.1424350142479043E-3</v>
      </c>
      <c r="AC556" s="96">
        <f t="shared" si="190"/>
        <v>0.87944896673198869</v>
      </c>
      <c r="AD556" s="94">
        <f t="shared" si="187"/>
        <v>254319.65338474087</v>
      </c>
    </row>
    <row r="557" spans="24:30" x14ac:dyDescent="0.25">
      <c r="X557" s="84">
        <v>462</v>
      </c>
      <c r="Y557" s="104">
        <f t="shared" si="192"/>
        <v>2.146424651145945E-3</v>
      </c>
      <c r="Z557" s="96">
        <f t="shared" si="188"/>
        <v>0.87975666218333926</v>
      </c>
      <c r="AA557" s="94">
        <f t="shared" si="189"/>
        <v>253023.05506260204</v>
      </c>
      <c r="AB557" s="163">
        <f t="shared" si="191"/>
        <v>2.146424651145945E-3</v>
      </c>
      <c r="AC557" s="96">
        <f t="shared" si="190"/>
        <v>0.87975666218333926</v>
      </c>
      <c r="AD557" s="94">
        <f t="shared" si="187"/>
        <v>253023.05506260204</v>
      </c>
    </row>
    <row r="558" spans="24:30" x14ac:dyDescent="0.25">
      <c r="X558" s="84">
        <v>461</v>
      </c>
      <c r="Y558" s="104">
        <f t="shared" si="192"/>
        <v>2.1504142880439856E-3</v>
      </c>
      <c r="Z558" s="96">
        <f t="shared" si="188"/>
        <v>0.88006407180606649</v>
      </c>
      <c r="AA558" s="94">
        <f t="shared" si="189"/>
        <v>251730.97025545631</v>
      </c>
      <c r="AB558" s="163">
        <f t="shared" si="191"/>
        <v>2.1504142880439856E-3</v>
      </c>
      <c r="AC558" s="96">
        <f t="shared" si="190"/>
        <v>0.88006407180606649</v>
      </c>
      <c r="AD558" s="94">
        <f t="shared" si="187"/>
        <v>251730.97025545631</v>
      </c>
    </row>
    <row r="559" spans="24:30" x14ac:dyDescent="0.25">
      <c r="X559" s="84">
        <v>460</v>
      </c>
      <c r="Y559" s="104">
        <f t="shared" si="192"/>
        <v>2.1544039249420262E-3</v>
      </c>
      <c r="Z559" s="96">
        <f t="shared" si="188"/>
        <v>0.88037119639524763</v>
      </c>
      <c r="AA559" s="94">
        <f t="shared" si="189"/>
        <v>250443.38640832723</v>
      </c>
      <c r="AB559" s="163">
        <f t="shared" si="191"/>
        <v>2.1544039249420262E-3</v>
      </c>
      <c r="AC559" s="96">
        <f t="shared" si="190"/>
        <v>0.88037119639524763</v>
      </c>
      <c r="AD559" s="94">
        <f t="shared" si="187"/>
        <v>250443.38640832723</v>
      </c>
    </row>
    <row r="560" spans="24:30" x14ac:dyDescent="0.25">
      <c r="X560" s="84">
        <v>459</v>
      </c>
      <c r="Y560" s="104">
        <f t="shared" si="192"/>
        <v>2.1583935618400669E-3</v>
      </c>
      <c r="Z560" s="96">
        <f t="shared" si="188"/>
        <v>0.88067803674227396</v>
      </c>
      <c r="AA560" s="94">
        <f t="shared" si="189"/>
        <v>249160.29102436765</v>
      </c>
      <c r="AB560" s="163">
        <f t="shared" si="191"/>
        <v>2.1583935618400669E-3</v>
      </c>
      <c r="AC560" s="96">
        <f t="shared" si="190"/>
        <v>0.88067803674227396</v>
      </c>
      <c r="AD560" s="94">
        <f t="shared" si="187"/>
        <v>249160.29102436765</v>
      </c>
    </row>
    <row r="561" spans="24:30" x14ac:dyDescent="0.25">
      <c r="X561" s="84">
        <v>458</v>
      </c>
      <c r="Y561" s="104">
        <f t="shared" si="192"/>
        <v>2.1623831987381075E-3</v>
      </c>
      <c r="Z561" s="96">
        <f t="shared" si="188"/>
        <v>0.88098459363488857</v>
      </c>
      <c r="AA561" s="94">
        <f t="shared" si="189"/>
        <v>247881.6716644206</v>
      </c>
      <c r="AB561" s="163">
        <f t="shared" si="191"/>
        <v>2.1623831987381075E-3</v>
      </c>
      <c r="AC561" s="96">
        <f t="shared" si="190"/>
        <v>0.88098459363488857</v>
      </c>
      <c r="AD561" s="94">
        <f t="shared" si="187"/>
        <v>247881.6716644206</v>
      </c>
    </row>
    <row r="562" spans="24:30" x14ac:dyDescent="0.25">
      <c r="X562" s="84">
        <v>457</v>
      </c>
      <c r="Y562" s="104">
        <f t="shared" si="192"/>
        <v>2.1663728356361481E-3</v>
      </c>
      <c r="Z562" s="96">
        <f t="shared" si="188"/>
        <v>0.88129086785719213</v>
      </c>
      <c r="AA562" s="94">
        <f t="shared" si="189"/>
        <v>246607.51594672602</v>
      </c>
      <c r="AB562" s="163">
        <f t="shared" si="191"/>
        <v>2.1663728356361481E-3</v>
      </c>
      <c r="AC562" s="96">
        <f t="shared" si="190"/>
        <v>0.88129086785719213</v>
      </c>
      <c r="AD562" s="94">
        <f t="shared" si="187"/>
        <v>246607.51594672602</v>
      </c>
    </row>
    <row r="563" spans="24:30" x14ac:dyDescent="0.25">
      <c r="X563" s="84">
        <v>456</v>
      </c>
      <c r="Y563" s="104">
        <f t="shared" si="192"/>
        <v>2.1703624725341888E-3</v>
      </c>
      <c r="Z563" s="96">
        <f t="shared" si="188"/>
        <v>0.88159686018968919</v>
      </c>
      <c r="AA563" s="94">
        <f t="shared" si="189"/>
        <v>245337.81154645057</v>
      </c>
      <c r="AB563" s="163">
        <f t="shared" si="191"/>
        <v>2.1703624725341888E-3</v>
      </c>
      <c r="AC563" s="96">
        <f t="shared" si="190"/>
        <v>0.88159686018968919</v>
      </c>
      <c r="AD563" s="94">
        <f t="shared" si="187"/>
        <v>245337.81154645057</v>
      </c>
    </row>
    <row r="564" spans="24:30" x14ac:dyDescent="0.25">
      <c r="X564" s="84">
        <v>455</v>
      </c>
      <c r="Y564" s="104">
        <f t="shared" si="192"/>
        <v>2.1743521094322294E-3</v>
      </c>
      <c r="Z564" s="96">
        <f t="shared" si="188"/>
        <v>0.88190257140929196</v>
      </c>
      <c r="AA564" s="94">
        <f t="shared" si="189"/>
        <v>244072.54619540385</v>
      </c>
      <c r="AB564" s="163">
        <f t="shared" si="191"/>
        <v>2.1743521094322294E-3</v>
      </c>
      <c r="AC564" s="96">
        <f t="shared" si="190"/>
        <v>0.88190257140929196</v>
      </c>
      <c r="AD564" s="94">
        <f t="shared" si="187"/>
        <v>244072.54619540385</v>
      </c>
    </row>
    <row r="565" spans="24:30" x14ac:dyDescent="0.25">
      <c r="X565" s="84">
        <v>454</v>
      </c>
      <c r="Y565" s="104">
        <f t="shared" si="192"/>
        <v>2.17834174633027E-3</v>
      </c>
      <c r="Z565" s="96">
        <f t="shared" si="188"/>
        <v>0.88220800228934959</v>
      </c>
      <c r="AA565" s="94">
        <f t="shared" si="189"/>
        <v>242811.70768165195</v>
      </c>
      <c r="AB565" s="163">
        <f t="shared" si="191"/>
        <v>2.17834174633027E-3</v>
      </c>
      <c r="AC565" s="96">
        <f t="shared" si="190"/>
        <v>0.88220800228934959</v>
      </c>
      <c r="AD565" s="94">
        <f t="shared" si="187"/>
        <v>242811.70768165195</v>
      </c>
    </row>
    <row r="566" spans="24:30" x14ac:dyDescent="0.25">
      <c r="X566" s="84">
        <v>453</v>
      </c>
      <c r="Y566" s="104">
        <f t="shared" si="192"/>
        <v>2.1823313832283107E-3</v>
      </c>
      <c r="Z566" s="96">
        <f t="shared" si="188"/>
        <v>0.88251315359967486</v>
      </c>
      <c r="AA566" s="94">
        <f t="shared" si="189"/>
        <v>241555.28384913839</v>
      </c>
      <c r="AB566" s="163">
        <f t="shared" si="191"/>
        <v>2.1823313832283107E-3</v>
      </c>
      <c r="AC566" s="96">
        <f t="shared" si="190"/>
        <v>0.88251315359967486</v>
      </c>
      <c r="AD566" s="94">
        <f t="shared" si="187"/>
        <v>241555.28384913839</v>
      </c>
    </row>
    <row r="567" spans="24:30" x14ac:dyDescent="0.25">
      <c r="X567" s="84">
        <v>452</v>
      </c>
      <c r="Y567" s="104">
        <f t="shared" si="192"/>
        <v>2.1863210201263513E-3</v>
      </c>
      <c r="Z567" s="96">
        <f t="shared" si="188"/>
        <v>0.88281802610656546</v>
      </c>
      <c r="AA567" s="94">
        <f t="shared" si="189"/>
        <v>240303.26259732674</v>
      </c>
      <c r="AB567" s="163">
        <f t="shared" si="191"/>
        <v>2.1863210201263513E-3</v>
      </c>
      <c r="AC567" s="96">
        <f t="shared" si="190"/>
        <v>0.88281802610656546</v>
      </c>
      <c r="AD567" s="94">
        <f t="shared" si="187"/>
        <v>240303.26259732674</v>
      </c>
    </row>
    <row r="568" spans="24:30" x14ac:dyDescent="0.25">
      <c r="X568" s="84">
        <v>451</v>
      </c>
      <c r="Y568" s="104">
        <f t="shared" si="192"/>
        <v>2.1903106570243919E-3</v>
      </c>
      <c r="Z568" s="96">
        <f t="shared" si="188"/>
        <v>0.88312262057281821</v>
      </c>
      <c r="AA568" s="94">
        <f t="shared" si="189"/>
        <v>239055.63188089567</v>
      </c>
      <c r="AB568" s="163">
        <f t="shared" si="191"/>
        <v>2.1903106570243919E-3</v>
      </c>
      <c r="AC568" s="96">
        <f t="shared" si="190"/>
        <v>0.88312262057281821</v>
      </c>
      <c r="AD568" s="94">
        <f t="shared" si="187"/>
        <v>239055.63188089567</v>
      </c>
    </row>
    <row r="569" spans="24:30" x14ac:dyDescent="0.25">
      <c r="X569" s="84">
        <v>450</v>
      </c>
      <c r="Y569" s="104">
        <f t="shared" si="192"/>
        <v>2.1943002939224326E-3</v>
      </c>
      <c r="Z569" s="96">
        <f t="shared" si="188"/>
        <v>0.8834269377577646</v>
      </c>
      <c r="AA569" s="94">
        <f t="shared" si="189"/>
        <v>237812.3797093113</v>
      </c>
      <c r="AB569" s="163">
        <f t="shared" si="191"/>
        <v>2.1943002939224326E-3</v>
      </c>
      <c r="AC569" s="96">
        <f t="shared" si="190"/>
        <v>0.8834269377577646</v>
      </c>
      <c r="AD569" s="94">
        <f t="shared" si="187"/>
        <v>237812.3797093113</v>
      </c>
    </row>
    <row r="570" spans="24:30" x14ac:dyDescent="0.25">
      <c r="X570" s="84">
        <v>449</v>
      </c>
      <c r="Y570" s="104">
        <f t="shared" si="192"/>
        <v>2.1982899308204732E-3</v>
      </c>
      <c r="Z570" s="96">
        <f t="shared" si="188"/>
        <v>0.88373097841728288</v>
      </c>
      <c r="AA570" s="94">
        <f t="shared" si="189"/>
        <v>236573.49414654172</v>
      </c>
      <c r="AB570" s="163">
        <f t="shared" si="191"/>
        <v>2.1982899308204732E-3</v>
      </c>
      <c r="AC570" s="96">
        <f t="shared" si="190"/>
        <v>0.88373097841728288</v>
      </c>
      <c r="AD570" s="94">
        <f t="shared" si="187"/>
        <v>236573.49414654172</v>
      </c>
    </row>
    <row r="571" spans="24:30" x14ac:dyDescent="0.25">
      <c r="X571" s="84">
        <v>448</v>
      </c>
      <c r="Y571" s="104">
        <f t="shared" si="192"/>
        <v>2.2022795677185138E-3</v>
      </c>
      <c r="Z571" s="96">
        <f t="shared" si="188"/>
        <v>0.88403474330382381</v>
      </c>
      <c r="AA571" s="94">
        <f t="shared" si="189"/>
        <v>235338.96331067622</v>
      </c>
      <c r="AB571" s="163">
        <f t="shared" si="191"/>
        <v>2.2022795677185138E-3</v>
      </c>
      <c r="AC571" s="96">
        <f t="shared" si="190"/>
        <v>0.88403474330382381</v>
      </c>
      <c r="AD571" s="94">
        <f t="shared" si="187"/>
        <v>235338.96331067622</v>
      </c>
    </row>
    <row r="572" spans="24:30" x14ac:dyDescent="0.25">
      <c r="X572" s="84">
        <v>447</v>
      </c>
      <c r="Y572" s="104">
        <f t="shared" si="192"/>
        <v>2.2062692046165545E-3</v>
      </c>
      <c r="Z572" s="96">
        <f t="shared" si="188"/>
        <v>0.88433823316643234</v>
      </c>
      <c r="AA572" s="94">
        <f t="shared" si="189"/>
        <v>234108.77537359492</v>
      </c>
      <c r="AB572" s="163">
        <f t="shared" si="191"/>
        <v>2.2062692046165545E-3</v>
      </c>
      <c r="AC572" s="96">
        <f t="shared" si="190"/>
        <v>0.88433823316643234</v>
      </c>
      <c r="AD572" s="94">
        <f t="shared" si="187"/>
        <v>234108.77537359492</v>
      </c>
    </row>
    <row r="573" spans="24:30" x14ac:dyDescent="0.25">
      <c r="X573" s="84">
        <v>446</v>
      </c>
      <c r="Y573" s="104">
        <f t="shared" si="192"/>
        <v>2.2102588415145951E-3</v>
      </c>
      <c r="Z573" s="96">
        <f t="shared" si="188"/>
        <v>0.88464144875076756</v>
      </c>
      <c r="AA573" s="94">
        <f t="shared" si="189"/>
        <v>232882.91856063076</v>
      </c>
      <c r="AB573" s="163">
        <f t="shared" si="191"/>
        <v>2.2102588415145951E-3</v>
      </c>
      <c r="AC573" s="96">
        <f t="shared" si="190"/>
        <v>0.88464144875076756</v>
      </c>
      <c r="AD573" s="94">
        <f t="shared" si="187"/>
        <v>232882.91856063076</v>
      </c>
    </row>
    <row r="574" spans="24:30" x14ac:dyDescent="0.25">
      <c r="X574" s="84">
        <v>445</v>
      </c>
      <c r="Y574" s="104">
        <f t="shared" si="192"/>
        <v>2.2142484784126357E-3</v>
      </c>
      <c r="Z574" s="96">
        <f t="shared" si="188"/>
        <v>0.88494439079912879</v>
      </c>
      <c r="AA574" s="94">
        <f t="shared" si="189"/>
        <v>231661.38115021389</v>
      </c>
      <c r="AB574" s="163">
        <f t="shared" si="191"/>
        <v>2.2142484784126357E-3</v>
      </c>
      <c r="AC574" s="96">
        <f t="shared" si="190"/>
        <v>0.88494439079912879</v>
      </c>
      <c r="AD574" s="94">
        <f t="shared" si="187"/>
        <v>231661.38115021389</v>
      </c>
    </row>
    <row r="575" spans="24:30" x14ac:dyDescent="0.25">
      <c r="X575" s="84">
        <v>444</v>
      </c>
      <c r="Y575" s="104">
        <f t="shared" si="192"/>
        <v>2.2182381153106764E-3</v>
      </c>
      <c r="Z575" s="96">
        <f t="shared" si="188"/>
        <v>0.88524706005046638</v>
      </c>
      <c r="AA575" s="94">
        <f t="shared" si="189"/>
        <v>230444.15147357254</v>
      </c>
      <c r="AB575" s="163">
        <f t="shared" si="191"/>
        <v>2.2182381153106764E-3</v>
      </c>
      <c r="AC575" s="96">
        <f t="shared" si="190"/>
        <v>0.88524706005046638</v>
      </c>
      <c r="AD575" s="94">
        <f t="shared" si="187"/>
        <v>230444.15147357254</v>
      </c>
    </row>
    <row r="576" spans="24:30" x14ac:dyDescent="0.25">
      <c r="X576" s="84">
        <v>443</v>
      </c>
      <c r="Y576" s="104">
        <f t="shared" si="192"/>
        <v>2.222227752208717E-3</v>
      </c>
      <c r="Z576" s="96">
        <f t="shared" si="188"/>
        <v>0.88554945724041512</v>
      </c>
      <c r="AA576" s="94">
        <f t="shared" si="189"/>
        <v>229231.21791436191</v>
      </c>
      <c r="AB576" s="163">
        <f t="shared" si="191"/>
        <v>2.222227752208717E-3</v>
      </c>
      <c r="AC576" s="96">
        <f t="shared" si="190"/>
        <v>0.88554945724041512</v>
      </c>
      <c r="AD576" s="94">
        <f t="shared" si="187"/>
        <v>229231.21791436191</v>
      </c>
    </row>
    <row r="577" spans="24:30" x14ac:dyDescent="0.25">
      <c r="X577" s="84">
        <v>442</v>
      </c>
      <c r="Y577" s="104">
        <f t="shared" si="192"/>
        <v>2.2262173891067576E-3</v>
      </c>
      <c r="Z577" s="96">
        <f t="shared" si="188"/>
        <v>0.8858515831013084</v>
      </c>
      <c r="AA577" s="94">
        <f t="shared" si="189"/>
        <v>228022.56890835709</v>
      </c>
      <c r="AB577" s="163">
        <f t="shared" si="191"/>
        <v>2.2262173891067576E-3</v>
      </c>
      <c r="AC577" s="96">
        <f t="shared" si="190"/>
        <v>0.8858515831013084</v>
      </c>
      <c r="AD577" s="94">
        <f t="shared" si="187"/>
        <v>228022.56890835709</v>
      </c>
    </row>
    <row r="578" spans="24:30" x14ac:dyDescent="0.25">
      <c r="X578" s="84">
        <v>441</v>
      </c>
      <c r="Y578" s="104">
        <f t="shared" si="192"/>
        <v>2.2302070260047983E-3</v>
      </c>
      <c r="Z578" s="96">
        <f t="shared" si="188"/>
        <v>0.88615343836219929</v>
      </c>
      <c r="AA578" s="94">
        <f t="shared" si="189"/>
        <v>226818.19294311712</v>
      </c>
      <c r="AB578" s="163">
        <f t="shared" si="191"/>
        <v>2.2302070260047983E-3</v>
      </c>
      <c r="AC578" s="96">
        <f t="shared" si="190"/>
        <v>0.88615343836219929</v>
      </c>
      <c r="AD578" s="94">
        <f t="shared" si="187"/>
        <v>226818.19294311712</v>
      </c>
    </row>
    <row r="579" spans="24:30" x14ac:dyDescent="0.25">
      <c r="X579" s="84">
        <v>440</v>
      </c>
      <c r="Y579" s="104">
        <f t="shared" si="192"/>
        <v>2.2341966629028389E-3</v>
      </c>
      <c r="Z579" s="96">
        <f t="shared" si="188"/>
        <v>0.88645502374888108</v>
      </c>
      <c r="AA579" s="94">
        <f t="shared" si="189"/>
        <v>225618.07855767591</v>
      </c>
      <c r="AB579" s="163">
        <f t="shared" si="191"/>
        <v>2.2341966629028389E-3</v>
      </c>
      <c r="AC579" s="96">
        <f t="shared" si="190"/>
        <v>0.88645502374888108</v>
      </c>
      <c r="AD579" s="94">
        <f t="shared" si="187"/>
        <v>225618.07855767591</v>
      </c>
    </row>
    <row r="580" spans="24:30" x14ac:dyDescent="0.25">
      <c r="X580" s="84">
        <v>439</v>
      </c>
      <c r="Y580" s="104">
        <f t="shared" si="192"/>
        <v>2.2381862998008795E-3</v>
      </c>
      <c r="Z580" s="96">
        <f t="shared" si="188"/>
        <v>0.88675633998391057</v>
      </c>
      <c r="AA580" s="94">
        <f t="shared" si="189"/>
        <v>224422.21434219455</v>
      </c>
      <c r="AB580" s="163">
        <f t="shared" si="191"/>
        <v>2.2381862998008795E-3</v>
      </c>
      <c r="AC580" s="96">
        <f t="shared" si="190"/>
        <v>0.88675633998391057</v>
      </c>
      <c r="AD580" s="94">
        <f t="shared" si="187"/>
        <v>224422.21434219455</v>
      </c>
    </row>
    <row r="581" spans="24:30" x14ac:dyDescent="0.25">
      <c r="X581" s="84">
        <v>438</v>
      </c>
      <c r="Y581" s="104">
        <f t="shared" si="192"/>
        <v>2.2421759366989201E-3</v>
      </c>
      <c r="Z581" s="96">
        <f t="shared" si="188"/>
        <v>0.88705738778662413</v>
      </c>
      <c r="AA581" s="94">
        <f t="shared" si="189"/>
        <v>223230.58893766796</v>
      </c>
      <c r="AB581" s="163">
        <f t="shared" si="191"/>
        <v>2.2421759366989201E-3</v>
      </c>
      <c r="AC581" s="96">
        <f t="shared" si="190"/>
        <v>0.88705738778662413</v>
      </c>
      <c r="AD581" s="94">
        <f t="shared" si="187"/>
        <v>223230.58893766796</v>
      </c>
    </row>
    <row r="582" spans="24:30" x14ac:dyDescent="0.25">
      <c r="X582" s="84">
        <v>437</v>
      </c>
      <c r="Y582" s="104">
        <f t="shared" si="192"/>
        <v>2.2461655735969608E-3</v>
      </c>
      <c r="Z582" s="96">
        <f t="shared" si="188"/>
        <v>0.88735816787316113</v>
      </c>
      <c r="AA582" s="94">
        <f t="shared" si="189"/>
        <v>222043.19103559249</v>
      </c>
      <c r="AB582" s="163">
        <f t="shared" si="191"/>
        <v>2.2461655735969608E-3</v>
      </c>
      <c r="AC582" s="96">
        <f t="shared" si="190"/>
        <v>0.88735816787316113</v>
      </c>
      <c r="AD582" s="94">
        <f t="shared" si="187"/>
        <v>222043.19103559249</v>
      </c>
    </row>
    <row r="583" spans="24:30" x14ac:dyDescent="0.25">
      <c r="X583" s="84">
        <v>436</v>
      </c>
      <c r="Y583" s="104">
        <f t="shared" si="192"/>
        <v>2.2501552104950014E-3</v>
      </c>
      <c r="Z583" s="96">
        <f t="shared" si="188"/>
        <v>0.88765868095648004</v>
      </c>
      <c r="AA583" s="94">
        <f t="shared" si="189"/>
        <v>220860.00937766308</v>
      </c>
      <c r="AB583" s="163">
        <f t="shared" si="191"/>
        <v>2.2501552104950014E-3</v>
      </c>
      <c r="AC583" s="96">
        <f t="shared" si="190"/>
        <v>0.88765868095648004</v>
      </c>
      <c r="AD583" s="94">
        <f t="shared" si="187"/>
        <v>220860.00937766308</v>
      </c>
    </row>
    <row r="584" spans="24:30" x14ac:dyDescent="0.25">
      <c r="X584" s="84">
        <v>435</v>
      </c>
      <c r="Y584" s="104">
        <f t="shared" si="192"/>
        <v>2.254144847393042E-3</v>
      </c>
      <c r="Z584" s="96">
        <f t="shared" si="188"/>
        <v>0.88795892774638185</v>
      </c>
      <c r="AA584" s="94">
        <f t="shared" si="189"/>
        <v>219681.03275545829</v>
      </c>
      <c r="AB584" s="163">
        <f t="shared" si="191"/>
        <v>2.254144847393042E-3</v>
      </c>
      <c r="AC584" s="96">
        <f t="shared" si="190"/>
        <v>0.88795892774638185</v>
      </c>
      <c r="AD584" s="94">
        <f t="shared" si="187"/>
        <v>219681.03275545829</v>
      </c>
    </row>
    <row r="585" spans="24:30" x14ac:dyDescent="0.25">
      <c r="X585" s="84">
        <v>434</v>
      </c>
      <c r="Y585" s="104">
        <f t="shared" si="192"/>
        <v>2.2581344842910827E-3</v>
      </c>
      <c r="Z585" s="96">
        <f t="shared" si="188"/>
        <v>0.8882589089495283</v>
      </c>
      <c r="AA585" s="94">
        <f t="shared" si="189"/>
        <v>218506.25001012179</v>
      </c>
      <c r="AB585" s="163">
        <f t="shared" si="191"/>
        <v>2.2581344842910827E-3</v>
      </c>
      <c r="AC585" s="96">
        <f t="shared" si="190"/>
        <v>0.8882589089495283</v>
      </c>
      <c r="AD585" s="94">
        <f t="shared" si="187"/>
        <v>218506.25001012179</v>
      </c>
    </row>
    <row r="586" spans="24:30" x14ac:dyDescent="0.25">
      <c r="X586" s="84">
        <v>433</v>
      </c>
      <c r="Y586" s="104">
        <f t="shared" si="192"/>
        <v>2.2621241211891233E-3</v>
      </c>
      <c r="Z586" s="96">
        <f t="shared" si="188"/>
        <v>0.88855862526946494</v>
      </c>
      <c r="AA586" s="94">
        <f t="shared" si="189"/>
        <v>217335.65003205146</v>
      </c>
      <c r="AB586" s="163">
        <f t="shared" si="191"/>
        <v>2.2621241211891233E-3</v>
      </c>
      <c r="AC586" s="96">
        <f t="shared" si="190"/>
        <v>0.88855862526946494</v>
      </c>
      <c r="AD586" s="94">
        <f t="shared" si="187"/>
        <v>217335.65003205146</v>
      </c>
    </row>
    <row r="587" spans="24:30" x14ac:dyDescent="0.25">
      <c r="X587" s="84">
        <v>432</v>
      </c>
      <c r="Y587" s="104">
        <f t="shared" si="192"/>
        <v>2.2661137580871639E-3</v>
      </c>
      <c r="Z587" s="96">
        <f t="shared" si="188"/>
        <v>0.88885807740662537</v>
      </c>
      <c r="AA587" s="94">
        <f t="shared" si="189"/>
        <v>216169.22176065456</v>
      </c>
      <c r="AB587" s="163">
        <f t="shared" si="191"/>
        <v>2.2661137580871639E-3</v>
      </c>
      <c r="AC587" s="96">
        <f t="shared" si="190"/>
        <v>0.88885807740662537</v>
      </c>
      <c r="AD587" s="94">
        <f t="shared" si="187"/>
        <v>216169.22176065456</v>
      </c>
    </row>
    <row r="588" spans="24:30" x14ac:dyDescent="0.25">
      <c r="X588" s="84">
        <v>431</v>
      </c>
      <c r="Y588" s="104">
        <f t="shared" si="192"/>
        <v>2.2701033949852046E-3</v>
      </c>
      <c r="Z588" s="96">
        <f t="shared" si="188"/>
        <v>0.88915726605837686</v>
      </c>
      <c r="AA588" s="94">
        <f t="shared" si="189"/>
        <v>215006.95418393589</v>
      </c>
      <c r="AB588" s="163">
        <f t="shared" si="191"/>
        <v>2.2701033949852046E-3</v>
      </c>
      <c r="AC588" s="96">
        <f t="shared" si="190"/>
        <v>0.88915726605837686</v>
      </c>
      <c r="AD588" s="94">
        <f t="shared" si="187"/>
        <v>215006.95418393589</v>
      </c>
    </row>
    <row r="589" spans="24:30" x14ac:dyDescent="0.25">
      <c r="X589" s="84">
        <v>430</v>
      </c>
      <c r="Y589" s="104">
        <f t="shared" si="192"/>
        <v>2.2740930318832452E-3</v>
      </c>
      <c r="Z589" s="96">
        <f t="shared" si="188"/>
        <v>0.88945619191901004</v>
      </c>
      <c r="AA589" s="94">
        <f t="shared" si="189"/>
        <v>213848.83633831708</v>
      </c>
      <c r="AB589" s="163">
        <f t="shared" si="191"/>
        <v>2.2740930318832452E-3</v>
      </c>
      <c r="AC589" s="96">
        <f t="shared" si="190"/>
        <v>0.88945619191901004</v>
      </c>
      <c r="AD589" s="94">
        <f t="shared" si="187"/>
        <v>213848.83633831708</v>
      </c>
    </row>
    <row r="590" spans="24:30" x14ac:dyDescent="0.25">
      <c r="X590" s="84">
        <v>429</v>
      </c>
      <c r="Y590" s="104">
        <f t="shared" si="192"/>
        <v>2.2780826687812858E-3</v>
      </c>
      <c r="Z590" s="96">
        <f t="shared" si="188"/>
        <v>0.88975485567978452</v>
      </c>
      <c r="AA590" s="94">
        <f t="shared" si="189"/>
        <v>212694.85730824023</v>
      </c>
      <c r="AB590" s="163">
        <f t="shared" si="191"/>
        <v>2.2780826687812858E-3</v>
      </c>
      <c r="AC590" s="96">
        <f t="shared" si="190"/>
        <v>0.88975485567978452</v>
      </c>
      <c r="AD590" s="94">
        <f t="shared" si="187"/>
        <v>212694.85730824023</v>
      </c>
    </row>
    <row r="591" spans="24:30" x14ac:dyDescent="0.25">
      <c r="X591" s="84">
        <v>428</v>
      </c>
      <c r="Y591" s="104">
        <f t="shared" si="192"/>
        <v>2.2820723056793265E-3</v>
      </c>
      <c r="Z591" s="96">
        <f t="shared" si="188"/>
        <v>0.89005325802892066</v>
      </c>
      <c r="AA591" s="94">
        <f t="shared" si="189"/>
        <v>211545.00622596388</v>
      </c>
      <c r="AB591" s="163">
        <f t="shared" si="191"/>
        <v>2.2820723056793265E-3</v>
      </c>
      <c r="AC591" s="96">
        <f t="shared" si="190"/>
        <v>0.89005325802892066</v>
      </c>
      <c r="AD591" s="94">
        <f t="shared" si="187"/>
        <v>211545.00622596388</v>
      </c>
    </row>
    <row r="592" spans="24:30" x14ac:dyDescent="0.25">
      <c r="X592" s="84">
        <v>427</v>
      </c>
      <c r="Y592" s="104">
        <f t="shared" si="192"/>
        <v>2.2860619425773671E-3</v>
      </c>
      <c r="Z592" s="96">
        <f t="shared" si="188"/>
        <v>0.89035139965164534</v>
      </c>
      <c r="AA592" s="94">
        <f t="shared" si="189"/>
        <v>210399.27227118038</v>
      </c>
      <c r="AB592" s="163">
        <f t="shared" si="191"/>
        <v>2.2860619425773671E-3</v>
      </c>
      <c r="AC592" s="96">
        <f t="shared" si="190"/>
        <v>0.89035139965164534</v>
      </c>
      <c r="AD592" s="94">
        <f t="shared" si="187"/>
        <v>210399.27227118038</v>
      </c>
    </row>
    <row r="593" spans="24:30" x14ac:dyDescent="0.25">
      <c r="X593" s="84">
        <v>426</v>
      </c>
      <c r="Y593" s="104">
        <f t="shared" si="192"/>
        <v>2.2900515794754077E-3</v>
      </c>
      <c r="Z593" s="96">
        <f t="shared" si="188"/>
        <v>0.8906492812301875</v>
      </c>
      <c r="AA593" s="94">
        <f t="shared" si="189"/>
        <v>209257.64467080586</v>
      </c>
      <c r="AB593" s="163">
        <f t="shared" si="191"/>
        <v>2.2900515794754077E-3</v>
      </c>
      <c r="AC593" s="96">
        <f t="shared" si="190"/>
        <v>0.8906492812301875</v>
      </c>
      <c r="AD593" s="94">
        <f t="shared" si="187"/>
        <v>209257.64467080586</v>
      </c>
    </row>
    <row r="594" spans="24:30" x14ac:dyDescent="0.25">
      <c r="X594" s="84">
        <v>425</v>
      </c>
      <c r="Y594" s="104">
        <f t="shared" si="192"/>
        <v>2.2940412163734484E-3</v>
      </c>
      <c r="Z594" s="96">
        <f t="shared" si="188"/>
        <v>0.89094690344381411</v>
      </c>
      <c r="AA594" s="94">
        <f t="shared" si="189"/>
        <v>208120.1126986249</v>
      </c>
      <c r="AB594" s="163">
        <f t="shared" si="191"/>
        <v>2.2940412163734484E-3</v>
      </c>
      <c r="AC594" s="96">
        <f t="shared" si="190"/>
        <v>0.89094690344381411</v>
      </c>
      <c r="AD594" s="94">
        <f t="shared" si="187"/>
        <v>208120.1126986249</v>
      </c>
    </row>
    <row r="595" spans="24:30" x14ac:dyDescent="0.25">
      <c r="X595" s="84">
        <v>424</v>
      </c>
      <c r="Y595" s="104">
        <f t="shared" si="192"/>
        <v>2.298030853271489E-3</v>
      </c>
      <c r="Z595" s="96">
        <f t="shared" si="188"/>
        <v>0.89124426696883363</v>
      </c>
      <c r="AA595" s="94">
        <f t="shared" si="189"/>
        <v>206986.66567506106</v>
      </c>
      <c r="AB595" s="163">
        <f t="shared" si="191"/>
        <v>2.298030853271489E-3</v>
      </c>
      <c r="AC595" s="96">
        <f t="shared" si="190"/>
        <v>0.89124426696883363</v>
      </c>
      <c r="AD595" s="94">
        <f t="shared" ref="AD595:AD658" si="193">IF(AC595&lt;1,X$14*((1-ropt)-Y$14*(1-ropt^2)+Z$14*(1-ropt^3)),0)</f>
        <v>206986.66567506106</v>
      </c>
    </row>
    <row r="596" spans="24:30" x14ac:dyDescent="0.25">
      <c r="X596" s="84">
        <v>423</v>
      </c>
      <c r="Y596" s="104">
        <f t="shared" si="192"/>
        <v>2.3020204901695296E-3</v>
      </c>
      <c r="Z596" s="96">
        <f t="shared" ref="Z596:Z659" si="194">(K-(L0-Y596*Ldif-alph*Y596^0.5))/R0</f>
        <v>0.89154137247862142</v>
      </c>
      <c r="AA596" s="94">
        <f t="shared" ref="AA596:AA659" si="195">IF(Z596&lt;1,X$14*((1-r.1)-Y$14*(1-r.1^2)+Z$14*(1-r.1^3)),0)</f>
        <v>205857.2929668701</v>
      </c>
      <c r="AB596" s="163">
        <f t="shared" si="191"/>
        <v>2.3020204901695296E-3</v>
      </c>
      <c r="AC596" s="96">
        <f t="shared" ref="AC596:AC659" si="196">(Kopt-(L0-AB596*Ldif-alph*AB596^0.5))/R0</f>
        <v>0.89154137247862142</v>
      </c>
      <c r="AD596" s="94">
        <f t="shared" si="193"/>
        <v>205857.2929668701</v>
      </c>
    </row>
    <row r="597" spans="24:30" x14ac:dyDescent="0.25">
      <c r="X597" s="84">
        <v>422</v>
      </c>
      <c r="Y597" s="104">
        <f t="shared" si="192"/>
        <v>2.3060101270675703E-3</v>
      </c>
      <c r="Z597" s="96">
        <f t="shared" si="194"/>
        <v>0.89183822064364038</v>
      </c>
      <c r="AA597" s="94">
        <f t="shared" si="195"/>
        <v>204731.98398684253</v>
      </c>
      <c r="AB597" s="163">
        <f t="shared" ref="AB597:AB660" si="197">AB596+AB$15</f>
        <v>2.3060101270675703E-3</v>
      </c>
      <c r="AC597" s="96">
        <f t="shared" si="196"/>
        <v>0.89183822064364038</v>
      </c>
      <c r="AD597" s="94">
        <f t="shared" si="193"/>
        <v>204731.98398684253</v>
      </c>
    </row>
    <row r="598" spans="24:30" x14ac:dyDescent="0.25">
      <c r="X598" s="84">
        <v>421</v>
      </c>
      <c r="Y598" s="104">
        <f t="shared" si="192"/>
        <v>2.3099997639656109E-3</v>
      </c>
      <c r="Z598" s="96">
        <f t="shared" si="194"/>
        <v>0.89213481213144918</v>
      </c>
      <c r="AA598" s="94">
        <f t="shared" si="195"/>
        <v>203610.72819356096</v>
      </c>
      <c r="AB598" s="163">
        <f t="shared" si="197"/>
        <v>2.3099997639656109E-3</v>
      </c>
      <c r="AC598" s="96">
        <f t="shared" si="196"/>
        <v>0.89213481213144918</v>
      </c>
      <c r="AD598" s="94">
        <f t="shared" si="193"/>
        <v>203610.72819356096</v>
      </c>
    </row>
    <row r="599" spans="24:30" x14ac:dyDescent="0.25">
      <c r="X599" s="84">
        <v>420</v>
      </c>
      <c r="Y599" s="104">
        <f t="shared" si="192"/>
        <v>2.3139894008636515E-3</v>
      </c>
      <c r="Z599" s="96">
        <f t="shared" si="194"/>
        <v>0.89243114760673148</v>
      </c>
      <c r="AA599" s="94">
        <f t="shared" si="195"/>
        <v>202493.51509108313</v>
      </c>
      <c r="AB599" s="163">
        <f t="shared" si="197"/>
        <v>2.3139894008636515E-3</v>
      </c>
      <c r="AC599" s="96">
        <f t="shared" si="196"/>
        <v>0.89243114760673148</v>
      </c>
      <c r="AD599" s="94">
        <f t="shared" si="193"/>
        <v>202493.51509108313</v>
      </c>
    </row>
    <row r="600" spans="24:30" x14ac:dyDescent="0.25">
      <c r="X600" s="84">
        <v>419</v>
      </c>
      <c r="Y600" s="104">
        <f t="shared" si="192"/>
        <v>2.3179790377616922E-3</v>
      </c>
      <c r="Z600" s="96">
        <f t="shared" si="194"/>
        <v>0.89272722773130009</v>
      </c>
      <c r="AA600" s="94">
        <f t="shared" si="195"/>
        <v>201380.33422871685</v>
      </c>
      <c r="AB600" s="163">
        <f t="shared" si="197"/>
        <v>2.3179790377616922E-3</v>
      </c>
      <c r="AC600" s="96">
        <f t="shared" si="196"/>
        <v>0.89272722773130009</v>
      </c>
      <c r="AD600" s="94">
        <f t="shared" si="193"/>
        <v>201380.33422871685</v>
      </c>
    </row>
    <row r="601" spans="24:30" x14ac:dyDescent="0.25">
      <c r="X601" s="84">
        <v>418</v>
      </c>
      <c r="Y601" s="104">
        <f t="shared" si="192"/>
        <v>2.3219686746597328E-3</v>
      </c>
      <c r="Z601" s="96">
        <f t="shared" si="194"/>
        <v>0.89302305316413022</v>
      </c>
      <c r="AA601" s="94">
        <f t="shared" si="195"/>
        <v>200271.17520067975</v>
      </c>
      <c r="AB601" s="163">
        <f t="shared" si="197"/>
        <v>2.3219686746597328E-3</v>
      </c>
      <c r="AC601" s="96">
        <f t="shared" si="196"/>
        <v>0.89302305316413022</v>
      </c>
      <c r="AD601" s="94">
        <f t="shared" si="193"/>
        <v>200271.17520067975</v>
      </c>
    </row>
    <row r="602" spans="24:30" x14ac:dyDescent="0.25">
      <c r="X602" s="84">
        <v>417</v>
      </c>
      <c r="Y602" s="104">
        <f t="shared" si="192"/>
        <v>2.3259583115577734E-3</v>
      </c>
      <c r="Z602" s="96">
        <f t="shared" si="194"/>
        <v>0.89331862456135724</v>
      </c>
      <c r="AA602" s="94">
        <f t="shared" si="195"/>
        <v>199166.02764591094</v>
      </c>
      <c r="AB602" s="163">
        <f t="shared" si="197"/>
        <v>2.3259583115577734E-3</v>
      </c>
      <c r="AC602" s="96">
        <f t="shared" si="196"/>
        <v>0.89331862456135724</v>
      </c>
      <c r="AD602" s="94">
        <f t="shared" si="193"/>
        <v>199166.02764591094</v>
      </c>
    </row>
    <row r="603" spans="24:30" x14ac:dyDescent="0.25">
      <c r="X603" s="84">
        <v>416</v>
      </c>
      <c r="Y603" s="104">
        <f t="shared" si="192"/>
        <v>2.3299479484558141E-3</v>
      </c>
      <c r="Z603" s="96">
        <f t="shared" si="194"/>
        <v>0.89361394257631643</v>
      </c>
      <c r="AA603" s="94">
        <f t="shared" si="195"/>
        <v>198064.88124771736</v>
      </c>
      <c r="AB603" s="163">
        <f t="shared" si="197"/>
        <v>2.3299479484558141E-3</v>
      </c>
      <c r="AC603" s="96">
        <f t="shared" si="196"/>
        <v>0.89361394257631643</v>
      </c>
      <c r="AD603" s="94">
        <f t="shared" si="193"/>
        <v>198064.88124771736</v>
      </c>
    </row>
    <row r="604" spans="24:30" x14ac:dyDescent="0.25">
      <c r="X604" s="84">
        <v>415</v>
      </c>
      <c r="Y604" s="104">
        <f t="shared" si="192"/>
        <v>2.3339375853538547E-3</v>
      </c>
      <c r="Z604" s="96">
        <f t="shared" si="194"/>
        <v>0.89390900785953264</v>
      </c>
      <c r="AA604" s="94">
        <f t="shared" si="195"/>
        <v>196967.72573360283</v>
      </c>
      <c r="AB604" s="163">
        <f t="shared" si="197"/>
        <v>2.3339375853538547E-3</v>
      </c>
      <c r="AC604" s="96">
        <f t="shared" si="196"/>
        <v>0.89390900785953264</v>
      </c>
      <c r="AD604" s="94">
        <f t="shared" si="193"/>
        <v>196967.72573360283</v>
      </c>
    </row>
    <row r="605" spans="24:30" x14ac:dyDescent="0.25">
      <c r="X605" s="84">
        <v>414</v>
      </c>
      <c r="Y605" s="104">
        <f t="shared" si="192"/>
        <v>2.3379272222518953E-3</v>
      </c>
      <c r="Z605" s="96">
        <f t="shared" si="194"/>
        <v>0.89420382105876539</v>
      </c>
      <c r="AA605" s="94">
        <f t="shared" si="195"/>
        <v>195874.55087490077</v>
      </c>
      <c r="AB605" s="163">
        <f t="shared" si="197"/>
        <v>2.3379272222518953E-3</v>
      </c>
      <c r="AC605" s="96">
        <f t="shared" si="196"/>
        <v>0.89420382105876539</v>
      </c>
      <c r="AD605" s="94">
        <f t="shared" si="193"/>
        <v>195874.55087490077</v>
      </c>
    </row>
    <row r="606" spans="24:30" x14ac:dyDescent="0.25">
      <c r="X606" s="84">
        <v>413</v>
      </c>
      <c r="Y606" s="104">
        <f t="shared" si="192"/>
        <v>2.341916859149936E-3</v>
      </c>
      <c r="Z606" s="96">
        <f t="shared" si="194"/>
        <v>0.8944983828190014</v>
      </c>
      <c r="AA606" s="94">
        <f t="shared" si="195"/>
        <v>194785.34648660538</v>
      </c>
      <c r="AB606" s="163">
        <f t="shared" si="197"/>
        <v>2.341916859149936E-3</v>
      </c>
      <c r="AC606" s="96">
        <f t="shared" si="196"/>
        <v>0.8944983828190014</v>
      </c>
      <c r="AD606" s="94">
        <f t="shared" si="193"/>
        <v>194785.34648660538</v>
      </c>
    </row>
    <row r="607" spans="24:30" x14ac:dyDescent="0.25">
      <c r="X607" s="84">
        <v>412</v>
      </c>
      <c r="Y607" s="104">
        <f t="shared" si="192"/>
        <v>2.3459064960479766E-3</v>
      </c>
      <c r="Z607" s="96">
        <f t="shared" si="194"/>
        <v>0.89479269378249371</v>
      </c>
      <c r="AA607" s="94">
        <f t="shared" si="195"/>
        <v>193700.1024270216</v>
      </c>
      <c r="AB607" s="163">
        <f t="shared" si="197"/>
        <v>2.3459064960479766E-3</v>
      </c>
      <c r="AC607" s="96">
        <f t="shared" si="196"/>
        <v>0.89479269378249371</v>
      </c>
      <c r="AD607" s="94">
        <f t="shared" si="193"/>
        <v>193700.1024270216</v>
      </c>
    </row>
    <row r="608" spans="24:30" x14ac:dyDescent="0.25">
      <c r="X608" s="84">
        <v>411</v>
      </c>
      <c r="Y608" s="104">
        <f t="shared" ref="Y608:Y671" si="198">Y607+Y$16</f>
        <v>2.3498961329460172E-3</v>
      </c>
      <c r="Z608" s="96">
        <f t="shared" si="194"/>
        <v>0.89508675458875109</v>
      </c>
      <c r="AA608" s="94">
        <f t="shared" si="195"/>
        <v>192618.8085976158</v>
      </c>
      <c r="AB608" s="163">
        <f t="shared" si="197"/>
        <v>2.3498961329460172E-3</v>
      </c>
      <c r="AC608" s="96">
        <f t="shared" si="196"/>
        <v>0.89508675458875109</v>
      </c>
      <c r="AD608" s="94">
        <f t="shared" si="193"/>
        <v>192618.8085976158</v>
      </c>
    </row>
    <row r="609" spans="24:30" x14ac:dyDescent="0.25">
      <c r="X609" s="84">
        <v>410</v>
      </c>
      <c r="Y609" s="104">
        <f t="shared" si="198"/>
        <v>2.3538857698440579E-3</v>
      </c>
      <c r="Z609" s="96">
        <f t="shared" si="194"/>
        <v>0.89538056587458192</v>
      </c>
      <c r="AA609" s="94">
        <f t="shared" si="195"/>
        <v>191541.45494264644</v>
      </c>
      <c r="AB609" s="163">
        <f t="shared" si="197"/>
        <v>2.3538857698440579E-3</v>
      </c>
      <c r="AC609" s="96">
        <f t="shared" si="196"/>
        <v>0.89538056587458192</v>
      </c>
      <c r="AD609" s="94">
        <f t="shared" si="193"/>
        <v>191541.45494264644</v>
      </c>
    </row>
    <row r="610" spans="24:30" x14ac:dyDescent="0.25">
      <c r="X610" s="84">
        <v>409</v>
      </c>
      <c r="Y610" s="104">
        <f t="shared" si="198"/>
        <v>2.3578754067420985E-3</v>
      </c>
      <c r="Z610" s="96">
        <f t="shared" si="194"/>
        <v>0.8956741282740881</v>
      </c>
      <c r="AA610" s="94">
        <f t="shared" si="195"/>
        <v>190468.03144899904</v>
      </c>
      <c r="AB610" s="163">
        <f t="shared" si="197"/>
        <v>2.3578754067420985E-3</v>
      </c>
      <c r="AC610" s="96">
        <f t="shared" si="196"/>
        <v>0.8956741282740881</v>
      </c>
      <c r="AD610" s="94">
        <f t="shared" si="193"/>
        <v>190468.03144899904</v>
      </c>
    </row>
    <row r="611" spans="24:30" x14ac:dyDescent="0.25">
      <c r="X611" s="84">
        <v>408</v>
      </c>
      <c r="Y611" s="104">
        <f t="shared" si="198"/>
        <v>2.3618650436401391E-3</v>
      </c>
      <c r="Z611" s="96">
        <f t="shared" si="194"/>
        <v>0.89596744241869586</v>
      </c>
      <c r="AA611" s="94">
        <f t="shared" si="195"/>
        <v>189398.52814587907</v>
      </c>
      <c r="AB611" s="163">
        <f t="shared" si="197"/>
        <v>2.3618650436401391E-3</v>
      </c>
      <c r="AC611" s="96">
        <f t="shared" si="196"/>
        <v>0.89596744241869586</v>
      </c>
      <c r="AD611" s="94">
        <f t="shared" si="193"/>
        <v>189398.52814587907</v>
      </c>
    </row>
    <row r="612" spans="24:30" x14ac:dyDescent="0.25">
      <c r="X612" s="84">
        <v>407</v>
      </c>
      <c r="Y612" s="104">
        <f t="shared" si="198"/>
        <v>2.3658546805381798E-3</v>
      </c>
      <c r="Z612" s="96">
        <f t="shared" si="194"/>
        <v>0.89626050893716647</v>
      </c>
      <c r="AA612" s="94">
        <f t="shared" si="195"/>
        <v>188332.93510457515</v>
      </c>
      <c r="AB612" s="163">
        <f t="shared" si="197"/>
        <v>2.3658546805381798E-3</v>
      </c>
      <c r="AC612" s="96">
        <f t="shared" si="196"/>
        <v>0.89626050893716647</v>
      </c>
      <c r="AD612" s="94">
        <f t="shared" si="193"/>
        <v>188332.93510457515</v>
      </c>
    </row>
    <row r="613" spans="24:30" x14ac:dyDescent="0.25">
      <c r="X613" s="84">
        <v>406</v>
      </c>
      <c r="Y613" s="104">
        <f t="shared" si="198"/>
        <v>2.3698443174362204E-3</v>
      </c>
      <c r="Z613" s="96">
        <f t="shared" si="194"/>
        <v>0.89655332845560654</v>
      </c>
      <c r="AA613" s="94">
        <f t="shared" si="195"/>
        <v>187271.24243823922</v>
      </c>
      <c r="AB613" s="163">
        <f t="shared" si="197"/>
        <v>2.3698443174362204E-3</v>
      </c>
      <c r="AC613" s="96">
        <f t="shared" si="196"/>
        <v>0.89655332845560654</v>
      </c>
      <c r="AD613" s="94">
        <f t="shared" si="193"/>
        <v>187271.24243823922</v>
      </c>
    </row>
    <row r="614" spans="24:30" x14ac:dyDescent="0.25">
      <c r="X614" s="84">
        <v>405</v>
      </c>
      <c r="Y614" s="104">
        <f t="shared" si="198"/>
        <v>2.373833954334261E-3</v>
      </c>
      <c r="Z614" s="96">
        <f t="shared" si="194"/>
        <v>0.89684590159749278</v>
      </c>
      <c r="AA614" s="94">
        <f t="shared" si="195"/>
        <v>186213.44030159723</v>
      </c>
      <c r="AB614" s="163">
        <f t="shared" si="197"/>
        <v>2.373833954334261E-3</v>
      </c>
      <c r="AC614" s="96">
        <f t="shared" si="196"/>
        <v>0.89684590159749278</v>
      </c>
      <c r="AD614" s="94">
        <f t="shared" si="193"/>
        <v>186213.44030159723</v>
      </c>
    </row>
    <row r="615" spans="24:30" x14ac:dyDescent="0.25">
      <c r="X615" s="84">
        <v>404</v>
      </c>
      <c r="Y615" s="104">
        <f t="shared" si="198"/>
        <v>2.3778235912323017E-3</v>
      </c>
      <c r="Z615" s="96">
        <f t="shared" si="194"/>
        <v>0.89713822898368267</v>
      </c>
      <c r="AA615" s="94">
        <f t="shared" si="195"/>
        <v>185159.51889073348</v>
      </c>
      <c r="AB615" s="163">
        <f t="shared" si="197"/>
        <v>2.3778235912323017E-3</v>
      </c>
      <c r="AC615" s="96">
        <f t="shared" si="196"/>
        <v>0.89713822898368267</v>
      </c>
      <c r="AD615" s="94">
        <f t="shared" si="193"/>
        <v>185159.51889073348</v>
      </c>
    </row>
    <row r="616" spans="24:30" x14ac:dyDescent="0.25">
      <c r="X616" s="84">
        <v>403</v>
      </c>
      <c r="Y616" s="104">
        <f t="shared" si="198"/>
        <v>2.3818132281303423E-3</v>
      </c>
      <c r="Z616" s="96">
        <f t="shared" si="194"/>
        <v>0.89743031123242889</v>
      </c>
      <c r="AA616" s="94">
        <f t="shared" si="195"/>
        <v>184109.46844283797</v>
      </c>
      <c r="AB616" s="163">
        <f t="shared" si="197"/>
        <v>2.3818132281303423E-3</v>
      </c>
      <c r="AC616" s="96">
        <f t="shared" si="196"/>
        <v>0.89743031123242889</v>
      </c>
      <c r="AD616" s="94">
        <f t="shared" si="193"/>
        <v>184109.46844283797</v>
      </c>
    </row>
    <row r="617" spans="24:30" x14ac:dyDescent="0.25">
      <c r="X617" s="84">
        <v>402</v>
      </c>
      <c r="Y617" s="104">
        <f t="shared" si="198"/>
        <v>2.3858028650283829E-3</v>
      </c>
      <c r="Z617" s="96">
        <f t="shared" si="194"/>
        <v>0.89772214895940006</v>
      </c>
      <c r="AA617" s="94">
        <f t="shared" si="195"/>
        <v>183063.27923595576</v>
      </c>
      <c r="AB617" s="163">
        <f t="shared" si="197"/>
        <v>2.3858028650283829E-3</v>
      </c>
      <c r="AC617" s="96">
        <f t="shared" si="196"/>
        <v>0.89772214895940006</v>
      </c>
      <c r="AD617" s="94">
        <f t="shared" si="193"/>
        <v>183063.27923595576</v>
      </c>
    </row>
    <row r="618" spans="24:30" x14ac:dyDescent="0.25">
      <c r="X618" s="84">
        <v>401</v>
      </c>
      <c r="Y618" s="104">
        <f t="shared" si="198"/>
        <v>2.3897925019264236E-3</v>
      </c>
      <c r="Z618" s="96">
        <f t="shared" si="194"/>
        <v>0.8980137427776872</v>
      </c>
      <c r="AA618" s="94">
        <f t="shared" si="195"/>
        <v>182020.94158877528</v>
      </c>
      <c r="AB618" s="163">
        <f t="shared" si="197"/>
        <v>2.3897925019264236E-3</v>
      </c>
      <c r="AC618" s="96">
        <f t="shared" si="196"/>
        <v>0.8980137427776872</v>
      </c>
      <c r="AD618" s="94">
        <f t="shared" si="193"/>
        <v>182020.94158877528</v>
      </c>
    </row>
    <row r="619" spans="24:30" x14ac:dyDescent="0.25">
      <c r="X619" s="84">
        <v>400</v>
      </c>
      <c r="Y619" s="104">
        <f t="shared" si="198"/>
        <v>2.3937821388244642E-3</v>
      </c>
      <c r="Z619" s="96">
        <f t="shared" si="194"/>
        <v>0.89830509329782626</v>
      </c>
      <c r="AA619" s="94">
        <f t="shared" si="195"/>
        <v>180982.44586036599</v>
      </c>
      <c r="AB619" s="163">
        <f t="shared" si="197"/>
        <v>2.3937821388244642E-3</v>
      </c>
      <c r="AC619" s="96">
        <f t="shared" si="196"/>
        <v>0.89830509329782626</v>
      </c>
      <c r="AD619" s="94">
        <f t="shared" si="193"/>
        <v>180982.44586036599</v>
      </c>
    </row>
    <row r="620" spans="24:30" x14ac:dyDescent="0.25">
      <c r="X620" s="84">
        <v>399</v>
      </c>
      <c r="Y620" s="104">
        <f t="shared" si="198"/>
        <v>2.3977717757225048E-3</v>
      </c>
      <c r="Z620" s="96">
        <f t="shared" si="194"/>
        <v>0.89859620112781069</v>
      </c>
      <c r="AA620" s="94">
        <f t="shared" si="195"/>
        <v>179947.78244994907</v>
      </c>
      <c r="AB620" s="163">
        <f t="shared" si="197"/>
        <v>2.3977717757225048E-3</v>
      </c>
      <c r="AC620" s="96">
        <f t="shared" si="196"/>
        <v>0.89859620112781069</v>
      </c>
      <c r="AD620" s="94">
        <f t="shared" si="193"/>
        <v>179947.78244994907</v>
      </c>
    </row>
    <row r="621" spans="24:30" x14ac:dyDescent="0.25">
      <c r="X621" s="84">
        <v>398</v>
      </c>
      <c r="Y621" s="104">
        <f t="shared" si="198"/>
        <v>2.4017614126205455E-3</v>
      </c>
      <c r="Z621" s="96">
        <f t="shared" si="194"/>
        <v>0.89888706687310005</v>
      </c>
      <c r="AA621" s="94">
        <f t="shared" si="195"/>
        <v>178916.94179668574</v>
      </c>
      <c r="AB621" s="163">
        <f t="shared" si="197"/>
        <v>2.4017614126205455E-3</v>
      </c>
      <c r="AC621" s="96">
        <f t="shared" si="196"/>
        <v>0.89888706687310005</v>
      </c>
      <c r="AD621" s="94">
        <f t="shared" si="193"/>
        <v>178916.94179668574</v>
      </c>
    </row>
    <row r="622" spans="24:30" x14ac:dyDescent="0.25">
      <c r="X622" s="84">
        <v>397</v>
      </c>
      <c r="Y622" s="104">
        <f t="shared" si="198"/>
        <v>2.4057510495185861E-3</v>
      </c>
      <c r="Z622" s="96">
        <f t="shared" si="194"/>
        <v>0.89917769113665302</v>
      </c>
      <c r="AA622" s="94">
        <f t="shared" si="195"/>
        <v>177889.91437938192</v>
      </c>
      <c r="AB622" s="163">
        <f t="shared" si="197"/>
        <v>2.4057510495185861E-3</v>
      </c>
      <c r="AC622" s="96">
        <f t="shared" si="196"/>
        <v>0.89917769113665302</v>
      </c>
      <c r="AD622" s="94">
        <f t="shared" si="193"/>
        <v>177889.91437938192</v>
      </c>
    </row>
    <row r="623" spans="24:30" x14ac:dyDescent="0.25">
      <c r="X623" s="84">
        <v>396</v>
      </c>
      <c r="Y623" s="104">
        <f t="shared" si="198"/>
        <v>2.4097406864166267E-3</v>
      </c>
      <c r="Z623" s="96">
        <f t="shared" si="194"/>
        <v>0.89946807451891686</v>
      </c>
      <c r="AA623" s="94">
        <f t="shared" si="195"/>
        <v>176866.69071634635</v>
      </c>
      <c r="AB623" s="163">
        <f t="shared" si="197"/>
        <v>2.4097406864166267E-3</v>
      </c>
      <c r="AC623" s="96">
        <f t="shared" si="196"/>
        <v>0.89946807451891686</v>
      </c>
      <c r="AD623" s="94">
        <f t="shared" si="193"/>
        <v>176866.69071634635</v>
      </c>
    </row>
    <row r="624" spans="24:30" x14ac:dyDescent="0.25">
      <c r="X624" s="84">
        <v>395</v>
      </c>
      <c r="Y624" s="104">
        <f t="shared" si="198"/>
        <v>2.4137303233146674E-3</v>
      </c>
      <c r="Z624" s="96">
        <f t="shared" si="194"/>
        <v>0.8997582176178609</v>
      </c>
      <c r="AA624" s="94">
        <f t="shared" si="195"/>
        <v>175847.26136509329</v>
      </c>
      <c r="AB624" s="163">
        <f t="shared" si="197"/>
        <v>2.4137303233146674E-3</v>
      </c>
      <c r="AC624" s="96">
        <f t="shared" si="196"/>
        <v>0.8997582176178609</v>
      </c>
      <c r="AD624" s="94">
        <f t="shared" si="193"/>
        <v>175847.26136509329</v>
      </c>
    </row>
    <row r="625" spans="24:30" x14ac:dyDescent="0.25">
      <c r="X625" s="84">
        <v>394</v>
      </c>
      <c r="Y625" s="104">
        <f t="shared" si="198"/>
        <v>2.417719960212708E-3</v>
      </c>
      <c r="Z625" s="96">
        <f t="shared" si="194"/>
        <v>0.90004812102898291</v>
      </c>
      <c r="AA625" s="94">
        <f t="shared" si="195"/>
        <v>174831.61692214455</v>
      </c>
      <c r="AB625" s="163">
        <f t="shared" si="197"/>
        <v>2.417719960212708E-3</v>
      </c>
      <c r="AC625" s="96">
        <f t="shared" si="196"/>
        <v>0.90004812102898291</v>
      </c>
      <c r="AD625" s="94">
        <f t="shared" si="193"/>
        <v>174831.61692214455</v>
      </c>
    </row>
    <row r="626" spans="24:30" x14ac:dyDescent="0.25">
      <c r="X626" s="84">
        <v>393</v>
      </c>
      <c r="Y626" s="104">
        <f t="shared" si="198"/>
        <v>2.4217095971107486E-3</v>
      </c>
      <c r="Z626" s="96">
        <f t="shared" si="194"/>
        <v>0.90033778534532949</v>
      </c>
      <c r="AA626" s="94">
        <f t="shared" si="195"/>
        <v>173819.74802278826</v>
      </c>
      <c r="AB626" s="163">
        <f t="shared" si="197"/>
        <v>2.4217095971107486E-3</v>
      </c>
      <c r="AC626" s="96">
        <f t="shared" si="196"/>
        <v>0.90033778534532949</v>
      </c>
      <c r="AD626" s="94">
        <f t="shared" si="193"/>
        <v>173819.74802278826</v>
      </c>
    </row>
    <row r="627" spans="24:30" x14ac:dyDescent="0.25">
      <c r="X627" s="84">
        <v>392</v>
      </c>
      <c r="Y627" s="104">
        <f t="shared" si="198"/>
        <v>2.4256992340087893E-3</v>
      </c>
      <c r="Z627" s="96">
        <f t="shared" si="194"/>
        <v>0.90062721115749433</v>
      </c>
      <c r="AA627" s="94">
        <f t="shared" si="195"/>
        <v>172811.6453409004</v>
      </c>
      <c r="AB627" s="163">
        <f t="shared" si="197"/>
        <v>2.4256992340087893E-3</v>
      </c>
      <c r="AC627" s="96">
        <f t="shared" si="196"/>
        <v>0.90062721115749433</v>
      </c>
      <c r="AD627" s="94">
        <f t="shared" si="193"/>
        <v>172811.6453409004</v>
      </c>
    </row>
    <row r="628" spans="24:30" x14ac:dyDescent="0.25">
      <c r="X628" s="84">
        <v>391</v>
      </c>
      <c r="Y628" s="104">
        <f t="shared" si="198"/>
        <v>2.4296888709068299E-3</v>
      </c>
      <c r="Z628" s="96">
        <f t="shared" si="194"/>
        <v>0.9009163990536595</v>
      </c>
      <c r="AA628" s="94">
        <f t="shared" si="195"/>
        <v>171807.2995886397</v>
      </c>
      <c r="AB628" s="163">
        <f t="shared" si="197"/>
        <v>2.4296888709068299E-3</v>
      </c>
      <c r="AC628" s="96">
        <f t="shared" si="196"/>
        <v>0.9009163990536595</v>
      </c>
      <c r="AD628" s="94">
        <f t="shared" si="193"/>
        <v>171807.2995886397</v>
      </c>
    </row>
    <row r="629" spans="24:30" x14ac:dyDescent="0.25">
      <c r="X629" s="84">
        <v>390</v>
      </c>
      <c r="Y629" s="104">
        <f t="shared" si="198"/>
        <v>2.4336785078048705E-3</v>
      </c>
      <c r="Z629" s="96">
        <f t="shared" si="194"/>
        <v>0.9012053496195771</v>
      </c>
      <c r="AA629" s="94">
        <f t="shared" si="195"/>
        <v>170806.70151632509</v>
      </c>
      <c r="AB629" s="163">
        <f t="shared" si="197"/>
        <v>2.4336785078048705E-3</v>
      </c>
      <c r="AC629" s="96">
        <f t="shared" si="196"/>
        <v>0.9012053496195771</v>
      </c>
      <c r="AD629" s="94">
        <f t="shared" si="193"/>
        <v>170806.70151632509</v>
      </c>
    </row>
    <row r="630" spans="24:30" x14ac:dyDescent="0.25">
      <c r="X630" s="84">
        <v>389</v>
      </c>
      <c r="Y630" s="104">
        <f t="shared" si="198"/>
        <v>2.4376681447029112E-3</v>
      </c>
      <c r="Z630" s="96">
        <f t="shared" si="194"/>
        <v>0.9014940634386126</v>
      </c>
      <c r="AA630" s="94">
        <f t="shared" si="195"/>
        <v>169809.84191213083</v>
      </c>
      <c r="AB630" s="163">
        <f t="shared" si="197"/>
        <v>2.4376681447029112E-3</v>
      </c>
      <c r="AC630" s="96">
        <f t="shared" si="196"/>
        <v>0.9014940634386126</v>
      </c>
      <c r="AD630" s="94">
        <f t="shared" si="193"/>
        <v>169809.84191213083</v>
      </c>
    </row>
    <row r="631" spans="24:30" x14ac:dyDescent="0.25">
      <c r="X631" s="84">
        <v>388</v>
      </c>
      <c r="Y631" s="104">
        <f t="shared" si="198"/>
        <v>2.4416577816009518E-3</v>
      </c>
      <c r="Z631" s="96">
        <f t="shared" si="194"/>
        <v>0.90178254109173672</v>
      </c>
      <c r="AA631" s="94">
        <f t="shared" si="195"/>
        <v>168816.71160193681</v>
      </c>
      <c r="AB631" s="163">
        <f t="shared" si="197"/>
        <v>2.4416577816009518E-3</v>
      </c>
      <c r="AC631" s="96">
        <f t="shared" si="196"/>
        <v>0.90178254109173672</v>
      </c>
      <c r="AD631" s="94">
        <f t="shared" si="193"/>
        <v>168816.71160193681</v>
      </c>
    </row>
    <row r="632" spans="24:30" x14ac:dyDescent="0.25">
      <c r="X632" s="84">
        <v>387</v>
      </c>
      <c r="Y632" s="104">
        <f t="shared" si="198"/>
        <v>2.4456474184989924E-3</v>
      </c>
      <c r="Z632" s="96">
        <f t="shared" si="194"/>
        <v>0.90207078315755629</v>
      </c>
      <c r="AA632" s="94">
        <f t="shared" si="195"/>
        <v>167827.30144905086</v>
      </c>
      <c r="AB632" s="163">
        <f t="shared" si="197"/>
        <v>2.4456474184989924E-3</v>
      </c>
      <c r="AC632" s="96">
        <f t="shared" si="196"/>
        <v>0.90207078315755629</v>
      </c>
      <c r="AD632" s="94">
        <f t="shared" si="193"/>
        <v>167827.30144905086</v>
      </c>
    </row>
    <row r="633" spans="24:30" x14ac:dyDescent="0.25">
      <c r="X633" s="84">
        <v>386</v>
      </c>
      <c r="Y633" s="104">
        <f t="shared" si="198"/>
        <v>2.449637055397033E-3</v>
      </c>
      <c r="Z633" s="96">
        <f t="shared" si="194"/>
        <v>0.90235879021231069</v>
      </c>
      <c r="AA633" s="94">
        <f t="shared" si="195"/>
        <v>166841.60235406284</v>
      </c>
      <c r="AB633" s="163">
        <f t="shared" si="197"/>
        <v>2.449637055397033E-3</v>
      </c>
      <c r="AC633" s="96">
        <f t="shared" si="196"/>
        <v>0.90235879021231069</v>
      </c>
      <c r="AD633" s="94">
        <f t="shared" si="193"/>
        <v>166841.60235406284</v>
      </c>
    </row>
    <row r="634" spans="24:30" x14ac:dyDescent="0.25">
      <c r="X634" s="84">
        <v>385</v>
      </c>
      <c r="Y634" s="104">
        <f t="shared" si="198"/>
        <v>2.4536266922950737E-3</v>
      </c>
      <c r="Z634" s="96">
        <f t="shared" si="194"/>
        <v>0.90264656282990041</v>
      </c>
      <c r="AA634" s="94">
        <f t="shared" si="195"/>
        <v>165859.60525456886</v>
      </c>
      <c r="AB634" s="163">
        <f t="shared" si="197"/>
        <v>2.4536266922950737E-3</v>
      </c>
      <c r="AC634" s="96">
        <f t="shared" si="196"/>
        <v>0.90264656282990041</v>
      </c>
      <c r="AD634" s="94">
        <f t="shared" si="193"/>
        <v>165859.60525456886</v>
      </c>
    </row>
    <row r="635" spans="24:30" x14ac:dyDescent="0.25">
      <c r="X635" s="84">
        <v>384</v>
      </c>
      <c r="Y635" s="104">
        <f t="shared" si="198"/>
        <v>2.4576163291931143E-3</v>
      </c>
      <c r="Z635" s="96">
        <f t="shared" si="194"/>
        <v>0.90293410158188936</v>
      </c>
      <c r="AA635" s="94">
        <f t="shared" si="195"/>
        <v>164881.30112501196</v>
      </c>
      <c r="AB635" s="163">
        <f t="shared" si="197"/>
        <v>2.4576163291931143E-3</v>
      </c>
      <c r="AC635" s="96">
        <f t="shared" si="196"/>
        <v>0.90293410158188936</v>
      </c>
      <c r="AD635" s="94">
        <f t="shared" si="193"/>
        <v>164881.30112501196</v>
      </c>
    </row>
    <row r="636" spans="24:30" x14ac:dyDescent="0.25">
      <c r="X636" s="84">
        <v>383</v>
      </c>
      <c r="Y636" s="104">
        <f t="shared" si="198"/>
        <v>2.4616059660911549E-3</v>
      </c>
      <c r="Z636" s="96">
        <f t="shared" si="194"/>
        <v>0.90322140703752762</v>
      </c>
      <c r="AA636" s="94">
        <f t="shared" si="195"/>
        <v>163906.68097642757</v>
      </c>
      <c r="AB636" s="163">
        <f t="shared" si="197"/>
        <v>2.4616059660911549E-3</v>
      </c>
      <c r="AC636" s="96">
        <f t="shared" si="196"/>
        <v>0.90322140703752762</v>
      </c>
      <c r="AD636" s="94">
        <f t="shared" si="193"/>
        <v>163906.68097642757</v>
      </c>
    </row>
    <row r="637" spans="24:30" x14ac:dyDescent="0.25">
      <c r="X637" s="84">
        <v>382</v>
      </c>
      <c r="Y637" s="104">
        <f t="shared" si="198"/>
        <v>2.4655956029891956E-3</v>
      </c>
      <c r="Z637" s="96">
        <f t="shared" si="194"/>
        <v>0.90350847976375359</v>
      </c>
      <c r="AA637" s="94">
        <f t="shared" si="195"/>
        <v>162935.73585628415</v>
      </c>
      <c r="AB637" s="163">
        <f t="shared" si="197"/>
        <v>2.4655956029891956E-3</v>
      </c>
      <c r="AC637" s="96">
        <f t="shared" si="196"/>
        <v>0.90350847976375359</v>
      </c>
      <c r="AD637" s="94">
        <f t="shared" si="193"/>
        <v>162935.73585628415</v>
      </c>
    </row>
    <row r="638" spans="24:30" x14ac:dyDescent="0.25">
      <c r="X638" s="84">
        <v>381</v>
      </c>
      <c r="Y638" s="104">
        <f t="shared" si="198"/>
        <v>2.4695852398872362E-3</v>
      </c>
      <c r="Z638" s="96">
        <f t="shared" si="194"/>
        <v>0.90379532032522125</v>
      </c>
      <c r="AA638" s="94">
        <f t="shared" si="195"/>
        <v>161968.45684821912</v>
      </c>
      <c r="AB638" s="163">
        <f t="shared" si="197"/>
        <v>2.4695852398872362E-3</v>
      </c>
      <c r="AC638" s="96">
        <f t="shared" si="196"/>
        <v>0.90379532032522125</v>
      </c>
      <c r="AD638" s="94">
        <f t="shared" si="193"/>
        <v>161968.45684821912</v>
      </c>
    </row>
    <row r="639" spans="24:30" x14ac:dyDescent="0.25">
      <c r="X639" s="84">
        <v>380</v>
      </c>
      <c r="Y639" s="104">
        <f t="shared" si="198"/>
        <v>2.4735748767852768E-3</v>
      </c>
      <c r="Z639" s="96">
        <f t="shared" si="194"/>
        <v>0.90408192928429332</v>
      </c>
      <c r="AA639" s="94">
        <f t="shared" si="195"/>
        <v>161004.83507190848</v>
      </c>
      <c r="AB639" s="163">
        <f t="shared" si="197"/>
        <v>2.4735748767852768E-3</v>
      </c>
      <c r="AC639" s="96">
        <f t="shared" si="196"/>
        <v>0.90408192928429332</v>
      </c>
      <c r="AD639" s="94">
        <f t="shared" si="193"/>
        <v>161004.83507190848</v>
      </c>
    </row>
    <row r="640" spans="24:30" x14ac:dyDescent="0.25">
      <c r="X640" s="84">
        <v>379</v>
      </c>
      <c r="Y640" s="104">
        <f t="shared" si="198"/>
        <v>2.4775645136833175E-3</v>
      </c>
      <c r="Z640" s="96">
        <f t="shared" si="194"/>
        <v>0.90436830720107941</v>
      </c>
      <c r="AA640" s="94">
        <f t="shared" si="195"/>
        <v>160044.86168277546</v>
      </c>
      <c r="AB640" s="163">
        <f t="shared" si="197"/>
        <v>2.4775645136833175E-3</v>
      </c>
      <c r="AC640" s="96">
        <f t="shared" si="196"/>
        <v>0.90436830720107941</v>
      </c>
      <c r="AD640" s="94">
        <f t="shared" si="193"/>
        <v>160044.86168277546</v>
      </c>
    </row>
    <row r="641" spans="24:30" x14ac:dyDescent="0.25">
      <c r="X641" s="84">
        <v>378</v>
      </c>
      <c r="Y641" s="104">
        <f t="shared" si="198"/>
        <v>2.4815541505813581E-3</v>
      </c>
      <c r="Z641" s="96">
        <f t="shared" si="194"/>
        <v>0.90465445463342509</v>
      </c>
      <c r="AA641" s="94">
        <f t="shared" si="195"/>
        <v>159088.52787186819</v>
      </c>
      <c r="AB641" s="163">
        <f t="shared" si="197"/>
        <v>2.4815541505813581E-3</v>
      </c>
      <c r="AC641" s="96">
        <f t="shared" si="196"/>
        <v>0.90465445463342509</v>
      </c>
      <c r="AD641" s="94">
        <f t="shared" si="193"/>
        <v>159088.52787186819</v>
      </c>
    </row>
    <row r="642" spans="24:30" x14ac:dyDescent="0.25">
      <c r="X642" s="84">
        <v>377</v>
      </c>
      <c r="Y642" s="104">
        <f t="shared" si="198"/>
        <v>2.4855437874793987E-3</v>
      </c>
      <c r="Z642" s="96">
        <f t="shared" si="194"/>
        <v>0.90494037213694112</v>
      </c>
      <c r="AA642" s="94">
        <f t="shared" si="195"/>
        <v>158135.82486560705</v>
      </c>
      <c r="AB642" s="163">
        <f t="shared" si="197"/>
        <v>2.4855437874793987E-3</v>
      </c>
      <c r="AC642" s="96">
        <f t="shared" si="196"/>
        <v>0.90494037213694112</v>
      </c>
      <c r="AD642" s="94">
        <f t="shared" si="193"/>
        <v>158135.82486560705</v>
      </c>
    </row>
    <row r="643" spans="24:30" x14ac:dyDescent="0.25">
      <c r="X643" s="84">
        <v>376</v>
      </c>
      <c r="Y643" s="104">
        <f t="shared" si="198"/>
        <v>2.4895334243774394E-3</v>
      </c>
      <c r="Z643" s="96">
        <f t="shared" si="194"/>
        <v>0.90522606026500152</v>
      </c>
      <c r="AA643" s="94">
        <f t="shared" si="195"/>
        <v>157186.74392562918</v>
      </c>
      <c r="AB643" s="163">
        <f t="shared" si="197"/>
        <v>2.4895334243774394E-3</v>
      </c>
      <c r="AC643" s="96">
        <f t="shared" si="196"/>
        <v>0.90522606026500152</v>
      </c>
      <c r="AD643" s="94">
        <f t="shared" si="193"/>
        <v>157186.74392562918</v>
      </c>
    </row>
    <row r="644" spans="24:30" x14ac:dyDescent="0.25">
      <c r="X644" s="84">
        <v>375</v>
      </c>
      <c r="Y644" s="104">
        <f t="shared" si="198"/>
        <v>2.49352306127548E-3</v>
      </c>
      <c r="Z644" s="96">
        <f t="shared" si="194"/>
        <v>0.90551151956877474</v>
      </c>
      <c r="AA644" s="94">
        <f t="shared" si="195"/>
        <v>156241.27634853605</v>
      </c>
      <c r="AB644" s="163">
        <f t="shared" si="197"/>
        <v>2.49352306127548E-3</v>
      </c>
      <c r="AC644" s="96">
        <f t="shared" si="196"/>
        <v>0.90551151956877474</v>
      </c>
      <c r="AD644" s="94">
        <f t="shared" si="193"/>
        <v>156241.27634853605</v>
      </c>
    </row>
    <row r="645" spans="24:30" x14ac:dyDescent="0.25">
      <c r="X645" s="84">
        <v>374</v>
      </c>
      <c r="Y645" s="104">
        <f t="shared" si="198"/>
        <v>2.4975126981735206E-3</v>
      </c>
      <c r="Z645" s="96">
        <f t="shared" si="194"/>
        <v>0.90579675059721698</v>
      </c>
      <c r="AA645" s="94">
        <f t="shared" si="195"/>
        <v>155299.41346575151</v>
      </c>
      <c r="AB645" s="163">
        <f t="shared" si="197"/>
        <v>2.4975126981735206E-3</v>
      </c>
      <c r="AC645" s="96">
        <f t="shared" si="196"/>
        <v>0.90579675059721698</v>
      </c>
      <c r="AD645" s="94">
        <f t="shared" si="193"/>
        <v>155299.41346575151</v>
      </c>
    </row>
    <row r="646" spans="24:30" x14ac:dyDescent="0.25">
      <c r="X646" s="84">
        <v>373</v>
      </c>
      <c r="Y646" s="104">
        <f t="shared" si="198"/>
        <v>2.5015023350715613E-3</v>
      </c>
      <c r="Z646" s="96">
        <f t="shared" si="194"/>
        <v>0.906081753897096</v>
      </c>
      <c r="AA646" s="94">
        <f t="shared" si="195"/>
        <v>154361.14664329845</v>
      </c>
      <c r="AB646" s="163">
        <f t="shared" si="197"/>
        <v>2.5015023350715613E-3</v>
      </c>
      <c r="AC646" s="96">
        <f t="shared" si="196"/>
        <v>0.906081753897096</v>
      </c>
      <c r="AD646" s="94">
        <f t="shared" si="193"/>
        <v>154361.14664329845</v>
      </c>
    </row>
    <row r="647" spans="24:30" x14ac:dyDescent="0.25">
      <c r="X647" s="84">
        <v>372</v>
      </c>
      <c r="Y647" s="104">
        <f t="shared" si="198"/>
        <v>2.5054919719696019E-3</v>
      </c>
      <c r="Z647" s="96">
        <f t="shared" si="194"/>
        <v>0.90636653001300027</v>
      </c>
      <c r="AA647" s="94">
        <f t="shared" si="195"/>
        <v>153426.46728161216</v>
      </c>
      <c r="AB647" s="163">
        <f t="shared" si="197"/>
        <v>2.5054919719696019E-3</v>
      </c>
      <c r="AC647" s="96">
        <f t="shared" si="196"/>
        <v>0.90636653001300027</v>
      </c>
      <c r="AD647" s="94">
        <f t="shared" si="193"/>
        <v>153426.46728161216</v>
      </c>
    </row>
    <row r="648" spans="24:30" x14ac:dyDescent="0.25">
      <c r="X648" s="84">
        <v>371</v>
      </c>
      <c r="Y648" s="104">
        <f t="shared" si="198"/>
        <v>2.5094816088676425E-3</v>
      </c>
      <c r="Z648" s="96">
        <f t="shared" si="194"/>
        <v>0.90665107948735058</v>
      </c>
      <c r="AA648" s="94">
        <f t="shared" si="195"/>
        <v>152495.36681534618</v>
      </c>
      <c r="AB648" s="163">
        <f t="shared" si="197"/>
        <v>2.5094816088676425E-3</v>
      </c>
      <c r="AC648" s="96">
        <f t="shared" si="196"/>
        <v>0.90665107948735058</v>
      </c>
      <c r="AD648" s="94">
        <f t="shared" si="193"/>
        <v>152495.36681534618</v>
      </c>
    </row>
    <row r="649" spans="24:30" x14ac:dyDescent="0.25">
      <c r="X649" s="84">
        <v>370</v>
      </c>
      <c r="Y649" s="104">
        <f t="shared" si="198"/>
        <v>2.5134712457656832E-3</v>
      </c>
      <c r="Z649" s="96">
        <f t="shared" si="194"/>
        <v>0.90693540286041585</v>
      </c>
      <c r="AA649" s="94">
        <f t="shared" si="195"/>
        <v>151567.83671317983</v>
      </c>
      <c r="AB649" s="163">
        <f t="shared" si="197"/>
        <v>2.5134712457656832E-3</v>
      </c>
      <c r="AC649" s="96">
        <f t="shared" si="196"/>
        <v>0.90693540286041585</v>
      </c>
      <c r="AD649" s="94">
        <f t="shared" si="193"/>
        <v>151567.83671317983</v>
      </c>
    </row>
    <row r="650" spans="24:30" x14ac:dyDescent="0.25">
      <c r="X650" s="84">
        <v>369</v>
      </c>
      <c r="Y650" s="104">
        <f t="shared" si="198"/>
        <v>2.5174608826637238E-3</v>
      </c>
      <c r="Z650" s="96">
        <f t="shared" si="194"/>
        <v>0.90721950067031754</v>
      </c>
      <c r="AA650" s="94">
        <f t="shared" si="195"/>
        <v>150643.86847764152</v>
      </c>
      <c r="AB650" s="163">
        <f t="shared" si="197"/>
        <v>2.5174608826637238E-3</v>
      </c>
      <c r="AC650" s="96">
        <f t="shared" si="196"/>
        <v>0.90721950067031754</v>
      </c>
      <c r="AD650" s="94">
        <f t="shared" si="193"/>
        <v>150643.86847764152</v>
      </c>
    </row>
    <row r="651" spans="24:30" x14ac:dyDescent="0.25">
      <c r="X651" s="84">
        <v>368</v>
      </c>
      <c r="Y651" s="104">
        <f t="shared" si="198"/>
        <v>2.5214505195617644E-3</v>
      </c>
      <c r="Z651" s="96">
        <f t="shared" si="194"/>
        <v>0.90750337345304832</v>
      </c>
      <c r="AA651" s="94">
        <f t="shared" si="195"/>
        <v>149723.45364490856</v>
      </c>
      <c r="AB651" s="163">
        <f t="shared" si="197"/>
        <v>2.5214505195617644E-3</v>
      </c>
      <c r="AC651" s="96">
        <f t="shared" si="196"/>
        <v>0.90750337345304832</v>
      </c>
      <c r="AD651" s="94">
        <f t="shared" si="193"/>
        <v>149723.45364490856</v>
      </c>
    </row>
    <row r="652" spans="24:30" x14ac:dyDescent="0.25">
      <c r="X652" s="84">
        <v>367</v>
      </c>
      <c r="Y652" s="104">
        <f t="shared" si="198"/>
        <v>2.5254401564598051E-3</v>
      </c>
      <c r="Z652" s="96">
        <f t="shared" si="194"/>
        <v>0.90778702174247872</v>
      </c>
      <c r="AA652" s="94">
        <f t="shared" si="195"/>
        <v>148806.58378463617</v>
      </c>
      <c r="AB652" s="163">
        <f t="shared" si="197"/>
        <v>2.5254401564598051E-3</v>
      </c>
      <c r="AC652" s="96">
        <f t="shared" si="196"/>
        <v>0.90778702174247872</v>
      </c>
      <c r="AD652" s="94">
        <f t="shared" si="193"/>
        <v>148806.58378463617</v>
      </c>
    </row>
    <row r="653" spans="24:30" x14ac:dyDescent="0.25">
      <c r="X653" s="84">
        <v>366</v>
      </c>
      <c r="Y653" s="104">
        <f t="shared" si="198"/>
        <v>2.5294297933578457E-3</v>
      </c>
      <c r="Z653" s="96">
        <f t="shared" si="194"/>
        <v>0.90807044607037712</v>
      </c>
      <c r="AA653" s="94">
        <f t="shared" si="195"/>
        <v>147893.25049973992</v>
      </c>
      <c r="AB653" s="163">
        <f t="shared" si="197"/>
        <v>2.5294297933578457E-3</v>
      </c>
      <c r="AC653" s="96">
        <f t="shared" si="196"/>
        <v>0.90807044607037712</v>
      </c>
      <c r="AD653" s="94">
        <f t="shared" si="193"/>
        <v>147893.25049973992</v>
      </c>
    </row>
    <row r="654" spans="24:30" x14ac:dyDescent="0.25">
      <c r="X654" s="84">
        <v>365</v>
      </c>
      <c r="Y654" s="104">
        <f t="shared" si="198"/>
        <v>2.5334194302558863E-3</v>
      </c>
      <c r="Z654" s="96">
        <f t="shared" si="194"/>
        <v>0.9083536469664103</v>
      </c>
      <c r="AA654" s="94">
        <f t="shared" si="195"/>
        <v>146983.44542625395</v>
      </c>
      <c r="AB654" s="163">
        <f t="shared" si="197"/>
        <v>2.5334194302558863E-3</v>
      </c>
      <c r="AC654" s="96">
        <f t="shared" si="196"/>
        <v>0.9083536469664103</v>
      </c>
      <c r="AD654" s="94">
        <f t="shared" si="193"/>
        <v>146983.44542625395</v>
      </c>
    </row>
    <row r="655" spans="24:30" x14ac:dyDescent="0.25">
      <c r="X655" s="84">
        <v>364</v>
      </c>
      <c r="Y655" s="104">
        <f t="shared" si="198"/>
        <v>2.537409067153927E-3</v>
      </c>
      <c r="Z655" s="96">
        <f t="shared" si="194"/>
        <v>0.90863662495816444</v>
      </c>
      <c r="AA655" s="94">
        <f t="shared" si="195"/>
        <v>146077.16023311517</v>
      </c>
      <c r="AB655" s="163">
        <f t="shared" si="197"/>
        <v>2.537409067153927E-3</v>
      </c>
      <c r="AC655" s="96">
        <f t="shared" si="196"/>
        <v>0.90863662495816444</v>
      </c>
      <c r="AD655" s="94">
        <f t="shared" si="193"/>
        <v>146077.16023311517</v>
      </c>
    </row>
    <row r="656" spans="24:30" x14ac:dyDescent="0.25">
      <c r="X656" s="84">
        <v>363</v>
      </c>
      <c r="Y656" s="104">
        <f t="shared" si="198"/>
        <v>2.5413987040519676E-3</v>
      </c>
      <c r="Z656" s="96">
        <f t="shared" si="194"/>
        <v>0.90891938057114841</v>
      </c>
      <c r="AA656" s="94">
        <f t="shared" si="195"/>
        <v>145174.38662200791</v>
      </c>
      <c r="AB656" s="163">
        <f t="shared" si="197"/>
        <v>2.5413987040519676E-3</v>
      </c>
      <c r="AC656" s="96">
        <f t="shared" si="196"/>
        <v>0.90891938057114841</v>
      </c>
      <c r="AD656" s="94">
        <f t="shared" si="193"/>
        <v>145174.38662200791</v>
      </c>
    </row>
    <row r="657" spans="24:30" x14ac:dyDescent="0.25">
      <c r="X657" s="84">
        <v>362</v>
      </c>
      <c r="Y657" s="104">
        <f t="shared" si="198"/>
        <v>2.5453883409500082E-3</v>
      </c>
      <c r="Z657" s="96">
        <f t="shared" si="194"/>
        <v>0.90920191432881559</v>
      </c>
      <c r="AA657" s="94">
        <f t="shared" si="195"/>
        <v>144275.11632715608</v>
      </c>
      <c r="AB657" s="163">
        <f t="shared" si="197"/>
        <v>2.5453883409500082E-3</v>
      </c>
      <c r="AC657" s="96">
        <f t="shared" si="196"/>
        <v>0.90920191432881559</v>
      </c>
      <c r="AD657" s="94">
        <f t="shared" si="193"/>
        <v>144275.11632715608</v>
      </c>
    </row>
    <row r="658" spans="24:30" x14ac:dyDescent="0.25">
      <c r="X658" s="84">
        <v>361</v>
      </c>
      <c r="Y658" s="104">
        <f t="shared" si="198"/>
        <v>2.5493779778480489E-3</v>
      </c>
      <c r="Z658" s="96">
        <f t="shared" si="194"/>
        <v>0.90948422675256102</v>
      </c>
      <c r="AA658" s="94">
        <f t="shared" si="195"/>
        <v>143379.34111518128</v>
      </c>
      <c r="AB658" s="163">
        <f t="shared" si="197"/>
        <v>2.5493779778480489E-3</v>
      </c>
      <c r="AC658" s="96">
        <f t="shared" si="196"/>
        <v>0.90948422675256102</v>
      </c>
      <c r="AD658" s="94">
        <f t="shared" si="193"/>
        <v>143379.34111518128</v>
      </c>
    </row>
    <row r="659" spans="24:30" x14ac:dyDescent="0.25">
      <c r="X659" s="84">
        <v>360</v>
      </c>
      <c r="Y659" s="104">
        <f t="shared" si="198"/>
        <v>2.5533676147460895E-3</v>
      </c>
      <c r="Z659" s="96">
        <f t="shared" si="194"/>
        <v>0.90976631836175081</v>
      </c>
      <c r="AA659" s="94">
        <f t="shared" si="195"/>
        <v>142487.05278487541</v>
      </c>
      <c r="AB659" s="163">
        <f t="shared" si="197"/>
        <v>2.5533676147460895E-3</v>
      </c>
      <c r="AC659" s="96">
        <f t="shared" si="196"/>
        <v>0.90976631836175081</v>
      </c>
      <c r="AD659" s="94">
        <f t="shared" ref="AD659:AD722" si="199">IF(AC659&lt;1,X$14*((1-ropt)-Y$14*(1-ropt^2)+Z$14*(1-ropt^3)),0)</f>
        <v>142487.05278487541</v>
      </c>
    </row>
    <row r="660" spans="24:30" x14ac:dyDescent="0.25">
      <c r="X660" s="84">
        <v>359</v>
      </c>
      <c r="Y660" s="104">
        <f t="shared" si="198"/>
        <v>2.5573572516441301E-3</v>
      </c>
      <c r="Z660" s="96">
        <f t="shared" ref="Z660:Z723" si="200">(K-(L0-Y660*Ldif-alph*Y660^0.5))/R0</f>
        <v>0.91004818967371193</v>
      </c>
      <c r="AA660" s="94">
        <f t="shared" ref="AA660:AA723" si="201">IF(Z660&lt;1,X$14*((1-r.1)-Y$14*(1-r.1^2)+Z$14*(1-r.1^3)),0)</f>
        <v>141598.24316708816</v>
      </c>
      <c r="AB660" s="163">
        <f t="shared" si="197"/>
        <v>2.5573572516441301E-3</v>
      </c>
      <c r="AC660" s="96">
        <f t="shared" ref="AC660:AC723" si="202">(Kopt-(L0-AB660*Ldif-alph*AB660^0.5))/R0</f>
        <v>0.91004818967371193</v>
      </c>
      <c r="AD660" s="94">
        <f t="shared" si="199"/>
        <v>141598.24316708816</v>
      </c>
    </row>
    <row r="661" spans="24:30" x14ac:dyDescent="0.25">
      <c r="X661" s="84">
        <v>358</v>
      </c>
      <c r="Y661" s="104">
        <f t="shared" si="198"/>
        <v>2.5613468885421708E-3</v>
      </c>
      <c r="Z661" s="96">
        <f t="shared" si="200"/>
        <v>0.91032984120376292</v>
      </c>
      <c r="AA661" s="94">
        <f t="shared" si="201"/>
        <v>140712.90412449176</v>
      </c>
      <c r="AB661" s="163">
        <f t="shared" ref="AB661:AB724" si="203">AB660+AB$15</f>
        <v>2.5613468885421708E-3</v>
      </c>
      <c r="AC661" s="96">
        <f t="shared" si="202"/>
        <v>0.91032984120376292</v>
      </c>
      <c r="AD661" s="94">
        <f t="shared" si="199"/>
        <v>140712.90412449176</v>
      </c>
    </row>
    <row r="662" spans="24:30" x14ac:dyDescent="0.25">
      <c r="X662" s="84">
        <v>357</v>
      </c>
      <c r="Y662" s="104">
        <f t="shared" si="198"/>
        <v>2.5653365254402114E-3</v>
      </c>
      <c r="Z662" s="96">
        <f t="shared" si="200"/>
        <v>0.91061127346521231</v>
      </c>
      <c r="AA662" s="94">
        <f t="shared" si="201"/>
        <v>139831.02755144308</v>
      </c>
      <c r="AB662" s="163">
        <f t="shared" si="203"/>
        <v>2.5653365254402114E-3</v>
      </c>
      <c r="AC662" s="96">
        <f t="shared" si="202"/>
        <v>0.91061127346521231</v>
      </c>
      <c r="AD662" s="94">
        <f t="shared" si="199"/>
        <v>139831.02755144308</v>
      </c>
    </row>
    <row r="663" spans="24:30" x14ac:dyDescent="0.25">
      <c r="X663" s="84">
        <v>356</v>
      </c>
      <c r="Y663" s="104">
        <f t="shared" si="198"/>
        <v>2.569326162338252E-3</v>
      </c>
      <c r="Z663" s="96">
        <f t="shared" si="200"/>
        <v>0.91089248696937686</v>
      </c>
      <c r="AA663" s="94">
        <f t="shared" si="201"/>
        <v>138952.60537379721</v>
      </c>
      <c r="AB663" s="163">
        <f t="shared" si="203"/>
        <v>2.569326162338252E-3</v>
      </c>
      <c r="AC663" s="96">
        <f t="shared" si="202"/>
        <v>0.91089248696937686</v>
      </c>
      <c r="AD663" s="94">
        <f t="shared" si="199"/>
        <v>138952.60537379721</v>
      </c>
    </row>
    <row r="664" spans="24:30" x14ac:dyDescent="0.25">
      <c r="X664" s="84">
        <v>355</v>
      </c>
      <c r="Y664" s="104">
        <f t="shared" si="198"/>
        <v>2.5733157992362927E-3</v>
      </c>
      <c r="Z664" s="96">
        <f t="shared" si="200"/>
        <v>0.91117348222558203</v>
      </c>
      <c r="AA664" s="94">
        <f t="shared" si="201"/>
        <v>138077.62954875766</v>
      </c>
      <c r="AB664" s="163">
        <f t="shared" si="203"/>
        <v>2.5733157992362927E-3</v>
      </c>
      <c r="AC664" s="96">
        <f t="shared" si="202"/>
        <v>0.91117348222558203</v>
      </c>
      <c r="AD664" s="94">
        <f t="shared" si="199"/>
        <v>138077.62954875766</v>
      </c>
    </row>
    <row r="665" spans="24:30" x14ac:dyDescent="0.25">
      <c r="X665" s="84">
        <v>354</v>
      </c>
      <c r="Y665" s="104">
        <f t="shared" si="198"/>
        <v>2.5773054361343333E-3</v>
      </c>
      <c r="Z665" s="96">
        <f t="shared" si="200"/>
        <v>0.91145425974119265</v>
      </c>
      <c r="AA665" s="94">
        <f t="shared" si="201"/>
        <v>137206.09206465314</v>
      </c>
      <c r="AB665" s="163">
        <f t="shared" si="203"/>
        <v>2.5773054361343333E-3</v>
      </c>
      <c r="AC665" s="96">
        <f t="shared" si="202"/>
        <v>0.91145425974119265</v>
      </c>
      <c r="AD665" s="94">
        <f t="shared" si="199"/>
        <v>137206.09206465314</v>
      </c>
    </row>
    <row r="666" spans="24:30" x14ac:dyDescent="0.25">
      <c r="X666" s="84">
        <v>353</v>
      </c>
      <c r="Y666" s="104">
        <f t="shared" si="198"/>
        <v>2.5812950730323739E-3</v>
      </c>
      <c r="Z666" s="96">
        <f t="shared" si="200"/>
        <v>0.91173482002159489</v>
      </c>
      <c r="AA666" s="94">
        <f t="shared" si="201"/>
        <v>136337.9849408539</v>
      </c>
      <c r="AB666" s="163">
        <f t="shared" si="203"/>
        <v>2.5812950730323739E-3</v>
      </c>
      <c r="AC666" s="96">
        <f t="shared" si="202"/>
        <v>0.91173482002159489</v>
      </c>
      <c r="AD666" s="94">
        <f t="shared" si="199"/>
        <v>136337.9849408539</v>
      </c>
    </row>
    <row r="667" spans="24:30" x14ac:dyDescent="0.25">
      <c r="X667" s="84">
        <v>352</v>
      </c>
      <c r="Y667" s="104">
        <f t="shared" si="198"/>
        <v>2.5852847099304146E-3</v>
      </c>
      <c r="Z667" s="96">
        <f t="shared" si="200"/>
        <v>0.91201516357023693</v>
      </c>
      <c r="AA667" s="94">
        <f t="shared" si="201"/>
        <v>135473.30022751327</v>
      </c>
      <c r="AB667" s="163">
        <f t="shared" si="203"/>
        <v>2.5852847099304146E-3</v>
      </c>
      <c r="AC667" s="96">
        <f t="shared" si="202"/>
        <v>0.91201516357023693</v>
      </c>
      <c r="AD667" s="94">
        <f t="shared" si="199"/>
        <v>135473.30022751327</v>
      </c>
    </row>
    <row r="668" spans="24:30" x14ac:dyDescent="0.25">
      <c r="X668" s="84">
        <v>351</v>
      </c>
      <c r="Y668" s="104">
        <f t="shared" si="198"/>
        <v>2.5892743468284552E-3</v>
      </c>
      <c r="Z668" s="96">
        <f t="shared" si="200"/>
        <v>0.9122952908886155</v>
      </c>
      <c r="AA668" s="94">
        <f t="shared" si="201"/>
        <v>134612.0300054707</v>
      </c>
      <c r="AB668" s="163">
        <f t="shared" si="203"/>
        <v>2.5892743468284552E-3</v>
      </c>
      <c r="AC668" s="96">
        <f t="shared" si="202"/>
        <v>0.9122952908886155</v>
      </c>
      <c r="AD668" s="94">
        <f t="shared" si="199"/>
        <v>134612.0300054707</v>
      </c>
    </row>
    <row r="669" spans="24:30" x14ac:dyDescent="0.25">
      <c r="X669" s="84">
        <v>350</v>
      </c>
      <c r="Y669" s="104">
        <f t="shared" si="198"/>
        <v>2.5932639837264958E-3</v>
      </c>
      <c r="Z669" s="96">
        <f t="shared" si="200"/>
        <v>0.91257520247630586</v>
      </c>
      <c r="AA669" s="94">
        <f t="shared" si="201"/>
        <v>133754.16638603201</v>
      </c>
      <c r="AB669" s="163">
        <f t="shared" si="203"/>
        <v>2.5932639837264958E-3</v>
      </c>
      <c r="AC669" s="96">
        <f t="shared" si="202"/>
        <v>0.91257520247630586</v>
      </c>
      <c r="AD669" s="94">
        <f t="shared" si="199"/>
        <v>133754.16638603201</v>
      </c>
    </row>
    <row r="670" spans="24:30" x14ac:dyDescent="0.25">
      <c r="X670" s="84">
        <v>349</v>
      </c>
      <c r="Y670" s="104">
        <f t="shared" si="198"/>
        <v>2.5972536206245365E-3</v>
      </c>
      <c r="Z670" s="96">
        <f t="shared" si="200"/>
        <v>0.9128548988309525</v>
      </c>
      <c r="AA670" s="94">
        <f t="shared" si="201"/>
        <v>132899.70151086076</v>
      </c>
      <c r="AB670" s="163">
        <f t="shared" si="203"/>
        <v>2.5972536206245365E-3</v>
      </c>
      <c r="AC670" s="96">
        <f t="shared" si="202"/>
        <v>0.9128548988309525</v>
      </c>
      <c r="AD670" s="94">
        <f t="shared" si="199"/>
        <v>132899.70151086076</v>
      </c>
    </row>
    <row r="671" spans="24:30" x14ac:dyDescent="0.25">
      <c r="X671" s="84">
        <v>348</v>
      </c>
      <c r="Y671" s="104">
        <f t="shared" si="198"/>
        <v>2.6012432575225771E-3</v>
      </c>
      <c r="Z671" s="96">
        <f t="shared" si="200"/>
        <v>0.91313438044829354</v>
      </c>
      <c r="AA671" s="94">
        <f t="shared" si="201"/>
        <v>132048.62755178186</v>
      </c>
      <c r="AB671" s="163">
        <f t="shared" si="203"/>
        <v>2.6012432575225771E-3</v>
      </c>
      <c r="AC671" s="96">
        <f t="shared" si="202"/>
        <v>0.91313438044829354</v>
      </c>
      <c r="AD671" s="94">
        <f t="shared" si="199"/>
        <v>132048.62755178186</v>
      </c>
    </row>
    <row r="672" spans="24:30" x14ac:dyDescent="0.25">
      <c r="X672" s="84">
        <v>347</v>
      </c>
      <c r="Y672" s="104">
        <f t="shared" ref="Y672:Y735" si="204">Y671+Y$16</f>
        <v>2.6052328944206177E-3</v>
      </c>
      <c r="Z672" s="96">
        <f t="shared" si="200"/>
        <v>0.91341364782217083</v>
      </c>
      <c r="AA672" s="94">
        <f t="shared" si="201"/>
        <v>131200.93671060292</v>
      </c>
      <c r="AB672" s="163">
        <f t="shared" si="203"/>
        <v>2.6052328944206177E-3</v>
      </c>
      <c r="AC672" s="96">
        <f t="shared" si="202"/>
        <v>0.91341364782217083</v>
      </c>
      <c r="AD672" s="94">
        <f t="shared" si="199"/>
        <v>131200.93671060292</v>
      </c>
    </row>
    <row r="673" spans="24:30" x14ac:dyDescent="0.25">
      <c r="X673" s="84">
        <v>346</v>
      </c>
      <c r="Y673" s="104">
        <f t="shared" si="204"/>
        <v>2.6092225313186584E-3</v>
      </c>
      <c r="Z673" s="96">
        <f t="shared" si="200"/>
        <v>0.91369270144453074</v>
      </c>
      <c r="AA673" s="94">
        <f t="shared" si="201"/>
        <v>130356.62121900162</v>
      </c>
      <c r="AB673" s="163">
        <f t="shared" si="203"/>
        <v>2.6092225313186584E-3</v>
      </c>
      <c r="AC673" s="96">
        <f t="shared" si="202"/>
        <v>0.91369270144453074</v>
      </c>
      <c r="AD673" s="94">
        <f t="shared" si="199"/>
        <v>130356.62121900162</v>
      </c>
    </row>
    <row r="674" spans="24:30" x14ac:dyDescent="0.25">
      <c r="X674" s="84">
        <v>345</v>
      </c>
      <c r="Y674" s="104">
        <f t="shared" si="204"/>
        <v>2.613212168216699E-3</v>
      </c>
      <c r="Z674" s="96">
        <f t="shared" si="200"/>
        <v>0.91397154180544216</v>
      </c>
      <c r="AA674" s="94">
        <f t="shared" si="201"/>
        <v>129515.67333832351</v>
      </c>
      <c r="AB674" s="163">
        <f t="shared" si="203"/>
        <v>2.613212168216699E-3</v>
      </c>
      <c r="AC674" s="96">
        <f t="shared" si="202"/>
        <v>0.91397154180544216</v>
      </c>
      <c r="AD674" s="94">
        <f t="shared" si="199"/>
        <v>129515.67333832351</v>
      </c>
    </row>
    <row r="675" spans="24:30" x14ac:dyDescent="0.25">
      <c r="X675" s="84">
        <v>344</v>
      </c>
      <c r="Y675" s="104">
        <f t="shared" si="204"/>
        <v>2.6172018051147396E-3</v>
      </c>
      <c r="Z675" s="96">
        <f t="shared" si="200"/>
        <v>0.91425016939310333</v>
      </c>
      <c r="AA675" s="94">
        <f t="shared" si="201"/>
        <v>128678.08535944993</v>
      </c>
      <c r="AB675" s="163">
        <f t="shared" si="203"/>
        <v>2.6172018051147396E-3</v>
      </c>
      <c r="AC675" s="96">
        <f t="shared" si="202"/>
        <v>0.91425016939310333</v>
      </c>
      <c r="AD675" s="94">
        <f t="shared" si="199"/>
        <v>128678.08535944993</v>
      </c>
    </row>
    <row r="676" spans="24:30" x14ac:dyDescent="0.25">
      <c r="X676" s="84">
        <v>343</v>
      </c>
      <c r="Y676" s="104">
        <f t="shared" si="204"/>
        <v>2.6211914420127803E-3</v>
      </c>
      <c r="Z676" s="96">
        <f t="shared" si="200"/>
        <v>0.91452858469385778</v>
      </c>
      <c r="AA676" s="94">
        <f t="shared" si="201"/>
        <v>127843.84960261355</v>
      </c>
      <c r="AB676" s="163">
        <f t="shared" si="203"/>
        <v>2.6211914420127803E-3</v>
      </c>
      <c r="AC676" s="96">
        <f t="shared" si="202"/>
        <v>0.91452858469385778</v>
      </c>
      <c r="AD676" s="94">
        <f t="shared" si="199"/>
        <v>127843.84960261355</v>
      </c>
    </row>
    <row r="677" spans="24:30" x14ac:dyDescent="0.25">
      <c r="X677" s="84">
        <v>342</v>
      </c>
      <c r="Y677" s="104">
        <f t="shared" si="204"/>
        <v>2.6251810789108209E-3</v>
      </c>
      <c r="Z677" s="96">
        <f t="shared" si="200"/>
        <v>0.91480678819218875</v>
      </c>
      <c r="AA677" s="94">
        <f t="shared" si="201"/>
        <v>127012.95841728552</v>
      </c>
      <c r="AB677" s="163">
        <f t="shared" si="203"/>
        <v>2.6251810789108209E-3</v>
      </c>
      <c r="AC677" s="96">
        <f t="shared" si="202"/>
        <v>0.91480678819218875</v>
      </c>
      <c r="AD677" s="94">
        <f t="shared" si="199"/>
        <v>127012.95841728552</v>
      </c>
    </row>
    <row r="678" spans="24:30" x14ac:dyDescent="0.25">
      <c r="X678" s="84">
        <v>341</v>
      </c>
      <c r="Y678" s="104">
        <f t="shared" si="204"/>
        <v>2.6291707158088615E-3</v>
      </c>
      <c r="Z678" s="96">
        <f t="shared" si="200"/>
        <v>0.91508478037075203</v>
      </c>
      <c r="AA678" s="94">
        <f t="shared" si="201"/>
        <v>126185.40418195992</v>
      </c>
      <c r="AB678" s="163">
        <f t="shared" si="203"/>
        <v>2.6291707158088615E-3</v>
      </c>
      <c r="AC678" s="96">
        <f t="shared" si="202"/>
        <v>0.91508478037075203</v>
      </c>
      <c r="AD678" s="94">
        <f t="shared" si="199"/>
        <v>126185.40418195992</v>
      </c>
    </row>
    <row r="679" spans="24:30" x14ac:dyDescent="0.25">
      <c r="X679" s="84">
        <v>340</v>
      </c>
      <c r="Y679" s="104">
        <f t="shared" si="204"/>
        <v>2.6331603527069022E-3</v>
      </c>
      <c r="Z679" s="96">
        <f t="shared" si="200"/>
        <v>0.91536256171035957</v>
      </c>
      <c r="AA679" s="94">
        <f t="shared" si="201"/>
        <v>125361.17930407211</v>
      </c>
      <c r="AB679" s="163">
        <f t="shared" si="203"/>
        <v>2.6331603527069022E-3</v>
      </c>
      <c r="AC679" s="96">
        <f t="shared" si="202"/>
        <v>0.91536256171035957</v>
      </c>
      <c r="AD679" s="94">
        <f t="shared" si="199"/>
        <v>125361.17930407211</v>
      </c>
    </row>
    <row r="680" spans="24:30" x14ac:dyDescent="0.25">
      <c r="X680" s="84">
        <v>339</v>
      </c>
      <c r="Y680" s="104">
        <f t="shared" si="204"/>
        <v>2.6371499896049428E-3</v>
      </c>
      <c r="Z680" s="96">
        <f t="shared" si="200"/>
        <v>0.91564013269001476</v>
      </c>
      <c r="AA680" s="94">
        <f t="shared" si="201"/>
        <v>124540.27621977146</v>
      </c>
      <c r="AB680" s="163">
        <f t="shared" si="203"/>
        <v>2.6371499896049428E-3</v>
      </c>
      <c r="AC680" s="96">
        <f t="shared" si="202"/>
        <v>0.91564013269001476</v>
      </c>
      <c r="AD680" s="94">
        <f t="shared" si="199"/>
        <v>124540.27621977146</v>
      </c>
    </row>
    <row r="681" spans="24:30" x14ac:dyDescent="0.25">
      <c r="X681" s="84">
        <v>338</v>
      </c>
      <c r="Y681" s="104">
        <f t="shared" si="204"/>
        <v>2.6411396265029834E-3</v>
      </c>
      <c r="Z681" s="96">
        <f t="shared" si="200"/>
        <v>0.91591749378690179</v>
      </c>
      <c r="AA681" s="94">
        <f t="shared" si="201"/>
        <v>123722.6873938241</v>
      </c>
      <c r="AB681" s="163">
        <f t="shared" si="203"/>
        <v>2.6411396265029834E-3</v>
      </c>
      <c r="AC681" s="96">
        <f t="shared" si="202"/>
        <v>0.91591749378690179</v>
      </c>
      <c r="AD681" s="94">
        <f t="shared" si="199"/>
        <v>123722.6873938241</v>
      </c>
    </row>
    <row r="682" spans="24:30" x14ac:dyDescent="0.25">
      <c r="X682" s="84">
        <v>337</v>
      </c>
      <c r="Y682" s="104">
        <f t="shared" si="204"/>
        <v>2.6451292634010241E-3</v>
      </c>
      <c r="Z682" s="96">
        <f t="shared" si="200"/>
        <v>0.91619464547641094</v>
      </c>
      <c r="AA682" s="94">
        <f t="shared" si="201"/>
        <v>122908.40531942851</v>
      </c>
      <c r="AB682" s="163">
        <f t="shared" si="203"/>
        <v>2.6451292634010241E-3</v>
      </c>
      <c r="AC682" s="96">
        <f t="shared" si="202"/>
        <v>0.91619464547641094</v>
      </c>
      <c r="AD682" s="94">
        <f t="shared" si="199"/>
        <v>122908.40531942851</v>
      </c>
    </row>
    <row r="683" spans="24:30" x14ac:dyDescent="0.25">
      <c r="X683" s="84">
        <v>336</v>
      </c>
      <c r="Y683" s="104">
        <f t="shared" si="204"/>
        <v>2.6491189002990647E-3</v>
      </c>
      <c r="Z683" s="96">
        <f t="shared" si="200"/>
        <v>0.91647158823213026</v>
      </c>
      <c r="AA683" s="94">
        <f t="shared" si="201"/>
        <v>122097.42251809877</v>
      </c>
      <c r="AB683" s="163">
        <f t="shared" si="203"/>
        <v>2.6491189002990647E-3</v>
      </c>
      <c r="AC683" s="96">
        <f t="shared" si="202"/>
        <v>0.91647158823213026</v>
      </c>
      <c r="AD683" s="94">
        <f t="shared" si="199"/>
        <v>122097.42251809877</v>
      </c>
    </row>
    <row r="684" spans="24:30" x14ac:dyDescent="0.25">
      <c r="X684" s="84">
        <v>335</v>
      </c>
      <c r="Y684" s="104">
        <f t="shared" si="204"/>
        <v>2.6531085371971053E-3</v>
      </c>
      <c r="Z684" s="96">
        <f t="shared" si="200"/>
        <v>0.91674832252587646</v>
      </c>
      <c r="AA684" s="94">
        <f t="shared" si="201"/>
        <v>121289.73153947039</v>
      </c>
      <c r="AB684" s="163">
        <f t="shared" si="203"/>
        <v>2.6531085371971053E-3</v>
      </c>
      <c r="AC684" s="96">
        <f t="shared" si="202"/>
        <v>0.91674832252587646</v>
      </c>
      <c r="AD684" s="94">
        <f t="shared" si="199"/>
        <v>121289.73153947039</v>
      </c>
    </row>
    <row r="685" spans="24:30" x14ac:dyDescent="0.25">
      <c r="X685" s="84">
        <v>334</v>
      </c>
      <c r="Y685" s="104">
        <f t="shared" si="204"/>
        <v>2.657098174095146E-3</v>
      </c>
      <c r="Z685" s="96">
        <f t="shared" si="200"/>
        <v>0.91702484882768676</v>
      </c>
      <c r="AA685" s="94">
        <f t="shared" si="201"/>
        <v>120485.32496119343</v>
      </c>
      <c r="AB685" s="163">
        <f t="shared" si="203"/>
        <v>2.657098174095146E-3</v>
      </c>
      <c r="AC685" s="96">
        <f t="shared" si="202"/>
        <v>0.91702484882768676</v>
      </c>
      <c r="AD685" s="94">
        <f t="shared" si="199"/>
        <v>120485.32496119343</v>
      </c>
    </row>
    <row r="686" spans="24:30" x14ac:dyDescent="0.25">
      <c r="X686" s="84">
        <v>333</v>
      </c>
      <c r="Y686" s="104">
        <f t="shared" si="204"/>
        <v>2.6610878109931866E-3</v>
      </c>
      <c r="Z686" s="96">
        <f t="shared" si="200"/>
        <v>0.91730116760583547</v>
      </c>
      <c r="AA686" s="94">
        <f t="shared" si="201"/>
        <v>119684.19538876732</v>
      </c>
      <c r="AB686" s="163">
        <f t="shared" si="203"/>
        <v>2.6610878109931866E-3</v>
      </c>
      <c r="AC686" s="96">
        <f t="shared" si="202"/>
        <v>0.91730116760583547</v>
      </c>
      <c r="AD686" s="94">
        <f t="shared" si="199"/>
        <v>119684.19538876732</v>
      </c>
    </row>
    <row r="687" spans="24:30" x14ac:dyDescent="0.25">
      <c r="X687" s="84">
        <v>332</v>
      </c>
      <c r="Y687" s="104">
        <f t="shared" si="204"/>
        <v>2.6650774478912272E-3</v>
      </c>
      <c r="Z687" s="96">
        <f t="shared" si="200"/>
        <v>0.91757727932684263</v>
      </c>
      <c r="AA687" s="94">
        <f t="shared" si="201"/>
        <v>118886.3354553932</v>
      </c>
      <c r="AB687" s="163">
        <f t="shared" si="203"/>
        <v>2.6650774478912272E-3</v>
      </c>
      <c r="AC687" s="96">
        <f t="shared" si="202"/>
        <v>0.91757727932684263</v>
      </c>
      <c r="AD687" s="94">
        <f t="shared" si="199"/>
        <v>118886.3354553932</v>
      </c>
    </row>
    <row r="688" spans="24:30" x14ac:dyDescent="0.25">
      <c r="X688" s="84">
        <v>331</v>
      </c>
      <c r="Y688" s="104">
        <f t="shared" si="204"/>
        <v>2.6690670847892678E-3</v>
      </c>
      <c r="Z688" s="96">
        <f t="shared" si="200"/>
        <v>0.91785318445548592</v>
      </c>
      <c r="AA688" s="94">
        <f t="shared" si="201"/>
        <v>118091.73782182827</v>
      </c>
      <c r="AB688" s="163">
        <f t="shared" si="203"/>
        <v>2.6690670847892678E-3</v>
      </c>
      <c r="AC688" s="96">
        <f t="shared" si="202"/>
        <v>0.91785318445548592</v>
      </c>
      <c r="AD688" s="94">
        <f t="shared" si="199"/>
        <v>118091.73782182827</v>
      </c>
    </row>
    <row r="689" spans="24:30" x14ac:dyDescent="0.25">
      <c r="X689" s="84">
        <v>330</v>
      </c>
      <c r="Y689" s="104">
        <f t="shared" si="204"/>
        <v>2.6730567216873085E-3</v>
      </c>
      <c r="Z689" s="96">
        <f t="shared" si="200"/>
        <v>0.91812888345479882</v>
      </c>
      <c r="AA689" s="94">
        <f t="shared" si="201"/>
        <v>117300.39517626331</v>
      </c>
      <c r="AB689" s="163">
        <f t="shared" si="203"/>
        <v>2.6730567216873085E-3</v>
      </c>
      <c r="AC689" s="96">
        <f t="shared" si="202"/>
        <v>0.91812888345479882</v>
      </c>
      <c r="AD689" s="94">
        <f t="shared" si="199"/>
        <v>117300.39517626331</v>
      </c>
    </row>
    <row r="690" spans="24:30" x14ac:dyDescent="0.25">
      <c r="X690" s="84">
        <v>329</v>
      </c>
      <c r="Y690" s="104">
        <f t="shared" si="204"/>
        <v>2.6770463585853491E-3</v>
      </c>
      <c r="Z690" s="96">
        <f t="shared" si="200"/>
        <v>0.9184043767860981</v>
      </c>
      <c r="AA690" s="94">
        <f t="shared" si="201"/>
        <v>116512.30023413814</v>
      </c>
      <c r="AB690" s="163">
        <f t="shared" si="203"/>
        <v>2.6770463585853491E-3</v>
      </c>
      <c r="AC690" s="96">
        <f t="shared" si="202"/>
        <v>0.9184043767860981</v>
      </c>
      <c r="AD690" s="94">
        <f t="shared" si="199"/>
        <v>116512.30023413814</v>
      </c>
    </row>
    <row r="691" spans="24:30" x14ac:dyDescent="0.25">
      <c r="X691" s="84">
        <v>328</v>
      </c>
      <c r="Y691" s="104">
        <f t="shared" si="204"/>
        <v>2.6810359954833897E-3</v>
      </c>
      <c r="Z691" s="96">
        <f t="shared" si="200"/>
        <v>0.91867966490897468</v>
      </c>
      <c r="AA691" s="94">
        <f t="shared" si="201"/>
        <v>115727.44573804058</v>
      </c>
      <c r="AB691" s="163">
        <f t="shared" si="203"/>
        <v>2.6810359954833897E-3</v>
      </c>
      <c r="AC691" s="96">
        <f t="shared" si="202"/>
        <v>0.91867966490897468</v>
      </c>
      <c r="AD691" s="94">
        <f t="shared" si="199"/>
        <v>115727.44573804058</v>
      </c>
    </row>
    <row r="692" spans="24:30" x14ac:dyDescent="0.25">
      <c r="X692" s="84">
        <v>327</v>
      </c>
      <c r="Y692" s="104">
        <f t="shared" si="204"/>
        <v>2.6850256323814304E-3</v>
      </c>
      <c r="Z692" s="96">
        <f t="shared" si="200"/>
        <v>0.91895474828131707</v>
      </c>
      <c r="AA692" s="94">
        <f t="shared" si="201"/>
        <v>114945.82445753162</v>
      </c>
      <c r="AB692" s="163">
        <f t="shared" si="203"/>
        <v>2.6850256323814304E-3</v>
      </c>
      <c r="AC692" s="96">
        <f t="shared" si="202"/>
        <v>0.91895474828131707</v>
      </c>
      <c r="AD692" s="94">
        <f t="shared" si="199"/>
        <v>114945.82445753162</v>
      </c>
    </row>
    <row r="693" spans="24:30" x14ac:dyDescent="0.25">
      <c r="X693" s="84">
        <v>326</v>
      </c>
      <c r="Y693" s="104">
        <f t="shared" si="204"/>
        <v>2.689015269279471E-3</v>
      </c>
      <c r="Z693" s="96">
        <f t="shared" si="200"/>
        <v>0.91922962735930291</v>
      </c>
      <c r="AA693" s="94">
        <f t="shared" si="201"/>
        <v>114167.42918904823</v>
      </c>
      <c r="AB693" s="163">
        <f t="shared" si="203"/>
        <v>2.689015269279471E-3</v>
      </c>
      <c r="AC693" s="96">
        <f t="shared" si="202"/>
        <v>0.91922962735930291</v>
      </c>
      <c r="AD693" s="94">
        <f t="shared" si="199"/>
        <v>114167.42918904823</v>
      </c>
    </row>
    <row r="694" spans="24:30" x14ac:dyDescent="0.25">
      <c r="X694" s="84">
        <v>325</v>
      </c>
      <c r="Y694" s="104">
        <f t="shared" si="204"/>
        <v>2.6930049061775116E-3</v>
      </c>
      <c r="Z694" s="96">
        <f t="shared" si="200"/>
        <v>0.91950430259743199</v>
      </c>
      <c r="AA694" s="94">
        <f t="shared" si="201"/>
        <v>113392.25275570132</v>
      </c>
      <c r="AB694" s="163">
        <f t="shared" si="203"/>
        <v>2.6930049061775116E-3</v>
      </c>
      <c r="AC694" s="96">
        <f t="shared" si="202"/>
        <v>0.91950430259743199</v>
      </c>
      <c r="AD694" s="94">
        <f t="shared" si="199"/>
        <v>113392.25275570132</v>
      </c>
    </row>
    <row r="695" spans="24:30" x14ac:dyDescent="0.25">
      <c r="X695" s="84">
        <v>324</v>
      </c>
      <c r="Y695" s="104">
        <f t="shared" si="204"/>
        <v>2.6969945430755523E-3</v>
      </c>
      <c r="Z695" s="96">
        <f t="shared" si="200"/>
        <v>0.91977877444851031</v>
      </c>
      <c r="AA695" s="94">
        <f t="shared" si="201"/>
        <v>112620.28800720195</v>
      </c>
      <c r="AB695" s="163">
        <f t="shared" si="203"/>
        <v>2.6969945430755523E-3</v>
      </c>
      <c r="AC695" s="96">
        <f t="shared" si="202"/>
        <v>0.91977877444851031</v>
      </c>
      <c r="AD695" s="94">
        <f t="shared" si="199"/>
        <v>112620.28800720195</v>
      </c>
    </row>
    <row r="696" spans="24:30" x14ac:dyDescent="0.25">
      <c r="X696" s="84">
        <v>323</v>
      </c>
      <c r="Y696" s="104">
        <f t="shared" si="204"/>
        <v>2.7009841799735929E-3</v>
      </c>
      <c r="Z696" s="96">
        <f t="shared" si="200"/>
        <v>0.92005304336367189</v>
      </c>
      <c r="AA696" s="94">
        <f t="shared" si="201"/>
        <v>111851.52781969217</v>
      </c>
      <c r="AB696" s="163">
        <f t="shared" si="203"/>
        <v>2.7009841799735929E-3</v>
      </c>
      <c r="AC696" s="96">
        <f t="shared" si="202"/>
        <v>0.92005304336367189</v>
      </c>
      <c r="AD696" s="94">
        <f t="shared" si="199"/>
        <v>111851.52781969217</v>
      </c>
    </row>
    <row r="697" spans="24:30" x14ac:dyDescent="0.25">
      <c r="X697" s="84">
        <v>322</v>
      </c>
      <c r="Y697" s="104">
        <f t="shared" si="204"/>
        <v>2.7049738168716335E-3</v>
      </c>
      <c r="Z697" s="96">
        <f t="shared" si="200"/>
        <v>0.92032710979239229</v>
      </c>
      <c r="AA697" s="94">
        <f t="shared" si="201"/>
        <v>111085.96509558591</v>
      </c>
      <c r="AB697" s="163">
        <f t="shared" si="203"/>
        <v>2.7049738168716335E-3</v>
      </c>
      <c r="AC697" s="96">
        <f t="shared" si="202"/>
        <v>0.92032710979239229</v>
      </c>
      <c r="AD697" s="94">
        <f t="shared" si="199"/>
        <v>111085.96509558591</v>
      </c>
    </row>
    <row r="698" spans="24:30" x14ac:dyDescent="0.25">
      <c r="X698" s="84">
        <v>321</v>
      </c>
      <c r="Y698" s="104">
        <f t="shared" si="204"/>
        <v>2.7089634537696742E-3</v>
      </c>
      <c r="Z698" s="96">
        <f t="shared" si="200"/>
        <v>0.92060097418248177</v>
      </c>
      <c r="AA698" s="94">
        <f t="shared" si="201"/>
        <v>110323.59276349105</v>
      </c>
      <c r="AB698" s="163">
        <f t="shared" si="203"/>
        <v>2.7089634537696742E-3</v>
      </c>
      <c r="AC698" s="96">
        <f t="shared" si="202"/>
        <v>0.92060097418248177</v>
      </c>
      <c r="AD698" s="94">
        <f t="shared" si="199"/>
        <v>110323.59276349105</v>
      </c>
    </row>
    <row r="699" spans="24:30" x14ac:dyDescent="0.25">
      <c r="X699" s="84">
        <v>320</v>
      </c>
      <c r="Y699" s="104">
        <f t="shared" si="204"/>
        <v>2.7129530906677148E-3</v>
      </c>
      <c r="Z699" s="96">
        <f t="shared" si="200"/>
        <v>0.92087463698011029</v>
      </c>
      <c r="AA699" s="94">
        <f t="shared" si="201"/>
        <v>109564.40377801332</v>
      </c>
      <c r="AB699" s="163">
        <f t="shared" si="203"/>
        <v>2.7129530906677148E-3</v>
      </c>
      <c r="AC699" s="96">
        <f t="shared" si="202"/>
        <v>0.92087463698011029</v>
      </c>
      <c r="AD699" s="94">
        <f t="shared" si="199"/>
        <v>109564.40377801332</v>
      </c>
    </row>
    <row r="700" spans="24:30" x14ac:dyDescent="0.25">
      <c r="X700" s="84">
        <v>319</v>
      </c>
      <c r="Y700" s="104">
        <f t="shared" si="204"/>
        <v>2.7169427275657554E-3</v>
      </c>
      <c r="Z700" s="96">
        <f t="shared" si="200"/>
        <v>0.92114809862979941</v>
      </c>
      <c r="AA700" s="94">
        <f t="shared" si="201"/>
        <v>108808.39111967663</v>
      </c>
      <c r="AB700" s="163">
        <f t="shared" si="203"/>
        <v>2.7169427275657554E-3</v>
      </c>
      <c r="AC700" s="96">
        <f t="shared" si="202"/>
        <v>0.92114809862979941</v>
      </c>
      <c r="AD700" s="94">
        <f t="shared" si="199"/>
        <v>108808.39111967663</v>
      </c>
    </row>
    <row r="701" spans="24:30" x14ac:dyDescent="0.25">
      <c r="X701" s="84">
        <v>318</v>
      </c>
      <c r="Y701" s="104">
        <f t="shared" si="204"/>
        <v>2.7209323644637961E-3</v>
      </c>
      <c r="Z701" s="96">
        <f t="shared" si="200"/>
        <v>0.92142135957444704</v>
      </c>
      <c r="AA701" s="94">
        <f t="shared" si="201"/>
        <v>108055.54779474621</v>
      </c>
      <c r="AB701" s="163">
        <f t="shared" si="203"/>
        <v>2.7209323644637961E-3</v>
      </c>
      <c r="AC701" s="96">
        <f t="shared" si="202"/>
        <v>0.92142135957444704</v>
      </c>
      <c r="AD701" s="94">
        <f t="shared" si="199"/>
        <v>108055.54779474621</v>
      </c>
    </row>
    <row r="702" spans="24:30" x14ac:dyDescent="0.25">
      <c r="X702" s="84">
        <v>317</v>
      </c>
      <c r="Y702" s="104">
        <f t="shared" si="204"/>
        <v>2.7249220013618367E-3</v>
      </c>
      <c r="Z702" s="96">
        <f t="shared" si="200"/>
        <v>0.92169442025532344</v>
      </c>
      <c r="AA702" s="94">
        <f t="shared" si="201"/>
        <v>107305.86683512374</v>
      </c>
      <c r="AB702" s="163">
        <f t="shared" si="203"/>
        <v>2.7249220013618367E-3</v>
      </c>
      <c r="AC702" s="96">
        <f t="shared" si="202"/>
        <v>0.92169442025532344</v>
      </c>
      <c r="AD702" s="94">
        <f t="shared" si="199"/>
        <v>107305.86683512374</v>
      </c>
    </row>
    <row r="703" spans="24:30" x14ac:dyDescent="0.25">
      <c r="X703" s="84">
        <v>316</v>
      </c>
      <c r="Y703" s="104">
        <f t="shared" si="204"/>
        <v>2.7289116382598773E-3</v>
      </c>
      <c r="Z703" s="96">
        <f t="shared" si="200"/>
        <v>0.92196728111208759</v>
      </c>
      <c r="AA703" s="94">
        <f t="shared" si="201"/>
        <v>106559.34129819968</v>
      </c>
      <c r="AB703" s="163">
        <f t="shared" si="203"/>
        <v>2.7289116382598773E-3</v>
      </c>
      <c r="AC703" s="96">
        <f t="shared" si="202"/>
        <v>0.92196728111208759</v>
      </c>
      <c r="AD703" s="94">
        <f t="shared" si="199"/>
        <v>106559.34129819968</v>
      </c>
    </row>
    <row r="704" spans="24:30" x14ac:dyDescent="0.25">
      <c r="X704" s="84">
        <v>315</v>
      </c>
      <c r="Y704" s="104">
        <f t="shared" si="204"/>
        <v>2.732901275157918E-3</v>
      </c>
      <c r="Z704" s="96">
        <f t="shared" si="200"/>
        <v>0.92223994258278763</v>
      </c>
      <c r="AA704" s="94">
        <f t="shared" si="201"/>
        <v>105815.96426674252</v>
      </c>
      <c r="AB704" s="163">
        <f t="shared" si="203"/>
        <v>2.732901275157918E-3</v>
      </c>
      <c r="AC704" s="96">
        <f t="shared" si="202"/>
        <v>0.92223994258278763</v>
      </c>
      <c r="AD704" s="94">
        <f t="shared" si="199"/>
        <v>105815.96426674252</v>
      </c>
    </row>
    <row r="705" spans="24:30" x14ac:dyDescent="0.25">
      <c r="X705" s="84">
        <v>314</v>
      </c>
      <c r="Y705" s="104">
        <f t="shared" si="204"/>
        <v>2.7368909120559586E-3</v>
      </c>
      <c r="Z705" s="96">
        <f t="shared" si="200"/>
        <v>0.92251240510388111</v>
      </c>
      <c r="AA705" s="94">
        <f t="shared" si="201"/>
        <v>105075.72884873753</v>
      </c>
      <c r="AB705" s="163">
        <f t="shared" si="203"/>
        <v>2.7368909120559586E-3</v>
      </c>
      <c r="AC705" s="96">
        <f t="shared" si="202"/>
        <v>0.92251240510388111</v>
      </c>
      <c r="AD705" s="94">
        <f t="shared" si="199"/>
        <v>105075.72884873753</v>
      </c>
    </row>
    <row r="706" spans="24:30" x14ac:dyDescent="0.25">
      <c r="X706" s="84">
        <v>313</v>
      </c>
      <c r="Y706" s="104">
        <f t="shared" si="204"/>
        <v>2.7408805489539992E-3</v>
      </c>
      <c r="Z706" s="96">
        <f t="shared" si="200"/>
        <v>0.92278466911022494</v>
      </c>
      <c r="AA706" s="94">
        <f t="shared" si="201"/>
        <v>104338.62817730513</v>
      </c>
      <c r="AB706" s="163">
        <f t="shared" si="203"/>
        <v>2.7408805489539992E-3</v>
      </c>
      <c r="AC706" s="96">
        <f t="shared" si="202"/>
        <v>0.92278466911022494</v>
      </c>
      <c r="AD706" s="94">
        <f t="shared" si="199"/>
        <v>104338.62817730513</v>
      </c>
    </row>
    <row r="707" spans="24:30" x14ac:dyDescent="0.25">
      <c r="X707" s="84">
        <v>312</v>
      </c>
      <c r="Y707" s="104">
        <f t="shared" si="204"/>
        <v>2.7448701858520399E-3</v>
      </c>
      <c r="Z707" s="96">
        <f t="shared" si="200"/>
        <v>0.92305673503510677</v>
      </c>
      <c r="AA707" s="94">
        <f t="shared" si="201"/>
        <v>103604.65541051053</v>
      </c>
      <c r="AB707" s="163">
        <f t="shared" si="203"/>
        <v>2.7448701858520399E-3</v>
      </c>
      <c r="AC707" s="96">
        <f t="shared" si="202"/>
        <v>0.92305673503510677</v>
      </c>
      <c r="AD707" s="94">
        <f t="shared" si="199"/>
        <v>103604.65541051053</v>
      </c>
    </row>
    <row r="708" spans="24:30" x14ac:dyDescent="0.25">
      <c r="X708" s="84">
        <v>311</v>
      </c>
      <c r="Y708" s="104">
        <f t="shared" si="204"/>
        <v>2.7488598227500805E-3</v>
      </c>
      <c r="Z708" s="96">
        <f t="shared" si="200"/>
        <v>0.92332860331022559</v>
      </c>
      <c r="AA708" s="94">
        <f t="shared" si="201"/>
        <v>102873.80373131318</v>
      </c>
      <c r="AB708" s="163">
        <f t="shared" si="203"/>
        <v>2.7488598227500805E-3</v>
      </c>
      <c r="AC708" s="96">
        <f t="shared" si="202"/>
        <v>0.92332860331022559</v>
      </c>
      <c r="AD708" s="94">
        <f t="shared" si="199"/>
        <v>102873.80373131318</v>
      </c>
    </row>
    <row r="709" spans="24:30" x14ac:dyDescent="0.25">
      <c r="X709" s="84">
        <v>310</v>
      </c>
      <c r="Y709" s="104">
        <f t="shared" si="204"/>
        <v>2.7528494596481211E-3</v>
      </c>
      <c r="Z709" s="96">
        <f t="shared" si="200"/>
        <v>0.923600274365732</v>
      </c>
      <c r="AA709" s="94">
        <f t="shared" si="201"/>
        <v>102146.0663473492</v>
      </c>
      <c r="AB709" s="163">
        <f t="shared" si="203"/>
        <v>2.7528494596481211E-3</v>
      </c>
      <c r="AC709" s="96">
        <f t="shared" si="202"/>
        <v>0.923600274365732</v>
      </c>
      <c r="AD709" s="94">
        <f t="shared" si="199"/>
        <v>102146.0663473492</v>
      </c>
    </row>
    <row r="710" spans="24:30" x14ac:dyDescent="0.25">
      <c r="X710" s="84">
        <v>309</v>
      </c>
      <c r="Y710" s="104">
        <f t="shared" si="204"/>
        <v>2.7568390965461618E-3</v>
      </c>
      <c r="Z710" s="96">
        <f t="shared" si="200"/>
        <v>0.9238717486302005</v>
      </c>
      <c r="AA710" s="94">
        <f t="shared" si="201"/>
        <v>101421.43649090998</v>
      </c>
      <c r="AB710" s="163">
        <f t="shared" si="203"/>
        <v>2.7568390965461618E-3</v>
      </c>
      <c r="AC710" s="96">
        <f t="shared" si="202"/>
        <v>0.9238717486302005</v>
      </c>
      <c r="AD710" s="94">
        <f t="shared" si="199"/>
        <v>101421.43649090998</v>
      </c>
    </row>
    <row r="711" spans="24:30" x14ac:dyDescent="0.25">
      <c r="X711" s="84">
        <v>308</v>
      </c>
      <c r="Y711" s="104">
        <f t="shared" si="204"/>
        <v>2.7608287334442024E-3</v>
      </c>
      <c r="Z711" s="96">
        <f t="shared" si="200"/>
        <v>0.92414302653066982</v>
      </c>
      <c r="AA711" s="94">
        <f t="shared" si="201"/>
        <v>100699.90741871679</v>
      </c>
      <c r="AB711" s="163">
        <f t="shared" si="203"/>
        <v>2.7608287334442024E-3</v>
      </c>
      <c r="AC711" s="96">
        <f t="shared" si="202"/>
        <v>0.92414302653066982</v>
      </c>
      <c r="AD711" s="94">
        <f t="shared" si="199"/>
        <v>100699.90741871679</v>
      </c>
    </row>
    <row r="712" spans="24:30" x14ac:dyDescent="0.25">
      <c r="X712" s="84">
        <v>307</v>
      </c>
      <c r="Y712" s="104">
        <f t="shared" si="204"/>
        <v>2.764818370342243E-3</v>
      </c>
      <c r="Z712" s="96">
        <f t="shared" si="200"/>
        <v>0.92441410849262728</v>
      </c>
      <c r="AA712" s="94">
        <f t="shared" si="201"/>
        <v>99981.472411876122</v>
      </c>
      <c r="AB712" s="163">
        <f t="shared" si="203"/>
        <v>2.764818370342243E-3</v>
      </c>
      <c r="AC712" s="96">
        <f t="shared" si="202"/>
        <v>0.92441410849262728</v>
      </c>
      <c r="AD712" s="94">
        <f t="shared" si="199"/>
        <v>99981.472411876122</v>
      </c>
    </row>
    <row r="713" spans="24:30" x14ac:dyDescent="0.25">
      <c r="X713" s="84">
        <v>306</v>
      </c>
      <c r="Y713" s="104">
        <f t="shared" si="204"/>
        <v>2.7688080072402837E-3</v>
      </c>
      <c r="Z713" s="96">
        <f t="shared" si="200"/>
        <v>0.92468499494003464</v>
      </c>
      <c r="AA713" s="94">
        <f t="shared" si="201"/>
        <v>99266.124775695149</v>
      </c>
      <c r="AB713" s="163">
        <f t="shared" si="203"/>
        <v>2.7688080072402837E-3</v>
      </c>
      <c r="AC713" s="96">
        <f t="shared" si="202"/>
        <v>0.92468499494003464</v>
      </c>
      <c r="AD713" s="94">
        <f t="shared" si="199"/>
        <v>99266.124775695149</v>
      </c>
    </row>
    <row r="714" spans="24:30" x14ac:dyDescent="0.25">
      <c r="X714" s="84">
        <v>305</v>
      </c>
      <c r="Y714" s="104">
        <f t="shared" si="204"/>
        <v>2.7727976441383243E-3</v>
      </c>
      <c r="Z714" s="96">
        <f t="shared" si="200"/>
        <v>0.92495568629531755</v>
      </c>
      <c r="AA714" s="94">
        <f t="shared" si="201"/>
        <v>98553.857839619479</v>
      </c>
      <c r="AB714" s="163">
        <f t="shared" si="203"/>
        <v>2.7727976441383243E-3</v>
      </c>
      <c r="AC714" s="96">
        <f t="shared" si="202"/>
        <v>0.92495568629531755</v>
      </c>
      <c r="AD714" s="94">
        <f t="shared" si="199"/>
        <v>98553.857839619479</v>
      </c>
    </row>
    <row r="715" spans="24:30" x14ac:dyDescent="0.25">
      <c r="X715" s="84">
        <v>304</v>
      </c>
      <c r="Y715" s="104">
        <f t="shared" si="204"/>
        <v>2.7767872810363649E-3</v>
      </c>
      <c r="Z715" s="96">
        <f t="shared" si="200"/>
        <v>0.92522618297938808</v>
      </c>
      <c r="AA715" s="94">
        <f t="shared" si="201"/>
        <v>97844.66495705831</v>
      </c>
      <c r="AB715" s="163">
        <f t="shared" si="203"/>
        <v>2.7767872810363649E-3</v>
      </c>
      <c r="AC715" s="96">
        <f t="shared" si="202"/>
        <v>0.92522618297938808</v>
      </c>
      <c r="AD715" s="94">
        <f t="shared" si="199"/>
        <v>97844.66495705831</v>
      </c>
    </row>
    <row r="716" spans="24:30" x14ac:dyDescent="0.25">
      <c r="X716" s="84">
        <v>303</v>
      </c>
      <c r="Y716" s="104">
        <f t="shared" si="204"/>
        <v>2.7807769179344056E-3</v>
      </c>
      <c r="Z716" s="96">
        <f t="shared" si="200"/>
        <v>0.92549648541164675</v>
      </c>
      <c r="AA716" s="94">
        <f t="shared" si="201"/>
        <v>97138.539505297071</v>
      </c>
      <c r="AB716" s="163">
        <f t="shared" si="203"/>
        <v>2.7807769179344056E-3</v>
      </c>
      <c r="AC716" s="96">
        <f t="shared" si="202"/>
        <v>0.92549648541164675</v>
      </c>
      <c r="AD716" s="94">
        <f t="shared" si="199"/>
        <v>97138.539505297071</v>
      </c>
    </row>
    <row r="717" spans="24:30" x14ac:dyDescent="0.25">
      <c r="X717" s="84">
        <v>302</v>
      </c>
      <c r="Y717" s="104">
        <f t="shared" si="204"/>
        <v>2.7847665548324462E-3</v>
      </c>
      <c r="Z717" s="96">
        <f t="shared" si="200"/>
        <v>0.9257665940099894</v>
      </c>
      <c r="AA717" s="94">
        <f t="shared" si="201"/>
        <v>96435.474885361327</v>
      </c>
      <c r="AB717" s="163">
        <f t="shared" si="203"/>
        <v>2.7847665548324462E-3</v>
      </c>
      <c r="AC717" s="96">
        <f t="shared" si="202"/>
        <v>0.9257665940099894</v>
      </c>
      <c r="AD717" s="94">
        <f t="shared" si="199"/>
        <v>96435.474885361327</v>
      </c>
    </row>
    <row r="718" spans="24:30" x14ac:dyDescent="0.25">
      <c r="X718" s="84">
        <v>301</v>
      </c>
      <c r="Y718" s="104">
        <f t="shared" si="204"/>
        <v>2.7887561917304868E-3</v>
      </c>
      <c r="Z718" s="96">
        <f t="shared" si="200"/>
        <v>0.92603650919081271</v>
      </c>
      <c r="AA718" s="94">
        <f t="shared" si="201"/>
        <v>95735.464521911912</v>
      </c>
      <c r="AB718" s="163">
        <f t="shared" si="203"/>
        <v>2.7887561917304868E-3</v>
      </c>
      <c r="AC718" s="96">
        <f t="shared" si="202"/>
        <v>0.92603650919081271</v>
      </c>
      <c r="AD718" s="94">
        <f t="shared" si="199"/>
        <v>95735.464521911912</v>
      </c>
    </row>
    <row r="719" spans="24:30" x14ac:dyDescent="0.25">
      <c r="X719" s="84">
        <v>300</v>
      </c>
      <c r="Y719" s="104">
        <f t="shared" si="204"/>
        <v>2.7927458286285275E-3</v>
      </c>
      <c r="Z719" s="96">
        <f t="shared" si="200"/>
        <v>0.92630623136903145</v>
      </c>
      <c r="AA719" s="94">
        <f t="shared" si="201"/>
        <v>95038.501863106998</v>
      </c>
      <c r="AB719" s="163">
        <f t="shared" si="203"/>
        <v>2.7927458286285275E-3</v>
      </c>
      <c r="AC719" s="96">
        <f t="shared" si="202"/>
        <v>0.92630623136903145</v>
      </c>
      <c r="AD719" s="94">
        <f t="shared" si="199"/>
        <v>95038.501863106998</v>
      </c>
    </row>
    <row r="720" spans="24:30" x14ac:dyDescent="0.25">
      <c r="X720" s="84">
        <v>299</v>
      </c>
      <c r="Y720" s="104">
        <f t="shared" si="204"/>
        <v>2.7967354655265681E-3</v>
      </c>
      <c r="Z720" s="96">
        <f t="shared" si="200"/>
        <v>0.92657576095807592</v>
      </c>
      <c r="AA720" s="94">
        <f t="shared" si="201"/>
        <v>94344.580380499057</v>
      </c>
      <c r="AB720" s="163">
        <f t="shared" si="203"/>
        <v>2.7967354655265681E-3</v>
      </c>
      <c r="AC720" s="96">
        <f t="shared" si="202"/>
        <v>0.92657576095807592</v>
      </c>
      <c r="AD720" s="94">
        <f t="shared" si="199"/>
        <v>94344.580380499057</v>
      </c>
    </row>
    <row r="721" spans="24:30" x14ac:dyDescent="0.25">
      <c r="X721" s="84">
        <v>298</v>
      </c>
      <c r="Y721" s="104">
        <f t="shared" si="204"/>
        <v>2.8007251024246087E-3</v>
      </c>
      <c r="Z721" s="96">
        <f t="shared" si="200"/>
        <v>0.92684509836989604</v>
      </c>
      <c r="AA721" s="94">
        <f t="shared" si="201"/>
        <v>93653.69356892808</v>
      </c>
      <c r="AB721" s="163">
        <f t="shared" si="203"/>
        <v>2.8007251024246087E-3</v>
      </c>
      <c r="AC721" s="96">
        <f t="shared" si="202"/>
        <v>0.92684509836989604</v>
      </c>
      <c r="AD721" s="94">
        <f t="shared" si="199"/>
        <v>93653.69356892808</v>
      </c>
    </row>
    <row r="722" spans="24:30" x14ac:dyDescent="0.25">
      <c r="X722" s="84">
        <v>297</v>
      </c>
      <c r="Y722" s="104">
        <f t="shared" si="204"/>
        <v>2.8047147393226494E-3</v>
      </c>
      <c r="Z722" s="96">
        <f t="shared" si="200"/>
        <v>0.92711424401498921</v>
      </c>
      <c r="AA722" s="94">
        <f t="shared" si="201"/>
        <v>92965.83494636415</v>
      </c>
      <c r="AB722" s="163">
        <f t="shared" si="203"/>
        <v>2.8047147393226494E-3</v>
      </c>
      <c r="AC722" s="96">
        <f t="shared" si="202"/>
        <v>0.92711424401498921</v>
      </c>
      <c r="AD722" s="94">
        <f t="shared" si="199"/>
        <v>92965.83494636415</v>
      </c>
    </row>
    <row r="723" spans="24:30" x14ac:dyDescent="0.25">
      <c r="X723" s="84">
        <v>296</v>
      </c>
      <c r="Y723" s="104">
        <f t="shared" si="204"/>
        <v>2.80870437622069E-3</v>
      </c>
      <c r="Z723" s="96">
        <f t="shared" si="200"/>
        <v>0.92738319830237625</v>
      </c>
      <c r="AA723" s="94">
        <f t="shared" si="201"/>
        <v>92280.998053860822</v>
      </c>
      <c r="AB723" s="163">
        <f t="shared" si="203"/>
        <v>2.80870437622069E-3</v>
      </c>
      <c r="AC723" s="96">
        <f t="shared" si="202"/>
        <v>0.92738319830237625</v>
      </c>
      <c r="AD723" s="94">
        <f t="shared" ref="AD723:AD786" si="205">IF(AC723&lt;1,X$14*((1-ropt)-Y$14*(1-ropt^2)+Z$14*(1-ropt^3)),0)</f>
        <v>92280.998053860822</v>
      </c>
    </row>
    <row r="724" spans="24:30" x14ac:dyDescent="0.25">
      <c r="X724" s="84">
        <v>295</v>
      </c>
      <c r="Y724" s="104">
        <f t="shared" si="204"/>
        <v>2.8126940131187306E-3</v>
      </c>
      <c r="Z724" s="96">
        <f t="shared" ref="Z724:Z787" si="206">(K-(L0-Y724*Ldif-alph*Y724^0.5))/R0</f>
        <v>0.92765196163964192</v>
      </c>
      <c r="AA724" s="94">
        <f t="shared" ref="AA724:AA787" si="207">IF(Z724&lt;1,X$14*((1-r.1)-Y$14*(1-r.1^2)+Z$14*(1-r.1^3)),0)</f>
        <v>91599.176455356996</v>
      </c>
      <c r="AB724" s="163">
        <f t="shared" si="203"/>
        <v>2.8126940131187306E-3</v>
      </c>
      <c r="AC724" s="96">
        <f t="shared" ref="AC724:AC787" si="208">(Kopt-(L0-AB724*Ldif-alph*AB724^0.5))/R0</f>
        <v>0.92765196163964192</v>
      </c>
      <c r="AD724" s="94">
        <f t="shared" si="205"/>
        <v>91599.176455356996</v>
      </c>
    </row>
    <row r="725" spans="24:30" x14ac:dyDescent="0.25">
      <c r="X725" s="84">
        <v>294</v>
      </c>
      <c r="Y725" s="104">
        <f t="shared" si="204"/>
        <v>2.8166836500167713E-3</v>
      </c>
      <c r="Z725" s="96">
        <f t="shared" si="206"/>
        <v>0.92792053443291544</v>
      </c>
      <c r="AA725" s="94">
        <f t="shared" si="207"/>
        <v>90920.363737639913</v>
      </c>
      <c r="AB725" s="163">
        <f t="shared" ref="AB725:AB788" si="209">AB724+AB$15</f>
        <v>2.8166836500167713E-3</v>
      </c>
      <c r="AC725" s="96">
        <f t="shared" si="208"/>
        <v>0.92792053443291544</v>
      </c>
      <c r="AD725" s="94">
        <f t="shared" si="205"/>
        <v>90920.363737639913</v>
      </c>
    </row>
    <row r="726" spans="24:30" x14ac:dyDescent="0.25">
      <c r="X726" s="84">
        <v>293</v>
      </c>
      <c r="Y726" s="104">
        <f t="shared" si="204"/>
        <v>2.8206732869148119E-3</v>
      </c>
      <c r="Z726" s="96">
        <f t="shared" si="206"/>
        <v>0.9281889170868961</v>
      </c>
      <c r="AA726" s="94">
        <f t="shared" si="207"/>
        <v>90244.553510172322</v>
      </c>
      <c r="AB726" s="163">
        <f t="shared" si="209"/>
        <v>2.8206732869148119E-3</v>
      </c>
      <c r="AC726" s="96">
        <f t="shared" si="208"/>
        <v>0.9281889170868961</v>
      </c>
      <c r="AD726" s="94">
        <f t="shared" si="205"/>
        <v>90244.553510172322</v>
      </c>
    </row>
    <row r="727" spans="24:30" x14ac:dyDescent="0.25">
      <c r="X727" s="84">
        <v>292</v>
      </c>
      <c r="Y727" s="104">
        <f t="shared" si="204"/>
        <v>2.8246629238128525E-3</v>
      </c>
      <c r="Z727" s="96">
        <f t="shared" si="206"/>
        <v>0.92845711000484454</v>
      </c>
      <c r="AA727" s="94">
        <f t="shared" si="207"/>
        <v>89571.739405030239</v>
      </c>
      <c r="AB727" s="163">
        <f t="shared" si="209"/>
        <v>2.8246629238128525E-3</v>
      </c>
      <c r="AC727" s="96">
        <f t="shared" si="208"/>
        <v>0.92845711000484454</v>
      </c>
      <c r="AD727" s="94">
        <f t="shared" si="205"/>
        <v>89571.739405030239</v>
      </c>
    </row>
    <row r="728" spans="24:30" x14ac:dyDescent="0.25">
      <c r="X728" s="84">
        <v>291</v>
      </c>
      <c r="Y728" s="104">
        <f t="shared" si="204"/>
        <v>2.8286525607108932E-3</v>
      </c>
      <c r="Z728" s="96">
        <f t="shared" si="206"/>
        <v>0.92872511358860554</v>
      </c>
      <c r="AA728" s="94">
        <f t="shared" si="207"/>
        <v>88901.915076751451</v>
      </c>
      <c r="AB728" s="163">
        <f t="shared" si="209"/>
        <v>2.8286525607108932E-3</v>
      </c>
      <c r="AC728" s="96">
        <f t="shared" si="208"/>
        <v>0.92872511358860554</v>
      </c>
      <c r="AD728" s="94">
        <f t="shared" si="205"/>
        <v>88901.915076751451</v>
      </c>
    </row>
    <row r="729" spans="24:30" x14ac:dyDescent="0.25">
      <c r="X729" s="84">
        <v>290</v>
      </c>
      <c r="Y729" s="104">
        <f t="shared" si="204"/>
        <v>2.8326421976089338E-3</v>
      </c>
      <c r="Z729" s="96">
        <f t="shared" si="206"/>
        <v>0.92899292823860213</v>
      </c>
      <c r="AA729" s="94">
        <f t="shared" si="207"/>
        <v>88235.074202246149</v>
      </c>
      <c r="AB729" s="163">
        <f t="shared" si="209"/>
        <v>2.8326421976089338E-3</v>
      </c>
      <c r="AC729" s="96">
        <f t="shared" si="208"/>
        <v>0.92899292823860213</v>
      </c>
      <c r="AD729" s="94">
        <f t="shared" si="205"/>
        <v>88235.074202246149</v>
      </c>
    </row>
    <row r="730" spans="24:30" x14ac:dyDescent="0.25">
      <c r="X730" s="84">
        <v>289</v>
      </c>
      <c r="Y730" s="104">
        <f t="shared" si="204"/>
        <v>2.8366318345069744E-3</v>
      </c>
      <c r="Z730" s="96">
        <f t="shared" si="206"/>
        <v>0.92926055435385191</v>
      </c>
      <c r="AA730" s="94">
        <f t="shared" si="207"/>
        <v>87571.210480676411</v>
      </c>
      <c r="AB730" s="163">
        <f t="shared" si="209"/>
        <v>2.8366318345069744E-3</v>
      </c>
      <c r="AC730" s="96">
        <f t="shared" si="208"/>
        <v>0.92926055435385191</v>
      </c>
      <c r="AD730" s="94">
        <f t="shared" si="205"/>
        <v>87571.210480676411</v>
      </c>
    </row>
    <row r="731" spans="24:30" x14ac:dyDescent="0.25">
      <c r="X731" s="84">
        <v>288</v>
      </c>
      <c r="Y731" s="104">
        <f t="shared" si="204"/>
        <v>2.8406214714050151E-3</v>
      </c>
      <c r="Z731" s="96">
        <f t="shared" si="206"/>
        <v>0.92952799233196326</v>
      </c>
      <c r="AA731" s="94">
        <f t="shared" si="207"/>
        <v>86910.317633366896</v>
      </c>
      <c r="AB731" s="163">
        <f t="shared" si="209"/>
        <v>2.8406214714050151E-3</v>
      </c>
      <c r="AC731" s="96">
        <f t="shared" si="208"/>
        <v>0.92952799233196326</v>
      </c>
      <c r="AD731" s="94">
        <f t="shared" si="205"/>
        <v>86910.317633366896</v>
      </c>
    </row>
    <row r="732" spans="24:30" x14ac:dyDescent="0.25">
      <c r="X732" s="84">
        <v>287</v>
      </c>
      <c r="Y732" s="104">
        <f t="shared" si="204"/>
        <v>2.8446111083030557E-3</v>
      </c>
      <c r="Z732" s="96">
        <f t="shared" si="206"/>
        <v>0.9297952425691618</v>
      </c>
      <c r="AA732" s="94">
        <f t="shared" si="207"/>
        <v>86252.389403649344</v>
      </c>
      <c r="AB732" s="163">
        <f t="shared" si="209"/>
        <v>2.8446111083030557E-3</v>
      </c>
      <c r="AC732" s="96">
        <f t="shared" si="208"/>
        <v>0.9297952425691618</v>
      </c>
      <c r="AD732" s="94">
        <f t="shared" si="205"/>
        <v>86252.389403649344</v>
      </c>
    </row>
    <row r="733" spans="24:30" x14ac:dyDescent="0.25">
      <c r="X733" s="84">
        <v>286</v>
      </c>
      <c r="Y733" s="104">
        <f t="shared" si="204"/>
        <v>2.8486007452010963E-3</v>
      </c>
      <c r="Z733" s="96">
        <f t="shared" si="206"/>
        <v>0.93006230546026813</v>
      </c>
      <c r="AA733" s="94">
        <f t="shared" si="207"/>
        <v>85597.419556823777</v>
      </c>
      <c r="AB733" s="163">
        <f t="shared" si="209"/>
        <v>2.8486007452010963E-3</v>
      </c>
      <c r="AC733" s="96">
        <f t="shared" si="208"/>
        <v>0.93006230546026813</v>
      </c>
      <c r="AD733" s="94">
        <f t="shared" si="205"/>
        <v>85597.419556823777</v>
      </c>
    </row>
    <row r="734" spans="24:30" x14ac:dyDescent="0.25">
      <c r="X734" s="84">
        <v>285</v>
      </c>
      <c r="Y734" s="104">
        <f t="shared" si="204"/>
        <v>2.852590382099137E-3</v>
      </c>
      <c r="Z734" s="96">
        <f t="shared" si="206"/>
        <v>0.93032918139873266</v>
      </c>
      <c r="AA734" s="94">
        <f t="shared" si="207"/>
        <v>84945.401879987519</v>
      </c>
      <c r="AB734" s="163">
        <f t="shared" si="209"/>
        <v>2.852590382099137E-3</v>
      </c>
      <c r="AC734" s="96">
        <f t="shared" si="208"/>
        <v>0.93032918139873266</v>
      </c>
      <c r="AD734" s="94">
        <f t="shared" si="205"/>
        <v>84945.401879987519</v>
      </c>
    </row>
    <row r="735" spans="24:30" x14ac:dyDescent="0.25">
      <c r="X735" s="84">
        <v>284</v>
      </c>
      <c r="Y735" s="104">
        <f t="shared" si="204"/>
        <v>2.8565800189971776E-3</v>
      </c>
      <c r="Z735" s="96">
        <f t="shared" si="206"/>
        <v>0.93059587077662564</v>
      </c>
      <c r="AA735" s="94">
        <f t="shared" si="207"/>
        <v>84296.330181959391</v>
      </c>
      <c r="AB735" s="163">
        <f t="shared" si="209"/>
        <v>2.8565800189971776E-3</v>
      </c>
      <c r="AC735" s="96">
        <f t="shared" si="208"/>
        <v>0.93059587077662564</v>
      </c>
      <c r="AD735" s="94">
        <f t="shared" si="205"/>
        <v>84296.330181959391</v>
      </c>
    </row>
    <row r="736" spans="24:30" x14ac:dyDescent="0.25">
      <c r="X736" s="84">
        <v>283</v>
      </c>
      <c r="Y736" s="104">
        <f t="shared" ref="Y736:Y799" si="210">Y735+Y$16</f>
        <v>2.8605696558952182E-3</v>
      </c>
      <c r="Z736" s="96">
        <f t="shared" si="206"/>
        <v>0.93086237398465355</v>
      </c>
      <c r="AA736" s="94">
        <f t="shared" si="207"/>
        <v>83650.198293163136</v>
      </c>
      <c r="AB736" s="163">
        <f t="shared" si="209"/>
        <v>2.8605696558952182E-3</v>
      </c>
      <c r="AC736" s="96">
        <f t="shared" si="208"/>
        <v>0.93086237398465355</v>
      </c>
      <c r="AD736" s="94">
        <f t="shared" si="205"/>
        <v>83650.198293163136</v>
      </c>
    </row>
    <row r="737" spans="24:30" x14ac:dyDescent="0.25">
      <c r="X737" s="84">
        <v>282</v>
      </c>
      <c r="Y737" s="104">
        <f t="shared" si="210"/>
        <v>2.8645592927932589E-3</v>
      </c>
      <c r="Z737" s="96">
        <f t="shared" si="206"/>
        <v>0.93112869141215293</v>
      </c>
      <c r="AA737" s="94">
        <f t="shared" si="207"/>
        <v>83007.000065543922</v>
      </c>
      <c r="AB737" s="163">
        <f t="shared" si="209"/>
        <v>2.8645592927932589E-3</v>
      </c>
      <c r="AC737" s="96">
        <f t="shared" si="208"/>
        <v>0.93112869141215293</v>
      </c>
      <c r="AD737" s="94">
        <f t="shared" si="205"/>
        <v>83007.000065543922</v>
      </c>
    </row>
    <row r="738" spans="24:30" x14ac:dyDescent="0.25">
      <c r="X738" s="84">
        <v>281</v>
      </c>
      <c r="Y738" s="104">
        <f t="shared" si="210"/>
        <v>2.8685489296912995E-3</v>
      </c>
      <c r="Z738" s="96">
        <f t="shared" si="206"/>
        <v>0.931394823447113</v>
      </c>
      <c r="AA738" s="94">
        <f t="shared" si="207"/>
        <v>82366.729372424525</v>
      </c>
      <c r="AB738" s="163">
        <f t="shared" si="209"/>
        <v>2.8685489296912995E-3</v>
      </c>
      <c r="AC738" s="96">
        <f t="shared" si="208"/>
        <v>0.931394823447113</v>
      </c>
      <c r="AD738" s="94">
        <f t="shared" si="205"/>
        <v>82366.729372424525</v>
      </c>
    </row>
    <row r="739" spans="24:30" x14ac:dyDescent="0.25">
      <c r="X739" s="84">
        <v>280</v>
      </c>
      <c r="Y739" s="104">
        <f t="shared" si="210"/>
        <v>2.8725385665893401E-3</v>
      </c>
      <c r="Z739" s="96">
        <f t="shared" si="206"/>
        <v>0.9316607704761678</v>
      </c>
      <c r="AA739" s="94">
        <f t="shared" si="207"/>
        <v>81729.380108443176</v>
      </c>
      <c r="AB739" s="163">
        <f t="shared" si="209"/>
        <v>2.8725385665893401E-3</v>
      </c>
      <c r="AC739" s="96">
        <f t="shared" si="208"/>
        <v>0.9316607704761678</v>
      </c>
      <c r="AD739" s="94">
        <f t="shared" si="205"/>
        <v>81729.380108443176</v>
      </c>
    </row>
    <row r="740" spans="24:30" x14ac:dyDescent="0.25">
      <c r="X740" s="84">
        <v>279</v>
      </c>
      <c r="Y740" s="104">
        <f t="shared" si="210"/>
        <v>2.8765282034873807E-3</v>
      </c>
      <c r="Z740" s="96">
        <f t="shared" si="206"/>
        <v>0.93192653288461891</v>
      </c>
      <c r="AA740" s="94">
        <f t="shared" si="207"/>
        <v>81094.946189405891</v>
      </c>
      <c r="AB740" s="163">
        <f t="shared" si="209"/>
        <v>2.8765282034873807E-3</v>
      </c>
      <c r="AC740" s="96">
        <f t="shared" si="208"/>
        <v>0.93192653288461891</v>
      </c>
      <c r="AD740" s="94">
        <f t="shared" si="205"/>
        <v>81094.946189405891</v>
      </c>
    </row>
    <row r="741" spans="24:30" x14ac:dyDescent="0.25">
      <c r="X741" s="84">
        <v>278</v>
      </c>
      <c r="Y741" s="104">
        <f t="shared" si="210"/>
        <v>2.8805178403854214E-3</v>
      </c>
      <c r="Z741" s="96">
        <f t="shared" si="206"/>
        <v>0.93219211105641842</v>
      </c>
      <c r="AA741" s="94">
        <f t="shared" si="207"/>
        <v>80463.421552239859</v>
      </c>
      <c r="AB741" s="163">
        <f t="shared" si="209"/>
        <v>2.8805178403854214E-3</v>
      </c>
      <c r="AC741" s="96">
        <f t="shared" si="208"/>
        <v>0.93219211105641842</v>
      </c>
      <c r="AD741" s="94">
        <f t="shared" si="205"/>
        <v>80463.421552239859</v>
      </c>
    </row>
    <row r="742" spans="24:30" x14ac:dyDescent="0.25">
      <c r="X742" s="84">
        <v>277</v>
      </c>
      <c r="Y742" s="104">
        <f t="shared" si="210"/>
        <v>2.884507477283462E-3</v>
      </c>
      <c r="Z742" s="96">
        <f t="shared" si="206"/>
        <v>0.93245750537420291</v>
      </c>
      <c r="AA742" s="94">
        <f t="shared" si="207"/>
        <v>79834.800154826313</v>
      </c>
      <c r="AB742" s="163">
        <f t="shared" si="209"/>
        <v>2.884507477283462E-3</v>
      </c>
      <c r="AC742" s="96">
        <f t="shared" si="208"/>
        <v>0.93245750537420291</v>
      </c>
      <c r="AD742" s="94">
        <f t="shared" si="205"/>
        <v>79834.800154826313</v>
      </c>
    </row>
    <row r="743" spans="24:30" x14ac:dyDescent="0.25">
      <c r="X743" s="84">
        <v>276</v>
      </c>
      <c r="Y743" s="104">
        <f t="shared" si="210"/>
        <v>2.8884971141815026E-3</v>
      </c>
      <c r="Z743" s="96">
        <f t="shared" si="206"/>
        <v>0.93272271621927827</v>
      </c>
      <c r="AA743" s="94">
        <f t="shared" si="207"/>
        <v>79209.075975955901</v>
      </c>
      <c r="AB743" s="163">
        <f t="shared" si="209"/>
        <v>2.8884971141815026E-3</v>
      </c>
      <c r="AC743" s="96">
        <f t="shared" si="208"/>
        <v>0.93272271621927827</v>
      </c>
      <c r="AD743" s="94">
        <f t="shared" si="205"/>
        <v>79209.075975955901</v>
      </c>
    </row>
    <row r="744" spans="24:30" x14ac:dyDescent="0.25">
      <c r="X744" s="84">
        <v>275</v>
      </c>
      <c r="Y744" s="104">
        <f t="shared" si="210"/>
        <v>2.8924867510795433E-3</v>
      </c>
      <c r="Z744" s="96">
        <f t="shared" si="206"/>
        <v>0.93298774397163853</v>
      </c>
      <c r="AA744" s="94">
        <f t="shared" si="207"/>
        <v>78586.243015186818</v>
      </c>
      <c r="AB744" s="163">
        <f t="shared" si="209"/>
        <v>2.8924867510795433E-3</v>
      </c>
      <c r="AC744" s="96">
        <f t="shared" si="208"/>
        <v>0.93298774397163853</v>
      </c>
      <c r="AD744" s="94">
        <f t="shared" si="205"/>
        <v>78586.243015186818</v>
      </c>
    </row>
    <row r="745" spans="24:30" x14ac:dyDescent="0.25">
      <c r="X745" s="84">
        <v>274</v>
      </c>
      <c r="Y745" s="104">
        <f t="shared" si="210"/>
        <v>2.8964763879775839E-3</v>
      </c>
      <c r="Z745" s="96">
        <f t="shared" si="206"/>
        <v>0.933252589009964</v>
      </c>
      <c r="AA745" s="94">
        <f t="shared" si="207"/>
        <v>77966.295292772891</v>
      </c>
      <c r="AB745" s="163">
        <f t="shared" si="209"/>
        <v>2.8964763879775839E-3</v>
      </c>
      <c r="AC745" s="96">
        <f t="shared" si="208"/>
        <v>0.933252589009964</v>
      </c>
      <c r="AD745" s="94">
        <f t="shared" si="205"/>
        <v>77966.295292772891</v>
      </c>
    </row>
    <row r="746" spans="24:30" x14ac:dyDescent="0.25">
      <c r="X746" s="84">
        <v>273</v>
      </c>
      <c r="Y746" s="104">
        <f t="shared" si="210"/>
        <v>2.9004660248756245E-3</v>
      </c>
      <c r="Z746" s="96">
        <f t="shared" si="206"/>
        <v>0.9335172517116318</v>
      </c>
      <c r="AA746" s="94">
        <f t="shared" si="207"/>
        <v>77349.226849554878</v>
      </c>
      <c r="AB746" s="163">
        <f t="shared" si="209"/>
        <v>2.9004660248756245E-3</v>
      </c>
      <c r="AC746" s="96">
        <f t="shared" si="208"/>
        <v>0.9335172517116318</v>
      </c>
      <c r="AD746" s="94">
        <f t="shared" si="205"/>
        <v>77349.226849554878</v>
      </c>
    </row>
    <row r="747" spans="24:30" x14ac:dyDescent="0.25">
      <c r="X747" s="84">
        <v>272</v>
      </c>
      <c r="Y747" s="104">
        <f t="shared" si="210"/>
        <v>2.9044556617736652E-3</v>
      </c>
      <c r="Z747" s="96">
        <f t="shared" si="206"/>
        <v>0.93378173245272555</v>
      </c>
      <c r="AA747" s="94">
        <f t="shared" si="207"/>
        <v>76735.031746841836</v>
      </c>
      <c r="AB747" s="163">
        <f t="shared" si="209"/>
        <v>2.9044556617736652E-3</v>
      </c>
      <c r="AC747" s="96">
        <f t="shared" si="208"/>
        <v>0.93378173245272555</v>
      </c>
      <c r="AD747" s="94">
        <f t="shared" si="205"/>
        <v>76735.031746841836</v>
      </c>
    </row>
    <row r="748" spans="24:30" x14ac:dyDescent="0.25">
      <c r="X748" s="84">
        <v>271</v>
      </c>
      <c r="Y748" s="104">
        <f t="shared" si="210"/>
        <v>2.9084452986717058E-3</v>
      </c>
      <c r="Z748" s="96">
        <f t="shared" si="206"/>
        <v>0.93404603160803412</v>
      </c>
      <c r="AA748" s="94">
        <f t="shared" si="207"/>
        <v>76123.704066347069</v>
      </c>
      <c r="AB748" s="163">
        <f t="shared" si="209"/>
        <v>2.9084452986717058E-3</v>
      </c>
      <c r="AC748" s="96">
        <f t="shared" si="208"/>
        <v>0.93404603160803412</v>
      </c>
      <c r="AD748" s="94">
        <f t="shared" si="205"/>
        <v>76123.704066347069</v>
      </c>
    </row>
    <row r="749" spans="24:30" x14ac:dyDescent="0.25">
      <c r="X749" s="84">
        <v>270</v>
      </c>
      <c r="Y749" s="104">
        <f t="shared" si="210"/>
        <v>2.9124349355697464E-3</v>
      </c>
      <c r="Z749" s="96">
        <f t="shared" si="206"/>
        <v>0.93431014955106773</v>
      </c>
      <c r="AA749" s="94">
        <f t="shared" si="207"/>
        <v>75515.237910054057</v>
      </c>
      <c r="AB749" s="163">
        <f t="shared" si="209"/>
        <v>2.9124349355697464E-3</v>
      </c>
      <c r="AC749" s="96">
        <f t="shared" si="208"/>
        <v>0.93431014955106773</v>
      </c>
      <c r="AD749" s="94">
        <f t="shared" si="205"/>
        <v>75515.237910054057</v>
      </c>
    </row>
    <row r="750" spans="24:30" x14ac:dyDescent="0.25">
      <c r="X750" s="84">
        <v>269</v>
      </c>
      <c r="Y750" s="104">
        <f t="shared" si="210"/>
        <v>2.9164245724677871E-3</v>
      </c>
      <c r="Z750" s="96">
        <f t="shared" si="206"/>
        <v>0.93457408665404562</v>
      </c>
      <c r="AA750" s="94">
        <f t="shared" si="207"/>
        <v>74909.627400165948</v>
      </c>
      <c r="AB750" s="163">
        <f t="shared" si="209"/>
        <v>2.9164245724677871E-3</v>
      </c>
      <c r="AC750" s="96">
        <f t="shared" si="208"/>
        <v>0.93457408665404562</v>
      </c>
      <c r="AD750" s="94">
        <f t="shared" si="205"/>
        <v>74909.627400165948</v>
      </c>
    </row>
    <row r="751" spans="24:30" x14ac:dyDescent="0.25">
      <c r="X751" s="84">
        <v>268</v>
      </c>
      <c r="Y751" s="104">
        <f t="shared" si="210"/>
        <v>2.9204142093658277E-3</v>
      </c>
      <c r="Z751" s="96">
        <f t="shared" si="206"/>
        <v>0.93483784328792729</v>
      </c>
      <c r="AA751" s="94">
        <f t="shared" si="207"/>
        <v>74306.86667895205</v>
      </c>
      <c r="AB751" s="163">
        <f t="shared" si="209"/>
        <v>2.9204142093658277E-3</v>
      </c>
      <c r="AC751" s="96">
        <f t="shared" si="208"/>
        <v>0.93483784328792729</v>
      </c>
      <c r="AD751" s="94">
        <f t="shared" si="205"/>
        <v>74306.86667895205</v>
      </c>
    </row>
    <row r="752" spans="24:30" x14ac:dyDescent="0.25">
      <c r="X752" s="84">
        <v>267</v>
      </c>
      <c r="Y752" s="104">
        <f t="shared" si="210"/>
        <v>2.9244038462638683E-3</v>
      </c>
      <c r="Z752" s="96">
        <f t="shared" si="206"/>
        <v>0.93510141982239803</v>
      </c>
      <c r="AA752" s="94">
        <f t="shared" si="207"/>
        <v>73706.949908701208</v>
      </c>
      <c r="AB752" s="163">
        <f t="shared" si="209"/>
        <v>2.9244038462638683E-3</v>
      </c>
      <c r="AC752" s="96">
        <f t="shared" si="208"/>
        <v>0.93510141982239803</v>
      </c>
      <c r="AD752" s="94">
        <f t="shared" si="205"/>
        <v>73706.949908701208</v>
      </c>
    </row>
    <row r="753" spans="24:30" x14ac:dyDescent="0.25">
      <c r="X753" s="84">
        <v>266</v>
      </c>
      <c r="Y753" s="104">
        <f t="shared" si="210"/>
        <v>2.928393483161909E-3</v>
      </c>
      <c r="Z753" s="96">
        <f t="shared" si="206"/>
        <v>0.93536481662588511</v>
      </c>
      <c r="AA753" s="94">
        <f t="shared" si="207"/>
        <v>73109.871271595533</v>
      </c>
      <c r="AB753" s="163">
        <f t="shared" si="209"/>
        <v>2.928393483161909E-3</v>
      </c>
      <c r="AC753" s="96">
        <f t="shared" si="208"/>
        <v>0.93536481662588511</v>
      </c>
      <c r="AD753" s="94">
        <f t="shared" si="205"/>
        <v>73109.871271595533</v>
      </c>
    </row>
    <row r="754" spans="24:30" x14ac:dyDescent="0.25">
      <c r="X754" s="84">
        <v>265</v>
      </c>
      <c r="Y754" s="104">
        <f t="shared" si="210"/>
        <v>2.9323831200599496E-3</v>
      </c>
      <c r="Z754" s="96">
        <f t="shared" si="206"/>
        <v>0.93562803406556261</v>
      </c>
      <c r="AA754" s="94">
        <f t="shared" si="207"/>
        <v>72515.624969626835</v>
      </c>
      <c r="AB754" s="163">
        <f t="shared" si="209"/>
        <v>2.9323831200599496E-3</v>
      </c>
      <c r="AC754" s="96">
        <f t="shared" si="208"/>
        <v>0.93562803406556261</v>
      </c>
      <c r="AD754" s="94">
        <f t="shared" si="205"/>
        <v>72515.624969626835</v>
      </c>
    </row>
    <row r="755" spans="24:30" x14ac:dyDescent="0.25">
      <c r="X755" s="84">
        <v>264</v>
      </c>
      <c r="Y755" s="104">
        <f t="shared" si="210"/>
        <v>2.9363727569579902E-3</v>
      </c>
      <c r="Z755" s="96">
        <f t="shared" si="206"/>
        <v>0.93589107250735504</v>
      </c>
      <c r="AA755" s="94">
        <f t="shared" si="207"/>
        <v>71924.205224501449</v>
      </c>
      <c r="AB755" s="163">
        <f t="shared" si="209"/>
        <v>2.9363727569579902E-3</v>
      </c>
      <c r="AC755" s="96">
        <f t="shared" si="208"/>
        <v>0.93589107250735504</v>
      </c>
      <c r="AD755" s="94">
        <f t="shared" si="205"/>
        <v>71924.205224501449</v>
      </c>
    </row>
    <row r="756" spans="24:30" x14ac:dyDescent="0.25">
      <c r="X756" s="84">
        <v>263</v>
      </c>
      <c r="Y756" s="104">
        <f t="shared" si="210"/>
        <v>2.9403623938560309E-3</v>
      </c>
      <c r="Z756" s="96">
        <f t="shared" si="206"/>
        <v>0.93615393231594179</v>
      </c>
      <c r="AA756" s="94">
        <f t="shared" si="207"/>
        <v>71335.606277552768</v>
      </c>
      <c r="AB756" s="163">
        <f t="shared" si="209"/>
        <v>2.9403623938560309E-3</v>
      </c>
      <c r="AC756" s="96">
        <f t="shared" si="208"/>
        <v>0.93615393231594179</v>
      </c>
      <c r="AD756" s="94">
        <f t="shared" si="205"/>
        <v>71335.606277552768</v>
      </c>
    </row>
    <row r="757" spans="24:30" x14ac:dyDescent="0.25">
      <c r="X757" s="84">
        <v>262</v>
      </c>
      <c r="Y757" s="104">
        <f t="shared" si="210"/>
        <v>2.9443520307540715E-3</v>
      </c>
      <c r="Z757" s="96">
        <f t="shared" si="206"/>
        <v>0.93641661385477337</v>
      </c>
      <c r="AA757" s="94">
        <f t="shared" si="207"/>
        <v>70749.822389626643</v>
      </c>
      <c r="AB757" s="163">
        <f t="shared" si="209"/>
        <v>2.9443520307540715E-3</v>
      </c>
      <c r="AC757" s="96">
        <f t="shared" si="208"/>
        <v>0.93641661385477337</v>
      </c>
      <c r="AD757" s="94">
        <f t="shared" si="205"/>
        <v>70749.822389626643</v>
      </c>
    </row>
    <row r="758" spans="24:30" x14ac:dyDescent="0.25">
      <c r="X758" s="84">
        <v>261</v>
      </c>
      <c r="Y758" s="104">
        <f t="shared" si="210"/>
        <v>2.9483416676521121E-3</v>
      </c>
      <c r="Z758" s="96">
        <f t="shared" si="206"/>
        <v>0.93667911748605748</v>
      </c>
      <c r="AA758" s="94">
        <f t="shared" si="207"/>
        <v>70166.84784102891</v>
      </c>
      <c r="AB758" s="163">
        <f t="shared" si="209"/>
        <v>2.9483416676521121E-3</v>
      </c>
      <c r="AC758" s="96">
        <f t="shared" si="208"/>
        <v>0.93667911748605748</v>
      </c>
      <c r="AD758" s="94">
        <f t="shared" si="205"/>
        <v>70166.84784102891</v>
      </c>
    </row>
    <row r="759" spans="24:30" x14ac:dyDescent="0.25">
      <c r="X759" s="84">
        <v>260</v>
      </c>
      <c r="Y759" s="104">
        <f t="shared" si="210"/>
        <v>2.9523313045501528E-3</v>
      </c>
      <c r="Z759" s="96">
        <f t="shared" si="206"/>
        <v>0.93694144357078757</v>
      </c>
      <c r="AA759" s="94">
        <f t="shared" si="207"/>
        <v>69586.676931383554</v>
      </c>
      <c r="AB759" s="163">
        <f t="shared" si="209"/>
        <v>2.9523313045501528E-3</v>
      </c>
      <c r="AC759" s="96">
        <f t="shared" si="208"/>
        <v>0.93694144357078757</v>
      </c>
      <c r="AD759" s="94">
        <f t="shared" si="205"/>
        <v>69586.676931383554</v>
      </c>
    </row>
    <row r="760" spans="24:30" x14ac:dyDescent="0.25">
      <c r="X760" s="84">
        <v>259</v>
      </c>
      <c r="Y760" s="104">
        <f t="shared" si="210"/>
        <v>2.9563209414481934E-3</v>
      </c>
      <c r="Z760" s="96">
        <f t="shared" si="206"/>
        <v>0.93720359246873064</v>
      </c>
      <c r="AA760" s="94">
        <f t="shared" si="207"/>
        <v>69009.303979582226</v>
      </c>
      <c r="AB760" s="163">
        <f t="shared" si="209"/>
        <v>2.9563209414481934E-3</v>
      </c>
      <c r="AC760" s="96">
        <f t="shared" si="208"/>
        <v>0.93720359246873064</v>
      </c>
      <c r="AD760" s="94">
        <f t="shared" si="205"/>
        <v>69009.303979582226</v>
      </c>
    </row>
    <row r="761" spans="24:30" x14ac:dyDescent="0.25">
      <c r="X761" s="84">
        <v>258</v>
      </c>
      <c r="Y761" s="104">
        <f t="shared" si="210"/>
        <v>2.960310578346234E-3</v>
      </c>
      <c r="Z761" s="96">
        <f t="shared" si="206"/>
        <v>0.9374655645384502</v>
      </c>
      <c r="AA761" s="94">
        <f t="shared" si="207"/>
        <v>68434.72332365792</v>
      </c>
      <c r="AB761" s="163">
        <f t="shared" si="209"/>
        <v>2.960310578346234E-3</v>
      </c>
      <c r="AC761" s="96">
        <f t="shared" si="208"/>
        <v>0.9374655645384502</v>
      </c>
      <c r="AD761" s="94">
        <f t="shared" si="205"/>
        <v>68434.72332365792</v>
      </c>
    </row>
    <row r="762" spans="24:30" x14ac:dyDescent="0.25">
      <c r="X762" s="84">
        <v>257</v>
      </c>
      <c r="Y762" s="104">
        <f t="shared" si="210"/>
        <v>2.9643002152442747E-3</v>
      </c>
      <c r="Z762" s="96">
        <f t="shared" si="206"/>
        <v>0.93772736013728708</v>
      </c>
      <c r="AA762" s="94">
        <f t="shared" si="207"/>
        <v>67862.929320744181</v>
      </c>
      <c r="AB762" s="163">
        <f t="shared" si="209"/>
        <v>2.9643002152442747E-3</v>
      </c>
      <c r="AC762" s="96">
        <f t="shared" si="208"/>
        <v>0.93772736013728708</v>
      </c>
      <c r="AD762" s="94">
        <f t="shared" si="205"/>
        <v>67862.929320744181</v>
      </c>
    </row>
    <row r="763" spans="24:30" x14ac:dyDescent="0.25">
      <c r="X763" s="84">
        <v>256</v>
      </c>
      <c r="Y763" s="104">
        <f t="shared" si="210"/>
        <v>2.9682898521423153E-3</v>
      </c>
      <c r="Z763" s="96">
        <f t="shared" si="206"/>
        <v>0.93798897962139738</v>
      </c>
      <c r="AA763" s="94">
        <f t="shared" si="207"/>
        <v>67293.916346921629</v>
      </c>
      <c r="AB763" s="163">
        <f t="shared" si="209"/>
        <v>2.9682898521423153E-3</v>
      </c>
      <c r="AC763" s="96">
        <f t="shared" si="208"/>
        <v>0.93798897962139738</v>
      </c>
      <c r="AD763" s="94">
        <f t="shared" si="205"/>
        <v>67293.916346921629</v>
      </c>
    </row>
    <row r="764" spans="24:30" x14ac:dyDescent="0.25">
      <c r="X764" s="84">
        <v>255</v>
      </c>
      <c r="Y764" s="104">
        <f t="shared" si="210"/>
        <v>2.9722794890403559E-3</v>
      </c>
      <c r="Z764" s="96">
        <f t="shared" si="206"/>
        <v>0.93825042334572295</v>
      </c>
      <c r="AA764" s="94">
        <f t="shared" si="207"/>
        <v>66727.678797192668</v>
      </c>
      <c r="AB764" s="163">
        <f t="shared" si="209"/>
        <v>2.9722794890403559E-3</v>
      </c>
      <c r="AC764" s="96">
        <f t="shared" si="208"/>
        <v>0.93825042334572295</v>
      </c>
      <c r="AD764" s="94">
        <f t="shared" si="205"/>
        <v>66727.678797192668</v>
      </c>
    </row>
    <row r="765" spans="24:30" x14ac:dyDescent="0.25">
      <c r="X765" s="84">
        <v>254</v>
      </c>
      <c r="Y765" s="104">
        <f t="shared" si="210"/>
        <v>2.9762691259383966E-3</v>
      </c>
      <c r="Z765" s="96">
        <f t="shared" si="206"/>
        <v>0.93851169166403159</v>
      </c>
      <c r="AA765" s="94">
        <f t="shared" si="207"/>
        <v>66164.211085333896</v>
      </c>
      <c r="AB765" s="163">
        <f t="shared" si="209"/>
        <v>2.9762691259383966E-3</v>
      </c>
      <c r="AC765" s="96">
        <f t="shared" si="208"/>
        <v>0.93851169166403159</v>
      </c>
      <c r="AD765" s="94">
        <f t="shared" si="205"/>
        <v>66164.211085333896</v>
      </c>
    </row>
    <row r="766" spans="24:30" x14ac:dyDescent="0.25">
      <c r="X766" s="84">
        <v>253</v>
      </c>
      <c r="Y766" s="104">
        <f t="shared" si="210"/>
        <v>2.9802587628364372E-3</v>
      </c>
      <c r="Z766" s="96">
        <f t="shared" si="206"/>
        <v>0.93877278492889293</v>
      </c>
      <c r="AA766" s="94">
        <f t="shared" si="207"/>
        <v>65603.507643862977</v>
      </c>
      <c r="AB766" s="163">
        <f t="shared" si="209"/>
        <v>2.9802587628364372E-3</v>
      </c>
      <c r="AC766" s="96">
        <f t="shared" si="208"/>
        <v>0.93877278492889293</v>
      </c>
      <c r="AD766" s="94">
        <f t="shared" si="205"/>
        <v>65603.507643862977</v>
      </c>
    </row>
    <row r="767" spans="24:30" x14ac:dyDescent="0.25">
      <c r="X767" s="84">
        <v>252</v>
      </c>
      <c r="Y767" s="104">
        <f t="shared" si="210"/>
        <v>2.9842483997344778E-3</v>
      </c>
      <c r="Z767" s="96">
        <f t="shared" si="206"/>
        <v>0.939033703491709</v>
      </c>
      <c r="AA767" s="94">
        <f t="shared" si="207"/>
        <v>65045.562923894977</v>
      </c>
      <c r="AB767" s="163">
        <f t="shared" si="209"/>
        <v>2.9842483997344778E-3</v>
      </c>
      <c r="AC767" s="96">
        <f t="shared" si="208"/>
        <v>0.939033703491709</v>
      </c>
      <c r="AD767" s="94">
        <f t="shared" si="205"/>
        <v>65045.562923894977</v>
      </c>
    </row>
    <row r="768" spans="24:30" x14ac:dyDescent="0.25">
      <c r="X768" s="84">
        <v>251</v>
      </c>
      <c r="Y768" s="104">
        <f t="shared" si="210"/>
        <v>2.9882380366325185E-3</v>
      </c>
      <c r="Z768" s="96">
        <f t="shared" si="206"/>
        <v>0.93929444770269233</v>
      </c>
      <c r="AA768" s="94">
        <f t="shared" si="207"/>
        <v>64490.371395120885</v>
      </c>
      <c r="AB768" s="163">
        <f t="shared" si="209"/>
        <v>2.9882380366325185E-3</v>
      </c>
      <c r="AC768" s="96">
        <f t="shared" si="208"/>
        <v>0.93929444770269233</v>
      </c>
      <c r="AD768" s="94">
        <f t="shared" si="205"/>
        <v>64490.371395120885</v>
      </c>
    </row>
    <row r="769" spans="24:30" x14ac:dyDescent="0.25">
      <c r="X769" s="84">
        <v>250</v>
      </c>
      <c r="Y769" s="104">
        <f t="shared" si="210"/>
        <v>2.9922276735305591E-3</v>
      </c>
      <c r="Z769" s="96">
        <f t="shared" si="206"/>
        <v>0.9395550179109059</v>
      </c>
      <c r="AA769" s="94">
        <f t="shared" si="207"/>
        <v>63937.92754564061</v>
      </c>
      <c r="AB769" s="163">
        <f t="shared" si="209"/>
        <v>2.9922276735305591E-3</v>
      </c>
      <c r="AC769" s="96">
        <f t="shared" si="208"/>
        <v>0.9395550179109059</v>
      </c>
      <c r="AD769" s="94">
        <f t="shared" si="205"/>
        <v>63937.92754564061</v>
      </c>
    </row>
    <row r="770" spans="24:30" x14ac:dyDescent="0.25">
      <c r="X770" s="84">
        <v>249</v>
      </c>
      <c r="Y770" s="104">
        <f t="shared" si="210"/>
        <v>2.9962173104285997E-3</v>
      </c>
      <c r="Z770" s="96">
        <f t="shared" si="206"/>
        <v>0.939815414464232</v>
      </c>
      <c r="AA770" s="94">
        <f t="shared" si="207"/>
        <v>63388.225881962928</v>
      </c>
      <c r="AB770" s="163">
        <f t="shared" si="209"/>
        <v>2.9962173104285997E-3</v>
      </c>
      <c r="AC770" s="96">
        <f t="shared" si="208"/>
        <v>0.939815414464232</v>
      </c>
      <c r="AD770" s="94">
        <f t="shared" si="205"/>
        <v>63388.225881962928</v>
      </c>
    </row>
    <row r="771" spans="24:30" x14ac:dyDescent="0.25">
      <c r="X771" s="84">
        <v>248</v>
      </c>
      <c r="Y771" s="104">
        <f t="shared" si="210"/>
        <v>3.0002069473266404E-3</v>
      </c>
      <c r="Z771" s="96">
        <f t="shared" si="206"/>
        <v>0.94007563770940328</v>
      </c>
      <c r="AA771" s="94">
        <f t="shared" si="207"/>
        <v>62841.260928857846</v>
      </c>
      <c r="AB771" s="163">
        <f t="shared" si="209"/>
        <v>3.0002069473266404E-3</v>
      </c>
      <c r="AC771" s="96">
        <f t="shared" si="208"/>
        <v>0.94007563770940328</v>
      </c>
      <c r="AD771" s="94">
        <f t="shared" si="205"/>
        <v>62841.260928857846</v>
      </c>
    </row>
    <row r="772" spans="24:30" x14ac:dyDescent="0.25">
      <c r="X772" s="84">
        <v>247</v>
      </c>
      <c r="Y772" s="104">
        <f t="shared" si="210"/>
        <v>3.004196584224681E-3</v>
      </c>
      <c r="Z772" s="96">
        <f t="shared" si="206"/>
        <v>0.94033568799200484</v>
      </c>
      <c r="AA772" s="94">
        <f t="shared" si="207"/>
        <v>62297.027229278894</v>
      </c>
      <c r="AB772" s="163">
        <f t="shared" si="209"/>
        <v>3.004196584224681E-3</v>
      </c>
      <c r="AC772" s="96">
        <f t="shared" si="208"/>
        <v>0.94033568799200484</v>
      </c>
      <c r="AD772" s="94">
        <f t="shared" si="205"/>
        <v>62297.027229278894</v>
      </c>
    </row>
    <row r="773" spans="24:30" x14ac:dyDescent="0.25">
      <c r="X773" s="84">
        <v>246</v>
      </c>
      <c r="Y773" s="104">
        <f t="shared" si="210"/>
        <v>3.0081862211227216E-3</v>
      </c>
      <c r="Z773" s="96">
        <f t="shared" si="206"/>
        <v>0.94059556565646185</v>
      </c>
      <c r="AA773" s="94">
        <f t="shared" si="207"/>
        <v>61755.519344326174</v>
      </c>
      <c r="AB773" s="163">
        <f t="shared" si="209"/>
        <v>3.0081862211227216E-3</v>
      </c>
      <c r="AC773" s="96">
        <f t="shared" si="208"/>
        <v>0.94059556565646185</v>
      </c>
      <c r="AD773" s="94">
        <f t="shared" si="205"/>
        <v>61755.519344326174</v>
      </c>
    </row>
    <row r="774" spans="24:30" x14ac:dyDescent="0.25">
      <c r="X774" s="84">
        <v>245</v>
      </c>
      <c r="Y774" s="104">
        <f t="shared" si="210"/>
        <v>3.0121758580207623E-3</v>
      </c>
      <c r="Z774" s="96">
        <f t="shared" si="206"/>
        <v>0.94085527104607258</v>
      </c>
      <c r="AA774" s="94">
        <f t="shared" si="207"/>
        <v>61216.731853087083</v>
      </c>
      <c r="AB774" s="163">
        <f t="shared" si="209"/>
        <v>3.0121758580207623E-3</v>
      </c>
      <c r="AC774" s="96">
        <f t="shared" si="208"/>
        <v>0.94085527104607258</v>
      </c>
      <c r="AD774" s="94">
        <f t="shared" si="205"/>
        <v>61216.731853087083</v>
      </c>
    </row>
    <row r="775" spans="24:30" x14ac:dyDescent="0.25">
      <c r="X775" s="84">
        <v>244</v>
      </c>
      <c r="Y775" s="104">
        <f t="shared" si="210"/>
        <v>3.0161654949188029E-3</v>
      </c>
      <c r="Z775" s="96">
        <f t="shared" si="206"/>
        <v>0.94111480450298601</v>
      </c>
      <c r="AA775" s="94">
        <f t="shared" si="207"/>
        <v>60680.659352626579</v>
      </c>
      <c r="AB775" s="163">
        <f t="shared" si="209"/>
        <v>3.0161654949188029E-3</v>
      </c>
      <c r="AC775" s="96">
        <f t="shared" si="208"/>
        <v>0.94111480450298601</v>
      </c>
      <c r="AD775" s="94">
        <f t="shared" si="205"/>
        <v>60680.659352626579</v>
      </c>
    </row>
    <row r="776" spans="24:30" x14ac:dyDescent="0.25">
      <c r="X776" s="84">
        <v>243</v>
      </c>
      <c r="Y776" s="104">
        <f t="shared" si="210"/>
        <v>3.0201551318168435E-3</v>
      </c>
      <c r="Z776" s="96">
        <f t="shared" si="206"/>
        <v>0.94137416636823235</v>
      </c>
      <c r="AA776" s="94">
        <f t="shared" si="207"/>
        <v>60147.296457845347</v>
      </c>
      <c r="AB776" s="163">
        <f t="shared" si="209"/>
        <v>3.0201551318168435E-3</v>
      </c>
      <c r="AC776" s="96">
        <f t="shared" si="208"/>
        <v>0.94137416636823235</v>
      </c>
      <c r="AD776" s="94">
        <f t="shared" si="205"/>
        <v>60147.296457845347</v>
      </c>
    </row>
    <row r="777" spans="24:30" x14ac:dyDescent="0.25">
      <c r="X777" s="84">
        <v>242</v>
      </c>
      <c r="Y777" s="104">
        <f t="shared" si="210"/>
        <v>3.0241447687148842E-3</v>
      </c>
      <c r="Z777" s="96">
        <f t="shared" si="206"/>
        <v>0.94163335698170281</v>
      </c>
      <c r="AA777" s="94">
        <f t="shared" si="207"/>
        <v>59616.637801442899</v>
      </c>
      <c r="AB777" s="163">
        <f t="shared" si="209"/>
        <v>3.0241447687148842E-3</v>
      </c>
      <c r="AC777" s="96">
        <f t="shared" si="208"/>
        <v>0.94163335698170281</v>
      </c>
      <c r="AD777" s="94">
        <f t="shared" si="205"/>
        <v>59616.637801442899</v>
      </c>
    </row>
    <row r="778" spans="24:30" x14ac:dyDescent="0.25">
      <c r="X778" s="84">
        <v>241</v>
      </c>
      <c r="Y778" s="104">
        <f t="shared" si="210"/>
        <v>3.0281344056129248E-3</v>
      </c>
      <c r="Z778" s="96">
        <f t="shared" si="206"/>
        <v>0.9418923766821784</v>
      </c>
      <c r="AA778" s="94">
        <f t="shared" si="207"/>
        <v>59088.67803380292</v>
      </c>
      <c r="AB778" s="163">
        <f t="shared" si="209"/>
        <v>3.0281344056129248E-3</v>
      </c>
      <c r="AC778" s="96">
        <f t="shared" si="208"/>
        <v>0.9418923766821784</v>
      </c>
      <c r="AD778" s="94">
        <f t="shared" si="205"/>
        <v>59088.67803380292</v>
      </c>
    </row>
    <row r="779" spans="24:30" x14ac:dyDescent="0.25">
      <c r="X779" s="84">
        <v>240</v>
      </c>
      <c r="Y779" s="104">
        <f t="shared" si="210"/>
        <v>3.0321240425109654E-3</v>
      </c>
      <c r="Z779" s="96">
        <f t="shared" si="206"/>
        <v>0.94215122580731969</v>
      </c>
      <c r="AA779" s="94">
        <f t="shared" si="207"/>
        <v>58563.411822925307</v>
      </c>
      <c r="AB779" s="163">
        <f t="shared" si="209"/>
        <v>3.0321240425109654E-3</v>
      </c>
      <c r="AC779" s="96">
        <f t="shared" si="208"/>
        <v>0.94215122580731969</v>
      </c>
      <c r="AD779" s="94">
        <f t="shared" si="205"/>
        <v>58563.411822925307</v>
      </c>
    </row>
    <row r="780" spans="24:30" x14ac:dyDescent="0.25">
      <c r="X780" s="84">
        <v>239</v>
      </c>
      <c r="Y780" s="104">
        <f t="shared" si="210"/>
        <v>3.0361136794090061E-3</v>
      </c>
      <c r="Z780" s="96">
        <f t="shared" si="206"/>
        <v>0.94240990469367725</v>
      </c>
      <c r="AA780" s="94">
        <f t="shared" si="207"/>
        <v>58040.833854348399</v>
      </c>
      <c r="AB780" s="163">
        <f t="shared" si="209"/>
        <v>3.0361136794090061E-3</v>
      </c>
      <c r="AC780" s="96">
        <f t="shared" si="208"/>
        <v>0.94240990469367725</v>
      </c>
      <c r="AD780" s="94">
        <f t="shared" si="205"/>
        <v>58040.833854348399</v>
      </c>
    </row>
    <row r="781" spans="24:30" x14ac:dyDescent="0.25">
      <c r="X781" s="84">
        <v>238</v>
      </c>
      <c r="Y781" s="104">
        <f t="shared" si="210"/>
        <v>3.0401033163070467E-3</v>
      </c>
      <c r="Z781" s="96">
        <f t="shared" si="206"/>
        <v>0.94266841367669973</v>
      </c>
      <c r="AA781" s="94">
        <f t="shared" si="207"/>
        <v>57520.938831055755</v>
      </c>
      <c r="AB781" s="163">
        <f t="shared" si="209"/>
        <v>3.0401033163070467E-3</v>
      </c>
      <c r="AC781" s="96">
        <f t="shared" si="208"/>
        <v>0.94266841367669973</v>
      </c>
      <c r="AD781" s="94">
        <f t="shared" si="205"/>
        <v>57520.938831055755</v>
      </c>
    </row>
    <row r="782" spans="24:30" x14ac:dyDescent="0.25">
      <c r="X782" s="84">
        <v>237</v>
      </c>
      <c r="Y782" s="104">
        <f t="shared" si="210"/>
        <v>3.0440929532050873E-3</v>
      </c>
      <c r="Z782" s="96">
        <f t="shared" si="206"/>
        <v>0.94292675309073182</v>
      </c>
      <c r="AA782" s="94">
        <f t="shared" si="207"/>
        <v>57003.721473410107</v>
      </c>
      <c r="AB782" s="163">
        <f t="shared" si="209"/>
        <v>3.0440929532050873E-3</v>
      </c>
      <c r="AC782" s="96">
        <f t="shared" si="208"/>
        <v>0.94292675309073182</v>
      </c>
      <c r="AD782" s="94">
        <f t="shared" si="205"/>
        <v>57003.721473410107</v>
      </c>
    </row>
    <row r="783" spans="24:30" x14ac:dyDescent="0.25">
      <c r="X783" s="84">
        <v>236</v>
      </c>
      <c r="Y783" s="104">
        <f t="shared" si="210"/>
        <v>3.048082590103128E-3</v>
      </c>
      <c r="Z783" s="96">
        <f t="shared" si="206"/>
        <v>0.94318492326902081</v>
      </c>
      <c r="AA783" s="94">
        <f t="shared" si="207"/>
        <v>56489.176519073662</v>
      </c>
      <c r="AB783" s="163">
        <f t="shared" si="209"/>
        <v>3.048082590103128E-3</v>
      </c>
      <c r="AC783" s="96">
        <f t="shared" si="208"/>
        <v>0.94318492326902081</v>
      </c>
      <c r="AD783" s="94">
        <f t="shared" si="205"/>
        <v>56489.176519073662</v>
      </c>
    </row>
    <row r="784" spans="24:30" x14ac:dyDescent="0.25">
      <c r="X784" s="84">
        <v>235</v>
      </c>
      <c r="Y784" s="104">
        <f t="shared" si="210"/>
        <v>3.0520722270011686E-3</v>
      </c>
      <c r="Z784" s="96">
        <f t="shared" si="206"/>
        <v>0.9434429245437328</v>
      </c>
      <c r="AA784" s="94">
        <f t="shared" si="207"/>
        <v>55977.298722903201</v>
      </c>
      <c r="AB784" s="163">
        <f t="shared" si="209"/>
        <v>3.0520722270011686E-3</v>
      </c>
      <c r="AC784" s="96">
        <f t="shared" si="208"/>
        <v>0.9434429245437328</v>
      </c>
      <c r="AD784" s="94">
        <f t="shared" si="205"/>
        <v>55977.298722903201</v>
      </c>
    </row>
    <row r="785" spans="24:30" x14ac:dyDescent="0.25">
      <c r="X785" s="84">
        <v>234</v>
      </c>
      <c r="Y785" s="104">
        <f t="shared" si="210"/>
        <v>3.0560618638992092E-3</v>
      </c>
      <c r="Z785" s="96">
        <f t="shared" si="206"/>
        <v>0.94370075724593838</v>
      </c>
      <c r="AA785" s="94">
        <f t="shared" si="207"/>
        <v>55468.082856913192</v>
      </c>
      <c r="AB785" s="163">
        <f t="shared" si="209"/>
        <v>3.0560618638992092E-3</v>
      </c>
      <c r="AC785" s="96">
        <f t="shared" si="208"/>
        <v>0.94370075724593838</v>
      </c>
      <c r="AD785" s="94">
        <f t="shared" si="205"/>
        <v>55468.082856913192</v>
      </c>
    </row>
    <row r="786" spans="24:30" x14ac:dyDescent="0.25">
      <c r="X786" s="84">
        <v>233</v>
      </c>
      <c r="Y786" s="104">
        <f t="shared" si="210"/>
        <v>3.0600515007972499E-3</v>
      </c>
      <c r="Z786" s="96">
        <f t="shared" si="206"/>
        <v>0.94395842170563771</v>
      </c>
      <c r="AA786" s="94">
        <f t="shared" si="207"/>
        <v>54961.523710155292</v>
      </c>
      <c r="AB786" s="163">
        <f t="shared" si="209"/>
        <v>3.0600515007972499E-3</v>
      </c>
      <c r="AC786" s="96">
        <f t="shared" si="208"/>
        <v>0.94395842170563771</v>
      </c>
      <c r="AD786" s="94">
        <f t="shared" si="205"/>
        <v>54961.523710155292</v>
      </c>
    </row>
    <row r="787" spans="24:30" x14ac:dyDescent="0.25">
      <c r="X787" s="84">
        <v>232</v>
      </c>
      <c r="Y787" s="104">
        <f t="shared" si="210"/>
        <v>3.0640411376952905E-3</v>
      </c>
      <c r="Z787" s="96">
        <f t="shared" si="206"/>
        <v>0.94421591825174767</v>
      </c>
      <c r="AA787" s="94">
        <f t="shared" si="207"/>
        <v>54457.616088675619</v>
      </c>
      <c r="AB787" s="163">
        <f t="shared" si="209"/>
        <v>3.0640411376952905E-3</v>
      </c>
      <c r="AC787" s="96">
        <f t="shared" si="208"/>
        <v>0.94421591825174767</v>
      </c>
      <c r="AD787" s="94">
        <f t="shared" ref="AD787:AD850" si="211">IF(AC787&lt;1,X$14*((1-ropt)-Y$14*(1-ropt^2)+Z$14*(1-ropt^3)),0)</f>
        <v>54457.616088675619</v>
      </c>
    </row>
    <row r="788" spans="24:30" x14ac:dyDescent="0.25">
      <c r="X788" s="84">
        <v>231</v>
      </c>
      <c r="Y788" s="104">
        <f t="shared" si="210"/>
        <v>3.0680307745933311E-3</v>
      </c>
      <c r="Z788" s="96">
        <f t="shared" ref="Z788:Z851" si="212">(K-(L0-Y788*Ldif-alph*Y788^0.5))/R0</f>
        <v>0.94447324721211867</v>
      </c>
      <c r="AA788" s="94">
        <f t="shared" ref="AA788:AA851" si="213">IF(Z788&lt;1,X$14*((1-r.1)-Y$14*(1-r.1^2)+Z$14*(1-r.1^3)),0)</f>
        <v>53956.354815413732</v>
      </c>
      <c r="AB788" s="163">
        <f t="shared" si="209"/>
        <v>3.0680307745933311E-3</v>
      </c>
      <c r="AC788" s="96">
        <f t="shared" ref="AC788:AC851" si="214">(Kopt-(L0-AB788*Ldif-alph*AB788^0.5))/R0</f>
        <v>0.94447324721211867</v>
      </c>
      <c r="AD788" s="94">
        <f t="shared" si="211"/>
        <v>53956.354815413732</v>
      </c>
    </row>
    <row r="789" spans="24:30" x14ac:dyDescent="0.25">
      <c r="X789" s="84">
        <v>230</v>
      </c>
      <c r="Y789" s="104">
        <f t="shared" si="210"/>
        <v>3.0720204114913718E-3</v>
      </c>
      <c r="Z789" s="96">
        <f t="shared" si="212"/>
        <v>0.94473040891353266</v>
      </c>
      <c r="AA789" s="94">
        <f t="shared" si="213"/>
        <v>53457.73473014238</v>
      </c>
      <c r="AB789" s="163">
        <f t="shared" ref="AB789:AB852" si="215">AB788+AB$15</f>
        <v>3.0720204114913718E-3</v>
      </c>
      <c r="AC789" s="96">
        <f t="shared" si="214"/>
        <v>0.94473040891353266</v>
      </c>
      <c r="AD789" s="94">
        <f t="shared" si="211"/>
        <v>53457.73473014238</v>
      </c>
    </row>
    <row r="790" spans="24:30" x14ac:dyDescent="0.25">
      <c r="X790" s="84">
        <v>229</v>
      </c>
      <c r="Y790" s="104">
        <f t="shared" si="210"/>
        <v>3.0760100483894124E-3</v>
      </c>
      <c r="Z790" s="96">
        <f t="shared" si="212"/>
        <v>0.94498740368171985</v>
      </c>
      <c r="AA790" s="94">
        <f t="shared" si="213"/>
        <v>52961.75068936649</v>
      </c>
      <c r="AB790" s="163">
        <f t="shared" si="215"/>
        <v>3.0760100483894124E-3</v>
      </c>
      <c r="AC790" s="96">
        <f t="shared" si="214"/>
        <v>0.94498740368171985</v>
      </c>
      <c r="AD790" s="94">
        <f t="shared" si="211"/>
        <v>52961.75068936649</v>
      </c>
    </row>
    <row r="791" spans="24:30" x14ac:dyDescent="0.25">
      <c r="X791" s="84">
        <v>228</v>
      </c>
      <c r="Y791" s="104">
        <f t="shared" si="210"/>
        <v>3.079999685287453E-3</v>
      </c>
      <c r="Z791" s="96">
        <f t="shared" si="212"/>
        <v>0.94524423184133965</v>
      </c>
      <c r="AA791" s="94">
        <f t="shared" si="213"/>
        <v>52468.39756628625</v>
      </c>
      <c r="AB791" s="163">
        <f t="shared" si="215"/>
        <v>3.079999685287453E-3</v>
      </c>
      <c r="AC791" s="96">
        <f t="shared" si="214"/>
        <v>0.94524423184133965</v>
      </c>
      <c r="AD791" s="94">
        <f t="shared" si="211"/>
        <v>52468.39756628625</v>
      </c>
    </row>
    <row r="792" spans="24:30" x14ac:dyDescent="0.25">
      <c r="X792" s="84">
        <v>227</v>
      </c>
      <c r="Y792" s="104">
        <f t="shared" si="210"/>
        <v>3.0839893221854936E-3</v>
      </c>
      <c r="Z792" s="96">
        <f t="shared" si="212"/>
        <v>0.9455008937160142</v>
      </c>
      <c r="AA792" s="94">
        <f t="shared" si="213"/>
        <v>51977.670250680516</v>
      </c>
      <c r="AB792" s="163">
        <f t="shared" si="215"/>
        <v>3.0839893221854936E-3</v>
      </c>
      <c r="AC792" s="96">
        <f t="shared" si="214"/>
        <v>0.9455008937160142</v>
      </c>
      <c r="AD792" s="94">
        <f t="shared" si="211"/>
        <v>51977.670250680516</v>
      </c>
    </row>
    <row r="793" spans="24:30" x14ac:dyDescent="0.25">
      <c r="X793" s="84">
        <v>226</v>
      </c>
      <c r="Y793" s="104">
        <f t="shared" si="210"/>
        <v>3.0879789590835343E-3</v>
      </c>
      <c r="Z793" s="96">
        <f t="shared" si="212"/>
        <v>0.94575738962831168</v>
      </c>
      <c r="AA793" s="94">
        <f t="shared" si="213"/>
        <v>51489.563648858275</v>
      </c>
      <c r="AB793" s="163">
        <f t="shared" si="215"/>
        <v>3.0879789590835343E-3</v>
      </c>
      <c r="AC793" s="96">
        <f t="shared" si="214"/>
        <v>0.94575738962831168</v>
      </c>
      <c r="AD793" s="94">
        <f t="shared" si="211"/>
        <v>51489.563648858275</v>
      </c>
    </row>
    <row r="794" spans="24:30" x14ac:dyDescent="0.25">
      <c r="X794" s="84">
        <v>225</v>
      </c>
      <c r="Y794" s="104">
        <f t="shared" si="210"/>
        <v>3.0919685959815749E-3</v>
      </c>
      <c r="Z794" s="96">
        <f t="shared" si="212"/>
        <v>0.94601371989976057</v>
      </c>
      <c r="AA794" s="94">
        <f t="shared" si="213"/>
        <v>51004.072683576996</v>
      </c>
      <c r="AB794" s="163">
        <f t="shared" si="215"/>
        <v>3.0919685959815749E-3</v>
      </c>
      <c r="AC794" s="96">
        <f t="shared" si="214"/>
        <v>0.94601371989976057</v>
      </c>
      <c r="AD794" s="94">
        <f t="shared" si="211"/>
        <v>51004.072683576996</v>
      </c>
    </row>
    <row r="795" spans="24:30" x14ac:dyDescent="0.25">
      <c r="X795" s="84">
        <v>224</v>
      </c>
      <c r="Y795" s="104">
        <f t="shared" si="210"/>
        <v>3.0959582328796155E-3</v>
      </c>
      <c r="Z795" s="96">
        <f t="shared" si="212"/>
        <v>0.94626988485085672</v>
      </c>
      <c r="AA795" s="94">
        <f t="shared" si="213"/>
        <v>50521.192293953311</v>
      </c>
      <c r="AB795" s="163">
        <f t="shared" si="215"/>
        <v>3.0959582328796155E-3</v>
      </c>
      <c r="AC795" s="96">
        <f t="shared" si="214"/>
        <v>0.94626988485085672</v>
      </c>
      <c r="AD795" s="94">
        <f t="shared" si="211"/>
        <v>50521.192293953311</v>
      </c>
    </row>
    <row r="796" spans="24:30" x14ac:dyDescent="0.25">
      <c r="X796" s="84">
        <v>223</v>
      </c>
      <c r="Y796" s="104">
        <f t="shared" si="210"/>
        <v>3.0999478697776562E-3</v>
      </c>
      <c r="Z796" s="96">
        <f t="shared" si="212"/>
        <v>0.94652588480105404</v>
      </c>
      <c r="AA796" s="94">
        <f t="shared" si="213"/>
        <v>50040.917435427997</v>
      </c>
      <c r="AB796" s="163">
        <f t="shared" si="215"/>
        <v>3.0999478697776562E-3</v>
      </c>
      <c r="AC796" s="96">
        <f t="shared" si="214"/>
        <v>0.94652588480105404</v>
      </c>
      <c r="AD796" s="94">
        <f t="shared" si="211"/>
        <v>50040.917435427997</v>
      </c>
    </row>
    <row r="797" spans="24:30" x14ac:dyDescent="0.25">
      <c r="X797" s="84">
        <v>222</v>
      </c>
      <c r="Y797" s="104">
        <f t="shared" si="210"/>
        <v>3.1039375066756968E-3</v>
      </c>
      <c r="Z797" s="96">
        <f t="shared" si="212"/>
        <v>0.94678172006879002</v>
      </c>
      <c r="AA797" s="94">
        <f t="shared" si="213"/>
        <v>49563.243079641674</v>
      </c>
      <c r="AB797" s="163">
        <f t="shared" si="215"/>
        <v>3.1039375066756968E-3</v>
      </c>
      <c r="AC797" s="96">
        <f t="shared" si="214"/>
        <v>0.94678172006879002</v>
      </c>
      <c r="AD797" s="94">
        <f t="shared" si="211"/>
        <v>49563.243079641674</v>
      </c>
    </row>
    <row r="798" spans="24:30" x14ac:dyDescent="0.25">
      <c r="X798" s="84">
        <v>221</v>
      </c>
      <c r="Y798" s="104">
        <f t="shared" si="210"/>
        <v>3.1079271435737374E-3</v>
      </c>
      <c r="Z798" s="96">
        <f t="shared" si="212"/>
        <v>0.94703739097146888</v>
      </c>
      <c r="AA798" s="94">
        <f t="shared" si="213"/>
        <v>49088.164214407545</v>
      </c>
      <c r="AB798" s="163">
        <f t="shared" si="215"/>
        <v>3.1079271435737374E-3</v>
      </c>
      <c r="AC798" s="96">
        <f t="shared" si="214"/>
        <v>0.94703739097146888</v>
      </c>
      <c r="AD798" s="94">
        <f t="shared" si="211"/>
        <v>49088.164214407545</v>
      </c>
    </row>
    <row r="799" spans="24:30" x14ac:dyDescent="0.25">
      <c r="X799" s="84">
        <v>220</v>
      </c>
      <c r="Y799" s="104">
        <f t="shared" si="210"/>
        <v>3.1119167804717781E-3</v>
      </c>
      <c r="Z799" s="96">
        <f t="shared" si="212"/>
        <v>0.94729289782548676</v>
      </c>
      <c r="AA799" s="94">
        <f t="shared" si="213"/>
        <v>48615.675843604608</v>
      </c>
      <c r="AB799" s="163">
        <f t="shared" si="215"/>
        <v>3.1119167804717781E-3</v>
      </c>
      <c r="AC799" s="96">
        <f t="shared" si="214"/>
        <v>0.94729289782548676</v>
      </c>
      <c r="AD799" s="94">
        <f t="shared" si="211"/>
        <v>48615.675843604608</v>
      </c>
    </row>
    <row r="800" spans="24:30" x14ac:dyDescent="0.25">
      <c r="X800" s="84">
        <v>219</v>
      </c>
      <c r="Y800" s="104">
        <f t="shared" ref="Y800:Y863" si="216">Y799+Y$16</f>
        <v>3.1159064173698187E-3</v>
      </c>
      <c r="Z800" s="96">
        <f t="shared" si="212"/>
        <v>0.94754824094621692</v>
      </c>
      <c r="AA800" s="94">
        <f t="shared" si="213"/>
        <v>48145.772987132914</v>
      </c>
      <c r="AB800" s="163">
        <f t="shared" si="215"/>
        <v>3.1159064173698187E-3</v>
      </c>
      <c r="AC800" s="96">
        <f t="shared" si="214"/>
        <v>0.94754824094621692</v>
      </c>
      <c r="AD800" s="94">
        <f t="shared" si="211"/>
        <v>48145.772987132914</v>
      </c>
    </row>
    <row r="801" spans="24:30" x14ac:dyDescent="0.25">
      <c r="X801" s="84">
        <v>218</v>
      </c>
      <c r="Y801" s="104">
        <f t="shared" si="216"/>
        <v>3.1198960542678593E-3</v>
      </c>
      <c r="Z801" s="96">
        <f t="shared" si="212"/>
        <v>0.94780342064803058</v>
      </c>
      <c r="AA801" s="94">
        <f t="shared" si="213"/>
        <v>47678.450680812566</v>
      </c>
      <c r="AB801" s="163">
        <f t="shared" si="215"/>
        <v>3.1198960542678593E-3</v>
      </c>
      <c r="AC801" s="96">
        <f t="shared" si="214"/>
        <v>0.94780342064803058</v>
      </c>
      <c r="AD801" s="94">
        <f t="shared" si="211"/>
        <v>47678.450680812566</v>
      </c>
    </row>
    <row r="802" spans="24:30" x14ac:dyDescent="0.25">
      <c r="X802" s="84">
        <v>217</v>
      </c>
      <c r="Y802" s="104">
        <f t="shared" si="216"/>
        <v>3.1238856911659E-3</v>
      </c>
      <c r="Z802" s="96">
        <f t="shared" si="212"/>
        <v>0.94805843724428673</v>
      </c>
      <c r="AA802" s="94">
        <f t="shared" si="213"/>
        <v>47213.703976350676</v>
      </c>
      <c r="AB802" s="163">
        <f t="shared" si="215"/>
        <v>3.1238856911659E-3</v>
      </c>
      <c r="AC802" s="96">
        <f t="shared" si="214"/>
        <v>0.94805843724428673</v>
      </c>
      <c r="AD802" s="94">
        <f t="shared" si="211"/>
        <v>47213.703976350676</v>
      </c>
    </row>
    <row r="803" spans="24:30" x14ac:dyDescent="0.25">
      <c r="X803" s="84">
        <v>216</v>
      </c>
      <c r="Y803" s="104">
        <f t="shared" si="216"/>
        <v>3.1278753280639406E-3</v>
      </c>
      <c r="Z803" s="96">
        <f t="shared" si="212"/>
        <v>0.94831329104735451</v>
      </c>
      <c r="AA803" s="94">
        <f t="shared" si="213"/>
        <v>46751.527941220906</v>
      </c>
      <c r="AB803" s="163">
        <f t="shared" si="215"/>
        <v>3.1278753280639406E-3</v>
      </c>
      <c r="AC803" s="96">
        <f t="shared" si="214"/>
        <v>0.94831329104735451</v>
      </c>
      <c r="AD803" s="94">
        <f t="shared" si="211"/>
        <v>46751.527941220906</v>
      </c>
    </row>
    <row r="804" spans="24:30" x14ac:dyDescent="0.25">
      <c r="X804" s="84">
        <v>215</v>
      </c>
      <c r="Y804" s="104">
        <f t="shared" si="216"/>
        <v>3.1318649649619812E-3</v>
      </c>
      <c r="Z804" s="96">
        <f t="shared" si="212"/>
        <v>0.9485679823685973</v>
      </c>
      <c r="AA804" s="94">
        <f t="shared" si="213"/>
        <v>46291.917658645994</v>
      </c>
      <c r="AB804" s="163">
        <f t="shared" si="215"/>
        <v>3.1318649649619812E-3</v>
      </c>
      <c r="AC804" s="96">
        <f t="shared" si="214"/>
        <v>0.9485679823685973</v>
      </c>
      <c r="AD804" s="94">
        <f t="shared" si="211"/>
        <v>46291.917658645994</v>
      </c>
    </row>
    <row r="805" spans="24:30" x14ac:dyDescent="0.25">
      <c r="X805" s="84">
        <v>214</v>
      </c>
      <c r="Y805" s="104">
        <f t="shared" si="216"/>
        <v>3.1358546018600219E-3</v>
      </c>
      <c r="Z805" s="96">
        <f t="shared" si="212"/>
        <v>0.9488225115183927</v>
      </c>
      <c r="AA805" s="94">
        <f t="shared" si="213"/>
        <v>45834.868227488958</v>
      </c>
      <c r="AB805" s="163">
        <f t="shared" si="215"/>
        <v>3.1358546018600219E-3</v>
      </c>
      <c r="AC805" s="96">
        <f t="shared" si="214"/>
        <v>0.9488225115183927</v>
      </c>
      <c r="AD805" s="94">
        <f t="shared" si="211"/>
        <v>45834.868227488958</v>
      </c>
    </row>
    <row r="806" spans="24:30" x14ac:dyDescent="0.25">
      <c r="X806" s="84">
        <v>213</v>
      </c>
      <c r="Y806" s="104">
        <f t="shared" si="216"/>
        <v>3.1398442387580625E-3</v>
      </c>
      <c r="Z806" s="96">
        <f t="shared" si="212"/>
        <v>0.94907687880612901</v>
      </c>
      <c r="AA806" s="94">
        <f t="shared" si="213"/>
        <v>45380.374762198648</v>
      </c>
      <c r="AB806" s="163">
        <f t="shared" si="215"/>
        <v>3.1398442387580625E-3</v>
      </c>
      <c r="AC806" s="96">
        <f t="shared" si="214"/>
        <v>0.94907687880612901</v>
      </c>
      <c r="AD806" s="94">
        <f t="shared" si="211"/>
        <v>45380.374762198648</v>
      </c>
    </row>
    <row r="807" spans="24:30" x14ac:dyDescent="0.25">
      <c r="X807" s="84">
        <v>212</v>
      </c>
      <c r="Y807" s="104">
        <f t="shared" si="216"/>
        <v>3.1438338756561031E-3</v>
      </c>
      <c r="Z807" s="96">
        <f t="shared" si="212"/>
        <v>0.94933108454021342</v>
      </c>
      <c r="AA807" s="94">
        <f t="shared" si="213"/>
        <v>44928.432392741808</v>
      </c>
      <c r="AB807" s="163">
        <f t="shared" si="215"/>
        <v>3.1438338756561031E-3</v>
      </c>
      <c r="AC807" s="96">
        <f t="shared" si="214"/>
        <v>0.94933108454021342</v>
      </c>
      <c r="AD807" s="94">
        <f t="shared" si="211"/>
        <v>44928.432392741808</v>
      </c>
    </row>
    <row r="808" spans="24:30" x14ac:dyDescent="0.25">
      <c r="X808" s="84">
        <v>211</v>
      </c>
      <c r="Y808" s="104">
        <f t="shared" si="216"/>
        <v>3.1478235125541438E-3</v>
      </c>
      <c r="Z808" s="96">
        <f t="shared" si="212"/>
        <v>0.94958512902807379</v>
      </c>
      <c r="AA808" s="94">
        <f t="shared" si="213"/>
        <v>44479.036264529212</v>
      </c>
      <c r="AB808" s="163">
        <f t="shared" si="215"/>
        <v>3.1478235125541438E-3</v>
      </c>
      <c r="AC808" s="96">
        <f t="shared" si="214"/>
        <v>0.94958512902807379</v>
      </c>
      <c r="AD808" s="94">
        <f t="shared" si="211"/>
        <v>44479.036264529212</v>
      </c>
    </row>
    <row r="809" spans="24:30" x14ac:dyDescent="0.25">
      <c r="X809" s="84">
        <v>210</v>
      </c>
      <c r="Y809" s="104">
        <f t="shared" si="216"/>
        <v>3.1518131494521844E-3</v>
      </c>
      <c r="Z809" s="96">
        <f t="shared" si="212"/>
        <v>0.94983901257616932</v>
      </c>
      <c r="AA809" s="94">
        <f t="shared" si="213"/>
        <v>44032.181538339886</v>
      </c>
      <c r="AB809" s="163">
        <f t="shared" si="215"/>
        <v>3.1518131494521844E-3</v>
      </c>
      <c r="AC809" s="96">
        <f t="shared" si="214"/>
        <v>0.94983901257616932</v>
      </c>
      <c r="AD809" s="94">
        <f t="shared" si="211"/>
        <v>44032.181538339886</v>
      </c>
    </row>
    <row r="810" spans="24:30" x14ac:dyDescent="0.25">
      <c r="X810" s="84">
        <v>209</v>
      </c>
      <c r="Y810" s="104">
        <f t="shared" si="216"/>
        <v>3.155802786350225E-3</v>
      </c>
      <c r="Z810" s="96">
        <f t="shared" si="212"/>
        <v>0.95009273548997786</v>
      </c>
      <c r="AA810" s="94">
        <f t="shared" si="213"/>
        <v>43587.863390282262</v>
      </c>
      <c r="AB810" s="163">
        <f t="shared" si="215"/>
        <v>3.155802786350225E-3</v>
      </c>
      <c r="AC810" s="96">
        <f t="shared" si="214"/>
        <v>0.95009273548997786</v>
      </c>
      <c r="AD810" s="94">
        <f t="shared" si="211"/>
        <v>43587.863390282262</v>
      </c>
    </row>
    <row r="811" spans="24:30" x14ac:dyDescent="0.25">
      <c r="X811" s="84">
        <v>208</v>
      </c>
      <c r="Y811" s="104">
        <f t="shared" si="216"/>
        <v>3.1597924232482657E-3</v>
      </c>
      <c r="Z811" s="96">
        <f t="shared" si="212"/>
        <v>0.95034629807402538</v>
      </c>
      <c r="AA811" s="94">
        <f t="shared" si="213"/>
        <v>43146.077011687332</v>
      </c>
      <c r="AB811" s="163">
        <f t="shared" si="215"/>
        <v>3.1597924232482657E-3</v>
      </c>
      <c r="AC811" s="96">
        <f t="shared" si="214"/>
        <v>0.95034629807402538</v>
      </c>
      <c r="AD811" s="94">
        <f t="shared" si="211"/>
        <v>43146.077011687332</v>
      </c>
    </row>
    <row r="812" spans="24:30" x14ac:dyDescent="0.25">
      <c r="X812" s="84">
        <v>207</v>
      </c>
      <c r="Y812" s="104">
        <f t="shared" si="216"/>
        <v>3.1637820601463063E-3</v>
      </c>
      <c r="Z812" s="96">
        <f t="shared" si="212"/>
        <v>0.95059970063186683</v>
      </c>
      <c r="AA812" s="94">
        <f t="shared" si="213"/>
        <v>42706.81760906976</v>
      </c>
      <c r="AB812" s="163">
        <f t="shared" si="215"/>
        <v>3.1637820601463063E-3</v>
      </c>
      <c r="AC812" s="96">
        <f t="shared" si="214"/>
        <v>0.95059970063186683</v>
      </c>
      <c r="AD812" s="94">
        <f t="shared" si="211"/>
        <v>42706.81760906976</v>
      </c>
    </row>
    <row r="813" spans="24:30" x14ac:dyDescent="0.25">
      <c r="X813" s="84">
        <v>206</v>
      </c>
      <c r="Y813" s="104">
        <f t="shared" si="216"/>
        <v>3.1677716970443469E-3</v>
      </c>
      <c r="Z813" s="96">
        <f t="shared" si="212"/>
        <v>0.95085294346611138</v>
      </c>
      <c r="AA813" s="94">
        <f t="shared" si="213"/>
        <v>42270.080404042405</v>
      </c>
      <c r="AB813" s="163">
        <f t="shared" si="215"/>
        <v>3.1677716970443469E-3</v>
      </c>
      <c r="AC813" s="96">
        <f t="shared" si="214"/>
        <v>0.95085294346611138</v>
      </c>
      <c r="AD813" s="94">
        <f t="shared" si="211"/>
        <v>42270.080404042405</v>
      </c>
    </row>
    <row r="814" spans="24:30" x14ac:dyDescent="0.25">
      <c r="X814" s="84">
        <v>205</v>
      </c>
      <c r="Y814" s="104">
        <f t="shared" si="216"/>
        <v>3.1717613339423876E-3</v>
      </c>
      <c r="Z814" s="96">
        <f t="shared" si="212"/>
        <v>0.95110602687839951</v>
      </c>
      <c r="AA814" s="94">
        <f t="shared" si="213"/>
        <v>41835.860633275552</v>
      </c>
      <c r="AB814" s="163">
        <f t="shared" si="215"/>
        <v>3.1717613339423876E-3</v>
      </c>
      <c r="AC814" s="96">
        <f t="shared" si="214"/>
        <v>0.95110602687839951</v>
      </c>
      <c r="AD814" s="94">
        <f t="shared" si="211"/>
        <v>41835.860633275552</v>
      </c>
    </row>
    <row r="815" spans="24:30" x14ac:dyDescent="0.25">
      <c r="X815" s="84">
        <v>204</v>
      </c>
      <c r="Y815" s="104">
        <f t="shared" si="216"/>
        <v>3.1757509708404282E-3</v>
      </c>
      <c r="Z815" s="96">
        <f t="shared" si="212"/>
        <v>0.95135895116944225</v>
      </c>
      <c r="AA815" s="94">
        <f t="shared" si="213"/>
        <v>41404.153548391951</v>
      </c>
      <c r="AB815" s="163">
        <f t="shared" si="215"/>
        <v>3.1757509708404282E-3</v>
      </c>
      <c r="AC815" s="96">
        <f t="shared" si="214"/>
        <v>0.95135895116944225</v>
      </c>
      <c r="AD815" s="94">
        <f t="shared" si="211"/>
        <v>41404.153548391951</v>
      </c>
    </row>
    <row r="816" spans="24:30" x14ac:dyDescent="0.25">
      <c r="X816" s="84">
        <v>203</v>
      </c>
      <c r="Y816" s="104">
        <f t="shared" si="216"/>
        <v>3.1797406077384688E-3</v>
      </c>
      <c r="Z816" s="96">
        <f t="shared" si="212"/>
        <v>0.95161171663899058</v>
      </c>
      <c r="AA816" s="94">
        <f t="shared" si="213"/>
        <v>40974.954415943517</v>
      </c>
      <c r="AB816" s="163">
        <f t="shared" si="215"/>
        <v>3.1797406077384688E-3</v>
      </c>
      <c r="AC816" s="96">
        <f t="shared" si="214"/>
        <v>0.95161171663899058</v>
      </c>
      <c r="AD816" s="94">
        <f t="shared" si="211"/>
        <v>40974.954415943517</v>
      </c>
    </row>
    <row r="817" spans="24:30" x14ac:dyDescent="0.25">
      <c r="X817" s="84">
        <v>202</v>
      </c>
      <c r="Y817" s="104">
        <f t="shared" si="216"/>
        <v>3.1837302446365095E-3</v>
      </c>
      <c r="Z817" s="96">
        <f t="shared" si="212"/>
        <v>0.9518643235858657</v>
      </c>
      <c r="AA817" s="94">
        <f t="shared" si="213"/>
        <v>40548.258517308372</v>
      </c>
      <c r="AB817" s="163">
        <f t="shared" si="215"/>
        <v>3.1837302446365095E-3</v>
      </c>
      <c r="AC817" s="96">
        <f t="shared" si="214"/>
        <v>0.9518643235858657</v>
      </c>
      <c r="AD817" s="94">
        <f t="shared" si="211"/>
        <v>40548.258517308372</v>
      </c>
    </row>
    <row r="818" spans="24:30" x14ac:dyDescent="0.25">
      <c r="X818" s="84">
        <v>201</v>
      </c>
      <c r="Y818" s="104">
        <f t="shared" si="216"/>
        <v>3.1877198815345501E-3</v>
      </c>
      <c r="Z818" s="96">
        <f t="shared" si="212"/>
        <v>0.95211677230794556</v>
      </c>
      <c r="AA818" s="94">
        <f t="shared" si="213"/>
        <v>40124.061148659748</v>
      </c>
      <c r="AB818" s="163">
        <f t="shared" si="215"/>
        <v>3.1877198815345501E-3</v>
      </c>
      <c r="AC818" s="96">
        <f t="shared" si="214"/>
        <v>0.95211677230794556</v>
      </c>
      <c r="AD818" s="94">
        <f t="shared" si="211"/>
        <v>40124.061148659748</v>
      </c>
    </row>
    <row r="819" spans="24:30" x14ac:dyDescent="0.25">
      <c r="X819" s="84">
        <v>200</v>
      </c>
      <c r="Y819" s="104">
        <f t="shared" si="216"/>
        <v>3.1917095184325907E-3</v>
      </c>
      <c r="Z819" s="96">
        <f t="shared" si="212"/>
        <v>0.95236906310218694</v>
      </c>
      <c r="AA819" s="94">
        <f t="shared" si="213"/>
        <v>39702.357620861061</v>
      </c>
      <c r="AB819" s="163">
        <f t="shared" si="215"/>
        <v>3.1917095184325907E-3</v>
      </c>
      <c r="AC819" s="96">
        <f t="shared" si="214"/>
        <v>0.95236906310218694</v>
      </c>
      <c r="AD819" s="94">
        <f t="shared" si="211"/>
        <v>39702.357620861061</v>
      </c>
    </row>
    <row r="820" spans="24:30" x14ac:dyDescent="0.25">
      <c r="X820" s="84">
        <v>199</v>
      </c>
      <c r="Y820" s="104">
        <f t="shared" si="216"/>
        <v>3.1956991553306314E-3</v>
      </c>
      <c r="Z820" s="96">
        <f t="shared" si="212"/>
        <v>0.95262119626460673</v>
      </c>
      <c r="AA820" s="94">
        <f t="shared" si="213"/>
        <v>39283.143259446493</v>
      </c>
      <c r="AB820" s="163">
        <f t="shared" si="215"/>
        <v>3.1956991553306314E-3</v>
      </c>
      <c r="AC820" s="96">
        <f t="shared" si="214"/>
        <v>0.95262119626460673</v>
      </c>
      <c r="AD820" s="94">
        <f t="shared" si="211"/>
        <v>39283.143259446493</v>
      </c>
    </row>
    <row r="821" spans="24:30" x14ac:dyDescent="0.25">
      <c r="X821" s="84">
        <v>198</v>
      </c>
      <c r="Y821" s="104">
        <f t="shared" si="216"/>
        <v>3.199688792228672E-3</v>
      </c>
      <c r="Z821" s="96">
        <f t="shared" si="212"/>
        <v>0.95287317209030353</v>
      </c>
      <c r="AA821" s="94">
        <f t="shared" si="213"/>
        <v>38866.413404527739</v>
      </c>
      <c r="AB821" s="163">
        <f t="shared" si="215"/>
        <v>3.199688792228672E-3</v>
      </c>
      <c r="AC821" s="96">
        <f t="shared" si="214"/>
        <v>0.95287317209030353</v>
      </c>
      <c r="AD821" s="94">
        <f t="shared" si="211"/>
        <v>38866.413404527739</v>
      </c>
    </row>
    <row r="822" spans="24:30" x14ac:dyDescent="0.25">
      <c r="X822" s="84">
        <v>197</v>
      </c>
      <c r="Y822" s="104">
        <f t="shared" si="216"/>
        <v>3.2036784291267126E-3</v>
      </c>
      <c r="Z822" s="96">
        <f t="shared" si="212"/>
        <v>0.9531249908734607</v>
      </c>
      <c r="AA822" s="94">
        <f t="shared" si="213"/>
        <v>38452.163410729889</v>
      </c>
      <c r="AB822" s="163">
        <f t="shared" si="215"/>
        <v>3.2036784291267126E-3</v>
      </c>
      <c r="AC822" s="96">
        <f t="shared" si="214"/>
        <v>0.9531249908734607</v>
      </c>
      <c r="AD822" s="94">
        <f t="shared" si="211"/>
        <v>38452.163410729889</v>
      </c>
    </row>
    <row r="823" spans="24:30" x14ac:dyDescent="0.25">
      <c r="X823" s="84">
        <v>196</v>
      </c>
      <c r="Y823" s="104">
        <f t="shared" si="216"/>
        <v>3.2076680660247533E-3</v>
      </c>
      <c r="Z823" s="96">
        <f t="shared" si="212"/>
        <v>0.95337665290733675</v>
      </c>
      <c r="AA823" s="94">
        <f t="shared" si="213"/>
        <v>38040.38864715254</v>
      </c>
      <c r="AB823" s="163">
        <f t="shared" si="215"/>
        <v>3.2076680660247533E-3</v>
      </c>
      <c r="AC823" s="96">
        <f t="shared" si="214"/>
        <v>0.95337665290733675</v>
      </c>
      <c r="AD823" s="94">
        <f t="shared" si="211"/>
        <v>38040.38864715254</v>
      </c>
    </row>
    <row r="824" spans="24:30" x14ac:dyDescent="0.25">
      <c r="X824" s="84">
        <v>195</v>
      </c>
      <c r="Y824" s="104">
        <f t="shared" si="216"/>
        <v>3.2116577029227939E-3</v>
      </c>
      <c r="Z824" s="96">
        <f t="shared" si="212"/>
        <v>0.95362815848428606</v>
      </c>
      <c r="AA824" s="94">
        <f t="shared" si="213"/>
        <v>37631.084497272714</v>
      </c>
      <c r="AB824" s="163">
        <f t="shared" si="215"/>
        <v>3.2116577029227939E-3</v>
      </c>
      <c r="AC824" s="96">
        <f t="shared" si="214"/>
        <v>0.95362815848428606</v>
      </c>
      <c r="AD824" s="94">
        <f t="shared" si="211"/>
        <v>37631.084497272714</v>
      </c>
    </row>
    <row r="825" spans="24:30" x14ac:dyDescent="0.25">
      <c r="X825" s="84">
        <v>194</v>
      </c>
      <c r="Y825" s="104">
        <f t="shared" si="216"/>
        <v>3.2156473398208345E-3</v>
      </c>
      <c r="Z825" s="96">
        <f t="shared" si="212"/>
        <v>0.95387950789575227</v>
      </c>
      <c r="AA825" s="94">
        <f t="shared" si="213"/>
        <v>37224.246358913704</v>
      </c>
      <c r="AB825" s="163">
        <f t="shared" si="215"/>
        <v>3.2156473398208345E-3</v>
      </c>
      <c r="AC825" s="96">
        <f t="shared" si="214"/>
        <v>0.95387950789575227</v>
      </c>
      <c r="AD825" s="94">
        <f t="shared" si="211"/>
        <v>37224.246358913704</v>
      </c>
    </row>
    <row r="826" spans="24:30" x14ac:dyDescent="0.25">
      <c r="X826" s="84">
        <v>193</v>
      </c>
      <c r="Y826" s="104">
        <f t="shared" si="216"/>
        <v>3.2196369767188752E-3</v>
      </c>
      <c r="Z826" s="96">
        <f t="shared" si="212"/>
        <v>0.95413070143227885</v>
      </c>
      <c r="AA826" s="94">
        <f t="shared" si="213"/>
        <v>36819.869644157683</v>
      </c>
      <c r="AB826" s="163">
        <f t="shared" si="215"/>
        <v>3.2196369767188752E-3</v>
      </c>
      <c r="AC826" s="96">
        <f t="shared" si="214"/>
        <v>0.95413070143227885</v>
      </c>
      <c r="AD826" s="94">
        <f t="shared" si="211"/>
        <v>36819.869644157683</v>
      </c>
    </row>
    <row r="827" spans="24:30" x14ac:dyDescent="0.25">
      <c r="X827" s="84">
        <v>192</v>
      </c>
      <c r="Y827" s="104">
        <f t="shared" si="216"/>
        <v>3.2236266136169158E-3</v>
      </c>
      <c r="Z827" s="96">
        <f t="shared" si="212"/>
        <v>0.9543817393835009</v>
      </c>
      <c r="AA827" s="94">
        <f t="shared" si="213"/>
        <v>36417.949779308794</v>
      </c>
      <c r="AB827" s="163">
        <f t="shared" si="215"/>
        <v>3.2236266136169158E-3</v>
      </c>
      <c r="AC827" s="96">
        <f t="shared" si="214"/>
        <v>0.9543817393835009</v>
      </c>
      <c r="AD827" s="94">
        <f t="shared" si="211"/>
        <v>36417.949779308794</v>
      </c>
    </row>
    <row r="828" spans="24:30" x14ac:dyDescent="0.25">
      <c r="X828" s="84">
        <v>191</v>
      </c>
      <c r="Y828" s="104">
        <f t="shared" si="216"/>
        <v>3.2276162505149564E-3</v>
      </c>
      <c r="Z828" s="96">
        <f t="shared" si="212"/>
        <v>0.95463262203817001</v>
      </c>
      <c r="AA828" s="94">
        <f t="shared" si="213"/>
        <v>36018.48220480181</v>
      </c>
      <c r="AB828" s="163">
        <f t="shared" si="215"/>
        <v>3.2276162505149564E-3</v>
      </c>
      <c r="AC828" s="96">
        <f t="shared" si="214"/>
        <v>0.95463262203817001</v>
      </c>
      <c r="AD828" s="94">
        <f t="shared" si="211"/>
        <v>36018.48220480181</v>
      </c>
    </row>
    <row r="829" spans="24:30" x14ac:dyDescent="0.25">
      <c r="X829" s="84">
        <v>190</v>
      </c>
      <c r="Y829" s="104">
        <f t="shared" si="216"/>
        <v>3.2316058874129971E-3</v>
      </c>
      <c r="Z829" s="96">
        <f t="shared" si="212"/>
        <v>0.95488334968413346</v>
      </c>
      <c r="AA829" s="94">
        <f t="shared" si="213"/>
        <v>35621.462375173003</v>
      </c>
      <c r="AB829" s="163">
        <f t="shared" si="215"/>
        <v>3.2316058874129971E-3</v>
      </c>
      <c r="AC829" s="96">
        <f t="shared" si="214"/>
        <v>0.95488334968413346</v>
      </c>
      <c r="AD829" s="94">
        <f t="shared" si="211"/>
        <v>35621.462375173003</v>
      </c>
    </row>
    <row r="830" spans="24:30" x14ac:dyDescent="0.25">
      <c r="X830" s="84">
        <v>189</v>
      </c>
      <c r="Y830" s="104">
        <f t="shared" si="216"/>
        <v>3.2355955243110377E-3</v>
      </c>
      <c r="Z830" s="96">
        <f t="shared" si="212"/>
        <v>0.95513392260835916</v>
      </c>
      <c r="AA830" s="94">
        <f t="shared" si="213"/>
        <v>35226.885758972712</v>
      </c>
      <c r="AB830" s="163">
        <f t="shared" si="215"/>
        <v>3.2355955243110377E-3</v>
      </c>
      <c r="AC830" s="96">
        <f t="shared" si="214"/>
        <v>0.95513392260835916</v>
      </c>
      <c r="AD830" s="94">
        <f t="shared" si="211"/>
        <v>35226.885758972712</v>
      </c>
    </row>
    <row r="831" spans="24:30" x14ac:dyDescent="0.25">
      <c r="X831" s="84">
        <v>188</v>
      </c>
      <c r="Y831" s="104">
        <f t="shared" si="216"/>
        <v>3.2395851612090783E-3</v>
      </c>
      <c r="Z831" s="96">
        <f t="shared" si="212"/>
        <v>0.95538434109692527</v>
      </c>
      <c r="AA831" s="94">
        <f t="shared" si="213"/>
        <v>34834.747838720657</v>
      </c>
      <c r="AB831" s="163">
        <f t="shared" si="215"/>
        <v>3.2395851612090783E-3</v>
      </c>
      <c r="AC831" s="96">
        <f t="shared" si="214"/>
        <v>0.95538434109692527</v>
      </c>
      <c r="AD831" s="94">
        <f t="shared" si="211"/>
        <v>34834.747838720657</v>
      </c>
    </row>
    <row r="832" spans="24:30" x14ac:dyDescent="0.25">
      <c r="X832" s="84">
        <v>187</v>
      </c>
      <c r="Y832" s="104">
        <f t="shared" si="216"/>
        <v>3.243574798107119E-3</v>
      </c>
      <c r="Z832" s="96">
        <f t="shared" si="212"/>
        <v>0.95563460543503287</v>
      </c>
      <c r="AA832" s="94">
        <f t="shared" si="213"/>
        <v>34445.044110841824</v>
      </c>
      <c r="AB832" s="163">
        <f t="shared" si="215"/>
        <v>3.243574798107119E-3</v>
      </c>
      <c r="AC832" s="96">
        <f t="shared" si="214"/>
        <v>0.95563460543503287</v>
      </c>
      <c r="AD832" s="94">
        <f t="shared" si="211"/>
        <v>34445.044110841824</v>
      </c>
    </row>
    <row r="833" spans="24:30" x14ac:dyDescent="0.25">
      <c r="X833" s="84">
        <v>186</v>
      </c>
      <c r="Y833" s="104">
        <f t="shared" si="216"/>
        <v>3.2475644350051596E-3</v>
      </c>
      <c r="Z833" s="96">
        <f t="shared" si="212"/>
        <v>0.9558847159070053</v>
      </c>
      <c r="AA833" s="94">
        <f t="shared" si="213"/>
        <v>34057.770085598466</v>
      </c>
      <c r="AB833" s="163">
        <f t="shared" si="215"/>
        <v>3.2475644350051596E-3</v>
      </c>
      <c r="AC833" s="96">
        <f t="shared" si="214"/>
        <v>0.9558847159070053</v>
      </c>
      <c r="AD833" s="94">
        <f t="shared" si="211"/>
        <v>34057.770085598466</v>
      </c>
    </row>
    <row r="834" spans="24:30" x14ac:dyDescent="0.25">
      <c r="X834" s="84">
        <v>185</v>
      </c>
      <c r="Y834" s="104">
        <f t="shared" si="216"/>
        <v>3.2515540719032002E-3</v>
      </c>
      <c r="Z834" s="96">
        <f t="shared" si="212"/>
        <v>0.95613467279629327</v>
      </c>
      <c r="AA834" s="94">
        <f t="shared" si="213"/>
        <v>33672.921287043471</v>
      </c>
      <c r="AB834" s="163">
        <f t="shared" si="215"/>
        <v>3.2515540719032002E-3</v>
      </c>
      <c r="AC834" s="96">
        <f t="shared" si="214"/>
        <v>0.95613467279629327</v>
      </c>
      <c r="AD834" s="94">
        <f t="shared" si="211"/>
        <v>33672.921287043471</v>
      </c>
    </row>
    <row r="835" spans="24:30" x14ac:dyDescent="0.25">
      <c r="X835" s="84">
        <v>184</v>
      </c>
      <c r="Y835" s="104">
        <f t="shared" si="216"/>
        <v>3.2555437088012409E-3</v>
      </c>
      <c r="Z835" s="96">
        <f t="shared" si="212"/>
        <v>0.9563844763854763</v>
      </c>
      <c r="AA835" s="94">
        <f t="shared" si="213"/>
        <v>33290.493252958193</v>
      </c>
      <c r="AB835" s="163">
        <f t="shared" si="215"/>
        <v>3.2555437088012409E-3</v>
      </c>
      <c r="AC835" s="96">
        <f t="shared" si="214"/>
        <v>0.9563844763854763</v>
      </c>
      <c r="AD835" s="94">
        <f t="shared" si="211"/>
        <v>33290.493252958193</v>
      </c>
    </row>
    <row r="836" spans="24:30" x14ac:dyDescent="0.25">
      <c r="X836" s="84">
        <v>183</v>
      </c>
      <c r="Y836" s="104">
        <f t="shared" si="216"/>
        <v>3.2595333456992815E-3</v>
      </c>
      <c r="Z836" s="96">
        <f t="shared" si="212"/>
        <v>0.95663412695627104</v>
      </c>
      <c r="AA836" s="94">
        <f t="shared" si="213"/>
        <v>32910.481534784434</v>
      </c>
      <c r="AB836" s="163">
        <f t="shared" si="215"/>
        <v>3.2595333456992815E-3</v>
      </c>
      <c r="AC836" s="96">
        <f t="shared" si="214"/>
        <v>0.95663412695627104</v>
      </c>
      <c r="AD836" s="94">
        <f t="shared" si="211"/>
        <v>32910.481534784434</v>
      </c>
    </row>
    <row r="837" spans="24:30" x14ac:dyDescent="0.25">
      <c r="X837" s="84">
        <v>182</v>
      </c>
      <c r="Y837" s="104">
        <f t="shared" si="216"/>
        <v>3.2635229825973221E-3</v>
      </c>
      <c r="Z837" s="96">
        <f t="shared" si="212"/>
        <v>0.95688362478952937</v>
      </c>
      <c r="AA837" s="94">
        <f t="shared" si="213"/>
        <v>32532.881697575907</v>
      </c>
      <c r="AB837" s="163">
        <f t="shared" si="215"/>
        <v>3.2635229825973221E-3</v>
      </c>
      <c r="AC837" s="96">
        <f t="shared" si="214"/>
        <v>0.95688362478952937</v>
      </c>
      <c r="AD837" s="94">
        <f t="shared" si="211"/>
        <v>32532.881697575907</v>
      </c>
    </row>
    <row r="838" spans="24:30" x14ac:dyDescent="0.25">
      <c r="X838" s="84">
        <v>181</v>
      </c>
      <c r="Y838" s="104">
        <f t="shared" si="216"/>
        <v>3.2675126194953628E-3</v>
      </c>
      <c r="Z838" s="96">
        <f t="shared" si="212"/>
        <v>0.95713297016525123</v>
      </c>
      <c r="AA838" s="94">
        <f t="shared" si="213"/>
        <v>32157.689319932131</v>
      </c>
      <c r="AB838" s="163">
        <f t="shared" si="215"/>
        <v>3.2675126194953628E-3</v>
      </c>
      <c r="AC838" s="96">
        <f t="shared" si="214"/>
        <v>0.95713297016525123</v>
      </c>
      <c r="AD838" s="94">
        <f t="shared" si="211"/>
        <v>32157.689319932131</v>
      </c>
    </row>
    <row r="839" spans="24:30" x14ac:dyDescent="0.25">
      <c r="X839" s="84">
        <v>180</v>
      </c>
      <c r="Y839" s="104">
        <f t="shared" si="216"/>
        <v>3.2715022563934034E-3</v>
      </c>
      <c r="Z839" s="96">
        <f t="shared" si="212"/>
        <v>0.95738216336257331</v>
      </c>
      <c r="AA839" s="94">
        <f t="shared" si="213"/>
        <v>31784.899993951851</v>
      </c>
      <c r="AB839" s="163">
        <f t="shared" si="215"/>
        <v>3.2715022563934034E-3</v>
      </c>
      <c r="AC839" s="96">
        <f t="shared" si="214"/>
        <v>0.95738216336257331</v>
      </c>
      <c r="AD839" s="94">
        <f t="shared" si="211"/>
        <v>31784.899993951851</v>
      </c>
    </row>
    <row r="840" spans="24:30" x14ac:dyDescent="0.25">
      <c r="X840" s="84">
        <v>179</v>
      </c>
      <c r="Y840" s="104">
        <f t="shared" si="216"/>
        <v>3.275491893291444E-3</v>
      </c>
      <c r="Z840" s="96">
        <f t="shared" si="212"/>
        <v>0.95763120465978646</v>
      </c>
      <c r="AA840" s="94">
        <f t="shared" si="213"/>
        <v>31414.509325164992</v>
      </c>
      <c r="AB840" s="163">
        <f t="shared" si="215"/>
        <v>3.275491893291444E-3</v>
      </c>
      <c r="AC840" s="96">
        <f t="shared" si="214"/>
        <v>0.95763120465978646</v>
      </c>
      <c r="AD840" s="94">
        <f t="shared" si="211"/>
        <v>31414.509325164992</v>
      </c>
    </row>
    <row r="841" spans="24:30" x14ac:dyDescent="0.25">
      <c r="X841" s="84">
        <v>178</v>
      </c>
      <c r="Y841" s="104">
        <f t="shared" si="216"/>
        <v>3.2794815301894847E-3</v>
      </c>
      <c r="Z841" s="96">
        <f t="shared" si="212"/>
        <v>0.95788009433433541</v>
      </c>
      <c r="AA841" s="94">
        <f t="shared" si="213"/>
        <v>31046.512932478294</v>
      </c>
      <c r="AB841" s="163">
        <f t="shared" si="215"/>
        <v>3.2794815301894847E-3</v>
      </c>
      <c r="AC841" s="96">
        <f t="shared" si="214"/>
        <v>0.95788009433433541</v>
      </c>
      <c r="AD841" s="94">
        <f t="shared" si="211"/>
        <v>31046.512932478294</v>
      </c>
    </row>
    <row r="842" spans="24:30" x14ac:dyDescent="0.25">
      <c r="X842" s="84">
        <v>177</v>
      </c>
      <c r="Y842" s="104">
        <f t="shared" si="216"/>
        <v>3.2834711670875253E-3</v>
      </c>
      <c r="Z842" s="96">
        <f t="shared" si="212"/>
        <v>0.95812883266282101</v>
      </c>
      <c r="AA842" s="94">
        <f t="shared" si="213"/>
        <v>30680.90644811506</v>
      </c>
      <c r="AB842" s="163">
        <f t="shared" si="215"/>
        <v>3.2834711670875253E-3</v>
      </c>
      <c r="AC842" s="96">
        <f t="shared" si="214"/>
        <v>0.95812883266282101</v>
      </c>
      <c r="AD842" s="94">
        <f t="shared" si="211"/>
        <v>30680.90644811506</v>
      </c>
    </row>
    <row r="843" spans="24:30" x14ac:dyDescent="0.25">
      <c r="X843" s="84">
        <v>176</v>
      </c>
      <c r="Y843" s="104">
        <f t="shared" si="216"/>
        <v>3.2874608039855659E-3</v>
      </c>
      <c r="Z843" s="96">
        <f t="shared" si="212"/>
        <v>0.95837741992099978</v>
      </c>
      <c r="AA843" s="94">
        <f t="shared" si="213"/>
        <v>30317.685517574362</v>
      </c>
      <c r="AB843" s="163">
        <f t="shared" si="215"/>
        <v>3.2874608039855659E-3</v>
      </c>
      <c r="AC843" s="96">
        <f t="shared" si="214"/>
        <v>0.95837741992099978</v>
      </c>
      <c r="AD843" s="94">
        <f t="shared" si="211"/>
        <v>30317.685517574362</v>
      </c>
    </row>
    <row r="844" spans="24:30" x14ac:dyDescent="0.25">
      <c r="X844" s="84">
        <v>175</v>
      </c>
      <c r="Y844" s="104">
        <f t="shared" si="216"/>
        <v>3.2914504408836066E-3</v>
      </c>
      <c r="Z844" s="96">
        <f t="shared" si="212"/>
        <v>0.95862585638379916</v>
      </c>
      <c r="AA844" s="94">
        <f t="shared" si="213"/>
        <v>29956.845799545557</v>
      </c>
      <c r="AB844" s="163">
        <f t="shared" si="215"/>
        <v>3.2914504408836066E-3</v>
      </c>
      <c r="AC844" s="96">
        <f t="shared" si="214"/>
        <v>0.95862585638379916</v>
      </c>
      <c r="AD844" s="94">
        <f t="shared" si="211"/>
        <v>29956.845799545557</v>
      </c>
    </row>
    <row r="845" spans="24:30" x14ac:dyDescent="0.25">
      <c r="X845" s="84">
        <v>174</v>
      </c>
      <c r="Y845" s="104">
        <f t="shared" si="216"/>
        <v>3.2954400777816472E-3</v>
      </c>
      <c r="Z845" s="96">
        <f t="shared" si="212"/>
        <v>0.95887414232530643</v>
      </c>
      <c r="AA845" s="94">
        <f t="shared" si="213"/>
        <v>29598.382965884968</v>
      </c>
      <c r="AB845" s="163">
        <f t="shared" si="215"/>
        <v>3.2954400777816472E-3</v>
      </c>
      <c r="AC845" s="96">
        <f t="shared" si="214"/>
        <v>0.95887414232530643</v>
      </c>
      <c r="AD845" s="94">
        <f t="shared" si="211"/>
        <v>29598.382965884968</v>
      </c>
    </row>
    <row r="846" spans="24:30" x14ac:dyDescent="0.25">
      <c r="X846" s="84">
        <v>173</v>
      </c>
      <c r="Y846" s="104">
        <f t="shared" si="216"/>
        <v>3.2994297146796878E-3</v>
      </c>
      <c r="Z846" s="96">
        <f t="shared" si="212"/>
        <v>0.95912227801878169</v>
      </c>
      <c r="AA846" s="94">
        <f t="shared" si="213"/>
        <v>29242.292701542057</v>
      </c>
      <c r="AB846" s="163">
        <f t="shared" si="215"/>
        <v>3.2994297146796878E-3</v>
      </c>
      <c r="AC846" s="96">
        <f t="shared" si="214"/>
        <v>0.95912227801878169</v>
      </c>
      <c r="AD846" s="94">
        <f t="shared" si="211"/>
        <v>29242.292701542057</v>
      </c>
    </row>
    <row r="847" spans="24:30" x14ac:dyDescent="0.25">
      <c r="X847" s="84">
        <v>172</v>
      </c>
      <c r="Y847" s="104">
        <f t="shared" si="216"/>
        <v>3.3034193515777284E-3</v>
      </c>
      <c r="Z847" s="96">
        <f t="shared" si="212"/>
        <v>0.95937026373666379</v>
      </c>
      <c r="AA847" s="94">
        <f t="shared" si="213"/>
        <v>28888.570704495305</v>
      </c>
      <c r="AB847" s="163">
        <f t="shared" si="215"/>
        <v>3.3034193515777284E-3</v>
      </c>
      <c r="AC847" s="96">
        <f t="shared" si="214"/>
        <v>0.95937026373666379</v>
      </c>
      <c r="AD847" s="94">
        <f t="shared" si="211"/>
        <v>28888.570704495305</v>
      </c>
    </row>
    <row r="848" spans="24:30" x14ac:dyDescent="0.25">
      <c r="X848" s="84">
        <v>171</v>
      </c>
      <c r="Y848" s="104">
        <f t="shared" si="216"/>
        <v>3.3074089884757691E-3</v>
      </c>
      <c r="Z848" s="96">
        <f t="shared" si="212"/>
        <v>0.95961809975056211</v>
      </c>
      <c r="AA848" s="94">
        <f t="shared" si="213"/>
        <v>28537.212685723072</v>
      </c>
      <c r="AB848" s="163">
        <f t="shared" si="215"/>
        <v>3.3074089884757691E-3</v>
      </c>
      <c r="AC848" s="96">
        <f t="shared" si="214"/>
        <v>0.95961809975056211</v>
      </c>
      <c r="AD848" s="94">
        <f t="shared" si="211"/>
        <v>28537.212685723072</v>
      </c>
    </row>
    <row r="849" spans="24:30" x14ac:dyDescent="0.25">
      <c r="X849" s="84">
        <v>170</v>
      </c>
      <c r="Y849" s="104">
        <f t="shared" si="216"/>
        <v>3.3113986253738097E-3</v>
      </c>
      <c r="Z849" s="96">
        <f t="shared" si="212"/>
        <v>0.95986578633127528</v>
      </c>
      <c r="AA849" s="94">
        <f t="shared" si="213"/>
        <v>28188.214369120062</v>
      </c>
      <c r="AB849" s="163">
        <f t="shared" si="215"/>
        <v>3.3113986253738097E-3</v>
      </c>
      <c r="AC849" s="96">
        <f t="shared" si="214"/>
        <v>0.95986578633127528</v>
      </c>
      <c r="AD849" s="94">
        <f t="shared" si="211"/>
        <v>28188.214369120062</v>
      </c>
    </row>
    <row r="850" spans="24:30" x14ac:dyDescent="0.25">
      <c r="X850" s="84">
        <v>169</v>
      </c>
      <c r="Y850" s="104">
        <f t="shared" si="216"/>
        <v>3.3153882622718503E-3</v>
      </c>
      <c r="Z850" s="96">
        <f t="shared" si="212"/>
        <v>0.96011332374877678</v>
      </c>
      <c r="AA850" s="94">
        <f t="shared" si="213"/>
        <v>27841.571491473987</v>
      </c>
      <c r="AB850" s="163">
        <f t="shared" si="215"/>
        <v>3.3153882622718503E-3</v>
      </c>
      <c r="AC850" s="96">
        <f t="shared" si="214"/>
        <v>0.96011332374877678</v>
      </c>
      <c r="AD850" s="94">
        <f t="shared" si="211"/>
        <v>27841.571491473987</v>
      </c>
    </row>
    <row r="851" spans="24:30" x14ac:dyDescent="0.25">
      <c r="X851" s="84">
        <v>168</v>
      </c>
      <c r="Y851" s="104">
        <f t="shared" si="216"/>
        <v>3.319377899169891E-3</v>
      </c>
      <c r="Z851" s="96">
        <f t="shared" si="212"/>
        <v>0.96036071227223962</v>
      </c>
      <c r="AA851" s="94">
        <f t="shared" si="213"/>
        <v>27497.279802372326</v>
      </c>
      <c r="AB851" s="163">
        <f t="shared" si="215"/>
        <v>3.319377899169891E-3</v>
      </c>
      <c r="AC851" s="96">
        <f t="shared" si="214"/>
        <v>0.96036071227223962</v>
      </c>
      <c r="AD851" s="94">
        <f t="shared" ref="AD851:AD914" si="217">IF(AC851&lt;1,X$14*((1-ropt)-Y$14*(1-ropt^2)+Z$14*(1-ropt^3)),0)</f>
        <v>27497.279802372326</v>
      </c>
    </row>
    <row r="852" spans="24:30" x14ac:dyDescent="0.25">
      <c r="X852" s="84">
        <v>167</v>
      </c>
      <c r="Y852" s="104">
        <f t="shared" si="216"/>
        <v>3.3233675360679316E-3</v>
      </c>
      <c r="Z852" s="96">
        <f t="shared" ref="Z852:Z915" si="218">(K-(L0-Y852*Ldif-alph*Y852^0.5))/R0</f>
        <v>0.9606079521700156</v>
      </c>
      <c r="AA852" s="94">
        <f t="shared" ref="AA852:AA915" si="219">IF(Z852&lt;1,X$14*((1-r.1)-Y$14*(1-r.1^2)+Z$14*(1-r.1^3)),0)</f>
        <v>27155.33506419649</v>
      </c>
      <c r="AB852" s="163">
        <f t="shared" si="215"/>
        <v>3.3233675360679316E-3</v>
      </c>
      <c r="AC852" s="96">
        <f t="shared" ref="AC852:AC915" si="220">(Kopt-(L0-AB852*Ldif-alph*AB852^0.5))/R0</f>
        <v>0.9606079521700156</v>
      </c>
      <c r="AD852" s="94">
        <f t="shared" si="217"/>
        <v>27155.33506419649</v>
      </c>
    </row>
    <row r="853" spans="24:30" x14ac:dyDescent="0.25">
      <c r="X853" s="84">
        <v>166</v>
      </c>
      <c r="Y853" s="104">
        <f t="shared" si="216"/>
        <v>3.3273571729659722E-3</v>
      </c>
      <c r="Z853" s="96">
        <f t="shared" si="218"/>
        <v>0.96085504370966468</v>
      </c>
      <c r="AA853" s="94">
        <f t="shared" si="219"/>
        <v>26815.733052014963</v>
      </c>
      <c r="AB853" s="163">
        <f t="shared" ref="AB853:AB916" si="221">AB852+AB$15</f>
        <v>3.3273571729659722E-3</v>
      </c>
      <c r="AC853" s="96">
        <f t="shared" si="220"/>
        <v>0.96085504370966468</v>
      </c>
      <c r="AD853" s="94">
        <f t="shared" si="217"/>
        <v>26815.733052014963</v>
      </c>
    </row>
    <row r="854" spans="24:30" x14ac:dyDescent="0.25">
      <c r="X854" s="84">
        <v>165</v>
      </c>
      <c r="Y854" s="104">
        <f t="shared" si="216"/>
        <v>3.3313468098640129E-3</v>
      </c>
      <c r="Z854" s="96">
        <f t="shared" si="218"/>
        <v>0.9611019871579316</v>
      </c>
      <c r="AA854" s="94">
        <f t="shared" si="219"/>
        <v>26478.469553579416</v>
      </c>
      <c r="AB854" s="163">
        <f t="shared" si="221"/>
        <v>3.3313468098640129E-3</v>
      </c>
      <c r="AC854" s="96">
        <f t="shared" si="220"/>
        <v>0.9611019871579316</v>
      </c>
      <c r="AD854" s="94">
        <f t="shared" si="217"/>
        <v>26478.469553579416</v>
      </c>
    </row>
    <row r="855" spans="24:30" x14ac:dyDescent="0.25">
      <c r="X855" s="84">
        <v>164</v>
      </c>
      <c r="Y855" s="104">
        <f t="shared" si="216"/>
        <v>3.3353364467620535E-3</v>
      </c>
      <c r="Z855" s="96">
        <f t="shared" si="218"/>
        <v>0.9613487827807734</v>
      </c>
      <c r="AA855" s="94">
        <f t="shared" si="219"/>
        <v>26143.540369237278</v>
      </c>
      <c r="AB855" s="163">
        <f t="shared" si="221"/>
        <v>3.3353364467620535E-3</v>
      </c>
      <c r="AC855" s="96">
        <f t="shared" si="220"/>
        <v>0.9613487827807734</v>
      </c>
      <c r="AD855" s="94">
        <f t="shared" si="217"/>
        <v>26143.540369237278</v>
      </c>
    </row>
    <row r="856" spans="24:30" x14ac:dyDescent="0.25">
      <c r="X856" s="84">
        <v>163</v>
      </c>
      <c r="Y856" s="104">
        <f t="shared" si="216"/>
        <v>3.3393260836600941E-3</v>
      </c>
      <c r="Z856" s="96">
        <f t="shared" si="218"/>
        <v>0.96159543084334487</v>
      </c>
      <c r="AA856" s="94">
        <f t="shared" si="219"/>
        <v>25810.941311894825</v>
      </c>
      <c r="AB856" s="163">
        <f t="shared" si="221"/>
        <v>3.3393260836600941E-3</v>
      </c>
      <c r="AC856" s="96">
        <f t="shared" si="220"/>
        <v>0.96159543084334487</v>
      </c>
      <c r="AD856" s="94">
        <f t="shared" si="217"/>
        <v>25810.941311894825</v>
      </c>
    </row>
    <row r="857" spans="24:30" x14ac:dyDescent="0.25">
      <c r="X857" s="84">
        <v>162</v>
      </c>
      <c r="Y857" s="104">
        <f t="shared" si="216"/>
        <v>3.3433157205581348E-3</v>
      </c>
      <c r="Z857" s="96">
        <f t="shared" si="218"/>
        <v>0.96184193161001674</v>
      </c>
      <c r="AA857" s="94">
        <f t="shared" si="219"/>
        <v>25480.66820695694</v>
      </c>
      <c r="AB857" s="163">
        <f t="shared" si="221"/>
        <v>3.3433157205581348E-3</v>
      </c>
      <c r="AC857" s="96">
        <f t="shared" si="220"/>
        <v>0.96184193161001674</v>
      </c>
      <c r="AD857" s="94">
        <f t="shared" si="217"/>
        <v>25480.66820695694</v>
      </c>
    </row>
    <row r="858" spans="24:30" x14ac:dyDescent="0.25">
      <c r="X858" s="84">
        <v>161</v>
      </c>
      <c r="Y858" s="104">
        <f t="shared" si="216"/>
        <v>3.3473053574561754E-3</v>
      </c>
      <c r="Z858" s="96">
        <f t="shared" si="218"/>
        <v>0.96208828534436164</v>
      </c>
      <c r="AA858" s="94">
        <f t="shared" si="219"/>
        <v>25152.716892284381</v>
      </c>
      <c r="AB858" s="163">
        <f t="shared" si="221"/>
        <v>3.3473053574561754E-3</v>
      </c>
      <c r="AC858" s="96">
        <f t="shared" si="220"/>
        <v>0.96208828534436164</v>
      </c>
      <c r="AD858" s="94">
        <f t="shared" si="217"/>
        <v>25152.716892284381</v>
      </c>
    </row>
    <row r="859" spans="24:30" x14ac:dyDescent="0.25">
      <c r="X859" s="84">
        <v>160</v>
      </c>
      <c r="Y859" s="104">
        <f t="shared" si="216"/>
        <v>3.351294994354216E-3</v>
      </c>
      <c r="Z859" s="96">
        <f t="shared" si="218"/>
        <v>0.96233449230917478</v>
      </c>
      <c r="AA859" s="94">
        <f t="shared" si="219"/>
        <v>24827.083218133543</v>
      </c>
      <c r="AB859" s="163">
        <f t="shared" si="221"/>
        <v>3.351294994354216E-3</v>
      </c>
      <c r="AC859" s="96">
        <f t="shared" si="220"/>
        <v>0.96233449230917478</v>
      </c>
      <c r="AD859" s="94">
        <f t="shared" si="217"/>
        <v>24827.083218133543</v>
      </c>
    </row>
    <row r="860" spans="24:30" x14ac:dyDescent="0.25">
      <c r="X860" s="84">
        <v>159</v>
      </c>
      <c r="Y860" s="104">
        <f t="shared" si="216"/>
        <v>3.3552846312522567E-3</v>
      </c>
      <c r="Z860" s="96">
        <f t="shared" si="218"/>
        <v>0.96258055276646537</v>
      </c>
      <c r="AA860" s="94">
        <f t="shared" si="219"/>
        <v>24503.763047107892</v>
      </c>
      <c r="AB860" s="163">
        <f t="shared" si="221"/>
        <v>3.3552846312522567E-3</v>
      </c>
      <c r="AC860" s="96">
        <f t="shared" si="220"/>
        <v>0.96258055276646537</v>
      </c>
      <c r="AD860" s="94">
        <f t="shared" si="217"/>
        <v>24503.763047107892</v>
      </c>
    </row>
    <row r="861" spans="24:30" x14ac:dyDescent="0.25">
      <c r="X861" s="84">
        <v>158</v>
      </c>
      <c r="Y861" s="104">
        <f t="shared" si="216"/>
        <v>3.3592742681502973E-3</v>
      </c>
      <c r="Z861" s="96">
        <f t="shared" si="218"/>
        <v>0.96282646697746732</v>
      </c>
      <c r="AA861" s="94">
        <f t="shared" si="219"/>
        <v>24182.752254103551</v>
      </c>
      <c r="AB861" s="163">
        <f t="shared" si="221"/>
        <v>3.3592742681502973E-3</v>
      </c>
      <c r="AC861" s="96">
        <f t="shared" si="220"/>
        <v>0.96282646697746732</v>
      </c>
      <c r="AD861" s="94">
        <f t="shared" si="217"/>
        <v>24182.752254103551</v>
      </c>
    </row>
    <row r="862" spans="24:30" x14ac:dyDescent="0.25">
      <c r="X862" s="84">
        <v>157</v>
      </c>
      <c r="Y862" s="104">
        <f t="shared" si="216"/>
        <v>3.3632639050483379E-3</v>
      </c>
      <c r="Z862" s="96">
        <f t="shared" si="218"/>
        <v>0.96307223520263496</v>
      </c>
      <c r="AA862" s="94">
        <f t="shared" si="219"/>
        <v>23864.046726266581</v>
      </c>
      <c r="AB862" s="163">
        <f t="shared" si="221"/>
        <v>3.3632639050483379E-3</v>
      </c>
      <c r="AC862" s="96">
        <f t="shared" si="220"/>
        <v>0.96307223520263496</v>
      </c>
      <c r="AD862" s="94">
        <f t="shared" si="217"/>
        <v>23864.046726266581</v>
      </c>
    </row>
    <row r="863" spans="24:30" x14ac:dyDescent="0.25">
      <c r="X863" s="84">
        <v>156</v>
      </c>
      <c r="Y863" s="104">
        <f t="shared" si="216"/>
        <v>3.3672535419463786E-3</v>
      </c>
      <c r="Z863" s="96">
        <f t="shared" si="218"/>
        <v>0.96331785770165557</v>
      </c>
      <c r="AA863" s="94">
        <f t="shared" si="219"/>
        <v>23547.642362930783</v>
      </c>
      <c r="AB863" s="163">
        <f t="shared" si="221"/>
        <v>3.3672535419463786E-3</v>
      </c>
      <c r="AC863" s="96">
        <f t="shared" si="220"/>
        <v>0.96331785770165557</v>
      </c>
      <c r="AD863" s="94">
        <f t="shared" si="217"/>
        <v>23547.642362930783</v>
      </c>
    </row>
    <row r="864" spans="24:30" x14ac:dyDescent="0.25">
      <c r="X864" s="84">
        <v>155</v>
      </c>
      <c r="Y864" s="104">
        <f t="shared" ref="Y864:Y927" si="222">Y863+Y$16</f>
        <v>3.3712431788444192E-3</v>
      </c>
      <c r="Z864" s="96">
        <f t="shared" si="218"/>
        <v>0.96356333473344091</v>
      </c>
      <c r="AA864" s="94">
        <f t="shared" si="219"/>
        <v>23233.53507557691</v>
      </c>
      <c r="AB864" s="163">
        <f t="shared" si="221"/>
        <v>3.3712431788444192E-3</v>
      </c>
      <c r="AC864" s="96">
        <f t="shared" si="220"/>
        <v>0.96356333473344091</v>
      </c>
      <c r="AD864" s="94">
        <f t="shared" si="217"/>
        <v>23233.53507557691</v>
      </c>
    </row>
    <row r="865" spans="24:30" x14ac:dyDescent="0.25">
      <c r="X865" s="84">
        <v>154</v>
      </c>
      <c r="Y865" s="104">
        <f t="shared" si="222"/>
        <v>3.3752328157424598E-3</v>
      </c>
      <c r="Z865" s="96">
        <f t="shared" si="218"/>
        <v>0.96380866655614428</v>
      </c>
      <c r="AA865" s="94">
        <f t="shared" si="219"/>
        <v>22921.720787776329</v>
      </c>
      <c r="AB865" s="163">
        <f t="shared" si="221"/>
        <v>3.3752328157424598E-3</v>
      </c>
      <c r="AC865" s="96">
        <f t="shared" si="220"/>
        <v>0.96380866655614428</v>
      </c>
      <c r="AD865" s="94">
        <f t="shared" si="217"/>
        <v>22921.720787776329</v>
      </c>
    </row>
    <row r="866" spans="24:30" x14ac:dyDescent="0.25">
      <c r="X866" s="84">
        <v>153</v>
      </c>
      <c r="Y866" s="104">
        <f t="shared" si="222"/>
        <v>3.3792224526405005E-3</v>
      </c>
      <c r="Z866" s="96">
        <f t="shared" si="218"/>
        <v>0.96405385342714711</v>
      </c>
      <c r="AA866" s="94">
        <f t="shared" si="219"/>
        <v>22612.195435148256</v>
      </c>
      <c r="AB866" s="163">
        <f t="shared" si="221"/>
        <v>3.3792224526405005E-3</v>
      </c>
      <c r="AC866" s="96">
        <f t="shared" si="220"/>
        <v>0.96405385342714711</v>
      </c>
      <c r="AD866" s="94">
        <f t="shared" si="217"/>
        <v>22612.195435148256</v>
      </c>
    </row>
    <row r="867" spans="24:30" x14ac:dyDescent="0.25">
      <c r="X867" s="84">
        <v>152</v>
      </c>
      <c r="Y867" s="104">
        <f t="shared" si="222"/>
        <v>3.3832120895385411E-3</v>
      </c>
      <c r="Z867" s="96">
        <f t="shared" si="218"/>
        <v>0.96429889560308313</v>
      </c>
      <c r="AA867" s="94">
        <f t="shared" si="219"/>
        <v>22304.954965291785</v>
      </c>
      <c r="AB867" s="163">
        <f t="shared" si="221"/>
        <v>3.3832120895385411E-3</v>
      </c>
      <c r="AC867" s="96">
        <f t="shared" si="220"/>
        <v>0.96429889560308313</v>
      </c>
      <c r="AD867" s="94">
        <f t="shared" si="217"/>
        <v>22304.954965291785</v>
      </c>
    </row>
    <row r="868" spans="24:30" x14ac:dyDescent="0.25">
      <c r="X868" s="84">
        <v>151</v>
      </c>
      <c r="Y868" s="104">
        <f t="shared" si="222"/>
        <v>3.3872017264365817E-3</v>
      </c>
      <c r="Z868" s="96">
        <f t="shared" si="218"/>
        <v>0.96454379333982054</v>
      </c>
      <c r="AA868" s="94">
        <f t="shared" si="219"/>
        <v>21999.995337764482</v>
      </c>
      <c r="AB868" s="163">
        <f t="shared" si="221"/>
        <v>3.3872017264365817E-3</v>
      </c>
      <c r="AC868" s="96">
        <f t="shared" si="220"/>
        <v>0.96454379333982054</v>
      </c>
      <c r="AD868" s="94">
        <f t="shared" si="217"/>
        <v>21999.995337764482</v>
      </c>
    </row>
    <row r="869" spans="24:30" x14ac:dyDescent="0.25">
      <c r="X869" s="84">
        <v>150</v>
      </c>
      <c r="Y869" s="104">
        <f t="shared" si="222"/>
        <v>3.3911913633346224E-3</v>
      </c>
      <c r="Z869" s="96">
        <f t="shared" si="218"/>
        <v>0.96478854689247739</v>
      </c>
      <c r="AA869" s="94">
        <f t="shared" si="219"/>
        <v>21697.312524006644</v>
      </c>
      <c r="AB869" s="163">
        <f t="shared" si="221"/>
        <v>3.3911913633346224E-3</v>
      </c>
      <c r="AC869" s="96">
        <f t="shared" si="220"/>
        <v>0.96478854689247739</v>
      </c>
      <c r="AD869" s="94">
        <f t="shared" si="217"/>
        <v>21697.312524006644</v>
      </c>
    </row>
    <row r="870" spans="24:30" x14ac:dyDescent="0.25">
      <c r="X870" s="84">
        <v>149</v>
      </c>
      <c r="Y870" s="104">
        <f t="shared" si="222"/>
        <v>3.395181000232663E-3</v>
      </c>
      <c r="Z870" s="96">
        <f t="shared" si="218"/>
        <v>0.96503315651542332</v>
      </c>
      <c r="AA870" s="94">
        <f t="shared" si="219"/>
        <v>21396.902507310195</v>
      </c>
      <c r="AB870" s="163">
        <f t="shared" si="221"/>
        <v>3.395181000232663E-3</v>
      </c>
      <c r="AC870" s="96">
        <f t="shared" si="220"/>
        <v>0.96503315651542332</v>
      </c>
      <c r="AD870" s="94">
        <f t="shared" si="217"/>
        <v>21396.902507310195</v>
      </c>
    </row>
    <row r="871" spans="24:30" x14ac:dyDescent="0.25">
      <c r="X871" s="84">
        <v>148</v>
      </c>
      <c r="Y871" s="104">
        <f t="shared" si="222"/>
        <v>3.3991706371307036E-3</v>
      </c>
      <c r="Z871" s="96">
        <f t="shared" si="218"/>
        <v>0.96527762246227511</v>
      </c>
      <c r="AA871" s="94">
        <f t="shared" si="219"/>
        <v>21098.761282766227</v>
      </c>
      <c r="AB871" s="163">
        <f t="shared" si="221"/>
        <v>3.3991706371307036E-3</v>
      </c>
      <c r="AC871" s="96">
        <f t="shared" si="220"/>
        <v>0.96527762246227511</v>
      </c>
      <c r="AD871" s="94">
        <f t="shared" si="217"/>
        <v>21098.761282766227</v>
      </c>
    </row>
    <row r="872" spans="24:30" x14ac:dyDescent="0.25">
      <c r="X872" s="84">
        <v>147</v>
      </c>
      <c r="Y872" s="104">
        <f t="shared" si="222"/>
        <v>3.4031602740287443E-3</v>
      </c>
      <c r="Z872" s="96">
        <f t="shared" si="218"/>
        <v>0.96552194498591404</v>
      </c>
      <c r="AA872" s="94">
        <f t="shared" si="219"/>
        <v>20802.88485720089</v>
      </c>
      <c r="AB872" s="163">
        <f t="shared" si="221"/>
        <v>3.4031602740287443E-3</v>
      </c>
      <c r="AC872" s="96">
        <f t="shared" si="220"/>
        <v>0.96552194498591404</v>
      </c>
      <c r="AD872" s="94">
        <f t="shared" si="217"/>
        <v>20802.88485720089</v>
      </c>
    </row>
    <row r="873" spans="24:30" x14ac:dyDescent="0.25">
      <c r="X873" s="84">
        <v>146</v>
      </c>
      <c r="Y873" s="104">
        <f t="shared" si="222"/>
        <v>3.4071499109267849E-3</v>
      </c>
      <c r="Z873" s="96">
        <f t="shared" si="218"/>
        <v>0.96576612433847064</v>
      </c>
      <c r="AA873" s="94">
        <f t="shared" si="219"/>
        <v>20509.269249157918</v>
      </c>
      <c r="AB873" s="163">
        <f t="shared" si="221"/>
        <v>3.4071499109267849E-3</v>
      </c>
      <c r="AC873" s="96">
        <f t="shared" si="220"/>
        <v>0.96576612433847064</v>
      </c>
      <c r="AD873" s="94">
        <f t="shared" si="217"/>
        <v>20509.269249157918</v>
      </c>
    </row>
    <row r="874" spans="24:30" x14ac:dyDescent="0.25">
      <c r="X874" s="84">
        <v>145</v>
      </c>
      <c r="Y874" s="104">
        <f t="shared" si="222"/>
        <v>3.4111395478248255E-3</v>
      </c>
      <c r="Z874" s="96">
        <f t="shared" si="218"/>
        <v>0.96601016077134816</v>
      </c>
      <c r="AA874" s="94">
        <f t="shared" si="219"/>
        <v>20217.910488818939</v>
      </c>
      <c r="AB874" s="163">
        <f t="shared" si="221"/>
        <v>3.4111395478248255E-3</v>
      </c>
      <c r="AC874" s="96">
        <f t="shared" si="220"/>
        <v>0.96601016077134816</v>
      </c>
      <c r="AD874" s="94">
        <f t="shared" si="217"/>
        <v>20217.910488818939</v>
      </c>
    </row>
    <row r="875" spans="24:30" x14ac:dyDescent="0.25">
      <c r="X875" s="84">
        <v>144</v>
      </c>
      <c r="Y875" s="104">
        <f t="shared" si="222"/>
        <v>3.4151291847228662E-3</v>
      </c>
      <c r="Z875" s="96">
        <f t="shared" si="218"/>
        <v>0.96625405453520719</v>
      </c>
      <c r="AA875" s="94">
        <f t="shared" si="219"/>
        <v>19928.804617974365</v>
      </c>
      <c r="AB875" s="163">
        <f t="shared" si="221"/>
        <v>3.4151291847228662E-3</v>
      </c>
      <c r="AC875" s="96">
        <f t="shared" si="220"/>
        <v>0.96625405453520719</v>
      </c>
      <c r="AD875" s="94">
        <f t="shared" si="217"/>
        <v>19928.804617974365</v>
      </c>
    </row>
    <row r="876" spans="24:30" x14ac:dyDescent="0.25">
      <c r="X876" s="84">
        <v>143</v>
      </c>
      <c r="Y876" s="104">
        <f t="shared" si="222"/>
        <v>3.4191188216209068E-3</v>
      </c>
      <c r="Z876" s="96">
        <f t="shared" si="218"/>
        <v>0.96649780587997924</v>
      </c>
      <c r="AA876" s="94">
        <f t="shared" si="219"/>
        <v>19641.947689972854</v>
      </c>
      <c r="AB876" s="163">
        <f t="shared" si="221"/>
        <v>3.4191188216209068E-3</v>
      </c>
      <c r="AC876" s="96">
        <f t="shared" si="220"/>
        <v>0.96649780587997924</v>
      </c>
      <c r="AD876" s="94">
        <f t="shared" si="217"/>
        <v>19641.947689972854</v>
      </c>
    </row>
    <row r="877" spans="24:30" x14ac:dyDescent="0.25">
      <c r="X877" s="84">
        <v>142</v>
      </c>
      <c r="Y877" s="104">
        <f t="shared" si="222"/>
        <v>3.4231084585189474E-3</v>
      </c>
      <c r="Z877" s="96">
        <f t="shared" si="218"/>
        <v>0.96674141505486566</v>
      </c>
      <c r="AA877" s="94">
        <f t="shared" si="219"/>
        <v>19357.335769672751</v>
      </c>
      <c r="AB877" s="163">
        <f t="shared" si="221"/>
        <v>3.4231084585189474E-3</v>
      </c>
      <c r="AC877" s="96">
        <f t="shared" si="220"/>
        <v>0.96674141505486566</v>
      </c>
      <c r="AD877" s="94">
        <f t="shared" si="217"/>
        <v>19357.335769672751</v>
      </c>
    </row>
    <row r="878" spans="24:30" x14ac:dyDescent="0.25">
      <c r="X878" s="84">
        <v>141</v>
      </c>
      <c r="Y878" s="104">
        <f t="shared" si="222"/>
        <v>3.4270980954169881E-3</v>
      </c>
      <c r="Z878" s="96">
        <f t="shared" si="218"/>
        <v>0.96698488230834678</v>
      </c>
      <c r="AA878" s="94">
        <f t="shared" si="219"/>
        <v>19074.96493338962</v>
      </c>
      <c r="AB878" s="163">
        <f t="shared" si="221"/>
        <v>3.4270980954169881E-3</v>
      </c>
      <c r="AC878" s="96">
        <f t="shared" si="220"/>
        <v>0.96698488230834678</v>
      </c>
      <c r="AD878" s="94">
        <f t="shared" si="217"/>
        <v>19074.96493338962</v>
      </c>
    </row>
    <row r="879" spans="24:30" x14ac:dyDescent="0.25">
      <c r="X879" s="84">
        <v>140</v>
      </c>
      <c r="Y879" s="104">
        <f t="shared" si="222"/>
        <v>3.4310877323150287E-3</v>
      </c>
      <c r="Z879" s="96">
        <f t="shared" si="218"/>
        <v>0.96722820788816888</v>
      </c>
      <c r="AA879" s="94">
        <f t="shared" si="219"/>
        <v>18794.831268869053</v>
      </c>
      <c r="AB879" s="163">
        <f t="shared" si="221"/>
        <v>3.4310877323150287E-3</v>
      </c>
      <c r="AC879" s="96">
        <f t="shared" si="220"/>
        <v>0.96722820788816888</v>
      </c>
      <c r="AD879" s="94">
        <f t="shared" si="217"/>
        <v>18794.831268869053</v>
      </c>
    </row>
    <row r="880" spans="24:30" x14ac:dyDescent="0.25">
      <c r="X880" s="84">
        <v>139</v>
      </c>
      <c r="Y880" s="104">
        <f t="shared" si="222"/>
        <v>3.4350773692130693E-3</v>
      </c>
      <c r="Z880" s="96">
        <f t="shared" si="218"/>
        <v>0.96747139204137356</v>
      </c>
      <c r="AA880" s="94">
        <f t="shared" si="219"/>
        <v>18516.930875205067</v>
      </c>
      <c r="AB880" s="163">
        <f t="shared" si="221"/>
        <v>3.4350773692130693E-3</v>
      </c>
      <c r="AC880" s="96">
        <f t="shared" si="220"/>
        <v>0.96747139204137356</v>
      </c>
      <c r="AD880" s="94">
        <f t="shared" si="217"/>
        <v>18516.930875205067</v>
      </c>
    </row>
    <row r="881" spans="24:30" x14ac:dyDescent="0.25">
      <c r="X881" s="84">
        <v>138</v>
      </c>
      <c r="Y881" s="104">
        <f t="shared" si="222"/>
        <v>3.43906700611111E-3</v>
      </c>
      <c r="Z881" s="96">
        <f t="shared" si="218"/>
        <v>0.96771443501427279</v>
      </c>
      <c r="AA881" s="94">
        <f t="shared" si="219"/>
        <v>18241.259862832318</v>
      </c>
      <c r="AB881" s="163">
        <f t="shared" si="221"/>
        <v>3.43906700611111E-3</v>
      </c>
      <c r="AC881" s="96">
        <f t="shared" si="220"/>
        <v>0.96771443501427279</v>
      </c>
      <c r="AD881" s="94">
        <f t="shared" si="217"/>
        <v>18241.259862832318</v>
      </c>
    </row>
    <row r="882" spans="24:30" x14ac:dyDescent="0.25">
      <c r="X882" s="84">
        <v>137</v>
      </c>
      <c r="Y882" s="104">
        <f t="shared" si="222"/>
        <v>3.4430566430091506E-3</v>
      </c>
      <c r="Z882" s="96">
        <f t="shared" si="218"/>
        <v>0.96795733705246978</v>
      </c>
      <c r="AA882" s="94">
        <f t="shared" si="219"/>
        <v>17967.814353458125</v>
      </c>
      <c r="AB882" s="163">
        <f t="shared" si="221"/>
        <v>3.4430566430091506E-3</v>
      </c>
      <c r="AC882" s="96">
        <f t="shared" si="220"/>
        <v>0.96795733705246978</v>
      </c>
      <c r="AD882" s="94">
        <f t="shared" si="217"/>
        <v>17967.814353458125</v>
      </c>
    </row>
    <row r="883" spans="24:30" x14ac:dyDescent="0.25">
      <c r="X883" s="84">
        <v>136</v>
      </c>
      <c r="Y883" s="104">
        <f t="shared" si="222"/>
        <v>3.4470462799071912E-3</v>
      </c>
      <c r="Z883" s="96">
        <f t="shared" si="218"/>
        <v>0.9682000984008543</v>
      </c>
      <c r="AA883" s="94">
        <f t="shared" si="219"/>
        <v>17696.590480017763</v>
      </c>
      <c r="AB883" s="163">
        <f t="shared" si="221"/>
        <v>3.4470462799071912E-3</v>
      </c>
      <c r="AC883" s="96">
        <f t="shared" si="220"/>
        <v>0.9682000984008543</v>
      </c>
      <c r="AD883" s="94">
        <f t="shared" si="217"/>
        <v>17696.590480017763</v>
      </c>
    </row>
    <row r="884" spans="24:30" x14ac:dyDescent="0.25">
      <c r="X884" s="84">
        <v>135</v>
      </c>
      <c r="Y884" s="104">
        <f t="shared" si="222"/>
        <v>3.4510359168052319E-3</v>
      </c>
      <c r="Z884" s="96">
        <f t="shared" si="218"/>
        <v>0.96844271930361192</v>
      </c>
      <c r="AA884" s="94">
        <f t="shared" si="219"/>
        <v>17427.584386635612</v>
      </c>
      <c r="AB884" s="163">
        <f t="shared" si="221"/>
        <v>3.4510359168052319E-3</v>
      </c>
      <c r="AC884" s="96">
        <f t="shared" si="220"/>
        <v>0.96844271930361192</v>
      </c>
      <c r="AD884" s="94">
        <f t="shared" si="217"/>
        <v>17427.584386635612</v>
      </c>
    </row>
    <row r="885" spans="24:30" x14ac:dyDescent="0.25">
      <c r="X885" s="84">
        <v>134</v>
      </c>
      <c r="Y885" s="104">
        <f t="shared" si="222"/>
        <v>3.4550255537032725E-3</v>
      </c>
      <c r="Z885" s="96">
        <f t="shared" si="218"/>
        <v>0.96868520000421465</v>
      </c>
      <c r="AA885" s="94">
        <f t="shared" si="219"/>
        <v>17160.792228580471</v>
      </c>
      <c r="AB885" s="163">
        <f t="shared" si="221"/>
        <v>3.4550255537032725E-3</v>
      </c>
      <c r="AC885" s="96">
        <f t="shared" si="220"/>
        <v>0.96868520000421465</v>
      </c>
      <c r="AD885" s="94">
        <f t="shared" si="217"/>
        <v>17160.792228580471</v>
      </c>
    </row>
    <row r="886" spans="24:30" x14ac:dyDescent="0.25">
      <c r="X886" s="84">
        <v>133</v>
      </c>
      <c r="Y886" s="104">
        <f t="shared" si="222"/>
        <v>3.4590151906013131E-3</v>
      </c>
      <c r="Z886" s="96">
        <f t="shared" si="218"/>
        <v>0.96892754074544263</v>
      </c>
      <c r="AA886" s="94">
        <f t="shared" si="219"/>
        <v>16896.210172207273</v>
      </c>
      <c r="AB886" s="163">
        <f t="shared" si="221"/>
        <v>3.4590151906013131E-3</v>
      </c>
      <c r="AC886" s="96">
        <f t="shared" si="220"/>
        <v>0.96892754074544263</v>
      </c>
      <c r="AD886" s="94">
        <f t="shared" si="217"/>
        <v>16896.210172207273</v>
      </c>
    </row>
    <row r="887" spans="24:30" x14ac:dyDescent="0.25">
      <c r="X887" s="84">
        <v>132</v>
      </c>
      <c r="Y887" s="104">
        <f t="shared" si="222"/>
        <v>3.4630048274993538E-3</v>
      </c>
      <c r="Z887" s="96">
        <f t="shared" si="218"/>
        <v>0.96916974176936477</v>
      </c>
      <c r="AA887" s="94">
        <f t="shared" si="219"/>
        <v>16633.834394933769</v>
      </c>
      <c r="AB887" s="163">
        <f t="shared" si="221"/>
        <v>3.4630048274993538E-3</v>
      </c>
      <c r="AC887" s="96">
        <f t="shared" si="220"/>
        <v>0.96916974176936477</v>
      </c>
      <c r="AD887" s="94">
        <f t="shared" si="217"/>
        <v>16633.834394933769</v>
      </c>
    </row>
    <row r="888" spans="24:30" x14ac:dyDescent="0.25">
      <c r="X888" s="84">
        <v>131</v>
      </c>
      <c r="Y888" s="104">
        <f t="shared" si="222"/>
        <v>3.4669944643973944E-3</v>
      </c>
      <c r="Z888" s="96">
        <f t="shared" si="218"/>
        <v>0.96941180331736632</v>
      </c>
      <c r="AA888" s="94">
        <f t="shared" si="219"/>
        <v>16373.661085170581</v>
      </c>
      <c r="AB888" s="163">
        <f t="shared" si="221"/>
        <v>3.4669944643973944E-3</v>
      </c>
      <c r="AC888" s="96">
        <f t="shared" si="220"/>
        <v>0.96941180331736632</v>
      </c>
      <c r="AD888" s="94">
        <f t="shared" si="217"/>
        <v>16373.661085170581</v>
      </c>
    </row>
    <row r="889" spans="24:30" x14ac:dyDescent="0.25">
      <c r="X889" s="84">
        <v>130</v>
      </c>
      <c r="Y889" s="104">
        <f t="shared" si="222"/>
        <v>3.470984101295435E-3</v>
      </c>
      <c r="Z889" s="96">
        <f t="shared" si="218"/>
        <v>0.96965372563012131</v>
      </c>
      <c r="AA889" s="94">
        <f t="shared" si="219"/>
        <v>16115.686442309543</v>
      </c>
      <c r="AB889" s="163">
        <f t="shared" si="221"/>
        <v>3.470984101295435E-3</v>
      </c>
      <c r="AC889" s="96">
        <f t="shared" si="220"/>
        <v>0.96965372563012131</v>
      </c>
      <c r="AD889" s="94">
        <f t="shared" si="217"/>
        <v>16115.686442309543</v>
      </c>
    </row>
    <row r="890" spans="24:30" x14ac:dyDescent="0.25">
      <c r="X890" s="84">
        <v>129</v>
      </c>
      <c r="Y890" s="104">
        <f t="shared" si="222"/>
        <v>3.4749737381934757E-3</v>
      </c>
      <c r="Z890" s="96">
        <f t="shared" si="218"/>
        <v>0.96989550894762822</v>
      </c>
      <c r="AA890" s="94">
        <f t="shared" si="219"/>
        <v>15859.90667664017</v>
      </c>
      <c r="AB890" s="163">
        <f t="shared" si="221"/>
        <v>3.4749737381934757E-3</v>
      </c>
      <c r="AC890" s="96">
        <f t="shared" si="220"/>
        <v>0.96989550894762822</v>
      </c>
      <c r="AD890" s="94">
        <f t="shared" si="217"/>
        <v>15859.90667664017</v>
      </c>
    </row>
    <row r="891" spans="24:30" x14ac:dyDescent="0.25">
      <c r="X891" s="84">
        <v>128</v>
      </c>
      <c r="Y891" s="104">
        <f t="shared" si="222"/>
        <v>3.4789633750915163E-3</v>
      </c>
      <c r="Z891" s="96">
        <f t="shared" si="218"/>
        <v>0.97013715350918717</v>
      </c>
      <c r="AA891" s="94">
        <f t="shared" si="219"/>
        <v>15606.318009341872</v>
      </c>
      <c r="AB891" s="163">
        <f t="shared" si="221"/>
        <v>3.4789633750915163E-3</v>
      </c>
      <c r="AC891" s="96">
        <f t="shared" si="220"/>
        <v>0.97013715350918717</v>
      </c>
      <c r="AD891" s="94">
        <f t="shared" si="217"/>
        <v>15606.318009341872</v>
      </c>
    </row>
    <row r="892" spans="24:30" x14ac:dyDescent="0.25">
      <c r="X892" s="84">
        <v>127</v>
      </c>
      <c r="Y892" s="104">
        <f t="shared" si="222"/>
        <v>3.4829530119895569E-3</v>
      </c>
      <c r="Z892" s="96">
        <f t="shared" si="218"/>
        <v>0.9703786595534204</v>
      </c>
      <c r="AA892" s="94">
        <f t="shared" si="219"/>
        <v>15354.91667241207</v>
      </c>
      <c r="AB892" s="163">
        <f t="shared" si="221"/>
        <v>3.4829530119895569E-3</v>
      </c>
      <c r="AC892" s="96">
        <f t="shared" si="220"/>
        <v>0.9703786595534204</v>
      </c>
      <c r="AD892" s="94">
        <f t="shared" si="217"/>
        <v>15354.91667241207</v>
      </c>
    </row>
    <row r="893" spans="24:30" x14ac:dyDescent="0.25">
      <c r="X893" s="84">
        <v>126</v>
      </c>
      <c r="Y893" s="104">
        <f t="shared" si="222"/>
        <v>3.4869426488875976E-3</v>
      </c>
      <c r="Z893" s="96">
        <f t="shared" si="218"/>
        <v>0.9706200273182537</v>
      </c>
      <c r="AA893" s="94">
        <f t="shared" si="219"/>
        <v>15105.698908652601</v>
      </c>
      <c r="AB893" s="163">
        <f t="shared" si="221"/>
        <v>3.4869426488875976E-3</v>
      </c>
      <c r="AC893" s="96">
        <f t="shared" si="220"/>
        <v>0.9706200273182537</v>
      </c>
      <c r="AD893" s="94">
        <f t="shared" si="217"/>
        <v>15105.698908652601</v>
      </c>
    </row>
    <row r="894" spans="24:30" x14ac:dyDescent="0.25">
      <c r="X894" s="84">
        <v>125</v>
      </c>
      <c r="Y894" s="104">
        <f t="shared" si="222"/>
        <v>3.4909322857856382E-3</v>
      </c>
      <c r="Z894" s="96">
        <f t="shared" si="218"/>
        <v>0.97086125704094783</v>
      </c>
      <c r="AA894" s="94">
        <f t="shared" si="219"/>
        <v>14858.660971590058</v>
      </c>
      <c r="AB894" s="163">
        <f t="shared" si="221"/>
        <v>3.4909322857856382E-3</v>
      </c>
      <c r="AC894" s="96">
        <f t="shared" si="220"/>
        <v>0.97086125704094783</v>
      </c>
      <c r="AD894" s="94">
        <f t="shared" si="217"/>
        <v>14858.660971590058</v>
      </c>
    </row>
    <row r="895" spans="24:30" x14ac:dyDescent="0.25">
      <c r="X895" s="84">
        <v>124</v>
      </c>
      <c r="Y895" s="104">
        <f t="shared" si="222"/>
        <v>3.4949219226836788E-3</v>
      </c>
      <c r="Z895" s="96">
        <f t="shared" si="218"/>
        <v>0.97110234895807956</v>
      </c>
      <c r="AA895" s="94">
        <f t="shared" si="219"/>
        <v>14613.799125460238</v>
      </c>
      <c r="AB895" s="163">
        <f t="shared" si="221"/>
        <v>3.4949219226836788E-3</v>
      </c>
      <c r="AC895" s="96">
        <f t="shared" si="220"/>
        <v>0.97110234895807956</v>
      </c>
      <c r="AD895" s="94">
        <f t="shared" si="217"/>
        <v>14613.799125460238</v>
      </c>
    </row>
    <row r="896" spans="24:30" x14ac:dyDescent="0.25">
      <c r="X896" s="84">
        <v>123</v>
      </c>
      <c r="Y896" s="104">
        <f t="shared" si="222"/>
        <v>3.4989115595817195E-3</v>
      </c>
      <c r="Z896" s="96">
        <f t="shared" si="218"/>
        <v>0.97134330330554164</v>
      </c>
      <c r="AA896" s="94">
        <f t="shared" si="219"/>
        <v>14371.10964516736</v>
      </c>
      <c r="AB896" s="163">
        <f t="shared" si="221"/>
        <v>3.4989115595817195E-3</v>
      </c>
      <c r="AC896" s="96">
        <f t="shared" si="220"/>
        <v>0.97134330330554164</v>
      </c>
      <c r="AD896" s="94">
        <f t="shared" si="217"/>
        <v>14371.10964516736</v>
      </c>
    </row>
    <row r="897" spans="24:30" x14ac:dyDescent="0.25">
      <c r="X897" s="84">
        <v>122</v>
      </c>
      <c r="Y897" s="104">
        <f t="shared" si="222"/>
        <v>3.5029011964797601E-3</v>
      </c>
      <c r="Z897" s="96">
        <f t="shared" si="218"/>
        <v>0.97158412031857411</v>
      </c>
      <c r="AA897" s="94">
        <f t="shared" si="219"/>
        <v>14130.588816212156</v>
      </c>
      <c r="AB897" s="163">
        <f t="shared" si="221"/>
        <v>3.5029011964797601E-3</v>
      </c>
      <c r="AC897" s="96">
        <f t="shared" si="220"/>
        <v>0.97158412031857411</v>
      </c>
      <c r="AD897" s="94">
        <f t="shared" si="217"/>
        <v>14130.588816212156</v>
      </c>
    </row>
    <row r="898" spans="24:30" x14ac:dyDescent="0.25">
      <c r="X898" s="84">
        <v>121</v>
      </c>
      <c r="Y898" s="104">
        <f t="shared" si="222"/>
        <v>3.5068908333778007E-3</v>
      </c>
      <c r="Z898" s="96">
        <f t="shared" si="218"/>
        <v>0.97182480023172668</v>
      </c>
      <c r="AA898" s="94">
        <f t="shared" si="219"/>
        <v>13892.232934686059</v>
      </c>
      <c r="AB898" s="163">
        <f t="shared" si="221"/>
        <v>3.5068908333778007E-3</v>
      </c>
      <c r="AC898" s="96">
        <f t="shared" si="220"/>
        <v>0.97182480023172668</v>
      </c>
      <c r="AD898" s="94">
        <f t="shared" si="217"/>
        <v>13892.232934686059</v>
      </c>
    </row>
    <row r="899" spans="24:30" x14ac:dyDescent="0.25">
      <c r="X899" s="84">
        <v>120</v>
      </c>
      <c r="Y899" s="104">
        <f t="shared" si="222"/>
        <v>3.5108804702758413E-3</v>
      </c>
      <c r="Z899" s="96">
        <f t="shared" si="218"/>
        <v>0.97206534327889871</v>
      </c>
      <c r="AA899" s="94">
        <f t="shared" si="219"/>
        <v>13656.038307201248</v>
      </c>
      <c r="AB899" s="163">
        <f t="shared" si="221"/>
        <v>3.5108804702758413E-3</v>
      </c>
      <c r="AC899" s="96">
        <f t="shared" si="220"/>
        <v>0.97206534327889871</v>
      </c>
      <c r="AD899" s="94">
        <f t="shared" si="217"/>
        <v>13656.038307201248</v>
      </c>
    </row>
    <row r="900" spans="24:30" x14ac:dyDescent="0.25">
      <c r="X900" s="84">
        <v>119</v>
      </c>
      <c r="Y900" s="104">
        <f t="shared" si="222"/>
        <v>3.514870107173882E-3</v>
      </c>
      <c r="Z900" s="96">
        <f t="shared" si="218"/>
        <v>0.97230574969331152</v>
      </c>
      <c r="AA900" s="94">
        <f t="shared" si="219"/>
        <v>13422.001250867346</v>
      </c>
      <c r="AB900" s="163">
        <f t="shared" si="221"/>
        <v>3.514870107173882E-3</v>
      </c>
      <c r="AC900" s="96">
        <f t="shared" si="220"/>
        <v>0.97230574969331152</v>
      </c>
      <c r="AD900" s="94">
        <f t="shared" si="217"/>
        <v>13422.001250867346</v>
      </c>
    </row>
    <row r="901" spans="24:30" x14ac:dyDescent="0.25">
      <c r="X901" s="84">
        <v>118</v>
      </c>
      <c r="Y901" s="104">
        <f t="shared" si="222"/>
        <v>3.5188597440719226E-3</v>
      </c>
      <c r="Z901" s="96">
        <f t="shared" si="218"/>
        <v>0.97254601970754018</v>
      </c>
      <c r="AA901" s="94">
        <f t="shared" si="219"/>
        <v>13190.118093229234</v>
      </c>
      <c r="AB901" s="163">
        <f t="shared" si="221"/>
        <v>3.5188597440719226E-3</v>
      </c>
      <c r="AC901" s="96">
        <f t="shared" si="220"/>
        <v>0.97254601970754018</v>
      </c>
      <c r="AD901" s="94">
        <f t="shared" si="217"/>
        <v>13190.118093229234</v>
      </c>
    </row>
    <row r="902" spans="24:30" x14ac:dyDescent="0.25">
      <c r="X902" s="84">
        <v>117</v>
      </c>
      <c r="Y902" s="104">
        <f t="shared" si="222"/>
        <v>3.5228493809699632E-3</v>
      </c>
      <c r="Z902" s="96">
        <f t="shared" si="218"/>
        <v>0.97278615355348597</v>
      </c>
      <c r="AA902" s="94">
        <f t="shared" si="219"/>
        <v>12960.385172253455</v>
      </c>
      <c r="AB902" s="163">
        <f t="shared" si="221"/>
        <v>3.5228493809699632E-3</v>
      </c>
      <c r="AC902" s="96">
        <f t="shared" si="220"/>
        <v>0.97278615355348597</v>
      </c>
      <c r="AD902" s="94">
        <f t="shared" si="217"/>
        <v>12960.385172253455</v>
      </c>
    </row>
    <row r="903" spans="24:30" x14ac:dyDescent="0.25">
      <c r="X903" s="84">
        <v>116</v>
      </c>
      <c r="Y903" s="104">
        <f t="shared" si="222"/>
        <v>3.5268390178680039E-3</v>
      </c>
      <c r="Z903" s="96">
        <f t="shared" si="218"/>
        <v>0.97302615146240179</v>
      </c>
      <c r="AA903" s="94">
        <f t="shared" si="219"/>
        <v>12732.798836262164</v>
      </c>
      <c r="AB903" s="163">
        <f t="shared" si="221"/>
        <v>3.5268390178680039E-3</v>
      </c>
      <c r="AC903" s="96">
        <f t="shared" si="220"/>
        <v>0.97302615146240179</v>
      </c>
      <c r="AD903" s="94">
        <f t="shared" si="217"/>
        <v>12732.798836262164</v>
      </c>
    </row>
    <row r="904" spans="24:30" x14ac:dyDescent="0.25">
      <c r="X904" s="84">
        <v>115</v>
      </c>
      <c r="Y904" s="104">
        <f t="shared" si="222"/>
        <v>3.5308286547660445E-3</v>
      </c>
      <c r="Z904" s="96">
        <f t="shared" si="218"/>
        <v>0.97326601366488352</v>
      </c>
      <c r="AA904" s="94">
        <f t="shared" si="219"/>
        <v>12507.355443907856</v>
      </c>
      <c r="AB904" s="163">
        <f t="shared" si="221"/>
        <v>3.5308286547660445E-3</v>
      </c>
      <c r="AC904" s="96">
        <f t="shared" si="220"/>
        <v>0.97326601366488352</v>
      </c>
      <c r="AD904" s="94">
        <f t="shared" si="217"/>
        <v>12507.355443907856</v>
      </c>
    </row>
    <row r="905" spans="24:30" x14ac:dyDescent="0.25">
      <c r="X905" s="84">
        <v>114</v>
      </c>
      <c r="Y905" s="104">
        <f t="shared" si="222"/>
        <v>3.5348182916640851E-3</v>
      </c>
      <c r="Z905" s="96">
        <f t="shared" si="218"/>
        <v>0.97350574039088045</v>
      </c>
      <c r="AA905" s="94">
        <f t="shared" si="219"/>
        <v>12284.051364118977</v>
      </c>
      <c r="AB905" s="163">
        <f t="shared" si="221"/>
        <v>3.5348182916640851E-3</v>
      </c>
      <c r="AC905" s="96">
        <f t="shared" si="220"/>
        <v>0.97350574039088045</v>
      </c>
      <c r="AD905" s="94">
        <f t="shared" si="217"/>
        <v>12284.051364118977</v>
      </c>
    </row>
    <row r="906" spans="24:30" x14ac:dyDescent="0.25">
      <c r="X906" s="84">
        <v>113</v>
      </c>
      <c r="Y906" s="104">
        <f t="shared" si="222"/>
        <v>3.5388079285621258E-3</v>
      </c>
      <c r="Z906" s="96">
        <f t="shared" si="218"/>
        <v>0.97374533186968504</v>
      </c>
      <c r="AA906" s="94">
        <f t="shared" si="219"/>
        <v>12062.882976076608</v>
      </c>
      <c r="AB906" s="163">
        <f t="shared" si="221"/>
        <v>3.5388079285621258E-3</v>
      </c>
      <c r="AC906" s="96">
        <f t="shared" si="220"/>
        <v>0.97374533186968504</v>
      </c>
      <c r="AD906" s="94">
        <f t="shared" si="217"/>
        <v>12062.882976076608</v>
      </c>
    </row>
    <row r="907" spans="24:30" x14ac:dyDescent="0.25">
      <c r="X907" s="84">
        <v>112</v>
      </c>
      <c r="Y907" s="104">
        <f t="shared" si="222"/>
        <v>3.5427975654601664E-3</v>
      </c>
      <c r="Z907" s="96">
        <f t="shared" si="218"/>
        <v>0.97398478832995361</v>
      </c>
      <c r="AA907" s="94">
        <f t="shared" si="219"/>
        <v>11843.846669152283</v>
      </c>
      <c r="AB907" s="163">
        <f t="shared" si="221"/>
        <v>3.5427975654601664E-3</v>
      </c>
      <c r="AC907" s="96">
        <f t="shared" si="220"/>
        <v>0.97398478832995361</v>
      </c>
      <c r="AD907" s="94">
        <f t="shared" si="217"/>
        <v>11843.846669152283</v>
      </c>
    </row>
    <row r="908" spans="24:30" x14ac:dyDescent="0.25">
      <c r="X908" s="84">
        <v>111</v>
      </c>
      <c r="Y908" s="104">
        <f t="shared" si="222"/>
        <v>3.546787202358207E-3</v>
      </c>
      <c r="Z908" s="96">
        <f t="shared" si="218"/>
        <v>0.97422410999968989</v>
      </c>
      <c r="AA908" s="94">
        <f t="shared" si="219"/>
        <v>11626.938842892456</v>
      </c>
      <c r="AB908" s="163">
        <f t="shared" si="221"/>
        <v>3.546787202358207E-3</v>
      </c>
      <c r="AC908" s="96">
        <f t="shared" si="220"/>
        <v>0.97422410999968989</v>
      </c>
      <c r="AD908" s="94">
        <f t="shared" si="217"/>
        <v>11626.938842892456</v>
      </c>
    </row>
    <row r="909" spans="24:30" x14ac:dyDescent="0.25">
      <c r="X909" s="84">
        <v>110</v>
      </c>
      <c r="Y909" s="104">
        <f t="shared" si="222"/>
        <v>3.5507768392562477E-3</v>
      </c>
      <c r="Z909" s="96">
        <f t="shared" si="218"/>
        <v>0.97446329710626522</v>
      </c>
      <c r="AA909" s="94">
        <f t="shared" si="219"/>
        <v>11412.155906950497</v>
      </c>
      <c r="AB909" s="163">
        <f t="shared" si="221"/>
        <v>3.5507768392562477E-3</v>
      </c>
      <c r="AC909" s="96">
        <f t="shared" si="220"/>
        <v>0.97446329710626522</v>
      </c>
      <c r="AD909" s="94">
        <f t="shared" si="217"/>
        <v>11412.155906950497</v>
      </c>
    </row>
    <row r="910" spans="24:30" x14ac:dyDescent="0.25">
      <c r="X910" s="84">
        <v>109</v>
      </c>
      <c r="Y910" s="104">
        <f t="shared" si="222"/>
        <v>3.5547664761542883E-3</v>
      </c>
      <c r="Z910" s="96">
        <f t="shared" si="218"/>
        <v>0.9747023498764027</v>
      </c>
      <c r="AA910" s="94">
        <f t="shared" si="219"/>
        <v>11199.494281078916</v>
      </c>
      <c r="AB910" s="163">
        <f t="shared" si="221"/>
        <v>3.5547664761542883E-3</v>
      </c>
      <c r="AC910" s="96">
        <f t="shared" si="220"/>
        <v>0.9747023498764027</v>
      </c>
      <c r="AD910" s="94">
        <f t="shared" si="217"/>
        <v>11199.494281078916</v>
      </c>
    </row>
    <row r="911" spans="24:30" x14ac:dyDescent="0.25">
      <c r="X911" s="84">
        <v>108</v>
      </c>
      <c r="Y911" s="104">
        <f t="shared" si="222"/>
        <v>3.5587561130523289E-3</v>
      </c>
      <c r="Z911" s="96">
        <f t="shared" si="218"/>
        <v>0.97494126853619967</v>
      </c>
      <c r="AA911" s="94">
        <f t="shared" si="219"/>
        <v>10988.95039505943</v>
      </c>
      <c r="AB911" s="163">
        <f t="shared" si="221"/>
        <v>3.5587561130523289E-3</v>
      </c>
      <c r="AC911" s="96">
        <f t="shared" si="220"/>
        <v>0.97494126853619967</v>
      </c>
      <c r="AD911" s="94">
        <f t="shared" si="217"/>
        <v>10988.95039505943</v>
      </c>
    </row>
    <row r="912" spans="24:30" x14ac:dyDescent="0.25">
      <c r="X912" s="84">
        <v>107</v>
      </c>
      <c r="Y912" s="104">
        <f t="shared" si="222"/>
        <v>3.5627457499503696E-3</v>
      </c>
      <c r="Z912" s="96">
        <f t="shared" si="218"/>
        <v>0.97518005331110891</v>
      </c>
      <c r="AA912" s="94">
        <f t="shared" si="219"/>
        <v>10780.520688689347</v>
      </c>
      <c r="AB912" s="163">
        <f t="shared" si="221"/>
        <v>3.5627457499503696E-3</v>
      </c>
      <c r="AC912" s="96">
        <f t="shared" si="220"/>
        <v>0.97518005331110891</v>
      </c>
      <c r="AD912" s="94">
        <f t="shared" si="217"/>
        <v>10780.520688689347</v>
      </c>
    </row>
    <row r="913" spans="24:30" x14ac:dyDescent="0.25">
      <c r="X913" s="84">
        <v>106</v>
      </c>
      <c r="Y913" s="104">
        <f t="shared" si="222"/>
        <v>3.5667353868484102E-3</v>
      </c>
      <c r="Z913" s="96">
        <f t="shared" si="218"/>
        <v>0.97541870442596579</v>
      </c>
      <c r="AA913" s="94">
        <f t="shared" si="219"/>
        <v>10574.20161171552</v>
      </c>
      <c r="AB913" s="163">
        <f t="shared" si="221"/>
        <v>3.5667353868484102E-3</v>
      </c>
      <c r="AC913" s="96">
        <f t="shared" si="220"/>
        <v>0.97541870442596579</v>
      </c>
      <c r="AD913" s="94">
        <f t="shared" si="217"/>
        <v>10574.20161171552</v>
      </c>
    </row>
    <row r="914" spans="24:30" x14ac:dyDescent="0.25">
      <c r="X914" s="84">
        <v>105</v>
      </c>
      <c r="Y914" s="104">
        <f t="shared" si="222"/>
        <v>3.5707250237464508E-3</v>
      </c>
      <c r="Z914" s="96">
        <f t="shared" si="218"/>
        <v>0.97565722210496131</v>
      </c>
      <c r="AA914" s="94">
        <f t="shared" si="219"/>
        <v>10369.989623826572</v>
      </c>
      <c r="AB914" s="163">
        <f t="shared" si="221"/>
        <v>3.5707250237464508E-3</v>
      </c>
      <c r="AC914" s="96">
        <f t="shared" si="220"/>
        <v>0.97565722210496131</v>
      </c>
      <c r="AD914" s="94">
        <f t="shared" si="217"/>
        <v>10369.989623826572</v>
      </c>
    </row>
    <row r="915" spans="24:30" x14ac:dyDescent="0.25">
      <c r="X915" s="84">
        <v>104</v>
      </c>
      <c r="Y915" s="104">
        <f t="shared" si="222"/>
        <v>3.5747146606444915E-3</v>
      </c>
      <c r="Z915" s="96">
        <f t="shared" si="218"/>
        <v>0.97589560657167529</v>
      </c>
      <c r="AA915" s="94">
        <f t="shared" si="219"/>
        <v>10167.88119458101</v>
      </c>
      <c r="AB915" s="163">
        <f t="shared" si="221"/>
        <v>3.5747146606444915E-3</v>
      </c>
      <c r="AC915" s="96">
        <f t="shared" si="220"/>
        <v>0.97589560657167529</v>
      </c>
      <c r="AD915" s="94">
        <f t="shared" ref="AD915:AD978" si="223">IF(AC915&lt;1,X$14*((1-ropt)-Y$14*(1-ropt^2)+Z$14*(1-ropt^3)),0)</f>
        <v>10167.88119458101</v>
      </c>
    </row>
    <row r="916" spans="24:30" x14ac:dyDescent="0.25">
      <c r="X916" s="84">
        <v>103</v>
      </c>
      <c r="Y916" s="104">
        <f t="shared" si="222"/>
        <v>3.5787042975425321E-3</v>
      </c>
      <c r="Z916" s="96">
        <f t="shared" ref="Z916:Z979" si="224">(K-(L0-Y916*Ldif-alph*Y916^0.5))/R0</f>
        <v>0.97613385804905128</v>
      </c>
      <c r="AA916" s="94">
        <f t="shared" ref="AA916:AA979" si="225">IF(Z916&lt;1,X$14*((1-r.1)-Y$14*(1-r.1^2)+Z$14*(1-r.1^3)),0)</f>
        <v>9967.8728033994485</v>
      </c>
      <c r="AB916" s="163">
        <f t="shared" si="221"/>
        <v>3.5787042975425321E-3</v>
      </c>
      <c r="AC916" s="96">
        <f t="shared" ref="AC916:AC979" si="226">(Kopt-(L0-AB916*Ldif-alph*AB916^0.5))/R0</f>
        <v>0.97613385804905128</v>
      </c>
      <c r="AD916" s="94">
        <f t="shared" si="223"/>
        <v>9967.8728033994485</v>
      </c>
    </row>
    <row r="917" spans="24:30" x14ac:dyDescent="0.25">
      <c r="X917" s="84">
        <v>102</v>
      </c>
      <c r="Y917" s="104">
        <f t="shared" si="222"/>
        <v>3.5826939344405727E-3</v>
      </c>
      <c r="Z917" s="96">
        <f t="shared" si="224"/>
        <v>0.97637197675942389</v>
      </c>
      <c r="AA917" s="94">
        <f t="shared" si="225"/>
        <v>9769.9609395005009</v>
      </c>
      <c r="AB917" s="163">
        <f t="shared" ref="AB917:AB980" si="227">AB916+AB$15</f>
        <v>3.5826939344405727E-3</v>
      </c>
      <c r="AC917" s="96">
        <f t="shared" si="226"/>
        <v>0.97637197675942389</v>
      </c>
      <c r="AD917" s="94">
        <f t="shared" si="223"/>
        <v>9769.9609395005009</v>
      </c>
    </row>
    <row r="918" spans="24:30" x14ac:dyDescent="0.25">
      <c r="X918" s="84">
        <v>101</v>
      </c>
      <c r="Y918" s="104">
        <f t="shared" si="222"/>
        <v>3.5866835713386134E-3</v>
      </c>
      <c r="Z918" s="96">
        <f t="shared" si="224"/>
        <v>0.97660996292449775</v>
      </c>
      <c r="AA918" s="94">
        <f t="shared" si="225"/>
        <v>9574.1421018832898</v>
      </c>
      <c r="AB918" s="163">
        <f t="shared" si="227"/>
        <v>3.5866835713386134E-3</v>
      </c>
      <c r="AC918" s="96">
        <f t="shared" si="226"/>
        <v>0.97660996292449775</v>
      </c>
      <c r="AD918" s="94">
        <f t="shared" si="223"/>
        <v>9574.1421018832898</v>
      </c>
    </row>
    <row r="919" spans="24:30" x14ac:dyDescent="0.25">
      <c r="X919" s="84">
        <v>100</v>
      </c>
      <c r="Y919" s="104">
        <f t="shared" si="222"/>
        <v>3.590673208236654E-3</v>
      </c>
      <c r="Z919" s="96">
        <f t="shared" si="224"/>
        <v>0.97684781676537058</v>
      </c>
      <c r="AA919" s="94">
        <f t="shared" si="225"/>
        <v>9380.4127992730428</v>
      </c>
      <c r="AB919" s="163">
        <f t="shared" si="227"/>
        <v>3.590673208236654E-3</v>
      </c>
      <c r="AC919" s="96">
        <f t="shared" si="226"/>
        <v>0.97684781676537058</v>
      </c>
      <c r="AD919" s="94">
        <f t="shared" si="223"/>
        <v>9380.4127992730428</v>
      </c>
    </row>
    <row r="920" spans="24:30" x14ac:dyDescent="0.25">
      <c r="X920" s="84">
        <v>99</v>
      </c>
      <c r="Y920" s="104">
        <f t="shared" si="222"/>
        <v>3.5946628451346946E-3</v>
      </c>
      <c r="Z920" s="96">
        <f t="shared" si="224"/>
        <v>0.97708553850251845</v>
      </c>
      <c r="AA920" s="94">
        <f t="shared" si="225"/>
        <v>9188.7695500919599</v>
      </c>
      <c r="AB920" s="163">
        <f t="shared" si="227"/>
        <v>3.5946628451346946E-3</v>
      </c>
      <c r="AC920" s="96">
        <f t="shared" si="226"/>
        <v>0.97708553850251845</v>
      </c>
      <c r="AD920" s="94">
        <f t="shared" si="223"/>
        <v>9188.7695500919599</v>
      </c>
    </row>
    <row r="921" spans="24:30" x14ac:dyDescent="0.25">
      <c r="X921" s="84">
        <v>98</v>
      </c>
      <c r="Y921" s="104">
        <f t="shared" si="222"/>
        <v>3.5986524820327353E-3</v>
      </c>
      <c r="Z921" s="96">
        <f t="shared" si="224"/>
        <v>0.97732312835580615</v>
      </c>
      <c r="AA921" s="94">
        <f t="shared" si="225"/>
        <v>8999.20888242617</v>
      </c>
      <c r="AB921" s="163">
        <f t="shared" si="227"/>
        <v>3.5986524820327353E-3</v>
      </c>
      <c r="AC921" s="96">
        <f t="shared" si="226"/>
        <v>0.97732312835580615</v>
      </c>
      <c r="AD921" s="94">
        <f t="shared" si="223"/>
        <v>8999.20888242617</v>
      </c>
    </row>
    <row r="922" spans="24:30" x14ac:dyDescent="0.25">
      <c r="X922" s="84">
        <v>97</v>
      </c>
      <c r="Y922" s="104">
        <f t="shared" si="222"/>
        <v>3.6026421189307759E-3</v>
      </c>
      <c r="Z922" s="96">
        <f t="shared" si="224"/>
        <v>0.97756058654449784</v>
      </c>
      <c r="AA922" s="94">
        <f t="shared" si="225"/>
        <v>8811.7273339713447</v>
      </c>
      <c r="AB922" s="163">
        <f t="shared" si="227"/>
        <v>3.6026421189307759E-3</v>
      </c>
      <c r="AC922" s="96">
        <f t="shared" si="226"/>
        <v>0.97756058654449784</v>
      </c>
      <c r="AD922" s="94">
        <f t="shared" si="223"/>
        <v>8811.7273339713447</v>
      </c>
    </row>
    <row r="923" spans="24:30" x14ac:dyDescent="0.25">
      <c r="X923" s="84">
        <v>96</v>
      </c>
      <c r="Y923" s="104">
        <f t="shared" si="222"/>
        <v>3.6066317558288165E-3</v>
      </c>
      <c r="Z923" s="96">
        <f t="shared" si="224"/>
        <v>0.97779791328724019</v>
      </c>
      <c r="AA923" s="94">
        <f t="shared" si="225"/>
        <v>8626.3214520151978</v>
      </c>
      <c r="AB923" s="163">
        <f t="shared" si="227"/>
        <v>3.6066317558288165E-3</v>
      </c>
      <c r="AC923" s="96">
        <f t="shared" si="226"/>
        <v>0.97779791328724019</v>
      </c>
      <c r="AD923" s="94">
        <f t="shared" si="223"/>
        <v>8626.3214520151978</v>
      </c>
    </row>
    <row r="924" spans="24:30" x14ac:dyDescent="0.25">
      <c r="X924" s="84">
        <v>95</v>
      </c>
      <c r="Y924" s="104">
        <f t="shared" si="222"/>
        <v>3.6106213927268572E-3</v>
      </c>
      <c r="Z924" s="96">
        <f t="shared" si="224"/>
        <v>0.97803510880208533</v>
      </c>
      <c r="AA924" s="94">
        <f t="shared" si="225"/>
        <v>8442.9877933830958</v>
      </c>
      <c r="AB924" s="163">
        <f t="shared" si="227"/>
        <v>3.6106213927268572E-3</v>
      </c>
      <c r="AC924" s="96">
        <f t="shared" si="226"/>
        <v>0.97803510880208533</v>
      </c>
      <c r="AD924" s="94">
        <f t="shared" si="223"/>
        <v>8442.9877933830958</v>
      </c>
    </row>
    <row r="925" spans="24:30" x14ac:dyDescent="0.25">
      <c r="X925" s="84">
        <v>94</v>
      </c>
      <c r="Y925" s="104">
        <f t="shared" si="222"/>
        <v>3.6146110296248978E-3</v>
      </c>
      <c r="Z925" s="96">
        <f t="shared" si="224"/>
        <v>0.97827217330647431</v>
      </c>
      <c r="AA925" s="94">
        <f t="shared" si="225"/>
        <v>8261.7229244186256</v>
      </c>
      <c r="AB925" s="163">
        <f t="shared" si="227"/>
        <v>3.6146110296248978E-3</v>
      </c>
      <c r="AC925" s="96">
        <f t="shared" si="226"/>
        <v>0.97827217330647431</v>
      </c>
      <c r="AD925" s="94">
        <f t="shared" si="223"/>
        <v>8261.7229244186256</v>
      </c>
    </row>
    <row r="926" spans="24:30" x14ac:dyDescent="0.25">
      <c r="X926" s="84">
        <v>93</v>
      </c>
      <c r="Y926" s="104">
        <f t="shared" si="222"/>
        <v>3.6186006665229384E-3</v>
      </c>
      <c r="Z926" s="96">
        <f t="shared" si="224"/>
        <v>0.97850910701725335</v>
      </c>
      <c r="AA926" s="94">
        <f t="shared" si="225"/>
        <v>8082.5234209272476</v>
      </c>
      <c r="AB926" s="163">
        <f t="shared" si="227"/>
        <v>3.6186006665229384E-3</v>
      </c>
      <c r="AC926" s="96">
        <f t="shared" si="226"/>
        <v>0.97850910701725335</v>
      </c>
      <c r="AD926" s="94">
        <f t="shared" si="223"/>
        <v>8082.5234209272476</v>
      </c>
    </row>
    <row r="927" spans="24:30" x14ac:dyDescent="0.25">
      <c r="X927" s="84">
        <v>92</v>
      </c>
      <c r="Y927" s="104">
        <f t="shared" si="222"/>
        <v>3.6225903034209791E-3</v>
      </c>
      <c r="Z927" s="96">
        <f t="shared" si="224"/>
        <v>0.97874591015066825</v>
      </c>
      <c r="AA927" s="94">
        <f t="shared" si="225"/>
        <v>7905.3858681607544</v>
      </c>
      <c r="AB927" s="163">
        <f t="shared" si="227"/>
        <v>3.6225903034209791E-3</v>
      </c>
      <c r="AC927" s="96">
        <f t="shared" si="226"/>
        <v>0.97874591015066825</v>
      </c>
      <c r="AD927" s="94">
        <f t="shared" si="223"/>
        <v>7905.3858681607544</v>
      </c>
    </row>
    <row r="928" spans="24:30" x14ac:dyDescent="0.25">
      <c r="X928" s="84">
        <v>91</v>
      </c>
      <c r="Y928" s="104">
        <f t="shared" ref="Y928:Y991" si="228">Y927+Y$16</f>
        <v>3.6265799403190197E-3</v>
      </c>
      <c r="Z928" s="96">
        <f t="shared" si="224"/>
        <v>0.97898258292237406</v>
      </c>
      <c r="AA928" s="94">
        <f t="shared" si="225"/>
        <v>7730.3068607609284</v>
      </c>
      <c r="AB928" s="163">
        <f t="shared" si="227"/>
        <v>3.6265799403190197E-3</v>
      </c>
      <c r="AC928" s="96">
        <f t="shared" si="226"/>
        <v>0.97898258292237406</v>
      </c>
      <c r="AD928" s="94">
        <f t="shared" si="223"/>
        <v>7730.3068607609284</v>
      </c>
    </row>
    <row r="929" spans="24:30" x14ac:dyDescent="0.25">
      <c r="X929" s="84">
        <v>90</v>
      </c>
      <c r="Y929" s="104">
        <f t="shared" si="228"/>
        <v>3.6305695772170603E-3</v>
      </c>
      <c r="Z929" s="96">
        <f t="shared" si="224"/>
        <v>0.97921912554742541</v>
      </c>
      <c r="AA929" s="94">
        <f t="shared" si="225"/>
        <v>7557.2830027401133</v>
      </c>
      <c r="AB929" s="163">
        <f t="shared" si="227"/>
        <v>3.6305695772170603E-3</v>
      </c>
      <c r="AC929" s="96">
        <f t="shared" si="226"/>
        <v>0.97921912554742541</v>
      </c>
      <c r="AD929" s="94">
        <f t="shared" si="223"/>
        <v>7557.2830027401133</v>
      </c>
    </row>
    <row r="930" spans="24:30" x14ac:dyDescent="0.25">
      <c r="X930" s="84">
        <v>89</v>
      </c>
      <c r="Y930" s="104">
        <f t="shared" si="228"/>
        <v>3.634559214115101E-3</v>
      </c>
      <c r="Z930" s="96">
        <f t="shared" si="224"/>
        <v>0.97945553824029663</v>
      </c>
      <c r="AA930" s="94">
        <f t="shared" si="225"/>
        <v>7386.3109074287522</v>
      </c>
      <c r="AB930" s="163">
        <f t="shared" si="227"/>
        <v>3.634559214115101E-3</v>
      </c>
      <c r="AC930" s="96">
        <f t="shared" si="226"/>
        <v>0.97945553824029663</v>
      </c>
      <c r="AD930" s="94">
        <f t="shared" si="223"/>
        <v>7386.3109074287522</v>
      </c>
    </row>
    <row r="931" spans="24:30" x14ac:dyDescent="0.25">
      <c r="X931" s="84">
        <v>88</v>
      </c>
      <c r="Y931" s="104">
        <f t="shared" si="228"/>
        <v>3.6385488510131416E-3</v>
      </c>
      <c r="Z931" s="96">
        <f t="shared" si="224"/>
        <v>0.97969182121486553</v>
      </c>
      <c r="AA931" s="94">
        <f t="shared" si="225"/>
        <v>7217.3871974579042</v>
      </c>
      <c r="AB931" s="163">
        <f t="shared" si="227"/>
        <v>3.6385488510131416E-3</v>
      </c>
      <c r="AC931" s="96">
        <f t="shared" si="226"/>
        <v>0.97969182121486553</v>
      </c>
      <c r="AD931" s="94">
        <f t="shared" si="223"/>
        <v>7217.3871974579042</v>
      </c>
    </row>
    <row r="932" spans="24:30" x14ac:dyDescent="0.25">
      <c r="X932" s="84">
        <v>87</v>
      </c>
      <c r="Y932" s="104">
        <f t="shared" si="228"/>
        <v>3.6425384879111822E-3</v>
      </c>
      <c r="Z932" s="96">
        <f t="shared" si="224"/>
        <v>0.97992797468442572</v>
      </c>
      <c r="AA932" s="94">
        <f t="shared" si="225"/>
        <v>7050.5085047087314</v>
      </c>
      <c r="AB932" s="163">
        <f t="shared" si="227"/>
        <v>3.6425384879111822E-3</v>
      </c>
      <c r="AC932" s="96">
        <f t="shared" si="226"/>
        <v>0.97992797468442572</v>
      </c>
      <c r="AD932" s="94">
        <f t="shared" si="223"/>
        <v>7050.5085047087314</v>
      </c>
    </row>
    <row r="933" spans="24:30" x14ac:dyDescent="0.25">
      <c r="X933" s="84">
        <v>86</v>
      </c>
      <c r="Y933" s="104">
        <f t="shared" si="228"/>
        <v>3.6465281248092229E-3</v>
      </c>
      <c r="Z933" s="96">
        <f t="shared" si="224"/>
        <v>0.98016399886168681</v>
      </c>
      <c r="AA933" s="94">
        <f t="shared" si="225"/>
        <v>6885.6714702852942</v>
      </c>
      <c r="AB933" s="163">
        <f t="shared" si="227"/>
        <v>3.6465281248092229E-3</v>
      </c>
      <c r="AC933" s="96">
        <f t="shared" si="226"/>
        <v>0.98016399886168681</v>
      </c>
      <c r="AD933" s="94">
        <f t="shared" si="223"/>
        <v>6885.6714702852942</v>
      </c>
    </row>
    <row r="934" spans="24:30" x14ac:dyDescent="0.25">
      <c r="X934" s="84">
        <v>85</v>
      </c>
      <c r="Y934" s="104">
        <f t="shared" si="228"/>
        <v>3.6505177617072635E-3</v>
      </c>
      <c r="Z934" s="96">
        <f t="shared" si="224"/>
        <v>0.98039989395877836</v>
      </c>
      <c r="AA934" s="94">
        <f t="shared" si="225"/>
        <v>6722.872744475696</v>
      </c>
      <c r="AB934" s="163">
        <f t="shared" si="227"/>
        <v>3.6505177617072635E-3</v>
      </c>
      <c r="AC934" s="96">
        <f t="shared" si="226"/>
        <v>0.98039989395877836</v>
      </c>
      <c r="AD934" s="94">
        <f t="shared" si="223"/>
        <v>6722.872744475696</v>
      </c>
    </row>
    <row r="935" spans="24:30" x14ac:dyDescent="0.25">
      <c r="X935" s="84">
        <v>84</v>
      </c>
      <c r="Y935" s="104">
        <f t="shared" si="228"/>
        <v>3.6545073986053041E-3</v>
      </c>
      <c r="Z935" s="96">
        <f t="shared" si="224"/>
        <v>0.98063566018724968</v>
      </c>
      <c r="AA935" s="94">
        <f t="shared" si="225"/>
        <v>6562.1089867132232</v>
      </c>
      <c r="AB935" s="163">
        <f t="shared" si="227"/>
        <v>3.6545073986053041E-3</v>
      </c>
      <c r="AC935" s="96">
        <f t="shared" si="226"/>
        <v>0.98063566018724968</v>
      </c>
      <c r="AD935" s="94">
        <f t="shared" si="223"/>
        <v>6562.1089867132232</v>
      </c>
    </row>
    <row r="936" spans="24:30" x14ac:dyDescent="0.25">
      <c r="X936" s="84">
        <v>83</v>
      </c>
      <c r="Y936" s="104">
        <f t="shared" si="228"/>
        <v>3.6584970355033448E-3</v>
      </c>
      <c r="Z936" s="96">
        <f t="shared" si="224"/>
        <v>0.98087129775807247</v>
      </c>
      <c r="AA936" s="94">
        <f t="shared" si="225"/>
        <v>6403.3768655549784</v>
      </c>
      <c r="AB936" s="163">
        <f t="shared" si="227"/>
        <v>3.6584970355033448E-3</v>
      </c>
      <c r="AC936" s="96">
        <f t="shared" si="226"/>
        <v>0.98087129775807247</v>
      </c>
      <c r="AD936" s="94">
        <f t="shared" si="223"/>
        <v>6403.3768655549784</v>
      </c>
    </row>
    <row r="937" spans="24:30" x14ac:dyDescent="0.25">
      <c r="X937" s="84">
        <v>82</v>
      </c>
      <c r="Y937" s="104">
        <f t="shared" si="228"/>
        <v>3.6624866724013854E-3</v>
      </c>
      <c r="Z937" s="96">
        <f t="shared" si="224"/>
        <v>0.98110680688164253</v>
      </c>
      <c r="AA937" s="94">
        <f t="shared" si="225"/>
        <v>6246.6730586313588</v>
      </c>
      <c r="AB937" s="163">
        <f t="shared" si="227"/>
        <v>3.6624866724013854E-3</v>
      </c>
      <c r="AC937" s="96">
        <f t="shared" si="226"/>
        <v>0.98110680688164253</v>
      </c>
      <c r="AD937" s="94">
        <f t="shared" si="223"/>
        <v>6246.6730586313588</v>
      </c>
    </row>
    <row r="938" spans="24:30" x14ac:dyDescent="0.25">
      <c r="X938" s="84">
        <v>81</v>
      </c>
      <c r="Y938" s="104">
        <f t="shared" si="228"/>
        <v>3.666476309299426E-3</v>
      </c>
      <c r="Z938" s="96">
        <f t="shared" si="224"/>
        <v>0.98134218776778592</v>
      </c>
      <c r="AA938" s="94">
        <f t="shared" si="225"/>
        <v>6091.9942526188606</v>
      </c>
      <c r="AB938" s="163">
        <f t="shared" si="227"/>
        <v>3.666476309299426E-3</v>
      </c>
      <c r="AC938" s="96">
        <f t="shared" si="226"/>
        <v>0.98134218776778592</v>
      </c>
      <c r="AD938" s="94">
        <f t="shared" si="223"/>
        <v>6091.9942526188606</v>
      </c>
    </row>
    <row r="939" spans="24:30" x14ac:dyDescent="0.25">
      <c r="X939" s="84">
        <v>80</v>
      </c>
      <c r="Y939" s="104">
        <f t="shared" si="228"/>
        <v>3.6704659461974667E-3</v>
      </c>
      <c r="Z939" s="96">
        <f t="shared" si="224"/>
        <v>0.98157744062575292</v>
      </c>
      <c r="AA939" s="94">
        <f t="shared" si="225"/>
        <v>5939.3371432089907</v>
      </c>
      <c r="AB939" s="163">
        <f t="shared" si="227"/>
        <v>3.6704659461974667E-3</v>
      </c>
      <c r="AC939" s="96">
        <f t="shared" si="226"/>
        <v>0.98157744062575292</v>
      </c>
      <c r="AD939" s="94">
        <f t="shared" si="223"/>
        <v>5939.3371432089907</v>
      </c>
    </row>
    <row r="940" spans="24:30" x14ac:dyDescent="0.25">
      <c r="X940" s="84">
        <v>79</v>
      </c>
      <c r="Y940" s="104">
        <f t="shared" si="228"/>
        <v>3.6744555830955073E-3</v>
      </c>
      <c r="Z940" s="96">
        <f t="shared" si="224"/>
        <v>0.98181256566423469</v>
      </c>
      <c r="AA940" s="94">
        <f t="shared" si="225"/>
        <v>5788.6984350616358</v>
      </c>
      <c r="AB940" s="163">
        <f t="shared" si="227"/>
        <v>3.6744555830955073E-3</v>
      </c>
      <c r="AC940" s="96">
        <f t="shared" si="226"/>
        <v>0.98181256566423469</v>
      </c>
      <c r="AD940" s="94">
        <f t="shared" si="223"/>
        <v>5788.6984350616358</v>
      </c>
    </row>
    <row r="941" spans="24:30" x14ac:dyDescent="0.25">
      <c r="X941" s="84">
        <v>78</v>
      </c>
      <c r="Y941" s="104">
        <f t="shared" si="228"/>
        <v>3.6784452199935479E-3</v>
      </c>
      <c r="Z941" s="96">
        <f t="shared" si="224"/>
        <v>0.98204756309134023</v>
      </c>
      <c r="AA941" s="94">
        <f t="shared" si="225"/>
        <v>5640.0748417895229</v>
      </c>
      <c r="AB941" s="163">
        <f t="shared" si="227"/>
        <v>3.6784452199935479E-3</v>
      </c>
      <c r="AC941" s="96">
        <f t="shared" si="226"/>
        <v>0.98204756309134023</v>
      </c>
      <c r="AD941" s="94">
        <f t="shared" si="223"/>
        <v>5640.0748417895229</v>
      </c>
    </row>
    <row r="942" spans="24:30" x14ac:dyDescent="0.25">
      <c r="X942" s="84">
        <v>77</v>
      </c>
      <c r="Y942" s="104">
        <f t="shared" si="228"/>
        <v>3.6824348568915886E-3</v>
      </c>
      <c r="Z942" s="96">
        <f t="shared" si="224"/>
        <v>0.98228243311463392</v>
      </c>
      <c r="AA942" s="94">
        <f t="shared" si="225"/>
        <v>5493.4630859057597</v>
      </c>
      <c r="AB942" s="163">
        <f t="shared" si="227"/>
        <v>3.6824348568915886E-3</v>
      </c>
      <c r="AC942" s="96">
        <f t="shared" si="226"/>
        <v>0.98228243311463392</v>
      </c>
      <c r="AD942" s="94">
        <f t="shared" si="223"/>
        <v>5493.4630859057597</v>
      </c>
    </row>
    <row r="943" spans="24:30" x14ac:dyDescent="0.25">
      <c r="X943" s="84">
        <v>76</v>
      </c>
      <c r="Y943" s="104">
        <f t="shared" si="228"/>
        <v>3.6864244937896292E-3</v>
      </c>
      <c r="Z943" s="96">
        <f t="shared" si="224"/>
        <v>0.98251717594110222</v>
      </c>
      <c r="AA943" s="94">
        <f t="shared" si="225"/>
        <v>5348.8598988024614</v>
      </c>
      <c r="AB943" s="163">
        <f t="shared" si="227"/>
        <v>3.6864244937896292E-3</v>
      </c>
      <c r="AC943" s="96">
        <f t="shared" si="226"/>
        <v>0.98251717594110222</v>
      </c>
      <c r="AD943" s="94">
        <f t="shared" si="223"/>
        <v>5348.8598988024614</v>
      </c>
    </row>
    <row r="944" spans="24:30" x14ac:dyDescent="0.25">
      <c r="X944" s="84">
        <v>75</v>
      </c>
      <c r="Y944" s="104">
        <f t="shared" si="228"/>
        <v>3.6904141306876698E-3</v>
      </c>
      <c r="Z944" s="96">
        <f t="shared" si="224"/>
        <v>0.98275179177718053</v>
      </c>
      <c r="AA944" s="94">
        <f t="shared" si="225"/>
        <v>5206.2620207099517</v>
      </c>
      <c r="AB944" s="163">
        <f t="shared" si="227"/>
        <v>3.6904141306876698E-3</v>
      </c>
      <c r="AC944" s="96">
        <f t="shared" si="226"/>
        <v>0.98275179177718053</v>
      </c>
      <c r="AD944" s="94">
        <f t="shared" si="223"/>
        <v>5206.2620207099517</v>
      </c>
    </row>
    <row r="945" spans="24:30" x14ac:dyDescent="0.25">
      <c r="X945" s="84">
        <v>74</v>
      </c>
      <c r="Y945" s="104">
        <f t="shared" si="228"/>
        <v>3.6944037675857105E-3</v>
      </c>
      <c r="Z945" s="96">
        <f t="shared" si="224"/>
        <v>0.9829862808287434</v>
      </c>
      <c r="AA945" s="94">
        <f t="shared" si="225"/>
        <v>5065.6662006715051</v>
      </c>
      <c r="AB945" s="163">
        <f t="shared" si="227"/>
        <v>3.6944037675857105E-3</v>
      </c>
      <c r="AC945" s="96">
        <f t="shared" si="226"/>
        <v>0.9829862808287434</v>
      </c>
      <c r="AD945" s="94">
        <f t="shared" si="223"/>
        <v>5065.6662006715051</v>
      </c>
    </row>
    <row r="946" spans="24:30" x14ac:dyDescent="0.25">
      <c r="X946" s="84">
        <v>73</v>
      </c>
      <c r="Y946" s="104">
        <f t="shared" si="228"/>
        <v>3.6983934044837511E-3</v>
      </c>
      <c r="Z946" s="96">
        <f t="shared" si="224"/>
        <v>0.98322064330110559</v>
      </c>
      <c r="AA946" s="94">
        <f t="shared" si="225"/>
        <v>4927.0691965025435</v>
      </c>
      <c r="AB946" s="163">
        <f t="shared" si="227"/>
        <v>3.6983934044837511E-3</v>
      </c>
      <c r="AC946" s="96">
        <f t="shared" si="226"/>
        <v>0.98322064330110559</v>
      </c>
      <c r="AD946" s="94">
        <f t="shared" si="223"/>
        <v>4927.0691965025435</v>
      </c>
    </row>
    <row r="947" spans="24:30" x14ac:dyDescent="0.25">
      <c r="X947" s="84">
        <v>72</v>
      </c>
      <c r="Y947" s="104">
        <f t="shared" si="228"/>
        <v>3.7023830413817917E-3</v>
      </c>
      <c r="Z947" s="96">
        <f t="shared" si="224"/>
        <v>0.98345487939903753</v>
      </c>
      <c r="AA947" s="94">
        <f t="shared" si="225"/>
        <v>4790.4677747576125</v>
      </c>
      <c r="AB947" s="163">
        <f t="shared" si="227"/>
        <v>3.7023830413817917E-3</v>
      </c>
      <c r="AC947" s="96">
        <f t="shared" si="226"/>
        <v>0.98345487939903753</v>
      </c>
      <c r="AD947" s="94">
        <f t="shared" si="223"/>
        <v>4790.4677747576125</v>
      </c>
    </row>
    <row r="948" spans="24:30" x14ac:dyDescent="0.25">
      <c r="X948" s="84">
        <v>71</v>
      </c>
      <c r="Y948" s="104">
        <f t="shared" si="228"/>
        <v>3.7063726782798324E-3</v>
      </c>
      <c r="Z948" s="96">
        <f t="shared" si="224"/>
        <v>0.98368898932675064</v>
      </c>
      <c r="AA948" s="94">
        <f t="shared" si="225"/>
        <v>4655.8587106992909</v>
      </c>
      <c r="AB948" s="163">
        <f t="shared" si="227"/>
        <v>3.7063726782798324E-3</v>
      </c>
      <c r="AC948" s="96">
        <f t="shared" si="226"/>
        <v>0.98368898932675064</v>
      </c>
      <c r="AD948" s="94">
        <f t="shared" si="223"/>
        <v>4655.8587106992909</v>
      </c>
    </row>
    <row r="949" spans="24:30" x14ac:dyDescent="0.25">
      <c r="X949" s="84">
        <v>70</v>
      </c>
      <c r="Y949" s="104">
        <f t="shared" si="228"/>
        <v>3.710362315177873E-3</v>
      </c>
      <c r="Z949" s="96">
        <f t="shared" si="224"/>
        <v>0.98392297328791323</v>
      </c>
      <c r="AA949" s="94">
        <f t="shared" si="225"/>
        <v>4523.23878827099</v>
      </c>
      <c r="AB949" s="163">
        <f t="shared" si="227"/>
        <v>3.710362315177873E-3</v>
      </c>
      <c r="AC949" s="96">
        <f t="shared" si="226"/>
        <v>0.98392297328791323</v>
      </c>
      <c r="AD949" s="94">
        <f t="shared" si="223"/>
        <v>4523.23878827099</v>
      </c>
    </row>
    <row r="950" spans="24:30" x14ac:dyDescent="0.25">
      <c r="X950" s="84">
        <v>69</v>
      </c>
      <c r="Y950" s="104">
        <f t="shared" si="228"/>
        <v>3.7143519520759136E-3</v>
      </c>
      <c r="Z950" s="96">
        <f t="shared" si="224"/>
        <v>0.98415683148563915</v>
      </c>
      <c r="AA950" s="94">
        <f t="shared" si="225"/>
        <v>4392.6048000522696</v>
      </c>
      <c r="AB950" s="163">
        <f t="shared" si="227"/>
        <v>3.7143519520759136E-3</v>
      </c>
      <c r="AC950" s="96">
        <f t="shared" si="226"/>
        <v>0.98415683148563915</v>
      </c>
      <c r="AD950" s="94">
        <f t="shared" si="223"/>
        <v>4392.6048000522696</v>
      </c>
    </row>
    <row r="951" spans="24:30" x14ac:dyDescent="0.25">
      <c r="X951" s="84">
        <v>68</v>
      </c>
      <c r="Y951" s="104">
        <f t="shared" si="228"/>
        <v>3.7183415889739543E-3</v>
      </c>
      <c r="Z951" s="96">
        <f t="shared" si="224"/>
        <v>0.98439056412250114</v>
      </c>
      <c r="AA951" s="94">
        <f t="shared" si="225"/>
        <v>4263.9535472413509</v>
      </c>
      <c r="AB951" s="163">
        <f t="shared" si="227"/>
        <v>3.7183415889739543E-3</v>
      </c>
      <c r="AC951" s="96">
        <f t="shared" si="226"/>
        <v>0.98439056412250114</v>
      </c>
      <c r="AD951" s="94">
        <f t="shared" si="223"/>
        <v>4263.9535472413509</v>
      </c>
    </row>
    <row r="952" spans="24:30" x14ac:dyDescent="0.25">
      <c r="X952" s="84">
        <v>67</v>
      </c>
      <c r="Y952" s="104">
        <f t="shared" si="228"/>
        <v>3.7223312258719949E-3</v>
      </c>
      <c r="Z952" s="96">
        <f t="shared" si="224"/>
        <v>0.98462417140052783</v>
      </c>
      <c r="AA952" s="94">
        <f t="shared" si="225"/>
        <v>4137.2818396065441</v>
      </c>
      <c r="AB952" s="163">
        <f t="shared" si="227"/>
        <v>3.7223312258719949E-3</v>
      </c>
      <c r="AC952" s="96">
        <f t="shared" si="226"/>
        <v>0.98462417140052783</v>
      </c>
      <c r="AD952" s="94">
        <f t="shared" si="223"/>
        <v>4137.2818396065441</v>
      </c>
    </row>
    <row r="953" spans="24:30" x14ac:dyDescent="0.25">
      <c r="X953" s="84">
        <v>66</v>
      </c>
      <c r="Y953" s="104">
        <f t="shared" si="228"/>
        <v>3.7263208627700355E-3</v>
      </c>
      <c r="Z953" s="96">
        <f t="shared" si="224"/>
        <v>0.98485765352120913</v>
      </c>
      <c r="AA953" s="94">
        <f t="shared" si="225"/>
        <v>4012.5864954648769</v>
      </c>
      <c r="AB953" s="163">
        <f t="shared" si="227"/>
        <v>3.7263208627700355E-3</v>
      </c>
      <c r="AC953" s="96">
        <f t="shared" si="226"/>
        <v>0.98485765352120913</v>
      </c>
      <c r="AD953" s="94">
        <f t="shared" si="223"/>
        <v>4012.5864954648769</v>
      </c>
    </row>
    <row r="954" spans="24:30" x14ac:dyDescent="0.25">
      <c r="X954" s="84">
        <v>65</v>
      </c>
      <c r="Y954" s="104">
        <f t="shared" si="228"/>
        <v>3.7303104996680761E-3</v>
      </c>
      <c r="Z954" s="96">
        <f t="shared" si="224"/>
        <v>0.98509101068549032</v>
      </c>
      <c r="AA954" s="94">
        <f t="shared" si="225"/>
        <v>3889.8643416529499</v>
      </c>
      <c r="AB954" s="163">
        <f t="shared" si="227"/>
        <v>3.7303104996680761E-3</v>
      </c>
      <c r="AC954" s="96">
        <f t="shared" si="226"/>
        <v>0.98509101068549032</v>
      </c>
      <c r="AD954" s="94">
        <f t="shared" si="223"/>
        <v>3889.8643416529499</v>
      </c>
    </row>
    <row r="955" spans="24:30" x14ac:dyDescent="0.25">
      <c r="X955" s="84">
        <v>64</v>
      </c>
      <c r="Y955" s="104">
        <f t="shared" si="228"/>
        <v>3.7343001365661168E-3</v>
      </c>
      <c r="Z955" s="96">
        <f t="shared" si="224"/>
        <v>0.98532424309378452</v>
      </c>
      <c r="AA955" s="94">
        <f t="shared" si="225"/>
        <v>3769.1122134803086</v>
      </c>
      <c r="AB955" s="163">
        <f t="shared" si="227"/>
        <v>3.7343001365661168E-3</v>
      </c>
      <c r="AC955" s="96">
        <f t="shared" si="226"/>
        <v>0.98532424309378452</v>
      </c>
      <c r="AD955" s="94">
        <f t="shared" si="223"/>
        <v>3769.1122134803086</v>
      </c>
    </row>
    <row r="956" spans="24:30" x14ac:dyDescent="0.25">
      <c r="X956" s="84">
        <v>63</v>
      </c>
      <c r="Y956" s="104">
        <f t="shared" si="228"/>
        <v>3.7382897734641574E-3</v>
      </c>
      <c r="Z956" s="96">
        <f t="shared" si="224"/>
        <v>0.98555735094596653</v>
      </c>
      <c r="AA956" s="94">
        <f t="shared" si="225"/>
        <v>3650.3269547139012</v>
      </c>
      <c r="AB956" s="163">
        <f t="shared" si="227"/>
        <v>3.7382897734641574E-3</v>
      </c>
      <c r="AC956" s="96">
        <f t="shared" si="226"/>
        <v>0.98555735094596653</v>
      </c>
      <c r="AD956" s="94">
        <f t="shared" si="223"/>
        <v>3650.3269547139012</v>
      </c>
    </row>
    <row r="957" spans="24:30" x14ac:dyDescent="0.25">
      <c r="X957" s="84">
        <v>62</v>
      </c>
      <c r="Y957" s="104">
        <f t="shared" si="228"/>
        <v>3.742279410362198E-3</v>
      </c>
      <c r="Z957" s="96">
        <f t="shared" si="224"/>
        <v>0.98579033444138298</v>
      </c>
      <c r="AA957" s="94">
        <f t="shared" si="225"/>
        <v>3533.5054175353325</v>
      </c>
      <c r="AB957" s="163">
        <f t="shared" si="227"/>
        <v>3.742279410362198E-3</v>
      </c>
      <c r="AC957" s="96">
        <f t="shared" si="226"/>
        <v>0.98579033444138298</v>
      </c>
      <c r="AD957" s="94">
        <f t="shared" si="223"/>
        <v>3533.5054175353325</v>
      </c>
    </row>
    <row r="958" spans="24:30" x14ac:dyDescent="0.25">
      <c r="X958" s="84">
        <v>61</v>
      </c>
      <c r="Y958" s="104">
        <f t="shared" si="228"/>
        <v>3.7462690472602387E-3</v>
      </c>
      <c r="Z958" s="96">
        <f t="shared" si="224"/>
        <v>0.98602319377884007</v>
      </c>
      <c r="AA958" s="94">
        <f t="shared" si="225"/>
        <v>3418.6444625175513</v>
      </c>
      <c r="AB958" s="163">
        <f t="shared" si="227"/>
        <v>3.7462690472602387E-3</v>
      </c>
      <c r="AC958" s="96">
        <f t="shared" si="226"/>
        <v>0.98602319377884007</v>
      </c>
      <c r="AD958" s="94">
        <f t="shared" si="223"/>
        <v>3418.6444625175513</v>
      </c>
    </row>
    <row r="959" spans="24:30" x14ac:dyDescent="0.25">
      <c r="X959" s="84">
        <v>60</v>
      </c>
      <c r="Y959" s="104">
        <f t="shared" si="228"/>
        <v>3.7502586841582793E-3</v>
      </c>
      <c r="Z959" s="96">
        <f t="shared" si="224"/>
        <v>0.9862559291566263</v>
      </c>
      <c r="AA959" s="94">
        <f t="shared" si="225"/>
        <v>3305.7409585840478</v>
      </c>
      <c r="AB959" s="163">
        <f t="shared" si="227"/>
        <v>3.7502586841582793E-3</v>
      </c>
      <c r="AC959" s="96">
        <f t="shared" si="226"/>
        <v>0.9862559291566263</v>
      </c>
      <c r="AD959" s="94">
        <f t="shared" si="223"/>
        <v>3305.7409585840478</v>
      </c>
    </row>
    <row r="960" spans="24:30" x14ac:dyDescent="0.25">
      <c r="X960" s="84">
        <v>59</v>
      </c>
      <c r="Y960" s="104">
        <f t="shared" si="228"/>
        <v>3.7542483210563199E-3</v>
      </c>
      <c r="Z960" s="96">
        <f t="shared" si="224"/>
        <v>0.98648854077249193</v>
      </c>
      <c r="AA960" s="94">
        <f t="shared" si="225"/>
        <v>3194.7917829913695</v>
      </c>
      <c r="AB960" s="163">
        <f t="shared" si="227"/>
        <v>3.7542483210563199E-3</v>
      </c>
      <c r="AC960" s="96">
        <f t="shared" si="226"/>
        <v>0.98648854077249193</v>
      </c>
      <c r="AD960" s="94">
        <f t="shared" si="223"/>
        <v>3194.7917829913695</v>
      </c>
    </row>
    <row r="961" spans="24:30" x14ac:dyDescent="0.25">
      <c r="X961" s="84">
        <v>58</v>
      </c>
      <c r="Y961" s="104">
        <f t="shared" si="228"/>
        <v>3.7582379579543606E-3</v>
      </c>
      <c r="Z961" s="96">
        <f t="shared" si="224"/>
        <v>0.98672102882367152</v>
      </c>
      <c r="AA961" s="94">
        <f t="shared" si="225"/>
        <v>3085.7938212805475</v>
      </c>
      <c r="AB961" s="163">
        <f t="shared" si="227"/>
        <v>3.7582379579543606E-3</v>
      </c>
      <c r="AC961" s="96">
        <f t="shared" si="226"/>
        <v>0.98672102882367152</v>
      </c>
      <c r="AD961" s="94">
        <f t="shared" si="223"/>
        <v>3085.7938212805475</v>
      </c>
    </row>
    <row r="962" spans="24:30" x14ac:dyDescent="0.25">
      <c r="X962" s="84">
        <v>57</v>
      </c>
      <c r="Y962" s="104">
        <f t="shared" si="228"/>
        <v>3.7622275948524012E-3</v>
      </c>
      <c r="Z962" s="96">
        <f t="shared" si="224"/>
        <v>0.98695339350686728</v>
      </c>
      <c r="AA962" s="94">
        <f t="shared" si="225"/>
        <v>2978.7439672673841</v>
      </c>
      <c r="AB962" s="163">
        <f t="shared" si="227"/>
        <v>3.7622275948524012E-3</v>
      </c>
      <c r="AC962" s="96">
        <f t="shared" si="226"/>
        <v>0.98695339350686728</v>
      </c>
      <c r="AD962" s="94">
        <f t="shared" si="223"/>
        <v>2978.7439672673841</v>
      </c>
    </row>
    <row r="963" spans="24:30" x14ac:dyDescent="0.25">
      <c r="X963" s="84">
        <v>56</v>
      </c>
      <c r="Y963" s="104">
        <f t="shared" si="228"/>
        <v>3.7662172317504418E-3</v>
      </c>
      <c r="Z963" s="96">
        <f t="shared" si="224"/>
        <v>0.98718563501827039</v>
      </c>
      <c r="AA963" s="94">
        <f t="shared" si="225"/>
        <v>2873.6391229880483</v>
      </c>
      <c r="AB963" s="163">
        <f t="shared" si="227"/>
        <v>3.7662172317504418E-3</v>
      </c>
      <c r="AC963" s="96">
        <f t="shared" si="226"/>
        <v>0.98718563501827039</v>
      </c>
      <c r="AD963" s="94">
        <f t="shared" si="223"/>
        <v>2873.6391229880483</v>
      </c>
    </row>
    <row r="964" spans="24:30" x14ac:dyDescent="0.25">
      <c r="X964" s="84">
        <v>55</v>
      </c>
      <c r="Y964" s="104">
        <f t="shared" si="228"/>
        <v>3.7702068686484825E-3</v>
      </c>
      <c r="Z964" s="96">
        <f t="shared" si="224"/>
        <v>0.98741775355354167</v>
      </c>
      <c r="AA964" s="94">
        <f t="shared" si="225"/>
        <v>2770.476198689365</v>
      </c>
      <c r="AB964" s="163">
        <f t="shared" si="227"/>
        <v>3.7702068686484825E-3</v>
      </c>
      <c r="AC964" s="96">
        <f t="shared" si="226"/>
        <v>0.98741775355354167</v>
      </c>
      <c r="AD964" s="94">
        <f t="shared" si="223"/>
        <v>2770.476198689365</v>
      </c>
    </row>
    <row r="965" spans="24:30" x14ac:dyDescent="0.25">
      <c r="X965" s="84">
        <v>54</v>
      </c>
      <c r="Y965" s="104">
        <f t="shared" si="228"/>
        <v>3.7741965055465231E-3</v>
      </c>
      <c r="Z965" s="96">
        <f t="shared" si="224"/>
        <v>0.98764974930783489</v>
      </c>
      <c r="AA965" s="94">
        <f t="shared" si="225"/>
        <v>2669.2521127880127</v>
      </c>
      <c r="AB965" s="163">
        <f t="shared" si="227"/>
        <v>3.7741965055465231E-3</v>
      </c>
      <c r="AC965" s="96">
        <f t="shared" si="226"/>
        <v>0.98764974930783489</v>
      </c>
      <c r="AD965" s="94">
        <f t="shared" si="223"/>
        <v>2669.2521127880127</v>
      </c>
    </row>
    <row r="966" spans="24:30" x14ac:dyDescent="0.25">
      <c r="X966" s="84">
        <v>53</v>
      </c>
      <c r="Y966" s="104">
        <f t="shared" si="228"/>
        <v>3.7781861424445637E-3</v>
      </c>
      <c r="Z966" s="96">
        <f t="shared" si="224"/>
        <v>0.9878816224757776</v>
      </c>
      <c r="AA966" s="94">
        <f t="shared" si="225"/>
        <v>2569.9637918433223</v>
      </c>
      <c r="AB966" s="163">
        <f t="shared" si="227"/>
        <v>3.7781861424445637E-3</v>
      </c>
      <c r="AC966" s="96">
        <f t="shared" si="226"/>
        <v>0.9878816224757776</v>
      </c>
      <c r="AD966" s="94">
        <f t="shared" si="223"/>
        <v>2569.9637918433223</v>
      </c>
    </row>
    <row r="967" spans="24:30" x14ac:dyDescent="0.25">
      <c r="X967" s="84">
        <v>52</v>
      </c>
      <c r="Y967" s="104">
        <f t="shared" si="228"/>
        <v>3.7821757793426044E-3</v>
      </c>
      <c r="Z967" s="96">
        <f t="shared" si="224"/>
        <v>0.98811337325149451</v>
      </c>
      <c r="AA967" s="94">
        <f t="shared" si="225"/>
        <v>2472.6081705203633</v>
      </c>
      <c r="AB967" s="163">
        <f t="shared" si="227"/>
        <v>3.7821757793426044E-3</v>
      </c>
      <c r="AC967" s="96">
        <f t="shared" si="226"/>
        <v>0.98811337325149451</v>
      </c>
      <c r="AD967" s="94">
        <f t="shared" si="223"/>
        <v>2472.6081705203633</v>
      </c>
    </row>
    <row r="968" spans="24:30" x14ac:dyDescent="0.25">
      <c r="X968" s="84">
        <v>51</v>
      </c>
      <c r="Y968" s="104">
        <f t="shared" si="228"/>
        <v>3.786165416240645E-3</v>
      </c>
      <c r="Z968" s="96">
        <f t="shared" si="224"/>
        <v>0.98834500182858842</v>
      </c>
      <c r="AA968" s="94">
        <f t="shared" si="225"/>
        <v>2377.1821915724581</v>
      </c>
      <c r="AB968" s="163">
        <f t="shared" si="227"/>
        <v>3.786165416240645E-3</v>
      </c>
      <c r="AC968" s="96">
        <f t="shared" si="226"/>
        <v>0.98834500182858842</v>
      </c>
      <c r="AD968" s="94">
        <f t="shared" si="223"/>
        <v>2377.1821915724581</v>
      </c>
    </row>
    <row r="969" spans="24:30" x14ac:dyDescent="0.25">
      <c r="X969" s="84">
        <v>50</v>
      </c>
      <c r="Y969" s="104">
        <f t="shared" si="228"/>
        <v>3.7901550531386856E-3</v>
      </c>
      <c r="Z969" s="96">
        <f t="shared" si="224"/>
        <v>0.98857650840016131</v>
      </c>
      <c r="AA969" s="94">
        <f t="shared" si="225"/>
        <v>2283.6828058023234</v>
      </c>
      <c r="AB969" s="163">
        <f t="shared" si="227"/>
        <v>3.7901550531386856E-3</v>
      </c>
      <c r="AC969" s="96">
        <f t="shared" si="226"/>
        <v>0.98857650840016131</v>
      </c>
      <c r="AD969" s="94">
        <f t="shared" si="223"/>
        <v>2283.6828058023234</v>
      </c>
    </row>
    <row r="970" spans="24:30" x14ac:dyDescent="0.25">
      <c r="X970" s="84">
        <v>49</v>
      </c>
      <c r="Y970" s="104">
        <f t="shared" si="228"/>
        <v>3.7941446900367263E-3</v>
      </c>
      <c r="Z970" s="96">
        <f t="shared" si="224"/>
        <v>0.98880789315879924</v>
      </c>
      <c r="AA970" s="94">
        <f t="shared" si="225"/>
        <v>2192.1069720348692</v>
      </c>
      <c r="AB970" s="163">
        <f t="shared" si="227"/>
        <v>3.7941446900367263E-3</v>
      </c>
      <c r="AC970" s="96">
        <f t="shared" si="226"/>
        <v>0.98880789315879924</v>
      </c>
      <c r="AD970" s="94">
        <f t="shared" si="223"/>
        <v>2192.1069720348692</v>
      </c>
    </row>
    <row r="971" spans="24:30" x14ac:dyDescent="0.25">
      <c r="X971" s="84">
        <v>48</v>
      </c>
      <c r="Y971" s="104">
        <f t="shared" si="228"/>
        <v>3.7981343269347669E-3</v>
      </c>
      <c r="Z971" s="96">
        <f t="shared" si="224"/>
        <v>0.98903915629658756</v>
      </c>
      <c r="AA971" s="94">
        <f t="shared" si="225"/>
        <v>2102.4516570861133</v>
      </c>
      <c r="AB971" s="163">
        <f t="shared" si="227"/>
        <v>3.7981343269347669E-3</v>
      </c>
      <c r="AC971" s="96">
        <f t="shared" si="226"/>
        <v>0.98903915629658756</v>
      </c>
      <c r="AD971" s="94">
        <f t="shared" si="223"/>
        <v>2102.4516570861133</v>
      </c>
    </row>
    <row r="972" spans="24:30" x14ac:dyDescent="0.25">
      <c r="X972" s="84">
        <v>47</v>
      </c>
      <c r="Y972" s="104">
        <f t="shared" si="228"/>
        <v>3.8021239638328075E-3</v>
      </c>
      <c r="Z972" s="96">
        <f t="shared" si="224"/>
        <v>0.98927029800510657</v>
      </c>
      <c r="AA972" s="94">
        <f t="shared" si="225"/>
        <v>2014.7138357359822</v>
      </c>
      <c r="AB972" s="163">
        <f t="shared" si="227"/>
        <v>3.8021239638328075E-3</v>
      </c>
      <c r="AC972" s="96">
        <f t="shared" si="226"/>
        <v>0.98927029800510657</v>
      </c>
      <c r="AD972" s="94">
        <f t="shared" si="223"/>
        <v>2014.7138357359822</v>
      </c>
    </row>
    <row r="973" spans="24:30" x14ac:dyDescent="0.25">
      <c r="X973" s="84">
        <v>46</v>
      </c>
      <c r="Y973" s="104">
        <f t="shared" si="228"/>
        <v>3.8061136007308482E-3</v>
      </c>
      <c r="Z973" s="96">
        <f t="shared" si="224"/>
        <v>0.98950131847543099</v>
      </c>
      <c r="AA973" s="94">
        <f t="shared" si="225"/>
        <v>1928.8904907011076</v>
      </c>
      <c r="AB973" s="163">
        <f t="shared" si="227"/>
        <v>3.8061136007308482E-3</v>
      </c>
      <c r="AC973" s="96">
        <f t="shared" si="226"/>
        <v>0.98950131847543099</v>
      </c>
      <c r="AD973" s="94">
        <f t="shared" si="223"/>
        <v>1928.8904907011076</v>
      </c>
    </row>
    <row r="974" spans="24:30" x14ac:dyDescent="0.25">
      <c r="X974" s="84">
        <v>45</v>
      </c>
      <c r="Y974" s="104">
        <f t="shared" si="228"/>
        <v>3.8101032376288888E-3</v>
      </c>
      <c r="Z974" s="96">
        <f t="shared" si="224"/>
        <v>0.98973221789813903</v>
      </c>
      <c r="AA974" s="94">
        <f t="shared" si="225"/>
        <v>1844.9786125979144</v>
      </c>
      <c r="AB974" s="163">
        <f t="shared" si="227"/>
        <v>3.8101032376288888E-3</v>
      </c>
      <c r="AC974" s="96">
        <f t="shared" si="226"/>
        <v>0.98973221789813903</v>
      </c>
      <c r="AD974" s="94">
        <f t="shared" si="223"/>
        <v>1844.9786125979144</v>
      </c>
    </row>
    <row r="975" spans="24:30" x14ac:dyDescent="0.25">
      <c r="X975" s="84">
        <v>44</v>
      </c>
      <c r="Y975" s="104">
        <f t="shared" si="228"/>
        <v>3.8140928745269294E-3</v>
      </c>
      <c r="Z975" s="96">
        <f t="shared" si="224"/>
        <v>0.98996299646330577</v>
      </c>
      <c r="AA975" s="94">
        <f t="shared" si="225"/>
        <v>1762.9751999231894</v>
      </c>
      <c r="AB975" s="163">
        <f t="shared" si="227"/>
        <v>3.8140928745269294E-3</v>
      </c>
      <c r="AC975" s="96">
        <f t="shared" si="226"/>
        <v>0.98996299646330577</v>
      </c>
      <c r="AD975" s="94">
        <f t="shared" si="223"/>
        <v>1762.9751999231894</v>
      </c>
    </row>
    <row r="976" spans="24:30" x14ac:dyDescent="0.25">
      <c r="X976" s="84">
        <v>43</v>
      </c>
      <c r="Y976" s="104">
        <f t="shared" si="228"/>
        <v>3.8180825114249701E-3</v>
      </c>
      <c r="Z976" s="96">
        <f t="shared" si="224"/>
        <v>0.99019365436051354</v>
      </c>
      <c r="AA976" s="94">
        <f t="shared" si="225"/>
        <v>1682.8772590191113</v>
      </c>
      <c r="AB976" s="163">
        <f t="shared" si="227"/>
        <v>3.8180825114249701E-3</v>
      </c>
      <c r="AC976" s="96">
        <f t="shared" si="226"/>
        <v>0.99019365436051354</v>
      </c>
      <c r="AD976" s="94">
        <f t="shared" si="223"/>
        <v>1682.8772590191113</v>
      </c>
    </row>
    <row r="977" spans="24:30" x14ac:dyDescent="0.25">
      <c r="X977" s="84">
        <v>42</v>
      </c>
      <c r="Y977" s="104">
        <f t="shared" si="228"/>
        <v>3.8220721483230107E-3</v>
      </c>
      <c r="Z977" s="96">
        <f t="shared" si="224"/>
        <v>0.99042419177884577</v>
      </c>
      <c r="AA977" s="94">
        <f t="shared" si="225"/>
        <v>1604.6818040460489</v>
      </c>
      <c r="AB977" s="163">
        <f t="shared" si="227"/>
        <v>3.8220721483230107E-3</v>
      </c>
      <c r="AC977" s="96">
        <f t="shared" si="226"/>
        <v>0.99042419177884577</v>
      </c>
      <c r="AD977" s="94">
        <f t="shared" si="223"/>
        <v>1604.6818040460489</v>
      </c>
    </row>
    <row r="978" spans="24:30" x14ac:dyDescent="0.25">
      <c r="X978" s="84">
        <v>41</v>
      </c>
      <c r="Y978" s="104">
        <f t="shared" si="228"/>
        <v>3.8260617852210513E-3</v>
      </c>
      <c r="Z978" s="96">
        <f t="shared" si="224"/>
        <v>0.99065460890689727</v>
      </c>
      <c r="AA978" s="94">
        <f t="shared" si="225"/>
        <v>1528.3858569534184</v>
      </c>
      <c r="AB978" s="163">
        <f t="shared" si="227"/>
        <v>3.8260617852210513E-3</v>
      </c>
      <c r="AC978" s="96">
        <f t="shared" si="226"/>
        <v>0.99065460890689727</v>
      </c>
      <c r="AD978" s="94">
        <f t="shared" si="223"/>
        <v>1528.3858569534184</v>
      </c>
    </row>
    <row r="979" spans="24:30" x14ac:dyDescent="0.25">
      <c r="X979" s="84">
        <v>40</v>
      </c>
      <c r="Y979" s="104">
        <f t="shared" si="228"/>
        <v>3.830051422119092E-3</v>
      </c>
      <c r="Z979" s="96">
        <f t="shared" si="224"/>
        <v>0.99088490593276624</v>
      </c>
      <c r="AA979" s="94">
        <f t="shared" si="225"/>
        <v>1453.9864474544254</v>
      </c>
      <c r="AB979" s="163">
        <f t="shared" si="227"/>
        <v>3.830051422119092E-3</v>
      </c>
      <c r="AC979" s="96">
        <f t="shared" si="226"/>
        <v>0.99088490593276624</v>
      </c>
      <c r="AD979" s="94">
        <f t="shared" ref="AD979:AD1019" si="229">IF(AC979&lt;1,X$14*((1-ropt)-Y$14*(1-ropt^2)+Z$14*(1-ropt^3)),0)</f>
        <v>1453.9864474544254</v>
      </c>
    </row>
    <row r="980" spans="24:30" x14ac:dyDescent="0.25">
      <c r="X980" s="84">
        <v>39</v>
      </c>
      <c r="Y980" s="104">
        <f t="shared" si="228"/>
        <v>3.8340410590171326E-3</v>
      </c>
      <c r="Z980" s="96">
        <f t="shared" ref="Z980:Z1019" si="230">(K-(L0-Y980*Ldif-alph*Y980^0.5))/R0</f>
        <v>0.99111508304406626</v>
      </c>
      <c r="AA980" s="94">
        <f t="shared" ref="AA980:AA1019" si="231">IF(Z980&lt;1,X$14*((1-r.1)-Y$14*(1-r.1^2)+Z$14*(1-r.1^3)),0)</f>
        <v>1381.4806129930359</v>
      </c>
      <c r="AB980" s="163">
        <f t="shared" si="227"/>
        <v>3.8340410590171326E-3</v>
      </c>
      <c r="AC980" s="96">
        <f t="shared" ref="AC980:AC1019" si="232">(Kopt-(L0-AB980*Ldif-alph*AB980^0.5))/R0</f>
        <v>0.99111508304406626</v>
      </c>
      <c r="AD980" s="94">
        <f t="shared" si="229"/>
        <v>1381.4806129930359</v>
      </c>
    </row>
    <row r="981" spans="24:30" x14ac:dyDescent="0.25">
      <c r="X981" s="84">
        <v>38</v>
      </c>
      <c r="Y981" s="104">
        <f t="shared" si="228"/>
        <v>3.8380306959151732E-3</v>
      </c>
      <c r="Z981" s="96">
        <f t="shared" si="230"/>
        <v>0.99134514042791844</v>
      </c>
      <c r="AA981" s="94">
        <f t="shared" si="231"/>
        <v>1310.8653987187195</v>
      </c>
      <c r="AB981" s="163">
        <f t="shared" ref="AB981:AB1019" si="233">AB980+AB$15</f>
        <v>3.8380306959151732E-3</v>
      </c>
      <c r="AC981" s="96">
        <f t="shared" si="232"/>
        <v>0.99134514042791844</v>
      </c>
      <c r="AD981" s="94">
        <f t="shared" si="229"/>
        <v>1310.8653987187195</v>
      </c>
    </row>
    <row r="982" spans="24:30" x14ac:dyDescent="0.25">
      <c r="X982" s="84">
        <v>37</v>
      </c>
      <c r="Y982" s="104">
        <f t="shared" si="228"/>
        <v>3.8420203328132139E-3</v>
      </c>
      <c r="Z982" s="96">
        <f t="shared" si="230"/>
        <v>0.99157507827095925</v>
      </c>
      <c r="AA982" s="94">
        <f t="shared" si="231"/>
        <v>1242.1378574573041</v>
      </c>
      <c r="AB982" s="163">
        <f t="shared" si="233"/>
        <v>3.8420203328132139E-3</v>
      </c>
      <c r="AC982" s="96">
        <f t="shared" si="232"/>
        <v>0.99157507827095925</v>
      </c>
      <c r="AD982" s="94">
        <f t="shared" si="229"/>
        <v>1242.1378574573041</v>
      </c>
    </row>
    <row r="983" spans="24:30" x14ac:dyDescent="0.25">
      <c r="X983" s="84">
        <v>36</v>
      </c>
      <c r="Y983" s="104">
        <f t="shared" si="228"/>
        <v>3.8460099697112545E-3</v>
      </c>
      <c r="Z983" s="96">
        <f t="shared" si="230"/>
        <v>0.99180489675934103</v>
      </c>
      <c r="AA983" s="94">
        <f t="shared" si="231"/>
        <v>1175.2950496876638</v>
      </c>
      <c r="AB983" s="163">
        <f t="shared" si="233"/>
        <v>3.8460099697112545E-3</v>
      </c>
      <c r="AC983" s="96">
        <f t="shared" si="232"/>
        <v>0.99180489675934103</v>
      </c>
      <c r="AD983" s="94">
        <f t="shared" si="229"/>
        <v>1175.2950496876638</v>
      </c>
    </row>
    <row r="984" spans="24:30" x14ac:dyDescent="0.25">
      <c r="X984" s="84">
        <v>35</v>
      </c>
      <c r="Y984" s="104">
        <f t="shared" si="228"/>
        <v>3.8499996066092951E-3</v>
      </c>
      <c r="Z984" s="96">
        <f t="shared" si="230"/>
        <v>0.9920345960787359</v>
      </c>
      <c r="AA984" s="94">
        <f t="shared" si="231"/>
        <v>1110.3340435048017</v>
      </c>
      <c r="AB984" s="163">
        <f t="shared" si="233"/>
        <v>3.8499996066092951E-3</v>
      </c>
      <c r="AC984" s="96">
        <f t="shared" si="232"/>
        <v>0.9920345960787359</v>
      </c>
      <c r="AD984" s="94">
        <f t="shared" si="229"/>
        <v>1110.3340435048017</v>
      </c>
    </row>
    <row r="985" spans="24:30" x14ac:dyDescent="0.25">
      <c r="X985" s="84">
        <v>34</v>
      </c>
      <c r="Y985" s="104">
        <f t="shared" si="228"/>
        <v>3.8539892435073358E-3</v>
      </c>
      <c r="Z985" s="96">
        <f t="shared" si="230"/>
        <v>0.99226417641432729</v>
      </c>
      <c r="AA985" s="94">
        <f t="shared" si="231"/>
        <v>1047.2519146004224</v>
      </c>
      <c r="AB985" s="163">
        <f t="shared" si="233"/>
        <v>3.8539892435073358E-3</v>
      </c>
      <c r="AC985" s="96">
        <f t="shared" si="232"/>
        <v>0.99226417641432729</v>
      </c>
      <c r="AD985" s="94">
        <f t="shared" si="229"/>
        <v>1047.2519146004224</v>
      </c>
    </row>
    <row r="986" spans="24:30" x14ac:dyDescent="0.25">
      <c r="X986" s="84">
        <v>33</v>
      </c>
      <c r="Y986" s="104">
        <f t="shared" si="228"/>
        <v>3.8579788804053764E-3</v>
      </c>
      <c r="Z986" s="96">
        <f t="shared" si="230"/>
        <v>0.99249363795083301</v>
      </c>
      <c r="AA986" s="94">
        <f t="shared" si="231"/>
        <v>986.04574622990242</v>
      </c>
      <c r="AB986" s="163">
        <f t="shared" si="233"/>
        <v>3.8579788804053764E-3</v>
      </c>
      <c r="AC986" s="96">
        <f t="shared" si="232"/>
        <v>0.99249363795083301</v>
      </c>
      <c r="AD986" s="94">
        <f t="shared" si="229"/>
        <v>986.04574622990242</v>
      </c>
    </row>
    <row r="987" spans="24:30" x14ac:dyDescent="0.25">
      <c r="X987" s="84">
        <v>32</v>
      </c>
      <c r="Y987" s="104">
        <f t="shared" si="228"/>
        <v>3.861968517303417E-3</v>
      </c>
      <c r="Z987" s="96">
        <f t="shared" si="230"/>
        <v>0.99272298087247623</v>
      </c>
      <c r="AA987" s="94">
        <f t="shared" si="231"/>
        <v>926.71262919091794</v>
      </c>
      <c r="AB987" s="163">
        <f t="shared" si="233"/>
        <v>3.861968517303417E-3</v>
      </c>
      <c r="AC987" s="96">
        <f t="shared" si="232"/>
        <v>0.99272298087247623</v>
      </c>
      <c r="AD987" s="94">
        <f t="shared" si="229"/>
        <v>926.71262919091794</v>
      </c>
    </row>
    <row r="988" spans="24:30" x14ac:dyDescent="0.25">
      <c r="X988" s="84">
        <v>31</v>
      </c>
      <c r="Y988" s="104">
        <f t="shared" si="228"/>
        <v>3.8659581542014577E-3</v>
      </c>
      <c r="Z988" s="96">
        <f t="shared" si="230"/>
        <v>0.99295220536302276</v>
      </c>
      <c r="AA988" s="94">
        <f t="shared" si="231"/>
        <v>869.24966178847387</v>
      </c>
      <c r="AB988" s="163">
        <f t="shared" si="233"/>
        <v>3.8659581542014577E-3</v>
      </c>
      <c r="AC988" s="96">
        <f t="shared" si="232"/>
        <v>0.99295220536302276</v>
      </c>
      <c r="AD988" s="94">
        <f t="shared" si="229"/>
        <v>869.24966178847387</v>
      </c>
    </row>
    <row r="989" spans="24:30" x14ac:dyDescent="0.25">
      <c r="X989" s="84">
        <v>30</v>
      </c>
      <c r="Y989" s="104">
        <f t="shared" si="228"/>
        <v>3.8699477910994983E-3</v>
      </c>
      <c r="Z989" s="96">
        <f t="shared" si="230"/>
        <v>0.99318131160574541</v>
      </c>
      <c r="AA989" s="94">
        <f t="shared" si="231"/>
        <v>813.65394981353109</v>
      </c>
      <c r="AB989" s="163">
        <f t="shared" si="233"/>
        <v>3.8699477910994983E-3</v>
      </c>
      <c r="AC989" s="96">
        <f t="shared" si="232"/>
        <v>0.99318131160574541</v>
      </c>
      <c r="AD989" s="94">
        <f t="shared" si="229"/>
        <v>813.65394981353109</v>
      </c>
    </row>
    <row r="990" spans="24:30" x14ac:dyDescent="0.25">
      <c r="X990" s="84">
        <v>29</v>
      </c>
      <c r="Y990" s="104">
        <f t="shared" si="228"/>
        <v>3.8739374279975389E-3</v>
      </c>
      <c r="Z990" s="96">
        <f t="shared" si="230"/>
        <v>0.99341029978346429</v>
      </c>
      <c r="AA990" s="94">
        <f t="shared" si="231"/>
        <v>759.92260651580614</v>
      </c>
      <c r="AB990" s="163">
        <f t="shared" si="233"/>
        <v>3.8739374279975389E-3</v>
      </c>
      <c r="AC990" s="96">
        <f t="shared" si="232"/>
        <v>0.99341029978346429</v>
      </c>
      <c r="AD990" s="94">
        <f t="shared" si="229"/>
        <v>759.92260651580614</v>
      </c>
    </row>
    <row r="991" spans="24:30" x14ac:dyDescent="0.25">
      <c r="X991" s="84">
        <v>28</v>
      </c>
      <c r="Y991" s="104">
        <f t="shared" si="228"/>
        <v>3.8779270648955796E-3</v>
      </c>
      <c r="Z991" s="96">
        <f t="shared" si="230"/>
        <v>0.99363917007851277</v>
      </c>
      <c r="AA991" s="94">
        <f t="shared" si="231"/>
        <v>708.05275257657138</v>
      </c>
      <c r="AB991" s="163">
        <f t="shared" si="233"/>
        <v>3.8779270648955796E-3</v>
      </c>
      <c r="AC991" s="96">
        <f t="shared" si="232"/>
        <v>0.99363917007851277</v>
      </c>
      <c r="AD991" s="94">
        <f t="shared" si="229"/>
        <v>708.05275257657138</v>
      </c>
    </row>
    <row r="992" spans="24:30" x14ac:dyDescent="0.25">
      <c r="X992" s="84">
        <v>27</v>
      </c>
      <c r="Y992" s="104">
        <f t="shared" ref="Y992:Y1019" si="234">Y991+Y$16</f>
        <v>3.8819167017936202E-3</v>
      </c>
      <c r="Z992" s="96">
        <f t="shared" si="230"/>
        <v>0.9938679226727648</v>
      </c>
      <c r="AA992" s="94">
        <f t="shared" si="231"/>
        <v>658.04151607562494</v>
      </c>
      <c r="AB992" s="163">
        <f t="shared" si="233"/>
        <v>3.8819167017936202E-3</v>
      </c>
      <c r="AC992" s="96">
        <f t="shared" si="232"/>
        <v>0.9938679226727648</v>
      </c>
      <c r="AD992" s="94">
        <f t="shared" si="229"/>
        <v>658.04151607562494</v>
      </c>
    </row>
    <row r="993" spans="24:30" x14ac:dyDescent="0.25">
      <c r="X993" s="84">
        <v>26</v>
      </c>
      <c r="Y993" s="104">
        <f t="shared" si="234"/>
        <v>3.8859063386916608E-3</v>
      </c>
      <c r="Z993" s="96">
        <f t="shared" si="230"/>
        <v>0.9940965577476224</v>
      </c>
      <c r="AA993" s="94">
        <f t="shared" si="231"/>
        <v>609.88603247574838</v>
      </c>
      <c r="AB993" s="163">
        <f t="shared" si="233"/>
        <v>3.8859063386916608E-3</v>
      </c>
      <c r="AC993" s="96">
        <f t="shared" si="232"/>
        <v>0.9940965577476224</v>
      </c>
      <c r="AD993" s="94">
        <f t="shared" si="229"/>
        <v>609.88603247574838</v>
      </c>
    </row>
    <row r="994" spans="24:30" x14ac:dyDescent="0.25">
      <c r="X994" s="84">
        <v>25</v>
      </c>
      <c r="Y994" s="104">
        <f t="shared" si="234"/>
        <v>3.8898959755897015E-3</v>
      </c>
      <c r="Z994" s="96">
        <f t="shared" si="230"/>
        <v>0.99432507548402638</v>
      </c>
      <c r="AA994" s="94">
        <f t="shared" si="231"/>
        <v>563.58344458579131</v>
      </c>
      <c r="AB994" s="163">
        <f t="shared" si="233"/>
        <v>3.8898959755897015E-3</v>
      </c>
      <c r="AC994" s="96">
        <f t="shared" si="232"/>
        <v>0.99432507548402638</v>
      </c>
      <c r="AD994" s="94">
        <f t="shared" si="229"/>
        <v>563.58344458579131</v>
      </c>
    </row>
    <row r="995" spans="24:30" x14ac:dyDescent="0.25">
      <c r="X995" s="84">
        <v>24</v>
      </c>
      <c r="Y995" s="104">
        <f t="shared" si="234"/>
        <v>3.8938856124877421E-3</v>
      </c>
      <c r="Z995" s="96">
        <f t="shared" si="230"/>
        <v>0.99455347606244937</v>
      </c>
      <c r="AA995" s="94">
        <f t="shared" si="231"/>
        <v>519.13090254124279</v>
      </c>
      <c r="AB995" s="163">
        <f t="shared" si="233"/>
        <v>3.8938856124877421E-3</v>
      </c>
      <c r="AC995" s="96">
        <f t="shared" si="232"/>
        <v>0.99455347606244937</v>
      </c>
      <c r="AD995" s="94">
        <f t="shared" si="229"/>
        <v>519.13090254124279</v>
      </c>
    </row>
    <row r="996" spans="24:30" x14ac:dyDescent="0.25">
      <c r="X996" s="84">
        <v>23</v>
      </c>
      <c r="Y996" s="104">
        <f t="shared" si="234"/>
        <v>3.8978752493857827E-3</v>
      </c>
      <c r="Z996" s="96">
        <f t="shared" si="230"/>
        <v>0.99478175966290072</v>
      </c>
      <c r="AA996" s="94">
        <f t="shared" si="231"/>
        <v>476.52556377508768</v>
      </c>
      <c r="AB996" s="163">
        <f t="shared" si="233"/>
        <v>3.8978752493857827E-3</v>
      </c>
      <c r="AC996" s="96">
        <f t="shared" si="232"/>
        <v>0.99478175966290072</v>
      </c>
      <c r="AD996" s="94">
        <f t="shared" si="229"/>
        <v>476.52556377508768</v>
      </c>
    </row>
    <row r="997" spans="24:30" x14ac:dyDescent="0.25">
      <c r="X997" s="84">
        <v>22</v>
      </c>
      <c r="Y997" s="104">
        <f t="shared" si="234"/>
        <v>3.9018648862838234E-3</v>
      </c>
      <c r="Z997" s="96">
        <f t="shared" si="230"/>
        <v>0.99500992646493858</v>
      </c>
      <c r="AA997" s="94">
        <f t="shared" si="231"/>
        <v>435.76459299254918</v>
      </c>
      <c r="AB997" s="163">
        <f t="shared" si="233"/>
        <v>3.9018648862838234E-3</v>
      </c>
      <c r="AC997" s="96">
        <f t="shared" si="232"/>
        <v>0.99500992646493858</v>
      </c>
      <c r="AD997" s="94">
        <f t="shared" si="229"/>
        <v>435.76459299254918</v>
      </c>
    </row>
    <row r="998" spans="24:30" x14ac:dyDescent="0.25">
      <c r="X998" s="84">
        <v>21</v>
      </c>
      <c r="Y998" s="104">
        <f t="shared" si="234"/>
        <v>3.905854523181864E-3</v>
      </c>
      <c r="Z998" s="96">
        <f t="shared" si="230"/>
        <v>0.99523797664765135</v>
      </c>
      <c r="AA998" s="94">
        <f t="shared" si="231"/>
        <v>396.84516214583141</v>
      </c>
      <c r="AB998" s="163">
        <f t="shared" si="233"/>
        <v>3.905854523181864E-3</v>
      </c>
      <c r="AC998" s="96">
        <f t="shared" si="232"/>
        <v>0.99523797664765135</v>
      </c>
      <c r="AD998" s="94">
        <f t="shared" si="229"/>
        <v>396.84516214583141</v>
      </c>
    </row>
    <row r="999" spans="24:30" x14ac:dyDescent="0.25">
      <c r="X999" s="84">
        <v>20</v>
      </c>
      <c r="Y999" s="104">
        <f t="shared" si="234"/>
        <v>3.9098441600799051E-3</v>
      </c>
      <c r="Z999" s="96">
        <f t="shared" si="230"/>
        <v>0.99546591038967625</v>
      </c>
      <c r="AA999" s="94">
        <f t="shared" si="231"/>
        <v>359.76445040303292</v>
      </c>
      <c r="AB999" s="163">
        <f t="shared" si="233"/>
        <v>3.9098441600799051E-3</v>
      </c>
      <c r="AC999" s="96">
        <f t="shared" si="232"/>
        <v>0.99546591038967625</v>
      </c>
      <c r="AD999" s="94">
        <f t="shared" si="229"/>
        <v>359.76445040303292</v>
      </c>
    </row>
    <row r="1000" spans="24:30" x14ac:dyDescent="0.25">
      <c r="X1000" s="84">
        <v>19</v>
      </c>
      <c r="Y1000" s="104">
        <f t="shared" si="234"/>
        <v>3.9138337969779457E-3</v>
      </c>
      <c r="Z1000" s="96">
        <f t="shared" si="230"/>
        <v>0.99569372786919319</v>
      </c>
      <c r="AA1000" s="94">
        <f t="shared" si="231"/>
        <v>324.51964413066088</v>
      </c>
      <c r="AB1000" s="163">
        <f t="shared" si="233"/>
        <v>3.9138337969779457E-3</v>
      </c>
      <c r="AC1000" s="96">
        <f t="shared" si="232"/>
        <v>0.99569372786919319</v>
      </c>
      <c r="AD1000" s="94">
        <f t="shared" si="229"/>
        <v>324.51964413066088</v>
      </c>
    </row>
    <row r="1001" spans="24:30" x14ac:dyDescent="0.25">
      <c r="X1001" s="84">
        <v>18</v>
      </c>
      <c r="Y1001" s="104">
        <f t="shared" si="234"/>
        <v>3.9178234338759863E-3</v>
      </c>
      <c r="Z1001" s="96">
        <f t="shared" si="230"/>
        <v>0.99592142926392868</v>
      </c>
      <c r="AA1001" s="94">
        <f t="shared" si="231"/>
        <v>291.10793686060185</v>
      </c>
      <c r="AB1001" s="163">
        <f t="shared" si="233"/>
        <v>3.9178234338759863E-3</v>
      </c>
      <c r="AC1001" s="96">
        <f t="shared" si="232"/>
        <v>0.99592142926392868</v>
      </c>
      <c r="AD1001" s="94">
        <f t="shared" si="229"/>
        <v>291.10793686060185</v>
      </c>
    </row>
    <row r="1002" spans="24:30" x14ac:dyDescent="0.25">
      <c r="X1002" s="84">
        <v>17</v>
      </c>
      <c r="Y1002" s="104">
        <f t="shared" si="234"/>
        <v>3.921813070774027E-3</v>
      </c>
      <c r="Z1002" s="96">
        <f t="shared" si="230"/>
        <v>0.99614901475115647</v>
      </c>
      <c r="AA1002" s="94">
        <f t="shared" si="231"/>
        <v>259.52652926874993</v>
      </c>
      <c r="AB1002" s="163">
        <f t="shared" si="233"/>
        <v>3.921813070774027E-3</v>
      </c>
      <c r="AC1002" s="96">
        <f t="shared" si="232"/>
        <v>0.99614901475115647</v>
      </c>
      <c r="AD1002" s="94">
        <f t="shared" si="229"/>
        <v>259.52652926874993</v>
      </c>
    </row>
    <row r="1003" spans="24:30" x14ac:dyDescent="0.25">
      <c r="X1003" s="84">
        <v>16</v>
      </c>
      <c r="Y1003" s="104">
        <f t="shared" si="234"/>
        <v>3.9258027076720676E-3</v>
      </c>
      <c r="Z1003" s="96">
        <f t="shared" si="230"/>
        <v>0.99637648450769889</v>
      </c>
      <c r="AA1003" s="94">
        <f t="shared" si="231"/>
        <v>229.7726291516922</v>
      </c>
      <c r="AB1003" s="163">
        <f t="shared" si="233"/>
        <v>3.9258027076720676E-3</v>
      </c>
      <c r="AC1003" s="96">
        <f t="shared" si="232"/>
        <v>0.99637648450769889</v>
      </c>
      <c r="AD1003" s="94">
        <f t="shared" si="229"/>
        <v>229.7726291516922</v>
      </c>
    </row>
    <row r="1004" spans="24:30" x14ac:dyDescent="0.25">
      <c r="X1004" s="84">
        <v>15</v>
      </c>
      <c r="Y1004" s="104">
        <f t="shared" si="234"/>
        <v>3.9297923445701082E-3</v>
      </c>
      <c r="Z1004" s="96">
        <f t="shared" si="230"/>
        <v>0.9966038387099313</v>
      </c>
      <c r="AA1004" s="94">
        <f t="shared" si="231"/>
        <v>201.84345139367957</v>
      </c>
      <c r="AB1004" s="163">
        <f t="shared" si="233"/>
        <v>3.9297923445701082E-3</v>
      </c>
      <c r="AC1004" s="96">
        <f t="shared" si="232"/>
        <v>0.9966038387099313</v>
      </c>
      <c r="AD1004" s="94">
        <f t="shared" si="229"/>
        <v>201.84345139367957</v>
      </c>
    </row>
    <row r="1005" spans="24:30" x14ac:dyDescent="0.25">
      <c r="X1005" s="84">
        <v>14</v>
      </c>
      <c r="Y1005" s="104">
        <f t="shared" si="234"/>
        <v>3.9337819814681489E-3</v>
      </c>
      <c r="Z1005" s="96">
        <f t="shared" si="230"/>
        <v>0.9968310775337802</v>
      </c>
      <c r="AA1005" s="94">
        <f t="shared" si="231"/>
        <v>175.73621794525488</v>
      </c>
      <c r="AB1005" s="163">
        <f t="shared" si="233"/>
        <v>3.9337819814681489E-3</v>
      </c>
      <c r="AC1005" s="96">
        <f t="shared" si="232"/>
        <v>0.9968310775337802</v>
      </c>
      <c r="AD1005" s="94">
        <f t="shared" si="229"/>
        <v>175.73621794525488</v>
      </c>
    </row>
    <row r="1006" spans="24:30" x14ac:dyDescent="0.25">
      <c r="X1006" s="84">
        <v>13</v>
      </c>
      <c r="Y1006" s="104">
        <f t="shared" si="234"/>
        <v>3.9377716183661895E-3</v>
      </c>
      <c r="Z1006" s="96">
        <f t="shared" si="230"/>
        <v>0.99705820115472299</v>
      </c>
      <c r="AA1006" s="94">
        <f t="shared" si="231"/>
        <v>151.44815780576695</v>
      </c>
      <c r="AB1006" s="163">
        <f t="shared" si="233"/>
        <v>3.9377716183661895E-3</v>
      </c>
      <c r="AC1006" s="96">
        <f t="shared" si="232"/>
        <v>0.99705820115472299</v>
      </c>
      <c r="AD1006" s="94">
        <f t="shared" si="229"/>
        <v>151.44815780576695</v>
      </c>
    </row>
    <row r="1007" spans="24:30" x14ac:dyDescent="0.25">
      <c r="X1007" s="84">
        <v>12</v>
      </c>
      <c r="Y1007" s="104">
        <f t="shared" si="234"/>
        <v>3.9417612552642301E-3</v>
      </c>
      <c r="Z1007" s="96">
        <f t="shared" si="230"/>
        <v>0.99728520974780033</v>
      </c>
      <c r="AA1007" s="94">
        <f t="shared" si="231"/>
        <v>128.97650698451281</v>
      </c>
      <c r="AB1007" s="163">
        <f t="shared" si="233"/>
        <v>3.9417612552642301E-3</v>
      </c>
      <c r="AC1007" s="96">
        <f t="shared" si="232"/>
        <v>0.99728520974780033</v>
      </c>
      <c r="AD1007" s="94">
        <f t="shared" si="229"/>
        <v>128.97650698451281</v>
      </c>
    </row>
    <row r="1008" spans="24:30" x14ac:dyDescent="0.25">
      <c r="X1008" s="84">
        <v>11</v>
      </c>
      <c r="Y1008" s="104">
        <f t="shared" si="234"/>
        <v>3.9457508921622707E-3</v>
      </c>
      <c r="Z1008" s="96">
        <f t="shared" si="230"/>
        <v>0.99751210348760011</v>
      </c>
      <c r="AA1008" s="94">
        <f t="shared" si="231"/>
        <v>108.31850848713745</v>
      </c>
      <c r="AB1008" s="163">
        <f t="shared" si="233"/>
        <v>3.9457508921622707E-3</v>
      </c>
      <c r="AC1008" s="96">
        <f t="shared" si="232"/>
        <v>0.99751210348760011</v>
      </c>
      <c r="AD1008" s="94">
        <f t="shared" si="229"/>
        <v>108.31850848713745</v>
      </c>
    </row>
    <row r="1009" spans="24:30" x14ac:dyDescent="0.25">
      <c r="X1009" s="84">
        <v>10</v>
      </c>
      <c r="Y1009" s="104">
        <f t="shared" si="234"/>
        <v>3.9497405290603114E-3</v>
      </c>
      <c r="Z1009" s="96">
        <f t="shared" si="230"/>
        <v>0.99773888254828169</v>
      </c>
      <c r="AA1009" s="94">
        <f t="shared" si="231"/>
        <v>89.471412282604604</v>
      </c>
      <c r="AB1009" s="163">
        <f t="shared" si="233"/>
        <v>3.9497405290603114E-3</v>
      </c>
      <c r="AC1009" s="96">
        <f t="shared" si="232"/>
        <v>0.99773888254828169</v>
      </c>
      <c r="AD1009" s="94">
        <f t="shared" si="229"/>
        <v>89.471412282604604</v>
      </c>
    </row>
    <row r="1010" spans="24:30" x14ac:dyDescent="0.25">
      <c r="X1010" s="84">
        <v>9</v>
      </c>
      <c r="Y1010" s="104">
        <f t="shared" si="234"/>
        <v>3.953730165958352E-3</v>
      </c>
      <c r="Z1010" s="96">
        <f t="shared" si="230"/>
        <v>0.99796554710355112</v>
      </c>
      <c r="AA1010" s="94">
        <f t="shared" si="231"/>
        <v>72.432475287653745</v>
      </c>
      <c r="AB1010" s="163">
        <f t="shared" si="233"/>
        <v>3.953730165958352E-3</v>
      </c>
      <c r="AC1010" s="96">
        <f t="shared" si="232"/>
        <v>0.99796554710355112</v>
      </c>
      <c r="AD1010" s="94">
        <f t="shared" si="229"/>
        <v>72.432475287653745</v>
      </c>
    </row>
    <row r="1011" spans="24:30" x14ac:dyDescent="0.25">
      <c r="X1011" s="84">
        <v>8</v>
      </c>
      <c r="Y1011" s="104">
        <f t="shared" si="234"/>
        <v>3.9577198028563926E-3</v>
      </c>
      <c r="Z1011" s="96">
        <f t="shared" si="230"/>
        <v>0.99819209732668646</v>
      </c>
      <c r="AA1011" s="94">
        <f t="shared" si="231"/>
        <v>57.198961333770903</v>
      </c>
      <c r="AB1011" s="163">
        <f t="shared" si="233"/>
        <v>3.9577198028563926E-3</v>
      </c>
      <c r="AC1011" s="96">
        <f t="shared" si="232"/>
        <v>0.99819209732668646</v>
      </c>
      <c r="AD1011" s="94">
        <f t="shared" si="229"/>
        <v>57.198961333770903</v>
      </c>
    </row>
    <row r="1012" spans="24:30" x14ac:dyDescent="0.25">
      <c r="X1012" s="84">
        <v>7</v>
      </c>
      <c r="Y1012" s="104">
        <f t="shared" si="234"/>
        <v>3.9617094397544333E-3</v>
      </c>
      <c r="Z1012" s="96">
        <f t="shared" si="230"/>
        <v>0.99841853339052078</v>
      </c>
      <c r="AA1012" s="94">
        <f t="shared" si="231"/>
        <v>43.768141145816848</v>
      </c>
      <c r="AB1012" s="163">
        <f t="shared" si="233"/>
        <v>3.9617094397544333E-3</v>
      </c>
      <c r="AC1012" s="96">
        <f t="shared" si="232"/>
        <v>0.99841853339052078</v>
      </c>
      <c r="AD1012" s="94">
        <f t="shared" si="229"/>
        <v>43.768141145816848</v>
      </c>
    </row>
    <row r="1013" spans="24:30" x14ac:dyDescent="0.25">
      <c r="X1013" s="84">
        <v>6</v>
      </c>
      <c r="Y1013" s="104">
        <f t="shared" si="234"/>
        <v>3.9656990766524739E-3</v>
      </c>
      <c r="Z1013" s="96">
        <f t="shared" si="230"/>
        <v>0.99864485546746529</v>
      </c>
      <c r="AA1013" s="94">
        <f t="shared" si="231"/>
        <v>32.137292320655327</v>
      </c>
      <c r="AB1013" s="163">
        <f t="shared" si="233"/>
        <v>3.9656990766524739E-3</v>
      </c>
      <c r="AC1013" s="96">
        <f t="shared" si="232"/>
        <v>0.99864485546746529</v>
      </c>
      <c r="AD1013" s="94">
        <f t="shared" si="229"/>
        <v>32.137292320655327</v>
      </c>
    </row>
    <row r="1014" spans="24:30" x14ac:dyDescent="0.25">
      <c r="X1014" s="84">
        <v>5</v>
      </c>
      <c r="Y1014" s="104">
        <f t="shared" si="234"/>
        <v>3.9696887135505145E-3</v>
      </c>
      <c r="Z1014" s="96">
        <f t="shared" si="230"/>
        <v>0.99887106372947987</v>
      </c>
      <c r="AA1014" s="94">
        <f t="shared" si="231"/>
        <v>22.303699299952576</v>
      </c>
      <c r="AB1014" s="163">
        <f t="shared" si="233"/>
        <v>3.9696887135505145E-3</v>
      </c>
      <c r="AC1014" s="96">
        <f t="shared" si="232"/>
        <v>0.99887106372947987</v>
      </c>
      <c r="AD1014" s="94">
        <f t="shared" si="229"/>
        <v>22.303699299952576</v>
      </c>
    </row>
    <row r="1015" spans="24:30" x14ac:dyDescent="0.25">
      <c r="X1015" s="84">
        <v>4</v>
      </c>
      <c r="Y1015" s="104">
        <f t="shared" si="234"/>
        <v>3.9736783504485552E-3</v>
      </c>
      <c r="Z1015" s="96">
        <f t="shared" si="230"/>
        <v>0.99909715834810864</v>
      </c>
      <c r="AA1015" s="94">
        <f t="shared" si="231"/>
        <v>14.264653346862669</v>
      </c>
      <c r="AB1015" s="163">
        <f t="shared" si="233"/>
        <v>3.9736783504485552E-3</v>
      </c>
      <c r="AC1015" s="96">
        <f t="shared" si="232"/>
        <v>0.99909715834810864</v>
      </c>
      <c r="AD1015" s="94">
        <f t="shared" si="229"/>
        <v>14.264653346862669</v>
      </c>
    </row>
    <row r="1016" spans="24:30" x14ac:dyDescent="0.25">
      <c r="X1016" s="84">
        <v>3</v>
      </c>
      <c r="Y1016" s="104">
        <f t="shared" si="234"/>
        <v>3.9776679873465958E-3</v>
      </c>
      <c r="Z1016" s="96">
        <f t="shared" si="230"/>
        <v>0.99932313949445117</v>
      </c>
      <c r="AA1016" s="94">
        <f t="shared" si="231"/>
        <v>8.0174525188270191</v>
      </c>
      <c r="AB1016" s="163">
        <f t="shared" si="233"/>
        <v>3.9776679873465958E-3</v>
      </c>
      <c r="AC1016" s="96">
        <f t="shared" si="232"/>
        <v>0.99932313949445117</v>
      </c>
      <c r="AD1016" s="94">
        <f t="shared" si="229"/>
        <v>8.0174525188270191</v>
      </c>
    </row>
    <row r="1017" spans="24:30" x14ac:dyDescent="0.25">
      <c r="X1017" s="84">
        <v>2</v>
      </c>
      <c r="Y1017" s="104">
        <f t="shared" si="234"/>
        <v>3.9816576242446364E-3</v>
      </c>
      <c r="Z1017" s="96">
        <f t="shared" si="230"/>
        <v>0.99954900733919505</v>
      </c>
      <c r="AA1017" s="94">
        <f t="shared" si="231"/>
        <v>3.5594016520312808</v>
      </c>
      <c r="AB1017" s="163">
        <f t="shared" si="233"/>
        <v>3.9816576242446364E-3</v>
      </c>
      <c r="AC1017" s="96">
        <f t="shared" si="232"/>
        <v>0.99954900733919505</v>
      </c>
      <c r="AD1017" s="94">
        <f t="shared" si="229"/>
        <v>3.5594016520312808</v>
      </c>
    </row>
    <row r="1018" spans="24:30" x14ac:dyDescent="0.25">
      <c r="X1018" s="84">
        <v>1</v>
      </c>
      <c r="Y1018" s="104">
        <f t="shared" si="234"/>
        <v>3.9856472611426771E-3</v>
      </c>
      <c r="Z1018" s="96">
        <f t="shared" si="230"/>
        <v>0.99977476205258098</v>
      </c>
      <c r="AA1018" s="94">
        <f t="shared" si="231"/>
        <v>0.88781232643331287</v>
      </c>
      <c r="AB1018" s="163">
        <f t="shared" si="233"/>
        <v>3.9856472611426771E-3</v>
      </c>
      <c r="AC1018" s="96">
        <f t="shared" si="232"/>
        <v>0.99977476205258098</v>
      </c>
      <c r="AD1018" s="94">
        <f t="shared" si="229"/>
        <v>0.88781232643331287</v>
      </c>
    </row>
    <row r="1019" spans="24:30" x14ac:dyDescent="0.25">
      <c r="X1019" s="84">
        <v>0</v>
      </c>
      <c r="Y1019" s="104">
        <f t="shared" si="234"/>
        <v>3.9896368980407177E-3</v>
      </c>
      <c r="Z1019" s="96">
        <f t="shared" si="230"/>
        <v>1.0000004038044426</v>
      </c>
      <c r="AA1019" s="94">
        <f t="shared" si="231"/>
        <v>0</v>
      </c>
      <c r="AB1019" s="163">
        <f t="shared" si="233"/>
        <v>3.9896368980407177E-3</v>
      </c>
      <c r="AC1019" s="96">
        <f t="shared" si="232"/>
        <v>1.0000004038044426</v>
      </c>
      <c r="AD1019" s="94">
        <f t="shared" si="229"/>
        <v>0</v>
      </c>
    </row>
    <row r="1020" spans="24:30" x14ac:dyDescent="0.25">
      <c r="X1020" s="84"/>
      <c r="Y1020" s="104"/>
      <c r="Z1020" s="146"/>
      <c r="AA1020" s="101"/>
      <c r="AB1020" s="128"/>
    </row>
    <row r="1021" spans="24:30" x14ac:dyDescent="0.25">
      <c r="X1021" s="84"/>
      <c r="Y1021" s="104"/>
      <c r="Z1021" s="146"/>
      <c r="AA1021" s="101"/>
      <c r="AB1021" s="128"/>
    </row>
    <row r="1022" spans="24:30" x14ac:dyDescent="0.25">
      <c r="X1022" s="84"/>
      <c r="Y1022" s="104"/>
      <c r="Z1022" s="146"/>
      <c r="AA1022" s="101"/>
      <c r="AB1022" s="128"/>
    </row>
    <row r="1023" spans="24:30" x14ac:dyDescent="0.25">
      <c r="X1023" s="84"/>
      <c r="Y1023" s="104"/>
      <c r="Z1023" s="146"/>
      <c r="AA1023" s="101"/>
      <c r="AB1023" s="128"/>
    </row>
    <row r="1024" spans="24:30" x14ac:dyDescent="0.25">
      <c r="X1024" s="84"/>
      <c r="Y1024" s="104"/>
      <c r="Z1024" s="146"/>
      <c r="AA1024" s="101"/>
      <c r="AB1024" s="128"/>
    </row>
    <row r="1025" spans="24:28" x14ac:dyDescent="0.25">
      <c r="X1025" s="84"/>
      <c r="Y1025" s="104"/>
      <c r="Z1025" s="146"/>
      <c r="AA1025" s="101"/>
      <c r="AB1025" s="128"/>
    </row>
    <row r="1026" spans="24:28" x14ac:dyDescent="0.25">
      <c r="X1026" s="84"/>
      <c r="Y1026" s="104"/>
      <c r="Z1026" s="146"/>
      <c r="AA1026" s="101"/>
      <c r="AB1026" s="128"/>
    </row>
    <row r="1027" spans="24:28" x14ac:dyDescent="0.25">
      <c r="X1027" s="84"/>
      <c r="Y1027" s="104"/>
      <c r="Z1027" s="146"/>
      <c r="AA1027" s="101"/>
      <c r="AB1027" s="128"/>
    </row>
    <row r="1028" spans="24:28" x14ac:dyDescent="0.25">
      <c r="X1028" s="84"/>
      <c r="Y1028" s="104"/>
      <c r="Z1028" s="146"/>
      <c r="AA1028" s="101"/>
      <c r="AB1028" s="128"/>
    </row>
    <row r="1029" spans="24:28" x14ac:dyDescent="0.25">
      <c r="X1029" s="84"/>
      <c r="Y1029" s="104"/>
      <c r="Z1029" s="146"/>
      <c r="AA1029" s="101"/>
      <c r="AB1029" s="128"/>
    </row>
    <row r="1030" spans="24:28" x14ac:dyDescent="0.25">
      <c r="X1030" s="84"/>
      <c r="Y1030" s="104"/>
      <c r="Z1030" s="146"/>
      <c r="AA1030" s="101"/>
      <c r="AB1030" s="128"/>
    </row>
    <row r="1031" spans="24:28" x14ac:dyDescent="0.25">
      <c r="X1031" s="84"/>
      <c r="Y1031" s="104"/>
      <c r="Z1031" s="146"/>
      <c r="AA1031" s="101"/>
      <c r="AB1031" s="128"/>
    </row>
    <row r="1032" spans="24:28" x14ac:dyDescent="0.25">
      <c r="X1032" s="84"/>
      <c r="Y1032" s="104"/>
      <c r="Z1032" s="146"/>
      <c r="AA1032" s="101"/>
      <c r="AB1032" s="128"/>
    </row>
    <row r="1033" spans="24:28" x14ac:dyDescent="0.25">
      <c r="X1033" s="84"/>
      <c r="Y1033" s="104"/>
      <c r="Z1033" s="146"/>
      <c r="AA1033" s="101"/>
      <c r="AB1033" s="128"/>
    </row>
    <row r="1034" spans="24:28" x14ac:dyDescent="0.25">
      <c r="X1034" s="84"/>
      <c r="Y1034" s="104"/>
      <c r="Z1034" s="146"/>
      <c r="AA1034" s="101"/>
      <c r="AB1034" s="128"/>
    </row>
    <row r="1035" spans="24:28" x14ac:dyDescent="0.25">
      <c r="X1035" s="84"/>
      <c r="Y1035" s="104"/>
      <c r="Z1035" s="146"/>
      <c r="AA1035" s="101"/>
      <c r="AB1035" s="128"/>
    </row>
    <row r="1036" spans="24:28" x14ac:dyDescent="0.25">
      <c r="X1036" s="84"/>
      <c r="Y1036" s="104"/>
      <c r="Z1036" s="146"/>
      <c r="AA1036" s="101"/>
      <c r="AB1036" s="128"/>
    </row>
    <row r="1037" spans="24:28" x14ac:dyDescent="0.25">
      <c r="X1037" s="84"/>
      <c r="Y1037" s="104"/>
      <c r="Z1037" s="146"/>
      <c r="AA1037" s="101"/>
      <c r="AB1037" s="128"/>
    </row>
    <row r="1038" spans="24:28" x14ac:dyDescent="0.25">
      <c r="X1038" s="84"/>
      <c r="Y1038" s="104"/>
      <c r="Z1038" s="146"/>
      <c r="AA1038" s="101"/>
      <c r="AB1038" s="128"/>
    </row>
    <row r="1039" spans="24:28" x14ac:dyDescent="0.25">
      <c r="X1039" s="84"/>
      <c r="Y1039" s="104"/>
      <c r="Z1039" s="146"/>
      <c r="AA1039" s="101"/>
      <c r="AB1039" s="128"/>
    </row>
    <row r="1040" spans="24:28" x14ac:dyDescent="0.25">
      <c r="X1040" s="84"/>
      <c r="Y1040" s="104"/>
      <c r="Z1040" s="146"/>
      <c r="AA1040" s="101"/>
      <c r="AB1040" s="128"/>
    </row>
    <row r="1041" spans="24:28" x14ac:dyDescent="0.25">
      <c r="X1041" s="84"/>
      <c r="Y1041" s="104"/>
      <c r="Z1041" s="146"/>
      <c r="AA1041" s="101"/>
      <c r="AB1041" s="128"/>
    </row>
    <row r="1042" spans="24:28" x14ac:dyDescent="0.25">
      <c r="X1042" s="84"/>
      <c r="Y1042" s="104"/>
      <c r="Z1042" s="146"/>
      <c r="AA1042" s="101"/>
      <c r="AB1042" s="128"/>
    </row>
    <row r="1043" spans="24:28" x14ac:dyDescent="0.25">
      <c r="X1043" s="84"/>
      <c r="Y1043" s="104"/>
      <c r="Z1043" s="146"/>
      <c r="AA1043" s="101"/>
      <c r="AB1043" s="128"/>
    </row>
    <row r="1044" spans="24:28" x14ac:dyDescent="0.25">
      <c r="X1044" s="84"/>
      <c r="Y1044" s="104"/>
      <c r="Z1044" s="146"/>
      <c r="AA1044" s="101"/>
      <c r="AB1044" s="128"/>
    </row>
    <row r="1045" spans="24:28" x14ac:dyDescent="0.25">
      <c r="X1045" s="84"/>
      <c r="Y1045" s="104"/>
      <c r="Z1045" s="146"/>
      <c r="AA1045" s="101"/>
      <c r="AB1045" s="128"/>
    </row>
    <row r="1046" spans="24:28" x14ac:dyDescent="0.25">
      <c r="X1046" s="84"/>
      <c r="Y1046" s="104"/>
      <c r="Z1046" s="146"/>
      <c r="AA1046" s="101"/>
      <c r="AB1046" s="128"/>
    </row>
    <row r="1047" spans="24:28" x14ac:dyDescent="0.25">
      <c r="X1047" s="84"/>
      <c r="Y1047" s="104"/>
      <c r="Z1047" s="146"/>
      <c r="AA1047" s="101"/>
      <c r="AB1047" s="128"/>
    </row>
    <row r="1048" spans="24:28" x14ac:dyDescent="0.25">
      <c r="X1048" s="84"/>
      <c r="Y1048" s="104"/>
      <c r="Z1048" s="146"/>
      <c r="AA1048" s="101"/>
      <c r="AB1048" s="128"/>
    </row>
    <row r="1049" spans="24:28" x14ac:dyDescent="0.25">
      <c r="X1049" s="84"/>
      <c r="Y1049" s="104"/>
      <c r="Z1049" s="146"/>
      <c r="AA1049" s="101"/>
      <c r="AB1049" s="128"/>
    </row>
    <row r="1050" spans="24:28" x14ac:dyDescent="0.25">
      <c r="X1050" s="84"/>
      <c r="Y1050" s="104"/>
      <c r="Z1050" s="146"/>
      <c r="AA1050" s="101"/>
      <c r="AB1050" s="128"/>
    </row>
    <row r="1051" spans="24:28" x14ac:dyDescent="0.25">
      <c r="X1051" s="84"/>
      <c r="Y1051" s="104"/>
      <c r="Z1051" s="146"/>
      <c r="AA1051" s="101"/>
      <c r="AB1051" s="128"/>
    </row>
    <row r="1052" spans="24:28" x14ac:dyDescent="0.25">
      <c r="X1052" s="84"/>
      <c r="Y1052" s="104"/>
      <c r="Z1052" s="146"/>
      <c r="AA1052" s="101"/>
      <c r="AB1052" s="128"/>
    </row>
    <row r="1053" spans="24:28" x14ac:dyDescent="0.25">
      <c r="X1053" s="84"/>
      <c r="Y1053" s="104"/>
      <c r="Z1053" s="146"/>
      <c r="AA1053" s="101"/>
      <c r="AB1053" s="128"/>
    </row>
    <row r="1054" spans="24:28" x14ac:dyDescent="0.25">
      <c r="X1054" s="84"/>
      <c r="Y1054" s="104"/>
      <c r="Z1054" s="146"/>
      <c r="AA1054" s="101"/>
      <c r="AB1054" s="128"/>
    </row>
    <row r="1055" spans="24:28" x14ac:dyDescent="0.25">
      <c r="X1055" s="84"/>
      <c r="Y1055" s="104"/>
      <c r="Z1055" s="146"/>
      <c r="AA1055" s="101"/>
      <c r="AB1055" s="128"/>
    </row>
    <row r="1056" spans="24:28" x14ac:dyDescent="0.25">
      <c r="X1056" s="84"/>
      <c r="Y1056" s="104"/>
      <c r="Z1056" s="146"/>
      <c r="AA1056" s="101"/>
      <c r="AB1056" s="128"/>
    </row>
    <row r="1057" spans="24:28" x14ac:dyDescent="0.25">
      <c r="X1057" s="84"/>
      <c r="Y1057" s="104"/>
      <c r="Z1057" s="146"/>
      <c r="AA1057" s="101"/>
      <c r="AB1057" s="128"/>
    </row>
    <row r="1058" spans="24:28" x14ac:dyDescent="0.25">
      <c r="X1058" s="84"/>
      <c r="Y1058" s="104"/>
      <c r="Z1058" s="146"/>
      <c r="AA1058" s="101"/>
      <c r="AB1058" s="128"/>
    </row>
    <row r="1059" spans="24:28" x14ac:dyDescent="0.25">
      <c r="X1059" s="84"/>
      <c r="Y1059" s="104"/>
      <c r="Z1059" s="146"/>
      <c r="AA1059" s="101"/>
      <c r="AB1059" s="128"/>
    </row>
    <row r="1060" spans="24:28" x14ac:dyDescent="0.25">
      <c r="X1060" s="84"/>
      <c r="Y1060" s="104"/>
      <c r="Z1060" s="146"/>
      <c r="AA1060" s="101"/>
      <c r="AB1060" s="128"/>
    </row>
    <row r="1061" spans="24:28" x14ac:dyDescent="0.25">
      <c r="X1061" s="84"/>
      <c r="Y1061" s="104"/>
      <c r="Z1061" s="146"/>
      <c r="AA1061" s="101"/>
      <c r="AB1061" s="128"/>
    </row>
    <row r="1062" spans="24:28" x14ac:dyDescent="0.25">
      <c r="X1062" s="84"/>
      <c r="Y1062" s="104"/>
      <c r="Z1062" s="146"/>
      <c r="AA1062" s="101"/>
      <c r="AB1062" s="128"/>
    </row>
    <row r="1063" spans="24:28" x14ac:dyDescent="0.25">
      <c r="X1063" s="84"/>
      <c r="Y1063" s="104"/>
      <c r="Z1063" s="146"/>
      <c r="AA1063" s="101"/>
      <c r="AB1063" s="128"/>
    </row>
    <row r="1064" spans="24:28" x14ac:dyDescent="0.25">
      <c r="X1064" s="84"/>
      <c r="Y1064" s="104"/>
      <c r="Z1064" s="146"/>
      <c r="AA1064" s="101"/>
      <c r="AB1064" s="128"/>
    </row>
    <row r="1065" spans="24:28" x14ac:dyDescent="0.25">
      <c r="X1065" s="84"/>
      <c r="Y1065" s="104"/>
      <c r="Z1065" s="146"/>
      <c r="AA1065" s="101"/>
      <c r="AB1065" s="128"/>
    </row>
    <row r="1066" spans="24:28" x14ac:dyDescent="0.25">
      <c r="X1066" s="84"/>
      <c r="Y1066" s="104"/>
      <c r="Z1066" s="146"/>
      <c r="AA1066" s="101"/>
      <c r="AB1066" s="128"/>
    </row>
    <row r="1067" spans="24:28" x14ac:dyDescent="0.25">
      <c r="X1067" s="84"/>
      <c r="Y1067" s="104"/>
      <c r="Z1067" s="146"/>
      <c r="AA1067" s="101"/>
      <c r="AB1067" s="128"/>
    </row>
    <row r="1068" spans="24:28" x14ac:dyDescent="0.25">
      <c r="X1068" s="84"/>
      <c r="Y1068" s="104"/>
      <c r="Z1068" s="146"/>
      <c r="AA1068" s="101"/>
      <c r="AB1068" s="128"/>
    </row>
    <row r="1069" spans="24:28" x14ac:dyDescent="0.25">
      <c r="X1069" s="84"/>
      <c r="Y1069" s="104"/>
      <c r="Z1069" s="146"/>
      <c r="AA1069" s="101"/>
      <c r="AB1069" s="128"/>
    </row>
    <row r="1070" spans="24:28" x14ac:dyDescent="0.25">
      <c r="X1070" s="84"/>
      <c r="Y1070" s="104"/>
      <c r="Z1070" s="146"/>
      <c r="AA1070" s="101"/>
      <c r="AB1070" s="128"/>
    </row>
    <row r="1071" spans="24:28" x14ac:dyDescent="0.25">
      <c r="X1071" s="84"/>
      <c r="Y1071" s="104"/>
      <c r="Z1071" s="146"/>
      <c r="AA1071" s="101"/>
      <c r="AB1071" s="128"/>
    </row>
    <row r="1072" spans="24:28" x14ac:dyDescent="0.25">
      <c r="X1072" s="84"/>
      <c r="Y1072" s="104"/>
      <c r="Z1072" s="146"/>
      <c r="AA1072" s="101"/>
      <c r="AB1072" s="128"/>
    </row>
    <row r="1073" spans="24:28" x14ac:dyDescent="0.25">
      <c r="X1073" s="84"/>
      <c r="Y1073" s="104"/>
      <c r="Z1073" s="146"/>
      <c r="AA1073" s="101"/>
      <c r="AB1073" s="128"/>
    </row>
    <row r="1074" spans="24:28" x14ac:dyDescent="0.25">
      <c r="X1074" s="84"/>
      <c r="Y1074" s="104"/>
      <c r="Z1074" s="146"/>
      <c r="AA1074" s="101"/>
      <c r="AB1074" s="128"/>
    </row>
    <row r="1075" spans="24:28" x14ac:dyDescent="0.25">
      <c r="X1075" s="84"/>
      <c r="Y1075" s="104"/>
      <c r="Z1075" s="146"/>
      <c r="AA1075" s="101"/>
      <c r="AB1075" s="128"/>
    </row>
    <row r="1076" spans="24:28" x14ac:dyDescent="0.25">
      <c r="X1076" s="84"/>
      <c r="Y1076" s="104"/>
      <c r="Z1076" s="146"/>
      <c r="AA1076" s="101"/>
      <c r="AB1076" s="128"/>
    </row>
    <row r="1077" spans="24:28" x14ac:dyDescent="0.25">
      <c r="X1077" s="84"/>
      <c r="Y1077" s="104"/>
      <c r="Z1077" s="146"/>
      <c r="AA1077" s="101"/>
      <c r="AB1077" s="128"/>
    </row>
    <row r="1078" spans="24:28" x14ac:dyDescent="0.25">
      <c r="X1078" s="84"/>
      <c r="Y1078" s="104"/>
      <c r="Z1078" s="146"/>
      <c r="AA1078" s="101"/>
      <c r="AB1078" s="128"/>
    </row>
    <row r="1079" spans="24:28" x14ac:dyDescent="0.25">
      <c r="X1079" s="84"/>
      <c r="Y1079" s="104"/>
      <c r="Z1079" s="146"/>
      <c r="AA1079" s="101"/>
      <c r="AB1079" s="128"/>
    </row>
    <row r="1080" spans="24:28" x14ac:dyDescent="0.25">
      <c r="X1080" s="84"/>
      <c r="Y1080" s="104"/>
      <c r="Z1080" s="146"/>
      <c r="AA1080" s="101"/>
      <c r="AB1080" s="128"/>
    </row>
    <row r="1081" spans="24:28" x14ac:dyDescent="0.25">
      <c r="X1081" s="84"/>
      <c r="Y1081" s="104"/>
      <c r="Z1081" s="146"/>
      <c r="AA1081" s="101"/>
      <c r="AB1081" s="128"/>
    </row>
    <row r="1082" spans="24:28" x14ac:dyDescent="0.25">
      <c r="X1082" s="84"/>
      <c r="Y1082" s="104"/>
      <c r="Z1082" s="146"/>
      <c r="AA1082" s="101"/>
      <c r="AB1082" s="128"/>
    </row>
    <row r="1083" spans="24:28" x14ac:dyDescent="0.25">
      <c r="X1083" s="84"/>
      <c r="Y1083" s="104"/>
      <c r="Z1083" s="146"/>
      <c r="AA1083" s="101"/>
      <c r="AB1083" s="128"/>
    </row>
    <row r="1084" spans="24:28" x14ac:dyDescent="0.25">
      <c r="X1084" s="84"/>
      <c r="Y1084" s="104"/>
      <c r="Z1084" s="146"/>
      <c r="AA1084" s="101"/>
      <c r="AB1084" s="128"/>
    </row>
    <row r="1085" spans="24:28" x14ac:dyDescent="0.25">
      <c r="X1085" s="84"/>
      <c r="Y1085" s="104"/>
      <c r="Z1085" s="146"/>
      <c r="AA1085" s="101"/>
      <c r="AB1085" s="128"/>
    </row>
    <row r="1086" spans="24:28" x14ac:dyDescent="0.25">
      <c r="X1086" s="84"/>
      <c r="Y1086" s="104"/>
      <c r="Z1086" s="146"/>
      <c r="AA1086" s="101"/>
      <c r="AB1086" s="128"/>
    </row>
    <row r="1087" spans="24:28" x14ac:dyDescent="0.25">
      <c r="X1087" s="84"/>
      <c r="Y1087" s="104"/>
      <c r="Z1087" s="146"/>
      <c r="AA1087" s="101"/>
      <c r="AB1087" s="128"/>
    </row>
    <row r="1088" spans="24:28" x14ac:dyDescent="0.25">
      <c r="X1088" s="84"/>
      <c r="Y1088" s="104"/>
      <c r="Z1088" s="146"/>
      <c r="AA1088" s="101"/>
      <c r="AB1088" s="128"/>
    </row>
    <row r="1089" spans="24:28" x14ac:dyDescent="0.25">
      <c r="X1089" s="84"/>
      <c r="Y1089" s="104"/>
      <c r="Z1089" s="146"/>
      <c r="AA1089" s="101"/>
      <c r="AB1089" s="128"/>
    </row>
    <row r="1090" spans="24:28" x14ac:dyDescent="0.25">
      <c r="X1090" s="84"/>
      <c r="Y1090" s="104"/>
      <c r="Z1090" s="146"/>
      <c r="AA1090" s="101"/>
      <c r="AB1090" s="128"/>
    </row>
    <row r="1091" spans="24:28" x14ac:dyDescent="0.25">
      <c r="X1091" s="84"/>
      <c r="Y1091" s="104"/>
      <c r="Z1091" s="146"/>
      <c r="AA1091" s="101"/>
      <c r="AB1091" s="128"/>
    </row>
    <row r="1092" spans="24:28" x14ac:dyDescent="0.25">
      <c r="X1092" s="84"/>
      <c r="Y1092" s="104"/>
      <c r="Z1092" s="146"/>
      <c r="AA1092" s="101"/>
      <c r="AB1092" s="128"/>
    </row>
    <row r="1093" spans="24:28" x14ac:dyDescent="0.25">
      <c r="X1093" s="84"/>
      <c r="Y1093" s="104"/>
      <c r="Z1093" s="146"/>
      <c r="AA1093" s="101"/>
      <c r="AB1093" s="128"/>
    </row>
    <row r="1094" spans="24:28" x14ac:dyDescent="0.25">
      <c r="X1094" s="84"/>
      <c r="Y1094" s="104"/>
      <c r="Z1094" s="146"/>
      <c r="AA1094" s="101"/>
      <c r="AB1094" s="128"/>
    </row>
    <row r="1095" spans="24:28" x14ac:dyDescent="0.25">
      <c r="X1095" s="84"/>
      <c r="Y1095" s="104"/>
      <c r="Z1095" s="146"/>
      <c r="AA1095" s="101"/>
      <c r="AB1095" s="128"/>
    </row>
    <row r="1096" spans="24:28" x14ac:dyDescent="0.25">
      <c r="X1096" s="84"/>
      <c r="Y1096" s="104"/>
      <c r="Z1096" s="146"/>
      <c r="AA1096" s="101"/>
      <c r="AB1096" s="128"/>
    </row>
    <row r="1097" spans="24:28" x14ac:dyDescent="0.25">
      <c r="X1097" s="84"/>
      <c r="Y1097" s="104"/>
      <c r="Z1097" s="146"/>
      <c r="AA1097" s="101"/>
      <c r="AB1097" s="128"/>
    </row>
    <row r="1098" spans="24:28" x14ac:dyDescent="0.25">
      <c r="X1098" s="84"/>
      <c r="Y1098" s="104"/>
      <c r="Z1098" s="146"/>
      <c r="AA1098" s="101"/>
      <c r="AB1098" s="128"/>
    </row>
    <row r="1099" spans="24:28" x14ac:dyDescent="0.25">
      <c r="X1099" s="84"/>
      <c r="Y1099" s="104"/>
      <c r="Z1099" s="146"/>
      <c r="AA1099" s="101"/>
      <c r="AB1099" s="128"/>
    </row>
    <row r="1100" spans="24:28" x14ac:dyDescent="0.25">
      <c r="X1100" s="84"/>
      <c r="Y1100" s="104"/>
      <c r="Z1100" s="146"/>
      <c r="AA1100" s="101"/>
      <c r="AB1100" s="128"/>
    </row>
    <row r="1101" spans="24:28" x14ac:dyDescent="0.25">
      <c r="X1101" s="84"/>
      <c r="Y1101" s="104"/>
      <c r="Z1101" s="146"/>
      <c r="AA1101" s="101"/>
      <c r="AB1101" s="128"/>
    </row>
    <row r="1102" spans="24:28" x14ac:dyDescent="0.25">
      <c r="X1102" s="84"/>
      <c r="Y1102" s="104"/>
      <c r="Z1102" s="146"/>
      <c r="AA1102" s="101"/>
      <c r="AB1102" s="128"/>
    </row>
    <row r="1103" spans="24:28" x14ac:dyDescent="0.25">
      <c r="X1103" s="84"/>
      <c r="Y1103" s="104"/>
      <c r="Z1103" s="146"/>
      <c r="AA1103" s="101"/>
      <c r="AB1103" s="128"/>
    </row>
    <row r="1104" spans="24:28" x14ac:dyDescent="0.25">
      <c r="X1104" s="84"/>
      <c r="Y1104" s="104"/>
      <c r="Z1104" s="146"/>
      <c r="AA1104" s="101"/>
      <c r="AB1104" s="128"/>
    </row>
    <row r="1105" spans="24:28" x14ac:dyDescent="0.25">
      <c r="X1105" s="84"/>
      <c r="Y1105" s="104"/>
      <c r="Z1105" s="146"/>
      <c r="AA1105" s="101"/>
      <c r="AB1105" s="128"/>
    </row>
    <row r="1106" spans="24:28" x14ac:dyDescent="0.25">
      <c r="X1106" s="84"/>
      <c r="Y1106" s="104"/>
      <c r="Z1106" s="146"/>
      <c r="AA1106" s="101"/>
      <c r="AB1106" s="128"/>
    </row>
    <row r="1107" spans="24:28" x14ac:dyDescent="0.25">
      <c r="X1107" s="84"/>
      <c r="Y1107" s="104"/>
      <c r="Z1107" s="146"/>
      <c r="AA1107" s="101"/>
      <c r="AB1107" s="128"/>
    </row>
    <row r="1108" spans="24:28" x14ac:dyDescent="0.25">
      <c r="X1108" s="84"/>
      <c r="Y1108" s="104"/>
      <c r="Z1108" s="146"/>
      <c r="AA1108" s="101"/>
      <c r="AB1108" s="128"/>
    </row>
    <row r="1109" spans="24:28" x14ac:dyDescent="0.25">
      <c r="X1109" s="84"/>
      <c r="Y1109" s="104"/>
      <c r="Z1109" s="146"/>
      <c r="AA1109" s="101"/>
      <c r="AB1109" s="128"/>
    </row>
    <row r="1110" spans="24:28" x14ac:dyDescent="0.25">
      <c r="X1110" s="84"/>
      <c r="Y1110" s="104"/>
      <c r="Z1110" s="146"/>
      <c r="AA1110" s="101"/>
      <c r="AB1110" s="128"/>
    </row>
    <row r="1111" spans="24:28" x14ac:dyDescent="0.25">
      <c r="X1111" s="84"/>
      <c r="Y1111" s="104"/>
      <c r="Z1111" s="146"/>
      <c r="AA1111" s="101"/>
      <c r="AB1111" s="128"/>
    </row>
    <row r="1112" spans="24:28" x14ac:dyDescent="0.25">
      <c r="X1112" s="84"/>
      <c r="Y1112" s="104"/>
      <c r="Z1112" s="146"/>
      <c r="AA1112" s="101"/>
      <c r="AB1112" s="128"/>
    </row>
    <row r="1113" spans="24:28" x14ac:dyDescent="0.25">
      <c r="X1113" s="84"/>
      <c r="Y1113" s="104"/>
      <c r="Z1113" s="146"/>
      <c r="AA1113" s="101"/>
      <c r="AB1113" s="128"/>
    </row>
    <row r="1114" spans="24:28" x14ac:dyDescent="0.25">
      <c r="X1114" s="84"/>
      <c r="Y1114" s="104"/>
      <c r="Z1114" s="146"/>
      <c r="AA1114" s="101"/>
      <c r="AB1114" s="128"/>
    </row>
    <row r="1115" spans="24:28" x14ac:dyDescent="0.25">
      <c r="X1115" s="84"/>
      <c r="Y1115" s="104"/>
      <c r="Z1115" s="146"/>
      <c r="AA1115" s="101"/>
      <c r="AB1115" s="128"/>
    </row>
    <row r="1116" spans="24:28" x14ac:dyDescent="0.25">
      <c r="X1116" s="84"/>
      <c r="Y1116" s="104"/>
      <c r="Z1116" s="146"/>
      <c r="AA1116" s="101"/>
      <c r="AB1116" s="128"/>
    </row>
    <row r="1117" spans="24:28" x14ac:dyDescent="0.25">
      <c r="X1117" s="84"/>
      <c r="Y1117" s="104"/>
      <c r="Z1117" s="146"/>
      <c r="AA1117" s="101"/>
      <c r="AB1117" s="128"/>
    </row>
    <row r="1118" spans="24:28" x14ac:dyDescent="0.25">
      <c r="X1118" s="84"/>
      <c r="Y1118" s="104"/>
      <c r="Z1118" s="146"/>
      <c r="AA1118" s="101"/>
      <c r="AB1118" s="128"/>
    </row>
    <row r="1119" spans="24:28" x14ac:dyDescent="0.25">
      <c r="X1119" s="84"/>
      <c r="Y1119" s="104"/>
      <c r="Z1119" s="146"/>
      <c r="AA1119" s="101"/>
      <c r="AB1119" s="128"/>
    </row>
    <row r="1120" spans="24:28" x14ac:dyDescent="0.25">
      <c r="X1120" s="84"/>
      <c r="Y1120" s="104"/>
      <c r="Z1120" s="146"/>
      <c r="AA1120" s="101"/>
      <c r="AB1120" s="128"/>
    </row>
    <row r="1121" spans="24:28" x14ac:dyDescent="0.25">
      <c r="X1121" s="84"/>
      <c r="Y1121" s="104"/>
      <c r="Z1121" s="146"/>
      <c r="AA1121" s="101"/>
      <c r="AB1121" s="128"/>
    </row>
    <row r="1122" spans="24:28" x14ac:dyDescent="0.25">
      <c r="X1122" s="84"/>
      <c r="Y1122" s="104"/>
      <c r="Z1122" s="146"/>
      <c r="AA1122" s="101"/>
      <c r="AB1122" s="128"/>
    </row>
    <row r="1123" spans="24:28" x14ac:dyDescent="0.25">
      <c r="X1123" s="84"/>
      <c r="Y1123" s="104"/>
      <c r="Z1123" s="146"/>
      <c r="AA1123" s="101"/>
      <c r="AB1123" s="128"/>
    </row>
    <row r="1124" spans="24:28" x14ac:dyDescent="0.25">
      <c r="X1124" s="84"/>
      <c r="Y1124" s="104"/>
      <c r="Z1124" s="146"/>
      <c r="AA1124" s="101"/>
      <c r="AB1124" s="128"/>
    </row>
    <row r="1125" spans="24:28" x14ac:dyDescent="0.25">
      <c r="X1125" s="84"/>
      <c r="Y1125" s="104"/>
      <c r="Z1125" s="146"/>
      <c r="AA1125" s="101"/>
      <c r="AB1125" s="128"/>
    </row>
    <row r="1126" spans="24:28" x14ac:dyDescent="0.25">
      <c r="X1126" s="84"/>
      <c r="Y1126" s="104"/>
      <c r="Z1126" s="146"/>
      <c r="AA1126" s="101"/>
      <c r="AB1126" s="128"/>
    </row>
    <row r="1127" spans="24:28" x14ac:dyDescent="0.25">
      <c r="X1127" s="84"/>
      <c r="Y1127" s="104"/>
      <c r="Z1127" s="146"/>
      <c r="AA1127" s="101"/>
      <c r="AB1127" s="128"/>
    </row>
    <row r="1128" spans="24:28" x14ac:dyDescent="0.25">
      <c r="X1128" s="84"/>
      <c r="Y1128" s="104"/>
      <c r="Z1128" s="146"/>
      <c r="AA1128" s="101"/>
      <c r="AB1128" s="128"/>
    </row>
    <row r="1129" spans="24:28" x14ac:dyDescent="0.25">
      <c r="X1129" s="84"/>
      <c r="Y1129" s="104"/>
      <c r="Z1129" s="146"/>
      <c r="AA1129" s="101"/>
      <c r="AB1129" s="128"/>
    </row>
    <row r="1130" spans="24:28" x14ac:dyDescent="0.25">
      <c r="X1130" s="84"/>
      <c r="Y1130" s="104"/>
      <c r="Z1130" s="146"/>
      <c r="AA1130" s="101"/>
      <c r="AB1130" s="128"/>
    </row>
    <row r="1131" spans="24:28" x14ac:dyDescent="0.25">
      <c r="X1131" s="84"/>
      <c r="Y1131" s="104"/>
      <c r="Z1131" s="146"/>
      <c r="AA1131" s="101"/>
      <c r="AB1131" s="128"/>
    </row>
    <row r="1132" spans="24:28" x14ac:dyDescent="0.25">
      <c r="X1132" s="84"/>
      <c r="Y1132" s="104"/>
      <c r="Z1132" s="146"/>
      <c r="AA1132" s="101"/>
      <c r="AB1132" s="128"/>
    </row>
    <row r="1133" spans="24:28" x14ac:dyDescent="0.25">
      <c r="X1133" s="84"/>
      <c r="Y1133" s="104"/>
      <c r="Z1133" s="146"/>
      <c r="AA1133" s="101"/>
      <c r="AB1133" s="128"/>
    </row>
    <row r="1134" spans="24:28" x14ac:dyDescent="0.25">
      <c r="X1134" s="84"/>
      <c r="Y1134" s="104"/>
      <c r="Z1134" s="146"/>
      <c r="AA1134" s="101"/>
      <c r="AB1134" s="128"/>
    </row>
    <row r="1135" spans="24:28" x14ac:dyDescent="0.25">
      <c r="X1135" s="84"/>
      <c r="Y1135" s="104"/>
      <c r="Z1135" s="146"/>
      <c r="AA1135" s="101"/>
      <c r="AB1135" s="128"/>
    </row>
    <row r="1136" spans="24:28" x14ac:dyDescent="0.25">
      <c r="X1136" s="84"/>
      <c r="Y1136" s="104"/>
      <c r="Z1136" s="146"/>
      <c r="AA1136" s="101"/>
      <c r="AB1136" s="128"/>
    </row>
    <row r="1137" spans="24:28" x14ac:dyDescent="0.25">
      <c r="X1137" s="84"/>
      <c r="Y1137" s="104"/>
      <c r="Z1137" s="146"/>
      <c r="AA1137" s="101"/>
      <c r="AB1137" s="128"/>
    </row>
    <row r="1138" spans="24:28" x14ac:dyDescent="0.25">
      <c r="X1138" s="84"/>
      <c r="Y1138" s="104"/>
      <c r="Z1138" s="146"/>
      <c r="AA1138" s="101"/>
      <c r="AB1138" s="128"/>
    </row>
    <row r="1139" spans="24:28" x14ac:dyDescent="0.25">
      <c r="X1139" s="84"/>
      <c r="Y1139" s="104"/>
      <c r="Z1139" s="146"/>
      <c r="AA1139" s="101"/>
      <c r="AB1139" s="128"/>
    </row>
    <row r="1140" spans="24:28" x14ac:dyDescent="0.25">
      <c r="X1140" s="84"/>
      <c r="Y1140" s="104"/>
      <c r="Z1140" s="146"/>
      <c r="AA1140" s="101"/>
      <c r="AB1140" s="128"/>
    </row>
    <row r="1141" spans="24:28" x14ac:dyDescent="0.25">
      <c r="X1141" s="84"/>
      <c r="Y1141" s="104"/>
      <c r="Z1141" s="146"/>
      <c r="AA1141" s="101"/>
      <c r="AB1141" s="128"/>
    </row>
    <row r="1142" spans="24:28" x14ac:dyDescent="0.25">
      <c r="X1142" s="84"/>
      <c r="Y1142" s="104"/>
      <c r="Z1142" s="146"/>
      <c r="AA1142" s="101"/>
      <c r="AB1142" s="128"/>
    </row>
    <row r="1143" spans="24:28" x14ac:dyDescent="0.25">
      <c r="X1143" s="84"/>
      <c r="Y1143" s="104"/>
      <c r="Z1143" s="146"/>
      <c r="AA1143" s="101"/>
      <c r="AB1143" s="128"/>
    </row>
    <row r="1144" spans="24:28" x14ac:dyDescent="0.25">
      <c r="X1144" s="84"/>
      <c r="Y1144" s="104"/>
      <c r="Z1144" s="146"/>
      <c r="AA1144" s="101"/>
      <c r="AB1144" s="128"/>
    </row>
    <row r="1145" spans="24:28" x14ac:dyDescent="0.25">
      <c r="X1145" s="84"/>
      <c r="Y1145" s="104"/>
      <c r="Z1145" s="146"/>
      <c r="AA1145" s="101"/>
      <c r="AB1145" s="128"/>
    </row>
    <row r="1146" spans="24:28" x14ac:dyDescent="0.25">
      <c r="X1146" s="84"/>
      <c r="Y1146" s="104"/>
      <c r="Z1146" s="146"/>
      <c r="AA1146" s="101"/>
      <c r="AB1146" s="128"/>
    </row>
    <row r="1147" spans="24:28" x14ac:dyDescent="0.25">
      <c r="X1147" s="84"/>
      <c r="Y1147" s="104"/>
      <c r="Z1147" s="146"/>
      <c r="AA1147" s="101"/>
      <c r="AB1147" s="128"/>
    </row>
    <row r="1148" spans="24:28" x14ac:dyDescent="0.25">
      <c r="X1148" s="84"/>
      <c r="Y1148" s="104"/>
      <c r="Z1148" s="146"/>
      <c r="AA1148" s="101"/>
      <c r="AB1148" s="128"/>
    </row>
    <row r="1149" spans="24:28" x14ac:dyDescent="0.25">
      <c r="X1149" s="84"/>
      <c r="Y1149" s="104"/>
      <c r="Z1149" s="146"/>
      <c r="AA1149" s="101"/>
      <c r="AB1149" s="128"/>
    </row>
    <row r="1150" spans="24:28" x14ac:dyDescent="0.25">
      <c r="X1150" s="84"/>
      <c r="Y1150" s="104"/>
      <c r="Z1150" s="146"/>
      <c r="AA1150" s="101"/>
      <c r="AB1150" s="128"/>
    </row>
    <row r="1151" spans="24:28" x14ac:dyDescent="0.25">
      <c r="X1151" s="84"/>
      <c r="Y1151" s="104"/>
      <c r="Z1151" s="146"/>
      <c r="AA1151" s="101"/>
      <c r="AB1151" s="128"/>
    </row>
    <row r="1152" spans="24:28" x14ac:dyDescent="0.25">
      <c r="X1152" s="84"/>
      <c r="Y1152" s="104"/>
      <c r="Z1152" s="146"/>
      <c r="AA1152" s="101"/>
      <c r="AB1152" s="128"/>
    </row>
    <row r="1153" spans="24:28" x14ac:dyDescent="0.25">
      <c r="X1153" s="84"/>
      <c r="Y1153" s="104"/>
      <c r="Z1153" s="146"/>
      <c r="AA1153" s="101"/>
      <c r="AB1153" s="128"/>
    </row>
    <row r="1154" spans="24:28" x14ac:dyDescent="0.25">
      <c r="X1154" s="84"/>
      <c r="Y1154" s="104"/>
      <c r="Z1154" s="146"/>
      <c r="AA1154" s="101"/>
      <c r="AB1154" s="128"/>
    </row>
    <row r="1155" spans="24:28" x14ac:dyDescent="0.25">
      <c r="X1155" s="84"/>
      <c r="Y1155" s="104"/>
      <c r="Z1155" s="146"/>
      <c r="AA1155" s="101"/>
      <c r="AB1155" s="128"/>
    </row>
    <row r="1156" spans="24:28" x14ac:dyDescent="0.25">
      <c r="X1156" s="84"/>
      <c r="Y1156" s="104"/>
      <c r="Z1156" s="146"/>
      <c r="AA1156" s="101"/>
      <c r="AB1156" s="128"/>
    </row>
    <row r="1157" spans="24:28" x14ac:dyDescent="0.25">
      <c r="X1157" s="84"/>
      <c r="Y1157" s="104"/>
      <c r="Z1157" s="146"/>
      <c r="AA1157" s="101"/>
      <c r="AB1157" s="128"/>
    </row>
    <row r="1158" spans="24:28" x14ac:dyDescent="0.25">
      <c r="X1158" s="84"/>
      <c r="Y1158" s="104"/>
      <c r="Z1158" s="146"/>
      <c r="AA1158" s="101"/>
      <c r="AB1158" s="128"/>
    </row>
    <row r="1159" spans="24:28" x14ac:dyDescent="0.25">
      <c r="X1159" s="84"/>
      <c r="Y1159" s="104"/>
      <c r="Z1159" s="146"/>
      <c r="AA1159" s="101"/>
      <c r="AB1159" s="128"/>
    </row>
    <row r="1160" spans="24:28" x14ac:dyDescent="0.25">
      <c r="X1160" s="84"/>
      <c r="Y1160" s="104"/>
      <c r="Z1160" s="146"/>
      <c r="AA1160" s="101"/>
      <c r="AB1160" s="128"/>
    </row>
    <row r="1161" spans="24:28" x14ac:dyDescent="0.25">
      <c r="X1161" s="84"/>
      <c r="Y1161" s="104"/>
      <c r="Z1161" s="146"/>
      <c r="AA1161" s="101"/>
      <c r="AB1161" s="128"/>
    </row>
    <row r="1162" spans="24:28" x14ac:dyDescent="0.25">
      <c r="X1162" s="84"/>
      <c r="Y1162" s="104"/>
      <c r="Z1162" s="146"/>
      <c r="AA1162" s="101"/>
      <c r="AB1162" s="128"/>
    </row>
    <row r="1163" spans="24:28" x14ac:dyDescent="0.25">
      <c r="X1163" s="84"/>
      <c r="Y1163" s="104"/>
      <c r="Z1163" s="146"/>
      <c r="AA1163" s="101"/>
      <c r="AB1163" s="128"/>
    </row>
    <row r="1164" spans="24:28" x14ac:dyDescent="0.25">
      <c r="X1164" s="84"/>
      <c r="Y1164" s="104"/>
      <c r="Z1164" s="146"/>
      <c r="AA1164" s="101"/>
      <c r="AB1164" s="128"/>
    </row>
    <row r="1165" spans="24:28" x14ac:dyDescent="0.25">
      <c r="X1165" s="84"/>
      <c r="Y1165" s="104"/>
      <c r="Z1165" s="146"/>
      <c r="AA1165" s="101"/>
      <c r="AB1165" s="128"/>
    </row>
    <row r="1166" spans="24:28" x14ac:dyDescent="0.25">
      <c r="X1166" s="84"/>
      <c r="Y1166" s="104"/>
      <c r="Z1166" s="146"/>
      <c r="AA1166" s="101"/>
      <c r="AB1166" s="128"/>
    </row>
    <row r="1167" spans="24:28" x14ac:dyDescent="0.25">
      <c r="X1167" s="84"/>
      <c r="Y1167" s="104"/>
      <c r="Z1167" s="146"/>
      <c r="AA1167" s="101"/>
      <c r="AB1167" s="128"/>
    </row>
    <row r="1168" spans="24:28" x14ac:dyDescent="0.25">
      <c r="X1168" s="84"/>
      <c r="Y1168" s="104"/>
      <c r="Z1168" s="146"/>
      <c r="AA1168" s="101"/>
      <c r="AB1168" s="128"/>
    </row>
    <row r="1169" spans="24:28" x14ac:dyDescent="0.25">
      <c r="X1169" s="84"/>
      <c r="Y1169" s="104"/>
      <c r="Z1169" s="146"/>
      <c r="AA1169" s="101"/>
      <c r="AB1169" s="128"/>
    </row>
    <row r="1170" spans="24:28" x14ac:dyDescent="0.25">
      <c r="X1170" s="84"/>
      <c r="Y1170" s="104"/>
      <c r="Z1170" s="146"/>
      <c r="AA1170" s="101"/>
      <c r="AB1170" s="128"/>
    </row>
    <row r="1171" spans="24:28" x14ac:dyDescent="0.25">
      <c r="X1171" s="84"/>
      <c r="Y1171" s="104"/>
      <c r="Z1171" s="146"/>
      <c r="AA1171" s="101"/>
      <c r="AB1171" s="128"/>
    </row>
    <row r="1172" spans="24:28" x14ac:dyDescent="0.25">
      <c r="X1172" s="84"/>
      <c r="Y1172" s="104"/>
      <c r="Z1172" s="146"/>
      <c r="AA1172" s="101"/>
      <c r="AB1172" s="128"/>
    </row>
    <row r="1173" spans="24:28" x14ac:dyDescent="0.25">
      <c r="X1173" s="84"/>
      <c r="Y1173" s="104"/>
      <c r="Z1173" s="146"/>
      <c r="AA1173" s="101"/>
      <c r="AB1173" s="128"/>
    </row>
    <row r="1174" spans="24:28" x14ac:dyDescent="0.25">
      <c r="X1174" s="84"/>
      <c r="Y1174" s="104"/>
      <c r="Z1174" s="146"/>
      <c r="AA1174" s="101"/>
      <c r="AB1174" s="128"/>
    </row>
    <row r="1175" spans="24:28" x14ac:dyDescent="0.25">
      <c r="X1175" s="84"/>
      <c r="Y1175" s="104"/>
      <c r="Z1175" s="146"/>
      <c r="AA1175" s="101"/>
      <c r="AB1175" s="128"/>
    </row>
    <row r="1176" spans="24:28" x14ac:dyDescent="0.25">
      <c r="X1176" s="84"/>
      <c r="Y1176" s="104"/>
      <c r="Z1176" s="146"/>
      <c r="AA1176" s="101"/>
      <c r="AB1176" s="128"/>
    </row>
    <row r="1177" spans="24:28" x14ac:dyDescent="0.25">
      <c r="X1177" s="84"/>
      <c r="Y1177" s="104"/>
      <c r="Z1177" s="146"/>
      <c r="AA1177" s="101"/>
      <c r="AB1177" s="128"/>
    </row>
    <row r="1178" spans="24:28" x14ac:dyDescent="0.25">
      <c r="X1178" s="84"/>
      <c r="Y1178" s="104"/>
      <c r="Z1178" s="146"/>
      <c r="AA1178" s="101"/>
      <c r="AB1178" s="128"/>
    </row>
    <row r="1179" spans="24:28" x14ac:dyDescent="0.25">
      <c r="X1179" s="84"/>
      <c r="Y1179" s="104"/>
      <c r="Z1179" s="146"/>
      <c r="AA1179" s="101"/>
      <c r="AB1179" s="128"/>
    </row>
    <row r="1180" spans="24:28" x14ac:dyDescent="0.25">
      <c r="X1180" s="84"/>
      <c r="Y1180" s="104"/>
      <c r="Z1180" s="146"/>
      <c r="AA1180" s="101"/>
      <c r="AB1180" s="128"/>
    </row>
    <row r="1181" spans="24:28" x14ac:dyDescent="0.25">
      <c r="X1181" s="84"/>
      <c r="Y1181" s="104"/>
      <c r="Z1181" s="146"/>
      <c r="AA1181" s="101"/>
      <c r="AB1181" s="128"/>
    </row>
    <row r="1182" spans="24:28" x14ac:dyDescent="0.25">
      <c r="X1182" s="84"/>
      <c r="Y1182" s="104"/>
      <c r="Z1182" s="146"/>
      <c r="AA1182" s="101"/>
      <c r="AB1182" s="128"/>
    </row>
    <row r="1183" spans="24:28" x14ac:dyDescent="0.25">
      <c r="X1183" s="84"/>
      <c r="Y1183" s="104"/>
      <c r="Z1183" s="146"/>
      <c r="AA1183" s="101"/>
      <c r="AB1183" s="128"/>
    </row>
  </sheetData>
  <mergeCells count="2">
    <mergeCell ref="I1:V2"/>
    <mergeCell ref="W1:AE2"/>
  </mergeCells>
  <phoneticPr fontId="0" type="noConversion"/>
  <pageMargins left="0.75" right="0.75" top="1" bottom="1" header="0.5" footer="0.5"/>
  <pageSetup orientation="portrait" verticalDpi="0" r:id="rId1"/>
  <headerFooter alignWithMargins="0"/>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B1:K15"/>
  <sheetViews>
    <sheetView tabSelected="1" defaultGridColor="0" colorId="17" workbookViewId="0">
      <selection activeCell="F10" sqref="F10"/>
    </sheetView>
  </sheetViews>
  <sheetFormatPr defaultColWidth="9.109375" defaultRowHeight="13.2" x14ac:dyDescent="0.25"/>
  <cols>
    <col min="1" max="1" width="1.88671875" style="44" customWidth="1"/>
    <col min="2" max="2" width="17" style="44" customWidth="1"/>
    <col min="3" max="4" width="9.109375" style="44"/>
    <col min="5" max="5" width="64.109375" style="44" customWidth="1"/>
    <col min="6" max="16384" width="9.109375" style="44"/>
  </cols>
  <sheetData>
    <row r="1" spans="2:11" ht="6" customHeight="1" x14ac:dyDescent="0.25"/>
    <row r="2" spans="2:11" ht="13.8" x14ac:dyDescent="0.25">
      <c r="B2" s="166"/>
      <c r="C2" s="167"/>
    </row>
    <row r="3" spans="2:11" x14ac:dyDescent="0.25">
      <c r="B3" s="167"/>
      <c r="C3" s="167"/>
    </row>
    <row r="6" spans="2:11" ht="33" x14ac:dyDescent="0.6">
      <c r="E6" s="45" t="s">
        <v>217</v>
      </c>
      <c r="F6" s="44" t="s">
        <v>252</v>
      </c>
    </row>
    <row r="8" spans="2:11" ht="21" x14ac:dyDescent="0.4">
      <c r="E8" s="46" t="s">
        <v>215</v>
      </c>
    </row>
    <row r="13" spans="2:11" ht="99" customHeight="1" x14ac:dyDescent="0.3">
      <c r="E13" s="168" t="s">
        <v>224</v>
      </c>
      <c r="F13" s="168"/>
      <c r="G13" s="168"/>
      <c r="H13" s="168"/>
      <c r="I13" s="168"/>
      <c r="J13" s="168"/>
      <c r="K13" s="168"/>
    </row>
    <row r="14" spans="2:11" ht="15" customHeight="1" x14ac:dyDescent="0.25"/>
    <row r="15" spans="2:11" ht="33" customHeight="1" x14ac:dyDescent="0.3">
      <c r="E15" s="168" t="s">
        <v>216</v>
      </c>
      <c r="F15" s="168"/>
      <c r="G15" s="168"/>
      <c r="H15" s="168"/>
      <c r="I15" s="168"/>
      <c r="J15" s="168"/>
      <c r="K15" s="168"/>
    </row>
  </sheetData>
  <phoneticPr fontId="0" type="noConversion"/>
  <pageMargins left="0.75" right="0.75" top="1" bottom="1" header="0.5" footer="0.5"/>
  <pageSetup orientation="portrait" verticalDpi="0"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6147" r:id="rId4" name="Button 3">
              <controlPr defaultSize="0" print="0" autoFill="0" autoPict="0" macro="[0]!startup">
                <anchor moveWithCells="1" sizeWithCells="1">
                  <from>
                    <xdr:col>4</xdr:col>
                    <xdr:colOff>1310640</xdr:colOff>
                    <xdr:row>9</xdr:row>
                    <xdr:rowOff>7620</xdr:rowOff>
                  </from>
                  <to>
                    <xdr:col>4</xdr:col>
                    <xdr:colOff>3192780</xdr:colOff>
                    <xdr:row>10</xdr:row>
                    <xdr:rowOff>160020</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79</vt:i4>
      </vt:variant>
    </vt:vector>
  </HeadingPairs>
  <TitlesOfParts>
    <vt:vector size="83" baseType="lpstr">
      <vt:lpstr>Front</vt:lpstr>
      <vt:lpstr>G.data</vt:lpstr>
      <vt:lpstr>calcs</vt:lpstr>
      <vt:lpstr>Title</vt:lpstr>
      <vt:lpstr>a.1</vt:lpstr>
      <vt:lpstr>a.3</vt:lpstr>
      <vt:lpstr>alph</vt:lpstr>
      <vt:lpstr>AvailableCapacity</vt:lpstr>
      <vt:lpstr>b.1</vt:lpstr>
      <vt:lpstr>b.2</vt:lpstr>
      <vt:lpstr>b.3</vt:lpstr>
      <vt:lpstr>BEDur</vt:lpstr>
      <vt:lpstr>beta</vt:lpstr>
      <vt:lpstr>c.1</vt:lpstr>
      <vt:lpstr>c.2</vt:lpstr>
      <vt:lpstr>c.3</vt:lpstr>
      <vt:lpstr>CapacityOfBaseLoad</vt:lpstr>
      <vt:lpstr>CU</vt:lpstr>
      <vt:lpstr>CUopt</vt:lpstr>
      <vt:lpstr>calcs!D0</vt:lpstr>
      <vt:lpstr>D0.3</vt:lpstr>
      <vt:lpstr>D0g</vt:lpstr>
      <vt:lpstr>D0opt</vt:lpstr>
      <vt:lpstr>DDc</vt:lpstr>
      <vt:lpstr>DDg</vt:lpstr>
      <vt:lpstr>Example1</vt:lpstr>
      <vt:lpstr>Example2</vt:lpstr>
      <vt:lpstr>Example3</vt:lpstr>
      <vt:lpstr>Example4</vt:lpstr>
      <vt:lpstr>Example5</vt:lpstr>
      <vt:lpstr>ExTitle1</vt:lpstr>
      <vt:lpstr>ExTitle2</vt:lpstr>
      <vt:lpstr>ExTitle3</vt:lpstr>
      <vt:lpstr>ExTitle4</vt:lpstr>
      <vt:lpstr>ExTitle5</vt:lpstr>
      <vt:lpstr>F</vt:lpstr>
      <vt:lpstr>f.3</vt:lpstr>
      <vt:lpstr>FCPopt</vt:lpstr>
      <vt:lpstr>FF</vt:lpstr>
      <vt:lpstr>FixedCostofPeaker</vt:lpstr>
      <vt:lpstr>g</vt:lpstr>
      <vt:lpstr>g.3</vt:lpstr>
      <vt:lpstr>GovCap</vt:lpstr>
      <vt:lpstr>GovPrice</vt:lpstr>
      <vt:lpstr>GovRR</vt:lpstr>
      <vt:lpstr>h.3</vt:lpstr>
      <vt:lpstr>helpText</vt:lpstr>
      <vt:lpstr>j.3</vt:lpstr>
      <vt:lpstr>K</vt:lpstr>
      <vt:lpstr>k.3</vt:lpstr>
      <vt:lpstr>KK</vt:lpstr>
      <vt:lpstr>KK.3</vt:lpstr>
      <vt:lpstr>KofBaseLoad</vt:lpstr>
      <vt:lpstr>Kopt</vt:lpstr>
      <vt:lpstr>l.3</vt:lpstr>
      <vt:lpstr>L0</vt:lpstr>
      <vt:lpstr>Ldif</vt:lpstr>
      <vt:lpstr>LoadMax</vt:lpstr>
      <vt:lpstr>LoadShape</vt:lpstr>
      <vt:lpstr>m.3</vt:lpstr>
      <vt:lpstr>M0</vt:lpstr>
      <vt:lpstr>n.3</vt:lpstr>
      <vt:lpstr>p.3</vt:lpstr>
      <vt:lpstr>P0</vt:lpstr>
      <vt:lpstr>Pcap</vt:lpstr>
      <vt:lpstr>PeakLoad</vt:lpstr>
      <vt:lpstr>Front!Print_Area</vt:lpstr>
      <vt:lpstr>q.3</vt:lpstr>
      <vt:lpstr>r.1</vt:lpstr>
      <vt:lpstr>r.3</vt:lpstr>
      <vt:lpstr>R0</vt:lpstr>
      <vt:lpstr>R0g</vt:lpstr>
      <vt:lpstr>ResPrcnt</vt:lpstr>
      <vt:lpstr>ResShape</vt:lpstr>
      <vt:lpstr>ResValue</vt:lpstr>
      <vt:lpstr>ropt</vt:lpstr>
      <vt:lpstr>S.1</vt:lpstr>
      <vt:lpstr>S.2</vt:lpstr>
      <vt:lpstr>S.3</vt:lpstr>
      <vt:lpstr>TCU</vt:lpstr>
      <vt:lpstr>Title</vt:lpstr>
      <vt:lpstr>TotalPeakerFixedCost</vt:lpstr>
      <vt:lpstr>UnReliabilityLoss</vt:lpstr>
    </vt:vector>
  </TitlesOfParts>
  <Company>PE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Steven</dc:creator>
  <cp:lastModifiedBy>Havlíček Jan</cp:lastModifiedBy>
  <cp:lastPrinted>2000-04-02T01:37:21Z</cp:lastPrinted>
  <dcterms:created xsi:type="dcterms:W3CDTF">2000-03-27T02:04:15Z</dcterms:created>
  <dcterms:modified xsi:type="dcterms:W3CDTF">2023-09-10T11:43:22Z</dcterms:modified>
</cp:coreProperties>
</file>