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868" yWindow="300" windowWidth="9720" windowHeight="7428" firstSheet="13" activeTab="21"/>
  </bookViews>
  <sheets>
    <sheet name="TOC" sheetId="1" r:id="rId1"/>
    <sheet name="Assm" sheetId="6" r:id="rId2"/>
    <sheet name="CF" sheetId="10" r:id="rId3"/>
    <sheet name="Returns" sheetId="12" r:id="rId4"/>
    <sheet name="EINC" sheetId="13" r:id="rId5"/>
    <sheet name="PLRisk" sheetId="30" r:id="rId6"/>
    <sheet name="Trapped" sheetId="11" r:id="rId7"/>
    <sheet name="Turnkey" sheetId="32" r:id="rId8"/>
    <sheet name="Drawdown" sheetId="14" r:id="rId9"/>
    <sheet name="IDC" sheetId="16" r:id="rId10"/>
    <sheet name="Debt Amort" sheetId="17" r:id="rId11"/>
    <sheet name="Sudam" sheetId="29" r:id="rId12"/>
    <sheet name="Taxes" sheetId="18" r:id="rId13"/>
    <sheet name="Depr" sheetId="19" r:id="rId14"/>
    <sheet name="CommonSized" sheetId="35" r:id="rId15"/>
    <sheet name="BS_IS" sheetId="20" r:id="rId16"/>
    <sheet name="Ref1" sheetId="2" r:id="rId17"/>
    <sheet name="Ref2" sheetId="3" r:id="rId18"/>
    <sheet name="Ref3" sheetId="4" r:id="rId19"/>
    <sheet name="Ref4" sheetId="5" r:id="rId20"/>
    <sheet name="Ref5" sheetId="31" r:id="rId21"/>
    <sheet name="Transportation" sheetId="33" r:id="rId22"/>
    <sheet name="Escalation" sheetId="34" r:id="rId23"/>
  </sheets>
  <externalReferences>
    <externalReference r:id="rId24"/>
    <externalReference r:id="rId25"/>
    <externalReference r:id="rId26"/>
    <externalReference r:id="rId27"/>
  </externalReferences>
  <definedNames>
    <definedName name="Add_Tax">Assm!$J$9</definedName>
    <definedName name="BL">Assm!$X$85</definedName>
    <definedName name="BL_Perc">Assm!#REF!</definedName>
    <definedName name="BS">BS_IS!$A$1:$AC$89</definedName>
    <definedName name="BS_Table">BS_IS!$G$7:$AB$35</definedName>
    <definedName name="Capacity">Assm!$F$35</definedName>
    <definedName name="CF_Table">CF!$E$7:$Y$78</definedName>
    <definedName name="Cofins">Assm!$J$17</definedName>
    <definedName name="Com_Inputs">IDC!$E$84:$AN$84</definedName>
    <definedName name="Com_Values">Drawdown!$E$45:$AN$45</definedName>
    <definedName name="Commit_Factor">Drawdown!$AS$46</definedName>
    <definedName name="Cost">Assm!$R$46</definedName>
    <definedName name="CPI">Assm!$F$37</definedName>
    <definedName name="CPI_1998">#REF!</definedName>
    <definedName name="CPI_Annual">#REF!</definedName>
    <definedName name="CT_COMFEE" localSheetId="11">Sudam!$A$1:$Y$45</definedName>
    <definedName name="Curves_Table">Escalation!$A$19:$P$288</definedName>
    <definedName name="Debt">Assm!$X$68</definedName>
    <definedName name="Debt_Perc">Assm!$W$68</definedName>
    <definedName name="Debt_Serv">Assm!$F$25</definedName>
    <definedName name="Dec_Change" localSheetId="22">Escalation!$G$13:$K$288</definedName>
    <definedName name="Dev_Fee1">[4]Assm!#REF!</definedName>
    <definedName name="Dev_Fee2">[4]Assm!#REF!</definedName>
    <definedName name="Dev_Fee3">[4]Assm!#REF!</definedName>
    <definedName name="Disc">Assm!$P$51</definedName>
    <definedName name="Draw_Table">Drawdown!$E$7:$AN$68</definedName>
    <definedName name="Draw_Table2">Drawdown!$E$51:$AN$68</definedName>
    <definedName name="DS_Table">'Debt Amort'!$A$7:$Y$17</definedName>
    <definedName name="Ecf">Assm!$X$87</definedName>
    <definedName name="Endyr">Assm!$F$17</definedName>
    <definedName name="Equity">Assm!$X$70</definedName>
    <definedName name="Equity_Perc">Assm!$W$70</definedName>
    <definedName name="Est_BL">Assm!#REF!</definedName>
    <definedName name="Est_Commit">Assm!$AD$11</definedName>
    <definedName name="Est_Cost">Assm!$AD$8</definedName>
    <definedName name="Est_Fin">Assm!$AD$12</definedName>
    <definedName name="Est_IDC">Assm!$AD$9</definedName>
    <definedName name="Est_Whtax">Assm!$AD$10</definedName>
    <definedName name="Ex">Assm!$L$57</definedName>
    <definedName name="Exit_Table">#REF!</definedName>
    <definedName name="Fin_Close">Assm!$F$22</definedName>
    <definedName name="Fin_Table">'Debt Amort'!$B$37:$AD$76</definedName>
    <definedName name="Guarantee_Fee_Table">'Debt Amort'!$B$37:$AE$76</definedName>
    <definedName name="Idc_Table">IDC!$E$7:$AN$75</definedName>
    <definedName name="Idc_Table1">IDC!$E$6:$AO$67</definedName>
    <definedName name="Inputs">Assm!$AE$7:$AE$13</definedName>
    <definedName name="Int_BL">Assm!$U$87</definedName>
    <definedName name="Irr">Assm!$Q$51</definedName>
    <definedName name="Iss">Assm!$J$23</definedName>
    <definedName name="Linefill">Assm!$R$15</definedName>
    <definedName name="Loopfactor">Assm!$Z$12</definedName>
    <definedName name="MOSYR2">[4]Assm!#REF!</definedName>
    <definedName name="Nol">Assm!$J$11</definedName>
    <definedName name="Npv">Assm!$R$51</definedName>
    <definedName name="Opic">Assm!$L$78</definedName>
    <definedName name="Pipe_NTP">Assm!$F$12</definedName>
    <definedName name="Pipe_RFS">Assm!$F$13</definedName>
    <definedName name="Pis">Assm!$J$16</definedName>
    <definedName name="PPI_1998">#REF!</definedName>
    <definedName name="PRICING">#REF!</definedName>
    <definedName name="_xlnm.Print_Area" localSheetId="1">Assm!$A:$X</definedName>
    <definedName name="_xlnm.Print_Area" localSheetId="15">BS_IS!$A:$AC</definedName>
    <definedName name="_xlnm.Print_Area" localSheetId="2">CF!$A:$Z</definedName>
    <definedName name="_xlnm.Print_Area" localSheetId="10">'Debt Amort'!$A$1:$AB$78</definedName>
    <definedName name="_xlnm.Print_Area" localSheetId="13">Depr!$A:$AC</definedName>
    <definedName name="_xlnm.Print_Area" localSheetId="8">Drawdown!$A:$AP</definedName>
    <definedName name="_xlnm.Print_Area" localSheetId="4">EINC!$A:$AA</definedName>
    <definedName name="_xlnm.Print_Area" localSheetId="22">Escalation!$A$12:$P$289</definedName>
    <definedName name="_xlnm.Print_Area" localSheetId="9">IDC!$A:$AO</definedName>
    <definedName name="_xlnm.Print_Area" localSheetId="5">PLRisk!$A:$AA</definedName>
    <definedName name="_xlnm.Print_Area" localSheetId="16">'Ref1'!$A:$I</definedName>
    <definedName name="_xlnm.Print_Area" localSheetId="17">'Ref2'!$A:$I</definedName>
    <definedName name="_xlnm.Print_Area" localSheetId="19">'Ref4'!$A:$I</definedName>
    <definedName name="_xlnm.Print_Area" localSheetId="20">'Ref5'!$A:$I</definedName>
    <definedName name="_xlnm.Print_Area" localSheetId="3">Returns!$A:$AB</definedName>
    <definedName name="_xlnm.Print_Area" localSheetId="11">Sudam!$A$1:$Y$45</definedName>
    <definedName name="_xlnm.Print_Area" localSheetId="12">Taxes!$A:$Y</definedName>
    <definedName name="_xlnm.Print_Area" localSheetId="0">TOC!$A:$D</definedName>
    <definedName name="_xlnm.Print_Area" localSheetId="6">Trapped!$A$1:$AA$72</definedName>
    <definedName name="_xlnm.Print_Area" localSheetId="7">Turnkey!$A:$K</definedName>
    <definedName name="_xlnm.Print_Titles" localSheetId="22">Escalation!$12:$18</definedName>
    <definedName name="Promote_Fee_New">[4]Assm!#REF!</definedName>
    <definedName name="Promote_Fee_Orig">[4]Assm!#REF!</definedName>
    <definedName name="Promote_Rate_New">[4]Assm!#REF!</definedName>
    <definedName name="Promote_Rate_Orig">[4]Assm!#REF!</definedName>
    <definedName name="Promote_Return_Orig">[4]Assm!#REF!</definedName>
    <definedName name="Reserve_Table">Trapped!$F$7:$Z$71</definedName>
    <definedName name="RET_TABLE">Returns!$D$6:$Z$121</definedName>
    <definedName name="Revenue_Table">Transportation!$A$12:$M$246</definedName>
    <definedName name="Soc_Tax">Assm!$J$10</definedName>
    <definedName name="Startconst">Assm!$F$11</definedName>
    <definedName name="Startops1">Assm!$F$15</definedName>
    <definedName name="Startops2">Assm!$F$16</definedName>
    <definedName name="Startops3">[4]Assm!$E$16</definedName>
    <definedName name="Subdebt_Perc">Assm!$W$69</definedName>
    <definedName name="Sudam_Table">Assm!$I$35:$L$36</definedName>
    <definedName name="Target">Assm!$Q$52</definedName>
    <definedName name="Tariff_Cap">Assm!$D$29</definedName>
    <definedName name="Tariff_Var">Assm!$D$30</definedName>
    <definedName name="Tax">Assm!$J$8</definedName>
    <definedName name="Tax_Table">Taxes!$D$7:$X$90</definedName>
    <definedName name="Term">Assm!$F$18</definedName>
    <definedName name="Term_BL">Assm!#REF!</definedName>
    <definedName name="Term_C">Assm!$F$14</definedName>
    <definedName name="Total_BL">Assm!$U$86</definedName>
    <definedName name="Turnkey_Table1">#REF!</definedName>
    <definedName name="USTax">Assm!$J$40</definedName>
    <definedName name="Values">Assm!$AD$7:$AD$13</definedName>
    <definedName name="Wcap">Assm!$R$39</definedName>
    <definedName name="Wh_Div">Assm!$J$12</definedName>
    <definedName name="Wh_Int">Assm!$J$13</definedName>
    <definedName name="Wh_Serv">Assm!$J$15</definedName>
    <definedName name="X_Perc">#REF!</definedName>
    <definedName name="X_Year">#REF!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6" l="1"/>
  <c r="I1" i="6"/>
  <c r="O1" i="6"/>
  <c r="A2" i="6"/>
  <c r="I2" i="6"/>
  <c r="O2" i="6"/>
  <c r="A3" i="6"/>
  <c r="I3" i="6"/>
  <c r="I4" i="6"/>
  <c r="O4" i="6"/>
  <c r="E6" i="6"/>
  <c r="R7" i="6"/>
  <c r="R8" i="6"/>
  <c r="AD8" i="6"/>
  <c r="AE8" i="6"/>
  <c r="AF8" i="6"/>
  <c r="L9" i="6"/>
  <c r="R9" i="6"/>
  <c r="W9" i="6"/>
  <c r="X9" i="6"/>
  <c r="AD9" i="6"/>
  <c r="AE9" i="6"/>
  <c r="AF9" i="6"/>
  <c r="R10" i="6"/>
  <c r="AD10" i="6"/>
  <c r="AE10" i="6"/>
  <c r="AF10" i="6"/>
  <c r="X11" i="6"/>
  <c r="AD11" i="6"/>
  <c r="AE11" i="6"/>
  <c r="AF11" i="6"/>
  <c r="R12" i="6"/>
  <c r="U12" i="6"/>
  <c r="X12" i="6"/>
  <c r="Z12" i="6"/>
  <c r="AD12" i="6"/>
  <c r="AE12" i="6"/>
  <c r="AF12" i="6"/>
  <c r="F13" i="6"/>
  <c r="R13" i="6"/>
  <c r="X13" i="6"/>
  <c r="F14" i="6"/>
  <c r="X14" i="6"/>
  <c r="AF14" i="6"/>
  <c r="F15" i="6"/>
  <c r="R15" i="6"/>
  <c r="F16" i="6"/>
  <c r="R17" i="6"/>
  <c r="R18" i="6"/>
  <c r="W18" i="6"/>
  <c r="X20" i="6"/>
  <c r="U21" i="6"/>
  <c r="X21" i="6"/>
  <c r="F22" i="6"/>
  <c r="R22" i="6"/>
  <c r="X22" i="6"/>
  <c r="F23" i="6"/>
  <c r="X23" i="6"/>
  <c r="R24" i="6"/>
  <c r="F25" i="6"/>
  <c r="R25" i="6"/>
  <c r="R26" i="6"/>
  <c r="C27" i="6"/>
  <c r="R27" i="6"/>
  <c r="W27" i="6"/>
  <c r="D29" i="6"/>
  <c r="X29" i="6"/>
  <c r="D30" i="6"/>
  <c r="F30" i="6"/>
  <c r="U30" i="6"/>
  <c r="R31" i="6"/>
  <c r="X31" i="6"/>
  <c r="F32" i="6"/>
  <c r="R32" i="6"/>
  <c r="X32" i="6"/>
  <c r="R34" i="6"/>
  <c r="D35" i="6"/>
  <c r="F35" i="6"/>
  <c r="R35" i="6"/>
  <c r="R36" i="6"/>
  <c r="W36" i="6"/>
  <c r="R37" i="6"/>
  <c r="X38" i="6"/>
  <c r="R39" i="6"/>
  <c r="U39" i="6"/>
  <c r="E40" i="6"/>
  <c r="F40" i="6"/>
  <c r="R40" i="6"/>
  <c r="X40" i="6"/>
  <c r="E41" i="6"/>
  <c r="F41" i="6"/>
  <c r="X41" i="6"/>
  <c r="E42" i="6"/>
  <c r="F42" i="6"/>
  <c r="R42" i="6"/>
  <c r="E43" i="6"/>
  <c r="F43" i="6"/>
  <c r="E44" i="6"/>
  <c r="F44" i="6"/>
  <c r="J44" i="6"/>
  <c r="R44" i="6"/>
  <c r="F45" i="6"/>
  <c r="J45" i="6"/>
  <c r="W45" i="6"/>
  <c r="E46" i="6"/>
  <c r="F46" i="6"/>
  <c r="J46" i="6"/>
  <c r="R46" i="6"/>
  <c r="E47" i="6"/>
  <c r="F47" i="6"/>
  <c r="R47" i="6"/>
  <c r="X47" i="6"/>
  <c r="E48" i="6"/>
  <c r="F48" i="6"/>
  <c r="U48" i="6"/>
  <c r="E49" i="6"/>
  <c r="F49" i="6"/>
  <c r="X49" i="6"/>
  <c r="X50" i="6"/>
  <c r="P51" i="6"/>
  <c r="Q51" i="6"/>
  <c r="R51" i="6"/>
  <c r="N54" i="6"/>
  <c r="P54" i="6"/>
  <c r="Q54" i="6"/>
  <c r="R54" i="6"/>
  <c r="W54" i="6"/>
  <c r="X54" i="6"/>
  <c r="N55" i="6"/>
  <c r="P55" i="6"/>
  <c r="Q55" i="6"/>
  <c r="R55" i="6"/>
  <c r="N56" i="6"/>
  <c r="P56" i="6"/>
  <c r="Q56" i="6"/>
  <c r="R56" i="6"/>
  <c r="X56" i="6"/>
  <c r="A57" i="6"/>
  <c r="R57" i="6"/>
  <c r="U57" i="6"/>
  <c r="X58" i="6"/>
  <c r="R59" i="6"/>
  <c r="R60" i="6"/>
  <c r="D61" i="6"/>
  <c r="L61" i="6"/>
  <c r="R61" i="6"/>
  <c r="R62" i="6"/>
  <c r="R63" i="6"/>
  <c r="R64" i="6"/>
  <c r="X64" i="6"/>
  <c r="R65" i="6"/>
  <c r="W65" i="6"/>
  <c r="R66" i="6"/>
  <c r="R67" i="6"/>
  <c r="J68" i="6"/>
  <c r="K68" i="6"/>
  <c r="L68" i="6"/>
  <c r="R68" i="6"/>
  <c r="W68" i="6"/>
  <c r="X68" i="6"/>
  <c r="Z68" i="6"/>
  <c r="J69" i="6"/>
  <c r="R69" i="6"/>
  <c r="W69" i="6"/>
  <c r="X69" i="6"/>
  <c r="Z69" i="6"/>
  <c r="J70" i="6"/>
  <c r="R70" i="6"/>
  <c r="W70" i="6"/>
  <c r="X70" i="6"/>
  <c r="Z70" i="6"/>
  <c r="J71" i="6"/>
  <c r="K71" i="6"/>
  <c r="L71" i="6"/>
  <c r="R71" i="6"/>
  <c r="W71" i="6"/>
  <c r="X71" i="6"/>
  <c r="R72" i="6"/>
  <c r="X72" i="6"/>
  <c r="R73" i="6"/>
  <c r="V73" i="6"/>
  <c r="W73" i="6"/>
  <c r="X73" i="6"/>
  <c r="L74" i="6"/>
  <c r="R74" i="6"/>
  <c r="X74" i="6"/>
  <c r="L75" i="6"/>
  <c r="R75" i="6"/>
  <c r="X75" i="6"/>
  <c r="R76" i="6"/>
  <c r="R78" i="6"/>
  <c r="U78" i="6"/>
  <c r="V78" i="6"/>
  <c r="R79" i="6"/>
  <c r="U79" i="6"/>
  <c r="V79" i="6"/>
  <c r="L81" i="6"/>
  <c r="L82" i="6"/>
  <c r="R82" i="6"/>
  <c r="L83" i="6"/>
  <c r="Q83" i="6"/>
  <c r="L85" i="6"/>
  <c r="O85" i="6"/>
  <c r="P85" i="6"/>
  <c r="Q85" i="6"/>
  <c r="R85" i="6"/>
  <c r="O86" i="6"/>
  <c r="P86" i="6"/>
  <c r="Q86" i="6"/>
  <c r="R86" i="6"/>
  <c r="U86" i="6"/>
  <c r="N87" i="6"/>
  <c r="R87" i="6"/>
  <c r="N88" i="6"/>
  <c r="R88" i="6"/>
  <c r="A1" i="20"/>
  <c r="A2" i="20"/>
  <c r="A3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E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E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E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E11" i="20"/>
  <c r="AE12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E13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E14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E15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E16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E17" i="20"/>
  <c r="AE18" i="20"/>
  <c r="AE19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E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E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E22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E23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E24" i="20"/>
  <c r="AE25" i="20"/>
  <c r="AE26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E27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E28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E29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E30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E31" i="20"/>
  <c r="AE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E33" i="20"/>
  <c r="AE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E35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W85" i="20"/>
  <c r="X85" i="20"/>
  <c r="Y85" i="20"/>
  <c r="Z85" i="20"/>
  <c r="AA85" i="20"/>
  <c r="AB85" i="20"/>
  <c r="AC85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W87" i="20"/>
  <c r="X87" i="20"/>
  <c r="Y87" i="20"/>
  <c r="Z87" i="20"/>
  <c r="AA87" i="20"/>
  <c r="AB87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T89" i="20"/>
  <c r="U89" i="20"/>
  <c r="V89" i="20"/>
  <c r="W89" i="20"/>
  <c r="X89" i="20"/>
  <c r="Y89" i="20"/>
  <c r="Z89" i="20"/>
  <c r="AA89" i="20"/>
  <c r="AB89" i="20"/>
  <c r="A1" i="10"/>
  <c r="A2" i="10"/>
  <c r="A3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AB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B9" i="10"/>
  <c r="AB10" i="10"/>
  <c r="C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AB11" i="10"/>
  <c r="C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AB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AB13" i="10"/>
  <c r="AB14" i="10"/>
  <c r="AB15" i="10"/>
  <c r="AB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B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B18" i="10"/>
  <c r="AB19" i="10"/>
  <c r="AB20" i="10"/>
  <c r="AB21" i="10"/>
  <c r="B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B22" i="10"/>
  <c r="B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B23" i="10"/>
  <c r="B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B24" i="10"/>
  <c r="B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B25" i="10"/>
  <c r="B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B26" i="10"/>
  <c r="B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B27" i="10"/>
  <c r="B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B28" i="10"/>
  <c r="B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B29" i="10"/>
  <c r="B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B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B31" i="10"/>
  <c r="C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B32" i="10"/>
  <c r="C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B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B34" i="10"/>
  <c r="AB35" i="10"/>
  <c r="AB36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B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B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B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B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B41" i="10"/>
  <c r="AB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B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B44" i="10"/>
  <c r="AB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B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B47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B48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B49" i="10"/>
  <c r="AB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B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B52" i="10"/>
  <c r="AB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B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B55" i="10"/>
  <c r="AB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B57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B58" i="10"/>
  <c r="AB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B60" i="10"/>
  <c r="AB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B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B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B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B65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B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B67" i="10"/>
  <c r="AB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B69" i="10"/>
  <c r="AB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B71" i="10"/>
  <c r="AB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B73" i="10"/>
  <c r="AB74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B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B76" i="10"/>
  <c r="AB77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B78" i="10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AB11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Z40" i="35"/>
  <c r="AA40" i="35"/>
  <c r="AB40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Z41" i="35"/>
  <c r="AA41" i="35"/>
  <c r="AB41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Z43" i="35"/>
  <c r="AA43" i="35"/>
  <c r="AB43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Z44" i="35"/>
  <c r="AA44" i="35"/>
  <c r="AB44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Z45" i="35"/>
  <c r="AA45" i="35"/>
  <c r="AB45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Z48" i="35"/>
  <c r="AA48" i="35"/>
  <c r="AB48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Z50" i="35"/>
  <c r="AA50" i="35"/>
  <c r="AB50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Z52" i="35"/>
  <c r="AA52" i="35"/>
  <c r="AB52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Z56" i="35"/>
  <c r="AA56" i="35"/>
  <c r="AB56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U58" i="35"/>
  <c r="V58" i="35"/>
  <c r="W58" i="35"/>
  <c r="X58" i="35"/>
  <c r="Y58" i="35"/>
  <c r="Z58" i="35"/>
  <c r="AA58" i="35"/>
  <c r="AB58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Z59" i="35"/>
  <c r="AA59" i="35"/>
  <c r="AB59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Z61" i="35"/>
  <c r="AA61" i="35"/>
  <c r="AB61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Z62" i="35"/>
  <c r="AA62" i="35"/>
  <c r="AB62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Z69" i="35"/>
  <c r="AA69" i="35"/>
  <c r="AB69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U70" i="35"/>
  <c r="V70" i="35"/>
  <c r="W70" i="35"/>
  <c r="X70" i="35"/>
  <c r="Y70" i="35"/>
  <c r="Z70" i="35"/>
  <c r="AA70" i="35"/>
  <c r="AB70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F78" i="35"/>
  <c r="G78" i="35"/>
  <c r="H78" i="35"/>
  <c r="I78" i="35"/>
  <c r="J78" i="35"/>
  <c r="K78" i="35"/>
  <c r="L78" i="35"/>
  <c r="M78" i="35"/>
  <c r="N78" i="35"/>
  <c r="O78" i="35"/>
  <c r="P78" i="35"/>
  <c r="Q78" i="35"/>
  <c r="R78" i="35"/>
  <c r="S78" i="35"/>
  <c r="T78" i="35"/>
  <c r="U78" i="35"/>
  <c r="V78" i="35"/>
  <c r="W78" i="35"/>
  <c r="X78" i="35"/>
  <c r="Y78" i="35"/>
  <c r="Z78" i="35"/>
  <c r="AA78" i="35"/>
  <c r="AB78" i="35"/>
  <c r="F79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U80" i="35"/>
  <c r="V80" i="35"/>
  <c r="W80" i="35"/>
  <c r="X80" i="35"/>
  <c r="Y80" i="35"/>
  <c r="Z80" i="35"/>
  <c r="AA80" i="35"/>
  <c r="AB80" i="35"/>
  <c r="F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F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A1" i="17"/>
  <c r="A2" i="17"/>
  <c r="A3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AE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D9" i="17"/>
  <c r="AE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AE10" i="17"/>
  <c r="AE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D12" i="17"/>
  <c r="AE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D13" i="17"/>
  <c r="AE13" i="17"/>
  <c r="AF13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D14" i="17"/>
  <c r="AE14" i="17"/>
  <c r="AE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E16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AE17" i="17"/>
  <c r="AE18" i="17"/>
  <c r="AE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D20" i="17"/>
  <c r="AE20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D21" i="17"/>
  <c r="AE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D22" i="17"/>
  <c r="AE22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C28" i="17"/>
  <c r="G28" i="17"/>
  <c r="K28" i="17"/>
  <c r="O28" i="17"/>
  <c r="S28" i="17"/>
  <c r="W28" i="17"/>
  <c r="F29" i="17"/>
  <c r="J29" i="17"/>
  <c r="N29" i="17"/>
  <c r="R29" i="17"/>
  <c r="V29" i="17"/>
  <c r="Z29" i="17"/>
  <c r="F30" i="17"/>
  <c r="J30" i="17"/>
  <c r="N30" i="17"/>
  <c r="R30" i="17"/>
  <c r="V30" i="17"/>
  <c r="Z30" i="17"/>
  <c r="F31" i="17"/>
  <c r="J31" i="17"/>
  <c r="N31" i="17"/>
  <c r="R31" i="17"/>
  <c r="V31" i="17"/>
  <c r="Z31" i="17"/>
  <c r="F32" i="17"/>
  <c r="J32" i="17"/>
  <c r="N32" i="17"/>
  <c r="R32" i="17"/>
  <c r="V32" i="17"/>
  <c r="Z32" i="17"/>
  <c r="F33" i="17"/>
  <c r="J33" i="17"/>
  <c r="N33" i="17"/>
  <c r="R33" i="17"/>
  <c r="V33" i="17"/>
  <c r="Z33" i="17"/>
  <c r="C34" i="17"/>
  <c r="F34" i="17"/>
  <c r="G34" i="17"/>
  <c r="J34" i="17"/>
  <c r="K34" i="17"/>
  <c r="N34" i="17"/>
  <c r="O34" i="17"/>
  <c r="R34" i="17"/>
  <c r="S34" i="17"/>
  <c r="V34" i="17"/>
  <c r="W34" i="17"/>
  <c r="Z34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H37" i="17"/>
  <c r="AJ37" i="17"/>
  <c r="AL37" i="17"/>
  <c r="AN37" i="17"/>
  <c r="AP37" i="17"/>
  <c r="AR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G38" i="17"/>
  <c r="AH38" i="17"/>
  <c r="AJ38" i="17"/>
  <c r="AL38" i="17"/>
  <c r="AN38" i="17"/>
  <c r="AP38" i="17"/>
  <c r="AR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G39" i="17"/>
  <c r="AH39" i="17"/>
  <c r="AJ39" i="17"/>
  <c r="AL39" i="17"/>
  <c r="AN39" i="17"/>
  <c r="AP39" i="17"/>
  <c r="AR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G40" i="17"/>
  <c r="AH40" i="17"/>
  <c r="AJ40" i="17"/>
  <c r="AL40" i="17"/>
  <c r="AN40" i="17"/>
  <c r="AP40" i="17"/>
  <c r="AR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G41" i="17"/>
  <c r="AH41" i="17"/>
  <c r="AJ41" i="17"/>
  <c r="AL41" i="17"/>
  <c r="AN41" i="17"/>
  <c r="AP41" i="17"/>
  <c r="AR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G42" i="17"/>
  <c r="AH42" i="17"/>
  <c r="AJ42" i="17"/>
  <c r="AL42" i="17"/>
  <c r="AN42" i="17"/>
  <c r="AP42" i="17"/>
  <c r="AR42" i="17"/>
  <c r="A43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H43" i="17"/>
  <c r="AJ43" i="17"/>
  <c r="AL43" i="17"/>
  <c r="AN43" i="17"/>
  <c r="AP43" i="17"/>
  <c r="AR43" i="17"/>
  <c r="A44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H44" i="17"/>
  <c r="AJ44" i="17"/>
  <c r="AL44" i="17"/>
  <c r="AN44" i="17"/>
  <c r="AP44" i="17"/>
  <c r="AR44" i="17"/>
  <c r="A45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G45" i="17"/>
  <c r="AH45" i="17"/>
  <c r="AJ45" i="17"/>
  <c r="AL45" i="17"/>
  <c r="AN45" i="17"/>
  <c r="AP45" i="17"/>
  <c r="AR45" i="17"/>
  <c r="A46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G46" i="17"/>
  <c r="AH46" i="17"/>
  <c r="AJ46" i="17"/>
  <c r="AL46" i="17"/>
  <c r="AN46" i="17"/>
  <c r="AP46" i="17"/>
  <c r="AR46" i="17"/>
  <c r="A47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G47" i="17"/>
  <c r="AH47" i="17"/>
  <c r="AJ47" i="17"/>
  <c r="AL47" i="17"/>
  <c r="AN47" i="17"/>
  <c r="AP47" i="17"/>
  <c r="AR47" i="17"/>
  <c r="A48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G48" i="17"/>
  <c r="AH48" i="17"/>
  <c r="AJ48" i="17"/>
  <c r="AL48" i="17"/>
  <c r="AN48" i="17"/>
  <c r="AP48" i="17"/>
  <c r="AR48" i="17"/>
  <c r="A49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G49" i="17"/>
  <c r="AH49" i="17"/>
  <c r="AJ49" i="17"/>
  <c r="AL49" i="17"/>
  <c r="AN49" i="17"/>
  <c r="AP49" i="17"/>
  <c r="AR49" i="17"/>
  <c r="A50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G50" i="17"/>
  <c r="AH50" i="17"/>
  <c r="AJ50" i="17"/>
  <c r="AL50" i="17"/>
  <c r="AN50" i="17"/>
  <c r="AP50" i="17"/>
  <c r="AR50" i="17"/>
  <c r="A51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G51" i="17"/>
  <c r="AH51" i="17"/>
  <c r="AJ51" i="17"/>
  <c r="AL51" i="17"/>
  <c r="AN51" i="17"/>
  <c r="AP51" i="17"/>
  <c r="AR51" i="17"/>
  <c r="A52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G52" i="17"/>
  <c r="AH52" i="17"/>
  <c r="AJ52" i="17"/>
  <c r="AL52" i="17"/>
  <c r="AN52" i="17"/>
  <c r="AP52" i="17"/>
  <c r="AR52" i="17"/>
  <c r="A53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G53" i="17"/>
  <c r="AH53" i="17"/>
  <c r="AJ53" i="17"/>
  <c r="AL53" i="17"/>
  <c r="AN53" i="17"/>
  <c r="AP53" i="17"/>
  <c r="AR53" i="17"/>
  <c r="A54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G54" i="17"/>
  <c r="AH54" i="17"/>
  <c r="AJ54" i="17"/>
  <c r="AL54" i="17"/>
  <c r="AN54" i="17"/>
  <c r="AP54" i="17"/>
  <c r="AR54" i="17"/>
  <c r="A55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G55" i="17"/>
  <c r="AH55" i="17"/>
  <c r="AJ55" i="17"/>
  <c r="AL55" i="17"/>
  <c r="AN55" i="17"/>
  <c r="AP55" i="17"/>
  <c r="AR55" i="17"/>
  <c r="A56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G56" i="17"/>
  <c r="AH56" i="17"/>
  <c r="AJ56" i="17"/>
  <c r="AL56" i="17"/>
  <c r="AN56" i="17"/>
  <c r="AP56" i="17"/>
  <c r="AR56" i="17"/>
  <c r="A57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G57" i="17"/>
  <c r="AH57" i="17"/>
  <c r="AJ57" i="17"/>
  <c r="AL57" i="17"/>
  <c r="AN57" i="17"/>
  <c r="AP57" i="17"/>
  <c r="AR57" i="17"/>
  <c r="A58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H58" i="17"/>
  <c r="AJ58" i="17"/>
  <c r="AL58" i="17"/>
  <c r="AN58" i="17"/>
  <c r="AP58" i="17"/>
  <c r="AR58" i="17"/>
  <c r="A59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H59" i="17"/>
  <c r="AJ59" i="17"/>
  <c r="AL59" i="17"/>
  <c r="AN59" i="17"/>
  <c r="AP59" i="17"/>
  <c r="AR59" i="17"/>
  <c r="A60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H60" i="17"/>
  <c r="AJ60" i="17"/>
  <c r="AL60" i="17"/>
  <c r="AN60" i="17"/>
  <c r="AP60" i="17"/>
  <c r="AR60" i="17"/>
  <c r="A61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H61" i="17"/>
  <c r="AJ61" i="17"/>
  <c r="AL61" i="17"/>
  <c r="AN61" i="17"/>
  <c r="AP61" i="17"/>
  <c r="AR61" i="17"/>
  <c r="A62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H62" i="17"/>
  <c r="AJ62" i="17"/>
  <c r="AL62" i="17"/>
  <c r="AN62" i="17"/>
  <c r="AP62" i="17"/>
  <c r="AR62" i="17"/>
  <c r="A63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H63" i="17"/>
  <c r="AJ63" i="17"/>
  <c r="AL63" i="17"/>
  <c r="AN63" i="17"/>
  <c r="AP63" i="17"/>
  <c r="AR63" i="17"/>
  <c r="A64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G64" i="17"/>
  <c r="AH64" i="17"/>
  <c r="AJ64" i="17"/>
  <c r="AL64" i="17"/>
  <c r="AN64" i="17"/>
  <c r="AP64" i="17"/>
  <c r="AR64" i="17"/>
  <c r="A65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H65" i="17"/>
  <c r="AJ65" i="17"/>
  <c r="AL65" i="17"/>
  <c r="AN65" i="17"/>
  <c r="AP65" i="17"/>
  <c r="AR65" i="17"/>
  <c r="A66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H66" i="17"/>
  <c r="AJ66" i="17"/>
  <c r="AL66" i="17"/>
  <c r="AN66" i="17"/>
  <c r="AP66" i="17"/>
  <c r="AR66" i="17"/>
  <c r="A67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H67" i="17"/>
  <c r="AJ67" i="17"/>
  <c r="AL67" i="17"/>
  <c r="AN67" i="17"/>
  <c r="AP67" i="17"/>
  <c r="AR67" i="17"/>
  <c r="A68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H68" i="17"/>
  <c r="AJ68" i="17"/>
  <c r="AL68" i="17"/>
  <c r="AN68" i="17"/>
  <c r="AP68" i="17"/>
  <c r="AR68" i="17"/>
  <c r="A69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H69" i="17"/>
  <c r="AJ69" i="17"/>
  <c r="AL69" i="17"/>
  <c r="AN69" i="17"/>
  <c r="AP69" i="17"/>
  <c r="AR69" i="17"/>
  <c r="A70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H70" i="17"/>
  <c r="AJ70" i="17"/>
  <c r="AL70" i="17"/>
  <c r="AN70" i="17"/>
  <c r="AP70" i="17"/>
  <c r="AR70" i="17"/>
  <c r="A71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H71" i="17"/>
  <c r="AJ71" i="17"/>
  <c r="AL71" i="17"/>
  <c r="AN71" i="17"/>
  <c r="AP71" i="17"/>
  <c r="AR71" i="17"/>
  <c r="A72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H72" i="17"/>
  <c r="AJ72" i="17"/>
  <c r="AL72" i="17"/>
  <c r="AN72" i="17"/>
  <c r="AP72" i="17"/>
  <c r="AR72" i="17"/>
  <c r="A73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H73" i="17"/>
  <c r="AJ73" i="17"/>
  <c r="AL73" i="17"/>
  <c r="AN73" i="17"/>
  <c r="AP73" i="17"/>
  <c r="AR73" i="17"/>
  <c r="A74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H74" i="17"/>
  <c r="AJ74" i="17"/>
  <c r="AL74" i="17"/>
  <c r="AN74" i="17"/>
  <c r="AP74" i="17"/>
  <c r="AR74" i="17"/>
  <c r="A75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H75" i="17"/>
  <c r="AJ75" i="17"/>
  <c r="AL75" i="17"/>
  <c r="AN75" i="17"/>
  <c r="AP75" i="17"/>
  <c r="AR75" i="17"/>
  <c r="A76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AH76" i="17"/>
  <c r="AJ76" i="17"/>
  <c r="AL76" i="17"/>
  <c r="AN76" i="17"/>
  <c r="AP76" i="17"/>
  <c r="AR76" i="17"/>
  <c r="D77" i="17"/>
  <c r="E77" i="17"/>
  <c r="H77" i="17"/>
  <c r="I77" i="17"/>
  <c r="L77" i="17"/>
  <c r="M77" i="17"/>
  <c r="P77" i="17"/>
  <c r="Q77" i="17"/>
  <c r="T77" i="17"/>
  <c r="U77" i="17"/>
  <c r="X77" i="17"/>
  <c r="Y77" i="17"/>
  <c r="AA77" i="17"/>
  <c r="AB77" i="17"/>
  <c r="AC77" i="17"/>
  <c r="AD77" i="17"/>
  <c r="AE77" i="17"/>
  <c r="AG77" i="17"/>
  <c r="AH77" i="17"/>
  <c r="AI77" i="17"/>
  <c r="AJ77" i="17"/>
  <c r="AK77" i="17"/>
  <c r="AL77" i="17"/>
  <c r="AM77" i="17"/>
  <c r="AN77" i="17"/>
  <c r="AO77" i="17"/>
  <c r="AP77" i="17"/>
  <c r="AQ77" i="17"/>
  <c r="AR77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1" i="19"/>
  <c r="A2" i="19"/>
  <c r="A3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D12" i="19"/>
  <c r="F12" i="19"/>
  <c r="H12" i="19"/>
  <c r="D13" i="19"/>
  <c r="F13" i="19"/>
  <c r="H13" i="19"/>
  <c r="D14" i="19"/>
  <c r="F14" i="19"/>
  <c r="H14" i="19"/>
  <c r="D15" i="19"/>
  <c r="F15" i="19"/>
  <c r="H15" i="19"/>
  <c r="D16" i="19"/>
  <c r="F16" i="19"/>
  <c r="H16" i="19"/>
  <c r="C21" i="19"/>
  <c r="E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C31" i="19"/>
  <c r="E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C41" i="19"/>
  <c r="E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1" i="14"/>
  <c r="A2" i="14"/>
  <c r="A3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Q8" i="14"/>
  <c r="A9" i="14"/>
  <c r="C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P9" i="14"/>
  <c r="AQ9" i="14"/>
  <c r="A10" i="14"/>
  <c r="C10" i="14"/>
  <c r="AP10" i="14"/>
  <c r="AQ10" i="14"/>
  <c r="A11" i="14"/>
  <c r="C11" i="14"/>
  <c r="AP11" i="14"/>
  <c r="AQ11" i="14"/>
  <c r="A12" i="14"/>
  <c r="C12" i="14"/>
  <c r="AP12" i="14"/>
  <c r="AQ12" i="14"/>
  <c r="A13" i="14"/>
  <c r="C13" i="14"/>
  <c r="AP13" i="14"/>
  <c r="AQ13" i="14"/>
  <c r="A14" i="14"/>
  <c r="C14" i="14"/>
  <c r="AP14" i="14"/>
  <c r="AQ14" i="14"/>
  <c r="A15" i="14"/>
  <c r="C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P15" i="14"/>
  <c r="AQ15" i="14"/>
  <c r="AQ16" i="14"/>
  <c r="A17" i="14"/>
  <c r="C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P17" i="14"/>
  <c r="AQ17" i="14"/>
  <c r="A18" i="14"/>
  <c r="C18" i="14"/>
  <c r="AP18" i="14"/>
  <c r="AQ18" i="14"/>
  <c r="A19" i="14"/>
  <c r="C19" i="14"/>
  <c r="AP19" i="14"/>
  <c r="AQ19" i="14"/>
  <c r="A20" i="14"/>
  <c r="C20" i="14"/>
  <c r="AP20" i="14"/>
  <c r="AQ20" i="14"/>
  <c r="A21" i="14"/>
  <c r="C21" i="14"/>
  <c r="AP21" i="14"/>
  <c r="AQ21" i="14"/>
  <c r="A22" i="14"/>
  <c r="C22" i="14"/>
  <c r="AP22" i="14"/>
  <c r="AQ22" i="14"/>
  <c r="A23" i="14"/>
  <c r="C23" i="14"/>
  <c r="AP23" i="14"/>
  <c r="AQ23" i="14"/>
  <c r="A24" i="14"/>
  <c r="C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P24" i="14"/>
  <c r="AQ24" i="14"/>
  <c r="AQ25" i="14"/>
  <c r="A26" i="14"/>
  <c r="C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P26" i="14"/>
  <c r="AQ26" i="14"/>
  <c r="A27" i="14"/>
  <c r="C27" i="14"/>
  <c r="AF27" i="14"/>
  <c r="AP27" i="14"/>
  <c r="AQ27" i="14"/>
  <c r="A28" i="14"/>
  <c r="C28" i="14"/>
  <c r="AF28" i="14"/>
  <c r="AP28" i="14"/>
  <c r="AQ28" i="14"/>
  <c r="A29" i="14"/>
  <c r="C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AF29" i="14"/>
  <c r="AP29" i="14"/>
  <c r="AQ29" i="14"/>
  <c r="A30" i="14"/>
  <c r="C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AF30" i="14"/>
  <c r="AP30" i="14"/>
  <c r="AQ30" i="14"/>
  <c r="A31" i="14"/>
  <c r="C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P31" i="14"/>
  <c r="AQ31" i="14"/>
  <c r="AQ32" i="14"/>
  <c r="A33" i="14"/>
  <c r="C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AF33" i="14"/>
  <c r="AP33" i="14"/>
  <c r="AQ33" i="14"/>
  <c r="A34" i="14"/>
  <c r="C34" i="14"/>
  <c r="AP34" i="14"/>
  <c r="AQ34" i="14"/>
  <c r="A35" i="14"/>
  <c r="C35" i="14"/>
  <c r="AP35" i="14"/>
  <c r="AQ35" i="14"/>
  <c r="A36" i="14"/>
  <c r="C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P36" i="14"/>
  <c r="AQ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Q37" i="14"/>
  <c r="A38" i="14"/>
  <c r="C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F38" i="14"/>
  <c r="AP38" i="14"/>
  <c r="AQ38" i="14"/>
  <c r="A39" i="14"/>
  <c r="C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P39" i="14"/>
  <c r="AQ39" i="14"/>
  <c r="AQ40" i="14"/>
  <c r="A41" i="14"/>
  <c r="C41" i="14"/>
  <c r="AD41" i="14"/>
  <c r="AE41" i="14"/>
  <c r="AF41" i="14"/>
  <c r="AG41" i="14"/>
  <c r="AH41" i="14"/>
  <c r="AI41" i="14"/>
  <c r="AJ41" i="14"/>
  <c r="AK41" i="14"/>
  <c r="AP41" i="14"/>
  <c r="AQ41" i="14"/>
  <c r="A42" i="14"/>
  <c r="C42" i="14"/>
  <c r="AD42" i="14"/>
  <c r="AE42" i="14"/>
  <c r="AF42" i="14"/>
  <c r="AG42" i="14"/>
  <c r="AH42" i="14"/>
  <c r="AI42" i="14"/>
  <c r="AJ42" i="14"/>
  <c r="AK42" i="14"/>
  <c r="AP42" i="14"/>
  <c r="AQ42" i="14"/>
  <c r="A43" i="14"/>
  <c r="C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P43" i="14"/>
  <c r="AQ43" i="14"/>
  <c r="AQ44" i="14"/>
  <c r="C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P45" i="14"/>
  <c r="AQ45" i="14"/>
  <c r="C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P46" i="14"/>
  <c r="AQ46" i="14"/>
  <c r="AS46" i="14"/>
  <c r="AQ47" i="14"/>
  <c r="C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P48" i="14"/>
  <c r="AQ48" i="14"/>
  <c r="AQ49" i="14"/>
  <c r="AQ50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Q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Q52" i="14"/>
  <c r="AR52" i="14"/>
  <c r="AP53" i="14"/>
  <c r="AQ53" i="14"/>
  <c r="A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Q54" i="14"/>
  <c r="AR54" i="14"/>
  <c r="AQ55" i="14"/>
  <c r="A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P56" i="14"/>
  <c r="AQ56" i="14"/>
  <c r="A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Q57" i="14"/>
  <c r="AR57" i="14"/>
  <c r="AX57" i="14"/>
  <c r="AY57" i="14"/>
  <c r="AZ57" i="14"/>
  <c r="AQ58" i="14"/>
  <c r="AR58" i="14"/>
  <c r="AX58" i="14"/>
  <c r="C59" i="14"/>
  <c r="AQ59" i="14"/>
  <c r="AR59" i="14"/>
  <c r="AY59" i="14"/>
  <c r="AZ59" i="14"/>
  <c r="C60" i="14"/>
  <c r="AQ60" i="14"/>
  <c r="AR60" i="14"/>
  <c r="AT60" i="14"/>
  <c r="AX60" i="14"/>
  <c r="AY60" i="14"/>
  <c r="AZ60" i="14"/>
  <c r="C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Q61" i="14"/>
  <c r="AR61" i="14"/>
  <c r="AV61" i="14"/>
  <c r="AX61" i="14"/>
  <c r="AY61" i="14"/>
  <c r="AZ61" i="14"/>
  <c r="AQ62" i="14"/>
  <c r="AR62" i="14"/>
  <c r="AQ63" i="14"/>
  <c r="AR63" i="14"/>
  <c r="AX63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P64" i="14"/>
  <c r="AQ64" i="14"/>
  <c r="AR64" i="14"/>
  <c r="AX64" i="14"/>
  <c r="AY64" i="14"/>
  <c r="AZ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Q65" i="14"/>
  <c r="AR65" i="14"/>
  <c r="AX65" i="14"/>
  <c r="AY65" i="14"/>
  <c r="AZ65" i="14"/>
  <c r="AQ66" i="14"/>
  <c r="AR66" i="14"/>
  <c r="AV66" i="14"/>
  <c r="AX66" i="14"/>
  <c r="AY66" i="14"/>
  <c r="A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P67" i="14"/>
  <c r="AQ67" i="14"/>
  <c r="A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Q68" i="14"/>
  <c r="AR68" i="14"/>
  <c r="AV68" i="14"/>
  <c r="AW69" i="14"/>
  <c r="AC76" i="14"/>
  <c r="AC77" i="14"/>
  <c r="AC78" i="14"/>
  <c r="AC79" i="14"/>
  <c r="AC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C84" i="14"/>
  <c r="AC85" i="14"/>
  <c r="AC86" i="14"/>
  <c r="AC87" i="14"/>
  <c r="AC88" i="14"/>
  <c r="AC89" i="14"/>
  <c r="AC90" i="14"/>
  <c r="AC91" i="14"/>
  <c r="AC92" i="14"/>
  <c r="AC93" i="14"/>
  <c r="AC94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1" i="13"/>
  <c r="A2" i="13"/>
  <c r="A3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C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C60" i="13"/>
  <c r="D60" i="13"/>
  <c r="C61" i="13"/>
  <c r="D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1" i="34"/>
  <c r="A2" i="34"/>
  <c r="A3" i="34"/>
  <c r="C13" i="34"/>
  <c r="D13" i="34"/>
  <c r="E13" i="34"/>
  <c r="F13" i="34"/>
  <c r="H13" i="34"/>
  <c r="I13" i="34"/>
  <c r="J13" i="34"/>
  <c r="K13" i="34"/>
  <c r="L13" i="34"/>
  <c r="M13" i="34"/>
  <c r="M14" i="34"/>
  <c r="O14" i="34"/>
  <c r="P14" i="34"/>
  <c r="B15" i="34"/>
  <c r="M15" i="34"/>
  <c r="M16" i="34"/>
  <c r="M17" i="34"/>
  <c r="N17" i="34"/>
  <c r="M18" i="34"/>
  <c r="N18" i="34"/>
  <c r="O18" i="34"/>
  <c r="B19" i="34"/>
  <c r="C19" i="34"/>
  <c r="D19" i="34"/>
  <c r="E19" i="34"/>
  <c r="F19" i="34"/>
  <c r="K19" i="34"/>
  <c r="L19" i="34"/>
  <c r="M19" i="34"/>
  <c r="N19" i="34"/>
  <c r="O19" i="34"/>
  <c r="A20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A21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A22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A23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A24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A25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A26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A27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A28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A29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A30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A31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A32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A33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A34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A35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A36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A37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A38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A39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A40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A41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A42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A43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A44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A45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A46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A47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A48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A49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A50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A51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A52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A53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A54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A55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A56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A57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A58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A59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A60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A61" i="34"/>
  <c r="B61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A62" i="34"/>
  <c r="B62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A63" i="34"/>
  <c r="B63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A64" i="34"/>
  <c r="B64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A65" i="34"/>
  <c r="B65" i="34"/>
  <c r="C65" i="34"/>
  <c r="D65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A66" i="34"/>
  <c r="B66" i="34"/>
  <c r="C66" i="34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A67" i="34"/>
  <c r="B67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A68" i="34"/>
  <c r="B68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A69" i="34"/>
  <c r="B69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A70" i="34"/>
  <c r="B70" i="34"/>
  <c r="C70" i="34"/>
  <c r="D70" i="34"/>
  <c r="E70" i="34"/>
  <c r="F70" i="34"/>
  <c r="G70" i="34"/>
  <c r="H70" i="34"/>
  <c r="I70" i="34"/>
  <c r="J70" i="34"/>
  <c r="K70" i="34"/>
  <c r="L70" i="34"/>
  <c r="M70" i="34"/>
  <c r="N70" i="34"/>
  <c r="O70" i="34"/>
  <c r="P70" i="34"/>
  <c r="A71" i="34"/>
  <c r="B71" i="34"/>
  <c r="C71" i="34"/>
  <c r="D71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A72" i="34"/>
  <c r="B72" i="34"/>
  <c r="C72" i="34"/>
  <c r="D72" i="34"/>
  <c r="E72" i="34"/>
  <c r="F72" i="34"/>
  <c r="G72" i="34"/>
  <c r="H72" i="34"/>
  <c r="I72" i="34"/>
  <c r="J72" i="34"/>
  <c r="K72" i="34"/>
  <c r="L72" i="34"/>
  <c r="M72" i="34"/>
  <c r="N72" i="34"/>
  <c r="O72" i="34"/>
  <c r="P72" i="34"/>
  <c r="A73" i="34"/>
  <c r="B73" i="34"/>
  <c r="C73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A74" i="34"/>
  <c r="B74" i="34"/>
  <c r="C74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A75" i="34"/>
  <c r="B75" i="34"/>
  <c r="C75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A76" i="34"/>
  <c r="B76" i="34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A77" i="34"/>
  <c r="B77" i="34"/>
  <c r="C77" i="34"/>
  <c r="D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A78" i="34"/>
  <c r="B78" i="34"/>
  <c r="C78" i="34"/>
  <c r="D78" i="34"/>
  <c r="E78" i="34"/>
  <c r="F78" i="34"/>
  <c r="G78" i="34"/>
  <c r="H78" i="34"/>
  <c r="I78" i="34"/>
  <c r="J78" i="34"/>
  <c r="K78" i="34"/>
  <c r="L78" i="34"/>
  <c r="M78" i="34"/>
  <c r="N78" i="34"/>
  <c r="O78" i="34"/>
  <c r="P78" i="34"/>
  <c r="A79" i="34"/>
  <c r="B79" i="34"/>
  <c r="C79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A80" i="34"/>
  <c r="B80" i="34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A81" i="34"/>
  <c r="B81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A82" i="34"/>
  <c r="B82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A83" i="34"/>
  <c r="B83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A84" i="34"/>
  <c r="B84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A85" i="34"/>
  <c r="B85" i="34"/>
  <c r="C85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A86" i="34"/>
  <c r="B86" i="34"/>
  <c r="C86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A87" i="34"/>
  <c r="B87" i="34"/>
  <c r="C87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A88" i="34"/>
  <c r="B88" i="34"/>
  <c r="C88" i="34"/>
  <c r="D88" i="34"/>
  <c r="E88" i="34"/>
  <c r="F88" i="34"/>
  <c r="G88" i="34"/>
  <c r="H88" i="34"/>
  <c r="I88" i="34"/>
  <c r="J88" i="34"/>
  <c r="K88" i="34"/>
  <c r="L88" i="34"/>
  <c r="M88" i="34"/>
  <c r="N88" i="34"/>
  <c r="O88" i="34"/>
  <c r="P88" i="34"/>
  <c r="A89" i="34"/>
  <c r="B89" i="34"/>
  <c r="C89" i="34"/>
  <c r="D89" i="34"/>
  <c r="E89" i="34"/>
  <c r="F89" i="34"/>
  <c r="G89" i="34"/>
  <c r="H89" i="34"/>
  <c r="I89" i="34"/>
  <c r="J89" i="34"/>
  <c r="K89" i="34"/>
  <c r="L89" i="34"/>
  <c r="M89" i="34"/>
  <c r="N89" i="34"/>
  <c r="O89" i="34"/>
  <c r="P89" i="34"/>
  <c r="A90" i="34"/>
  <c r="B90" i="34"/>
  <c r="C90" i="34"/>
  <c r="D90" i="34"/>
  <c r="E90" i="34"/>
  <c r="F90" i="34"/>
  <c r="G90" i="34"/>
  <c r="H90" i="34"/>
  <c r="I90" i="34"/>
  <c r="J90" i="34"/>
  <c r="K90" i="34"/>
  <c r="L90" i="34"/>
  <c r="M90" i="34"/>
  <c r="N90" i="34"/>
  <c r="O90" i="34"/>
  <c r="P90" i="34"/>
  <c r="A91" i="34"/>
  <c r="B91" i="34"/>
  <c r="C91" i="34"/>
  <c r="D91" i="34"/>
  <c r="E91" i="34"/>
  <c r="F91" i="34"/>
  <c r="G91" i="34"/>
  <c r="H91" i="34"/>
  <c r="I91" i="34"/>
  <c r="J91" i="34"/>
  <c r="K91" i="34"/>
  <c r="L91" i="34"/>
  <c r="M91" i="34"/>
  <c r="N91" i="34"/>
  <c r="O91" i="34"/>
  <c r="P91" i="34"/>
  <c r="A92" i="34"/>
  <c r="B92" i="34"/>
  <c r="C92" i="34"/>
  <c r="D92" i="34"/>
  <c r="E92" i="34"/>
  <c r="F92" i="34"/>
  <c r="G92" i="34"/>
  <c r="H92" i="34"/>
  <c r="I92" i="34"/>
  <c r="J92" i="34"/>
  <c r="K92" i="34"/>
  <c r="L92" i="34"/>
  <c r="M92" i="34"/>
  <c r="N92" i="34"/>
  <c r="O92" i="34"/>
  <c r="P92" i="34"/>
  <c r="A93" i="34"/>
  <c r="B93" i="34"/>
  <c r="C93" i="34"/>
  <c r="D93" i="34"/>
  <c r="E93" i="34"/>
  <c r="F93" i="34"/>
  <c r="G93" i="34"/>
  <c r="H93" i="34"/>
  <c r="I93" i="34"/>
  <c r="J93" i="34"/>
  <c r="K93" i="34"/>
  <c r="L93" i="34"/>
  <c r="M93" i="34"/>
  <c r="N93" i="34"/>
  <c r="O93" i="34"/>
  <c r="P93" i="34"/>
  <c r="A94" i="34"/>
  <c r="B94" i="34"/>
  <c r="C94" i="34"/>
  <c r="D94" i="34"/>
  <c r="E94" i="34"/>
  <c r="F94" i="34"/>
  <c r="G94" i="34"/>
  <c r="H94" i="34"/>
  <c r="I94" i="34"/>
  <c r="J94" i="34"/>
  <c r="K94" i="34"/>
  <c r="L94" i="34"/>
  <c r="M94" i="34"/>
  <c r="N94" i="34"/>
  <c r="O94" i="34"/>
  <c r="P94" i="34"/>
  <c r="A95" i="34"/>
  <c r="B95" i="34"/>
  <c r="C95" i="34"/>
  <c r="D95" i="34"/>
  <c r="E95" i="34"/>
  <c r="F95" i="34"/>
  <c r="G95" i="34"/>
  <c r="H95" i="34"/>
  <c r="I95" i="34"/>
  <c r="J95" i="34"/>
  <c r="K95" i="34"/>
  <c r="L95" i="34"/>
  <c r="M95" i="34"/>
  <c r="N95" i="34"/>
  <c r="O95" i="34"/>
  <c r="P95" i="34"/>
  <c r="A96" i="34"/>
  <c r="B96" i="34"/>
  <c r="C96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A97" i="34"/>
  <c r="B97" i="34"/>
  <c r="C97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A98" i="34"/>
  <c r="B98" i="34"/>
  <c r="C98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A99" i="34"/>
  <c r="B99" i="34"/>
  <c r="C99" i="34"/>
  <c r="D99" i="34"/>
  <c r="E99" i="34"/>
  <c r="F99" i="34"/>
  <c r="G99" i="34"/>
  <c r="H99" i="34"/>
  <c r="I99" i="34"/>
  <c r="J99" i="34"/>
  <c r="K99" i="34"/>
  <c r="L99" i="34"/>
  <c r="M99" i="34"/>
  <c r="N99" i="34"/>
  <c r="O99" i="34"/>
  <c r="P99" i="34"/>
  <c r="A100" i="34"/>
  <c r="B100" i="34"/>
  <c r="C100" i="34"/>
  <c r="D100" i="34"/>
  <c r="E100" i="34"/>
  <c r="F100" i="34"/>
  <c r="G100" i="34"/>
  <c r="H100" i="34"/>
  <c r="I100" i="34"/>
  <c r="J100" i="34"/>
  <c r="K100" i="34"/>
  <c r="L100" i="34"/>
  <c r="M100" i="34"/>
  <c r="N100" i="34"/>
  <c r="O100" i="34"/>
  <c r="P100" i="34"/>
  <c r="A101" i="34"/>
  <c r="B101" i="34"/>
  <c r="C101" i="34"/>
  <c r="D101" i="34"/>
  <c r="E101" i="34"/>
  <c r="F101" i="34"/>
  <c r="G101" i="34"/>
  <c r="H101" i="34"/>
  <c r="I101" i="34"/>
  <c r="J101" i="34"/>
  <c r="K101" i="34"/>
  <c r="L101" i="34"/>
  <c r="M101" i="34"/>
  <c r="N101" i="34"/>
  <c r="O101" i="34"/>
  <c r="P101" i="34"/>
  <c r="A102" i="34"/>
  <c r="B102" i="34"/>
  <c r="C102" i="34"/>
  <c r="D102" i="34"/>
  <c r="E102" i="34"/>
  <c r="F102" i="34"/>
  <c r="G102" i="34"/>
  <c r="H102" i="34"/>
  <c r="I102" i="34"/>
  <c r="J102" i="34"/>
  <c r="K102" i="34"/>
  <c r="L102" i="34"/>
  <c r="M102" i="34"/>
  <c r="N102" i="34"/>
  <c r="O102" i="34"/>
  <c r="P102" i="34"/>
  <c r="A103" i="34"/>
  <c r="B103" i="34"/>
  <c r="C103" i="34"/>
  <c r="D103" i="34"/>
  <c r="E103" i="34"/>
  <c r="F103" i="34"/>
  <c r="G103" i="34"/>
  <c r="H103" i="34"/>
  <c r="I103" i="34"/>
  <c r="J103" i="34"/>
  <c r="K103" i="34"/>
  <c r="L103" i="34"/>
  <c r="M103" i="34"/>
  <c r="N103" i="34"/>
  <c r="O103" i="34"/>
  <c r="P103" i="34"/>
  <c r="A104" i="34"/>
  <c r="B104" i="34"/>
  <c r="C104" i="34"/>
  <c r="D104" i="34"/>
  <c r="E104" i="34"/>
  <c r="F104" i="34"/>
  <c r="G104" i="34"/>
  <c r="H104" i="34"/>
  <c r="I104" i="34"/>
  <c r="J104" i="34"/>
  <c r="K104" i="34"/>
  <c r="L104" i="34"/>
  <c r="M104" i="34"/>
  <c r="N104" i="34"/>
  <c r="O104" i="34"/>
  <c r="P104" i="34"/>
  <c r="A105" i="34"/>
  <c r="B105" i="34"/>
  <c r="C105" i="34"/>
  <c r="D105" i="34"/>
  <c r="E105" i="34"/>
  <c r="F105" i="34"/>
  <c r="G105" i="34"/>
  <c r="H105" i="34"/>
  <c r="I105" i="34"/>
  <c r="J105" i="34"/>
  <c r="K105" i="34"/>
  <c r="L105" i="34"/>
  <c r="M105" i="34"/>
  <c r="N105" i="34"/>
  <c r="O105" i="34"/>
  <c r="P105" i="34"/>
  <c r="A106" i="34"/>
  <c r="B106" i="34"/>
  <c r="C106" i="34"/>
  <c r="D106" i="34"/>
  <c r="E106" i="34"/>
  <c r="F106" i="34"/>
  <c r="G106" i="34"/>
  <c r="H106" i="34"/>
  <c r="I106" i="34"/>
  <c r="J106" i="34"/>
  <c r="K106" i="34"/>
  <c r="L106" i="34"/>
  <c r="M106" i="34"/>
  <c r="N106" i="34"/>
  <c r="O106" i="34"/>
  <c r="P106" i="34"/>
  <c r="A107" i="34"/>
  <c r="B107" i="34"/>
  <c r="C107" i="34"/>
  <c r="D107" i="34"/>
  <c r="E107" i="34"/>
  <c r="F107" i="34"/>
  <c r="G107" i="34"/>
  <c r="H107" i="34"/>
  <c r="I107" i="34"/>
  <c r="J107" i="34"/>
  <c r="K107" i="34"/>
  <c r="L107" i="34"/>
  <c r="M107" i="34"/>
  <c r="N107" i="34"/>
  <c r="O107" i="34"/>
  <c r="P107" i="34"/>
  <c r="A108" i="34"/>
  <c r="B108" i="34"/>
  <c r="C108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A109" i="34"/>
  <c r="B109" i="34"/>
  <c r="C109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A110" i="34"/>
  <c r="B110" i="34"/>
  <c r="C110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A111" i="34"/>
  <c r="B111" i="34"/>
  <c r="C111" i="34"/>
  <c r="D111" i="34"/>
  <c r="E111" i="34"/>
  <c r="F111" i="34"/>
  <c r="G111" i="34"/>
  <c r="H111" i="34"/>
  <c r="I111" i="34"/>
  <c r="J111" i="34"/>
  <c r="K111" i="34"/>
  <c r="L111" i="34"/>
  <c r="M111" i="34"/>
  <c r="N111" i="34"/>
  <c r="O111" i="34"/>
  <c r="P111" i="34"/>
  <c r="A112" i="34"/>
  <c r="B112" i="34"/>
  <c r="C112" i="34"/>
  <c r="D112" i="34"/>
  <c r="E112" i="34"/>
  <c r="F112" i="34"/>
  <c r="G112" i="34"/>
  <c r="H112" i="34"/>
  <c r="I112" i="34"/>
  <c r="J112" i="34"/>
  <c r="K112" i="34"/>
  <c r="L112" i="34"/>
  <c r="M112" i="34"/>
  <c r="N112" i="34"/>
  <c r="O112" i="34"/>
  <c r="P112" i="34"/>
  <c r="A113" i="34"/>
  <c r="B113" i="34"/>
  <c r="C113" i="34"/>
  <c r="D113" i="34"/>
  <c r="E113" i="34"/>
  <c r="F113" i="34"/>
  <c r="G113" i="34"/>
  <c r="H113" i="34"/>
  <c r="I113" i="34"/>
  <c r="J113" i="34"/>
  <c r="K113" i="34"/>
  <c r="L113" i="34"/>
  <c r="M113" i="34"/>
  <c r="N113" i="34"/>
  <c r="O113" i="34"/>
  <c r="P113" i="34"/>
  <c r="A114" i="34"/>
  <c r="B114" i="34"/>
  <c r="C114" i="34"/>
  <c r="D114" i="34"/>
  <c r="E114" i="34"/>
  <c r="F114" i="34"/>
  <c r="G114" i="34"/>
  <c r="H114" i="34"/>
  <c r="I114" i="34"/>
  <c r="J114" i="34"/>
  <c r="K114" i="34"/>
  <c r="L114" i="34"/>
  <c r="M114" i="34"/>
  <c r="N114" i="34"/>
  <c r="O114" i="34"/>
  <c r="P114" i="34"/>
  <c r="A115" i="34"/>
  <c r="B115" i="34"/>
  <c r="C115" i="34"/>
  <c r="D115" i="34"/>
  <c r="E115" i="34"/>
  <c r="F115" i="34"/>
  <c r="G115" i="34"/>
  <c r="H115" i="34"/>
  <c r="I115" i="34"/>
  <c r="J115" i="34"/>
  <c r="K115" i="34"/>
  <c r="L115" i="34"/>
  <c r="M115" i="34"/>
  <c r="N115" i="34"/>
  <c r="O115" i="34"/>
  <c r="P115" i="34"/>
  <c r="A116" i="34"/>
  <c r="B116" i="34"/>
  <c r="C116" i="34"/>
  <c r="D116" i="34"/>
  <c r="E116" i="34"/>
  <c r="F116" i="34"/>
  <c r="G116" i="34"/>
  <c r="H116" i="34"/>
  <c r="I116" i="34"/>
  <c r="J116" i="34"/>
  <c r="K116" i="34"/>
  <c r="L116" i="34"/>
  <c r="M116" i="34"/>
  <c r="N116" i="34"/>
  <c r="O116" i="34"/>
  <c r="P116" i="34"/>
  <c r="A117" i="34"/>
  <c r="B117" i="34"/>
  <c r="C117" i="34"/>
  <c r="D117" i="34"/>
  <c r="E117" i="34"/>
  <c r="F117" i="34"/>
  <c r="G117" i="34"/>
  <c r="H117" i="34"/>
  <c r="I117" i="34"/>
  <c r="J117" i="34"/>
  <c r="K117" i="34"/>
  <c r="L117" i="34"/>
  <c r="M117" i="34"/>
  <c r="N117" i="34"/>
  <c r="O117" i="34"/>
  <c r="P117" i="34"/>
  <c r="A118" i="34"/>
  <c r="B118" i="34"/>
  <c r="C118" i="34"/>
  <c r="D118" i="34"/>
  <c r="E118" i="34"/>
  <c r="F118" i="34"/>
  <c r="G118" i="34"/>
  <c r="H118" i="34"/>
  <c r="I118" i="34"/>
  <c r="J118" i="34"/>
  <c r="K118" i="34"/>
  <c r="L118" i="34"/>
  <c r="M118" i="34"/>
  <c r="N118" i="34"/>
  <c r="O118" i="34"/>
  <c r="P118" i="34"/>
  <c r="A119" i="34"/>
  <c r="B119" i="34"/>
  <c r="C119" i="34"/>
  <c r="D119" i="34"/>
  <c r="E119" i="34"/>
  <c r="F119" i="34"/>
  <c r="G119" i="34"/>
  <c r="H119" i="34"/>
  <c r="I119" i="34"/>
  <c r="J119" i="34"/>
  <c r="K119" i="34"/>
  <c r="L119" i="34"/>
  <c r="M119" i="34"/>
  <c r="N119" i="34"/>
  <c r="O119" i="34"/>
  <c r="P119" i="34"/>
  <c r="A120" i="34"/>
  <c r="B120" i="34"/>
  <c r="C120" i="34"/>
  <c r="D120" i="34"/>
  <c r="E120" i="34"/>
  <c r="F120" i="34"/>
  <c r="G120" i="34"/>
  <c r="H120" i="34"/>
  <c r="I120" i="34"/>
  <c r="J120" i="34"/>
  <c r="K120" i="34"/>
  <c r="L120" i="34"/>
  <c r="M120" i="34"/>
  <c r="N120" i="34"/>
  <c r="O120" i="34"/>
  <c r="P120" i="34"/>
  <c r="A121" i="34"/>
  <c r="B121" i="34"/>
  <c r="C121" i="34"/>
  <c r="D121" i="34"/>
  <c r="E121" i="34"/>
  <c r="F121" i="34"/>
  <c r="G121" i="34"/>
  <c r="H121" i="34"/>
  <c r="I121" i="34"/>
  <c r="J121" i="34"/>
  <c r="K121" i="34"/>
  <c r="L121" i="34"/>
  <c r="M121" i="34"/>
  <c r="N121" i="34"/>
  <c r="O121" i="34"/>
  <c r="P121" i="34"/>
  <c r="A122" i="34"/>
  <c r="B122" i="34"/>
  <c r="C122" i="34"/>
  <c r="D122" i="34"/>
  <c r="E122" i="34"/>
  <c r="F122" i="34"/>
  <c r="G122" i="34"/>
  <c r="H122" i="34"/>
  <c r="I122" i="34"/>
  <c r="J122" i="34"/>
  <c r="K122" i="34"/>
  <c r="L122" i="34"/>
  <c r="M122" i="34"/>
  <c r="N122" i="34"/>
  <c r="O122" i="34"/>
  <c r="P122" i="34"/>
  <c r="A123" i="34"/>
  <c r="B123" i="34"/>
  <c r="C123" i="34"/>
  <c r="D123" i="34"/>
  <c r="E123" i="34"/>
  <c r="F123" i="34"/>
  <c r="G123" i="34"/>
  <c r="H123" i="34"/>
  <c r="I123" i="34"/>
  <c r="J123" i="34"/>
  <c r="K123" i="34"/>
  <c r="L123" i="34"/>
  <c r="M123" i="34"/>
  <c r="N123" i="34"/>
  <c r="O123" i="34"/>
  <c r="P123" i="34"/>
  <c r="A124" i="34"/>
  <c r="B124" i="34"/>
  <c r="C124" i="34"/>
  <c r="D124" i="34"/>
  <c r="E124" i="34"/>
  <c r="F124" i="34"/>
  <c r="G124" i="34"/>
  <c r="H124" i="34"/>
  <c r="I124" i="34"/>
  <c r="J124" i="34"/>
  <c r="K124" i="34"/>
  <c r="L124" i="34"/>
  <c r="M124" i="34"/>
  <c r="N124" i="34"/>
  <c r="O124" i="34"/>
  <c r="P124" i="34"/>
  <c r="A125" i="34"/>
  <c r="B125" i="34"/>
  <c r="C125" i="34"/>
  <c r="D125" i="34"/>
  <c r="E125" i="34"/>
  <c r="F125" i="34"/>
  <c r="G125" i="34"/>
  <c r="H125" i="34"/>
  <c r="I125" i="34"/>
  <c r="J125" i="34"/>
  <c r="K125" i="34"/>
  <c r="L125" i="34"/>
  <c r="M125" i="34"/>
  <c r="N125" i="34"/>
  <c r="O125" i="34"/>
  <c r="P125" i="34"/>
  <c r="A126" i="34"/>
  <c r="B126" i="34"/>
  <c r="C126" i="34"/>
  <c r="D126" i="34"/>
  <c r="E126" i="34"/>
  <c r="F126" i="34"/>
  <c r="G126" i="34"/>
  <c r="H126" i="34"/>
  <c r="I126" i="34"/>
  <c r="J126" i="34"/>
  <c r="K126" i="34"/>
  <c r="L126" i="34"/>
  <c r="M126" i="34"/>
  <c r="N126" i="34"/>
  <c r="O126" i="34"/>
  <c r="P126" i="34"/>
  <c r="A127" i="34"/>
  <c r="B127" i="34"/>
  <c r="C127" i="34"/>
  <c r="D127" i="34"/>
  <c r="E127" i="34"/>
  <c r="F127" i="34"/>
  <c r="G127" i="34"/>
  <c r="H127" i="34"/>
  <c r="I127" i="34"/>
  <c r="J127" i="34"/>
  <c r="K127" i="34"/>
  <c r="L127" i="34"/>
  <c r="M127" i="34"/>
  <c r="N127" i="34"/>
  <c r="O127" i="34"/>
  <c r="P127" i="34"/>
  <c r="A128" i="34"/>
  <c r="B128" i="34"/>
  <c r="C128" i="34"/>
  <c r="D128" i="34"/>
  <c r="E128" i="34"/>
  <c r="F128" i="34"/>
  <c r="G128" i="34"/>
  <c r="H128" i="34"/>
  <c r="I128" i="34"/>
  <c r="J128" i="34"/>
  <c r="K128" i="34"/>
  <c r="L128" i="34"/>
  <c r="M128" i="34"/>
  <c r="N128" i="34"/>
  <c r="O128" i="34"/>
  <c r="P128" i="34"/>
  <c r="A129" i="34"/>
  <c r="B129" i="34"/>
  <c r="C129" i="34"/>
  <c r="D129" i="34"/>
  <c r="E129" i="34"/>
  <c r="F129" i="34"/>
  <c r="G129" i="34"/>
  <c r="H129" i="34"/>
  <c r="I129" i="34"/>
  <c r="J129" i="34"/>
  <c r="K129" i="34"/>
  <c r="L129" i="34"/>
  <c r="M129" i="34"/>
  <c r="N129" i="34"/>
  <c r="O129" i="34"/>
  <c r="P129" i="34"/>
  <c r="A130" i="34"/>
  <c r="B130" i="34"/>
  <c r="C130" i="34"/>
  <c r="D130" i="34"/>
  <c r="E130" i="34"/>
  <c r="F130" i="34"/>
  <c r="G130" i="34"/>
  <c r="H130" i="34"/>
  <c r="I130" i="34"/>
  <c r="J130" i="34"/>
  <c r="K130" i="34"/>
  <c r="L130" i="34"/>
  <c r="M130" i="34"/>
  <c r="N130" i="34"/>
  <c r="O130" i="34"/>
  <c r="P130" i="34"/>
  <c r="A131" i="34"/>
  <c r="B131" i="34"/>
  <c r="C131" i="34"/>
  <c r="D131" i="34"/>
  <c r="E131" i="34"/>
  <c r="F131" i="34"/>
  <c r="G131" i="34"/>
  <c r="H131" i="34"/>
  <c r="I131" i="34"/>
  <c r="J131" i="34"/>
  <c r="K131" i="34"/>
  <c r="L131" i="34"/>
  <c r="M131" i="34"/>
  <c r="N131" i="34"/>
  <c r="O131" i="34"/>
  <c r="P131" i="34"/>
  <c r="A132" i="34"/>
  <c r="B132" i="34"/>
  <c r="C132" i="34"/>
  <c r="D132" i="34"/>
  <c r="E132" i="34"/>
  <c r="F132" i="34"/>
  <c r="G132" i="34"/>
  <c r="H132" i="34"/>
  <c r="I132" i="34"/>
  <c r="J132" i="34"/>
  <c r="K132" i="34"/>
  <c r="L132" i="34"/>
  <c r="M132" i="34"/>
  <c r="N132" i="34"/>
  <c r="O132" i="34"/>
  <c r="P132" i="34"/>
  <c r="A133" i="34"/>
  <c r="B133" i="34"/>
  <c r="C133" i="34"/>
  <c r="D133" i="34"/>
  <c r="E133" i="34"/>
  <c r="F133" i="34"/>
  <c r="G133" i="34"/>
  <c r="H133" i="34"/>
  <c r="I133" i="34"/>
  <c r="J133" i="34"/>
  <c r="K133" i="34"/>
  <c r="L133" i="34"/>
  <c r="M133" i="34"/>
  <c r="N133" i="34"/>
  <c r="O133" i="34"/>
  <c r="P133" i="34"/>
  <c r="A134" i="34"/>
  <c r="B134" i="34"/>
  <c r="C134" i="34"/>
  <c r="D134" i="34"/>
  <c r="E134" i="34"/>
  <c r="F134" i="34"/>
  <c r="G134" i="34"/>
  <c r="H134" i="34"/>
  <c r="I134" i="34"/>
  <c r="J134" i="34"/>
  <c r="K134" i="34"/>
  <c r="L134" i="34"/>
  <c r="M134" i="34"/>
  <c r="N134" i="34"/>
  <c r="O134" i="34"/>
  <c r="P134" i="34"/>
  <c r="A135" i="34"/>
  <c r="B135" i="34"/>
  <c r="C135" i="34"/>
  <c r="D135" i="34"/>
  <c r="E135" i="34"/>
  <c r="F135" i="34"/>
  <c r="G135" i="34"/>
  <c r="H135" i="34"/>
  <c r="I135" i="34"/>
  <c r="J135" i="34"/>
  <c r="K135" i="34"/>
  <c r="L135" i="34"/>
  <c r="M135" i="34"/>
  <c r="N135" i="34"/>
  <c r="O135" i="34"/>
  <c r="P135" i="34"/>
  <c r="A136" i="34"/>
  <c r="B136" i="34"/>
  <c r="C136" i="34"/>
  <c r="D136" i="34"/>
  <c r="E136" i="34"/>
  <c r="F136" i="34"/>
  <c r="G136" i="34"/>
  <c r="H136" i="34"/>
  <c r="I136" i="34"/>
  <c r="J136" i="34"/>
  <c r="K136" i="34"/>
  <c r="L136" i="34"/>
  <c r="M136" i="34"/>
  <c r="N136" i="34"/>
  <c r="O136" i="34"/>
  <c r="P136" i="34"/>
  <c r="A137" i="34"/>
  <c r="B137" i="34"/>
  <c r="C137" i="34"/>
  <c r="D137" i="34"/>
  <c r="E137" i="34"/>
  <c r="F137" i="34"/>
  <c r="G137" i="34"/>
  <c r="H137" i="34"/>
  <c r="I137" i="34"/>
  <c r="J137" i="34"/>
  <c r="K137" i="34"/>
  <c r="L137" i="34"/>
  <c r="M137" i="34"/>
  <c r="N137" i="34"/>
  <c r="O137" i="34"/>
  <c r="P137" i="34"/>
  <c r="A138" i="34"/>
  <c r="B138" i="34"/>
  <c r="C138" i="34"/>
  <c r="D138" i="34"/>
  <c r="E138" i="34"/>
  <c r="F138" i="34"/>
  <c r="G138" i="34"/>
  <c r="H138" i="34"/>
  <c r="I138" i="34"/>
  <c r="J138" i="34"/>
  <c r="K138" i="34"/>
  <c r="L138" i="34"/>
  <c r="M138" i="34"/>
  <c r="N138" i="34"/>
  <c r="O138" i="34"/>
  <c r="P138" i="34"/>
  <c r="A139" i="34"/>
  <c r="B139" i="34"/>
  <c r="C139" i="34"/>
  <c r="D139" i="34"/>
  <c r="E139" i="34"/>
  <c r="F139" i="34"/>
  <c r="G139" i="34"/>
  <c r="H139" i="34"/>
  <c r="I139" i="34"/>
  <c r="J139" i="34"/>
  <c r="K139" i="34"/>
  <c r="L139" i="34"/>
  <c r="M139" i="34"/>
  <c r="N139" i="34"/>
  <c r="O139" i="34"/>
  <c r="P139" i="34"/>
  <c r="A140" i="34"/>
  <c r="B140" i="34"/>
  <c r="C140" i="34"/>
  <c r="D140" i="34"/>
  <c r="E140" i="34"/>
  <c r="F140" i="34"/>
  <c r="G140" i="34"/>
  <c r="H140" i="34"/>
  <c r="I140" i="34"/>
  <c r="J140" i="34"/>
  <c r="K140" i="34"/>
  <c r="L140" i="34"/>
  <c r="M140" i="34"/>
  <c r="N140" i="34"/>
  <c r="O140" i="34"/>
  <c r="P140" i="34"/>
  <c r="A141" i="34"/>
  <c r="B141" i="34"/>
  <c r="C141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A142" i="34"/>
  <c r="B142" i="34"/>
  <c r="C142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A143" i="34"/>
  <c r="B143" i="34"/>
  <c r="C143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A144" i="34"/>
  <c r="B144" i="34"/>
  <c r="C144" i="34"/>
  <c r="D144" i="34"/>
  <c r="E144" i="34"/>
  <c r="F144" i="34"/>
  <c r="G144" i="34"/>
  <c r="H144" i="34"/>
  <c r="I144" i="34"/>
  <c r="J144" i="34"/>
  <c r="K144" i="34"/>
  <c r="L144" i="34"/>
  <c r="M144" i="34"/>
  <c r="N144" i="34"/>
  <c r="O144" i="34"/>
  <c r="P144" i="34"/>
  <c r="A145" i="34"/>
  <c r="B145" i="34"/>
  <c r="C145" i="34"/>
  <c r="D145" i="34"/>
  <c r="E145" i="34"/>
  <c r="F145" i="34"/>
  <c r="G145" i="34"/>
  <c r="H145" i="34"/>
  <c r="I145" i="34"/>
  <c r="J145" i="34"/>
  <c r="K145" i="34"/>
  <c r="L145" i="34"/>
  <c r="M145" i="34"/>
  <c r="N145" i="34"/>
  <c r="O145" i="34"/>
  <c r="P145" i="34"/>
  <c r="A146" i="34"/>
  <c r="B146" i="34"/>
  <c r="C146" i="34"/>
  <c r="D146" i="34"/>
  <c r="E146" i="34"/>
  <c r="F146" i="34"/>
  <c r="G146" i="34"/>
  <c r="H146" i="34"/>
  <c r="I146" i="34"/>
  <c r="J146" i="34"/>
  <c r="K146" i="34"/>
  <c r="L146" i="34"/>
  <c r="M146" i="34"/>
  <c r="N146" i="34"/>
  <c r="O146" i="34"/>
  <c r="P146" i="34"/>
  <c r="A147" i="34"/>
  <c r="B147" i="34"/>
  <c r="C147" i="34"/>
  <c r="D147" i="34"/>
  <c r="E147" i="34"/>
  <c r="F147" i="34"/>
  <c r="G147" i="34"/>
  <c r="H147" i="34"/>
  <c r="I147" i="34"/>
  <c r="J147" i="34"/>
  <c r="K147" i="34"/>
  <c r="L147" i="34"/>
  <c r="M147" i="34"/>
  <c r="N147" i="34"/>
  <c r="O147" i="34"/>
  <c r="P147" i="34"/>
  <c r="A148" i="34"/>
  <c r="B148" i="34"/>
  <c r="C148" i="34"/>
  <c r="D148" i="34"/>
  <c r="E148" i="34"/>
  <c r="F148" i="34"/>
  <c r="G148" i="34"/>
  <c r="H148" i="34"/>
  <c r="I148" i="34"/>
  <c r="J148" i="34"/>
  <c r="K148" i="34"/>
  <c r="L148" i="34"/>
  <c r="M148" i="34"/>
  <c r="N148" i="34"/>
  <c r="O148" i="34"/>
  <c r="P148" i="34"/>
  <c r="A149" i="34"/>
  <c r="B149" i="34"/>
  <c r="C149" i="34"/>
  <c r="D149" i="34"/>
  <c r="E149" i="34"/>
  <c r="F149" i="34"/>
  <c r="G149" i="34"/>
  <c r="H149" i="34"/>
  <c r="I149" i="34"/>
  <c r="J149" i="34"/>
  <c r="K149" i="34"/>
  <c r="L149" i="34"/>
  <c r="M149" i="34"/>
  <c r="N149" i="34"/>
  <c r="O149" i="34"/>
  <c r="P149" i="34"/>
  <c r="A150" i="34"/>
  <c r="B150" i="34"/>
  <c r="C150" i="34"/>
  <c r="D150" i="34"/>
  <c r="E150" i="34"/>
  <c r="F150" i="34"/>
  <c r="G150" i="34"/>
  <c r="H150" i="34"/>
  <c r="I150" i="34"/>
  <c r="J150" i="34"/>
  <c r="K150" i="34"/>
  <c r="L150" i="34"/>
  <c r="M150" i="34"/>
  <c r="N150" i="34"/>
  <c r="O150" i="34"/>
  <c r="P150" i="34"/>
  <c r="A151" i="34"/>
  <c r="B151" i="34"/>
  <c r="C151" i="34"/>
  <c r="D151" i="34"/>
  <c r="E151" i="34"/>
  <c r="F151" i="34"/>
  <c r="G151" i="34"/>
  <c r="H151" i="34"/>
  <c r="I151" i="34"/>
  <c r="J151" i="34"/>
  <c r="K151" i="34"/>
  <c r="L151" i="34"/>
  <c r="M151" i="34"/>
  <c r="N151" i="34"/>
  <c r="O151" i="34"/>
  <c r="P151" i="34"/>
  <c r="A152" i="34"/>
  <c r="B152" i="34"/>
  <c r="C152" i="34"/>
  <c r="D152" i="34"/>
  <c r="E152" i="34"/>
  <c r="F152" i="34"/>
  <c r="G152" i="34"/>
  <c r="H152" i="34"/>
  <c r="I152" i="34"/>
  <c r="J152" i="34"/>
  <c r="K152" i="34"/>
  <c r="L152" i="34"/>
  <c r="M152" i="34"/>
  <c r="N152" i="34"/>
  <c r="O152" i="34"/>
  <c r="P152" i="34"/>
  <c r="A153" i="34"/>
  <c r="B153" i="34"/>
  <c r="C153" i="34"/>
  <c r="D153" i="34"/>
  <c r="E153" i="34"/>
  <c r="F153" i="34"/>
  <c r="G153" i="34"/>
  <c r="H153" i="34"/>
  <c r="I153" i="34"/>
  <c r="J153" i="34"/>
  <c r="K153" i="34"/>
  <c r="L153" i="34"/>
  <c r="M153" i="34"/>
  <c r="N153" i="34"/>
  <c r="O153" i="34"/>
  <c r="P153" i="34"/>
  <c r="A154" i="34"/>
  <c r="B154" i="34"/>
  <c r="C154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A155" i="34"/>
  <c r="B155" i="34"/>
  <c r="C155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A156" i="34"/>
  <c r="B156" i="34"/>
  <c r="C156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A157" i="34"/>
  <c r="B157" i="34"/>
  <c r="C157" i="34"/>
  <c r="D157" i="34"/>
  <c r="E157" i="34"/>
  <c r="F157" i="34"/>
  <c r="G157" i="34"/>
  <c r="H157" i="34"/>
  <c r="I157" i="34"/>
  <c r="J157" i="34"/>
  <c r="K157" i="34"/>
  <c r="L157" i="34"/>
  <c r="M157" i="34"/>
  <c r="N157" i="34"/>
  <c r="O157" i="34"/>
  <c r="P157" i="34"/>
  <c r="A158" i="34"/>
  <c r="B158" i="34"/>
  <c r="C158" i="34"/>
  <c r="D158" i="34"/>
  <c r="E158" i="34"/>
  <c r="F158" i="34"/>
  <c r="G158" i="34"/>
  <c r="H158" i="34"/>
  <c r="I158" i="34"/>
  <c r="J158" i="34"/>
  <c r="K158" i="34"/>
  <c r="L158" i="34"/>
  <c r="M158" i="34"/>
  <c r="N158" i="34"/>
  <c r="O158" i="34"/>
  <c r="P158" i="34"/>
  <c r="A159" i="34"/>
  <c r="B159" i="34"/>
  <c r="C159" i="34"/>
  <c r="D159" i="34"/>
  <c r="E159" i="34"/>
  <c r="F159" i="34"/>
  <c r="G159" i="34"/>
  <c r="H159" i="34"/>
  <c r="I159" i="34"/>
  <c r="J159" i="34"/>
  <c r="K159" i="34"/>
  <c r="L159" i="34"/>
  <c r="M159" i="34"/>
  <c r="N159" i="34"/>
  <c r="O159" i="34"/>
  <c r="P159" i="34"/>
  <c r="A160" i="34"/>
  <c r="B160" i="34"/>
  <c r="C160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A161" i="34"/>
  <c r="B161" i="34"/>
  <c r="C161" i="34"/>
  <c r="D161" i="34"/>
  <c r="E161" i="34"/>
  <c r="F161" i="34"/>
  <c r="G161" i="34"/>
  <c r="H161" i="34"/>
  <c r="I161" i="34"/>
  <c r="J161" i="34"/>
  <c r="K161" i="34"/>
  <c r="L161" i="34"/>
  <c r="M161" i="34"/>
  <c r="N161" i="34"/>
  <c r="O161" i="34"/>
  <c r="P161" i="34"/>
  <c r="A162" i="34"/>
  <c r="B162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A163" i="34"/>
  <c r="B163" i="34"/>
  <c r="C163" i="34"/>
  <c r="D163" i="34"/>
  <c r="E163" i="34"/>
  <c r="F163" i="34"/>
  <c r="G163" i="34"/>
  <c r="H163" i="34"/>
  <c r="I163" i="34"/>
  <c r="J163" i="34"/>
  <c r="K163" i="34"/>
  <c r="L163" i="34"/>
  <c r="M163" i="34"/>
  <c r="N163" i="34"/>
  <c r="O163" i="34"/>
  <c r="P163" i="34"/>
  <c r="A164" i="34"/>
  <c r="B164" i="34"/>
  <c r="C164" i="34"/>
  <c r="D164" i="34"/>
  <c r="E164" i="34"/>
  <c r="F164" i="34"/>
  <c r="G164" i="34"/>
  <c r="H164" i="34"/>
  <c r="I164" i="34"/>
  <c r="J164" i="34"/>
  <c r="K164" i="34"/>
  <c r="L164" i="34"/>
  <c r="M164" i="34"/>
  <c r="N164" i="34"/>
  <c r="O164" i="34"/>
  <c r="P164" i="34"/>
  <c r="A165" i="34"/>
  <c r="B165" i="34"/>
  <c r="C165" i="34"/>
  <c r="D165" i="34"/>
  <c r="E165" i="34"/>
  <c r="F165" i="34"/>
  <c r="G165" i="34"/>
  <c r="H165" i="34"/>
  <c r="I165" i="34"/>
  <c r="J165" i="34"/>
  <c r="K165" i="34"/>
  <c r="L165" i="34"/>
  <c r="M165" i="34"/>
  <c r="N165" i="34"/>
  <c r="O165" i="34"/>
  <c r="P165" i="34"/>
  <c r="A166" i="34"/>
  <c r="B166" i="34"/>
  <c r="C166" i="34"/>
  <c r="D166" i="34"/>
  <c r="E166" i="34"/>
  <c r="F166" i="34"/>
  <c r="G166" i="34"/>
  <c r="H166" i="34"/>
  <c r="I166" i="34"/>
  <c r="J166" i="34"/>
  <c r="K166" i="34"/>
  <c r="L166" i="34"/>
  <c r="M166" i="34"/>
  <c r="N166" i="34"/>
  <c r="O166" i="34"/>
  <c r="P166" i="34"/>
  <c r="A167" i="34"/>
  <c r="B167" i="34"/>
  <c r="C167" i="34"/>
  <c r="D167" i="34"/>
  <c r="E167" i="34"/>
  <c r="F167" i="34"/>
  <c r="G167" i="34"/>
  <c r="H167" i="34"/>
  <c r="I167" i="34"/>
  <c r="J167" i="34"/>
  <c r="K167" i="34"/>
  <c r="L167" i="34"/>
  <c r="M167" i="34"/>
  <c r="N167" i="34"/>
  <c r="O167" i="34"/>
  <c r="P167" i="34"/>
  <c r="A168" i="34"/>
  <c r="B168" i="34"/>
  <c r="C168" i="34"/>
  <c r="D168" i="34"/>
  <c r="E168" i="34"/>
  <c r="F168" i="34"/>
  <c r="G168" i="34"/>
  <c r="H168" i="34"/>
  <c r="I168" i="34"/>
  <c r="J168" i="34"/>
  <c r="K168" i="34"/>
  <c r="L168" i="34"/>
  <c r="M168" i="34"/>
  <c r="N168" i="34"/>
  <c r="O168" i="34"/>
  <c r="P168" i="34"/>
  <c r="A169" i="34"/>
  <c r="B169" i="34"/>
  <c r="C169" i="34"/>
  <c r="D169" i="34"/>
  <c r="E169" i="34"/>
  <c r="F169" i="34"/>
  <c r="G169" i="34"/>
  <c r="H169" i="34"/>
  <c r="I169" i="34"/>
  <c r="J169" i="34"/>
  <c r="K169" i="34"/>
  <c r="L169" i="34"/>
  <c r="M169" i="34"/>
  <c r="N169" i="34"/>
  <c r="O169" i="34"/>
  <c r="P169" i="34"/>
  <c r="A170" i="34"/>
  <c r="B170" i="34"/>
  <c r="C170" i="34"/>
  <c r="D170" i="34"/>
  <c r="E170" i="34"/>
  <c r="F170" i="34"/>
  <c r="G170" i="34"/>
  <c r="H170" i="34"/>
  <c r="I170" i="34"/>
  <c r="J170" i="34"/>
  <c r="K170" i="34"/>
  <c r="L170" i="34"/>
  <c r="M170" i="34"/>
  <c r="N170" i="34"/>
  <c r="O170" i="34"/>
  <c r="P170" i="34"/>
  <c r="A171" i="34"/>
  <c r="B171" i="34"/>
  <c r="C171" i="34"/>
  <c r="D171" i="34"/>
  <c r="E171" i="34"/>
  <c r="F171" i="34"/>
  <c r="G171" i="34"/>
  <c r="H171" i="34"/>
  <c r="I171" i="34"/>
  <c r="J171" i="34"/>
  <c r="K171" i="34"/>
  <c r="L171" i="34"/>
  <c r="M171" i="34"/>
  <c r="N171" i="34"/>
  <c r="O171" i="34"/>
  <c r="P171" i="34"/>
  <c r="A172" i="34"/>
  <c r="B172" i="34"/>
  <c r="C172" i="34"/>
  <c r="D172" i="34"/>
  <c r="E172" i="34"/>
  <c r="F172" i="34"/>
  <c r="G172" i="34"/>
  <c r="H172" i="34"/>
  <c r="I172" i="34"/>
  <c r="J172" i="34"/>
  <c r="K172" i="34"/>
  <c r="L172" i="34"/>
  <c r="M172" i="34"/>
  <c r="N172" i="34"/>
  <c r="O172" i="34"/>
  <c r="P172" i="34"/>
  <c r="A173" i="34"/>
  <c r="B173" i="34"/>
  <c r="C173" i="34"/>
  <c r="D173" i="34"/>
  <c r="E173" i="34"/>
  <c r="F173" i="34"/>
  <c r="G173" i="34"/>
  <c r="H173" i="34"/>
  <c r="I173" i="34"/>
  <c r="J173" i="34"/>
  <c r="K173" i="34"/>
  <c r="L173" i="34"/>
  <c r="M173" i="34"/>
  <c r="N173" i="34"/>
  <c r="O173" i="34"/>
  <c r="P173" i="34"/>
  <c r="A174" i="34"/>
  <c r="B174" i="34"/>
  <c r="C174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A175" i="34"/>
  <c r="B175" i="34"/>
  <c r="C175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A176" i="34"/>
  <c r="B176" i="34"/>
  <c r="C176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A177" i="34"/>
  <c r="B177" i="34"/>
  <c r="C177" i="34"/>
  <c r="D177" i="34"/>
  <c r="E177" i="34"/>
  <c r="F177" i="34"/>
  <c r="G177" i="34"/>
  <c r="H177" i="34"/>
  <c r="I177" i="34"/>
  <c r="J177" i="34"/>
  <c r="K177" i="34"/>
  <c r="L177" i="34"/>
  <c r="M177" i="34"/>
  <c r="N177" i="34"/>
  <c r="O177" i="34"/>
  <c r="P177" i="34"/>
  <c r="A178" i="34"/>
  <c r="B178" i="34"/>
  <c r="C178" i="34"/>
  <c r="D178" i="34"/>
  <c r="E178" i="34"/>
  <c r="F178" i="34"/>
  <c r="G178" i="34"/>
  <c r="H178" i="34"/>
  <c r="I178" i="34"/>
  <c r="J178" i="34"/>
  <c r="K178" i="34"/>
  <c r="L178" i="34"/>
  <c r="M178" i="34"/>
  <c r="N178" i="34"/>
  <c r="O178" i="34"/>
  <c r="P178" i="34"/>
  <c r="A179" i="34"/>
  <c r="B179" i="34"/>
  <c r="C179" i="34"/>
  <c r="D179" i="34"/>
  <c r="E179" i="34"/>
  <c r="F179" i="34"/>
  <c r="G179" i="34"/>
  <c r="H179" i="34"/>
  <c r="I179" i="34"/>
  <c r="J179" i="34"/>
  <c r="K179" i="34"/>
  <c r="L179" i="34"/>
  <c r="M179" i="34"/>
  <c r="N179" i="34"/>
  <c r="O179" i="34"/>
  <c r="P179" i="34"/>
  <c r="A180" i="34"/>
  <c r="B180" i="34"/>
  <c r="C180" i="34"/>
  <c r="D180" i="34"/>
  <c r="E180" i="34"/>
  <c r="F180" i="34"/>
  <c r="G180" i="34"/>
  <c r="H180" i="34"/>
  <c r="I180" i="34"/>
  <c r="J180" i="34"/>
  <c r="K180" i="34"/>
  <c r="L180" i="34"/>
  <c r="M180" i="34"/>
  <c r="N180" i="34"/>
  <c r="O180" i="34"/>
  <c r="P180" i="34"/>
  <c r="A181" i="34"/>
  <c r="B181" i="34"/>
  <c r="C181" i="34"/>
  <c r="D181" i="34"/>
  <c r="E181" i="34"/>
  <c r="F181" i="34"/>
  <c r="G181" i="34"/>
  <c r="H181" i="34"/>
  <c r="I181" i="34"/>
  <c r="J181" i="34"/>
  <c r="K181" i="34"/>
  <c r="L181" i="34"/>
  <c r="M181" i="34"/>
  <c r="N181" i="34"/>
  <c r="O181" i="34"/>
  <c r="P181" i="34"/>
  <c r="A182" i="34"/>
  <c r="B182" i="34"/>
  <c r="C182" i="34"/>
  <c r="D182" i="34"/>
  <c r="E182" i="34"/>
  <c r="F182" i="34"/>
  <c r="G182" i="34"/>
  <c r="H182" i="34"/>
  <c r="I182" i="34"/>
  <c r="J182" i="34"/>
  <c r="K182" i="34"/>
  <c r="L182" i="34"/>
  <c r="M182" i="34"/>
  <c r="N182" i="34"/>
  <c r="O182" i="34"/>
  <c r="P182" i="34"/>
  <c r="A183" i="34"/>
  <c r="B183" i="34"/>
  <c r="C183" i="34"/>
  <c r="D183" i="34"/>
  <c r="E183" i="34"/>
  <c r="F183" i="34"/>
  <c r="G183" i="34"/>
  <c r="H183" i="34"/>
  <c r="I183" i="34"/>
  <c r="J183" i="34"/>
  <c r="K183" i="34"/>
  <c r="L183" i="34"/>
  <c r="M183" i="34"/>
  <c r="N183" i="34"/>
  <c r="O183" i="34"/>
  <c r="P183" i="34"/>
  <c r="A184" i="34"/>
  <c r="B184" i="34"/>
  <c r="C184" i="34"/>
  <c r="D184" i="34"/>
  <c r="E184" i="34"/>
  <c r="F184" i="34"/>
  <c r="G184" i="34"/>
  <c r="H184" i="34"/>
  <c r="I184" i="34"/>
  <c r="J184" i="34"/>
  <c r="K184" i="34"/>
  <c r="L184" i="34"/>
  <c r="M184" i="34"/>
  <c r="N184" i="34"/>
  <c r="O184" i="34"/>
  <c r="P184" i="34"/>
  <c r="A185" i="34"/>
  <c r="B185" i="34"/>
  <c r="C185" i="34"/>
  <c r="D185" i="34"/>
  <c r="E185" i="34"/>
  <c r="F185" i="34"/>
  <c r="G185" i="34"/>
  <c r="H185" i="34"/>
  <c r="I185" i="34"/>
  <c r="J185" i="34"/>
  <c r="K185" i="34"/>
  <c r="L185" i="34"/>
  <c r="M185" i="34"/>
  <c r="N185" i="34"/>
  <c r="O185" i="34"/>
  <c r="P185" i="34"/>
  <c r="A186" i="34"/>
  <c r="B186" i="34"/>
  <c r="C186" i="34"/>
  <c r="D186" i="34"/>
  <c r="E186" i="34"/>
  <c r="F186" i="34"/>
  <c r="G186" i="34"/>
  <c r="H186" i="34"/>
  <c r="I186" i="34"/>
  <c r="J186" i="34"/>
  <c r="K186" i="34"/>
  <c r="L186" i="34"/>
  <c r="M186" i="34"/>
  <c r="N186" i="34"/>
  <c r="O186" i="34"/>
  <c r="P186" i="34"/>
  <c r="A187" i="34"/>
  <c r="B187" i="34"/>
  <c r="C187" i="34"/>
  <c r="D187" i="34"/>
  <c r="E187" i="34"/>
  <c r="F187" i="34"/>
  <c r="G187" i="34"/>
  <c r="H187" i="34"/>
  <c r="I187" i="34"/>
  <c r="J187" i="34"/>
  <c r="K187" i="34"/>
  <c r="L187" i="34"/>
  <c r="M187" i="34"/>
  <c r="N187" i="34"/>
  <c r="O187" i="34"/>
  <c r="P187" i="34"/>
  <c r="A188" i="34"/>
  <c r="B188" i="34"/>
  <c r="C188" i="34"/>
  <c r="D188" i="34"/>
  <c r="E188" i="34"/>
  <c r="F188" i="34"/>
  <c r="G188" i="34"/>
  <c r="H188" i="34"/>
  <c r="I188" i="34"/>
  <c r="J188" i="34"/>
  <c r="K188" i="34"/>
  <c r="L188" i="34"/>
  <c r="M188" i="34"/>
  <c r="N188" i="34"/>
  <c r="O188" i="34"/>
  <c r="P188" i="34"/>
  <c r="A189" i="34"/>
  <c r="B189" i="34"/>
  <c r="C189" i="34"/>
  <c r="D189" i="34"/>
  <c r="E189" i="34"/>
  <c r="F189" i="34"/>
  <c r="G189" i="34"/>
  <c r="H189" i="34"/>
  <c r="I189" i="34"/>
  <c r="J189" i="34"/>
  <c r="K189" i="34"/>
  <c r="L189" i="34"/>
  <c r="M189" i="34"/>
  <c r="N189" i="34"/>
  <c r="O189" i="34"/>
  <c r="P189" i="34"/>
  <c r="A190" i="34"/>
  <c r="B190" i="34"/>
  <c r="C190" i="34"/>
  <c r="D190" i="34"/>
  <c r="E190" i="34"/>
  <c r="F190" i="34"/>
  <c r="G190" i="34"/>
  <c r="H190" i="34"/>
  <c r="I190" i="34"/>
  <c r="J190" i="34"/>
  <c r="K190" i="34"/>
  <c r="L190" i="34"/>
  <c r="M190" i="34"/>
  <c r="N190" i="34"/>
  <c r="O190" i="34"/>
  <c r="P190" i="34"/>
  <c r="A191" i="34"/>
  <c r="B191" i="34"/>
  <c r="C191" i="34"/>
  <c r="D191" i="34"/>
  <c r="E191" i="34"/>
  <c r="F191" i="34"/>
  <c r="G191" i="34"/>
  <c r="H191" i="34"/>
  <c r="I191" i="34"/>
  <c r="J191" i="34"/>
  <c r="K191" i="34"/>
  <c r="L191" i="34"/>
  <c r="M191" i="34"/>
  <c r="N191" i="34"/>
  <c r="O191" i="34"/>
  <c r="P191" i="34"/>
  <c r="A192" i="34"/>
  <c r="B192" i="34"/>
  <c r="C192" i="34"/>
  <c r="D192" i="34"/>
  <c r="E192" i="34"/>
  <c r="F192" i="34"/>
  <c r="G192" i="34"/>
  <c r="H192" i="34"/>
  <c r="I192" i="34"/>
  <c r="J192" i="34"/>
  <c r="K192" i="34"/>
  <c r="L192" i="34"/>
  <c r="M192" i="34"/>
  <c r="N192" i="34"/>
  <c r="O192" i="34"/>
  <c r="P192" i="34"/>
  <c r="A193" i="34"/>
  <c r="B193" i="34"/>
  <c r="C193" i="34"/>
  <c r="D193" i="34"/>
  <c r="E193" i="34"/>
  <c r="F193" i="34"/>
  <c r="G193" i="34"/>
  <c r="H193" i="34"/>
  <c r="I193" i="34"/>
  <c r="J193" i="34"/>
  <c r="K193" i="34"/>
  <c r="L193" i="34"/>
  <c r="M193" i="34"/>
  <c r="N193" i="34"/>
  <c r="O193" i="34"/>
  <c r="P193" i="34"/>
  <c r="A194" i="34"/>
  <c r="B194" i="34"/>
  <c r="C194" i="34"/>
  <c r="D194" i="34"/>
  <c r="E194" i="34"/>
  <c r="F194" i="34"/>
  <c r="G194" i="34"/>
  <c r="H194" i="34"/>
  <c r="I194" i="34"/>
  <c r="J194" i="34"/>
  <c r="K194" i="34"/>
  <c r="L194" i="34"/>
  <c r="M194" i="34"/>
  <c r="N194" i="34"/>
  <c r="O194" i="34"/>
  <c r="P194" i="34"/>
  <c r="A195" i="34"/>
  <c r="B195" i="34"/>
  <c r="C195" i="34"/>
  <c r="D195" i="34"/>
  <c r="E195" i="34"/>
  <c r="F195" i="34"/>
  <c r="G195" i="34"/>
  <c r="H195" i="34"/>
  <c r="I195" i="34"/>
  <c r="J195" i="34"/>
  <c r="K195" i="34"/>
  <c r="L195" i="34"/>
  <c r="M195" i="34"/>
  <c r="N195" i="34"/>
  <c r="O195" i="34"/>
  <c r="P195" i="34"/>
  <c r="A196" i="34"/>
  <c r="B196" i="34"/>
  <c r="C196" i="34"/>
  <c r="D196" i="34"/>
  <c r="E196" i="34"/>
  <c r="F196" i="34"/>
  <c r="G196" i="34"/>
  <c r="H196" i="34"/>
  <c r="I196" i="34"/>
  <c r="J196" i="34"/>
  <c r="K196" i="34"/>
  <c r="L196" i="34"/>
  <c r="M196" i="34"/>
  <c r="N196" i="34"/>
  <c r="O196" i="34"/>
  <c r="P196" i="34"/>
  <c r="A197" i="34"/>
  <c r="B197" i="34"/>
  <c r="C197" i="34"/>
  <c r="D197" i="34"/>
  <c r="E197" i="34"/>
  <c r="F197" i="34"/>
  <c r="G197" i="34"/>
  <c r="H197" i="34"/>
  <c r="I197" i="34"/>
  <c r="J197" i="34"/>
  <c r="K197" i="34"/>
  <c r="L197" i="34"/>
  <c r="M197" i="34"/>
  <c r="N197" i="34"/>
  <c r="O197" i="34"/>
  <c r="P197" i="34"/>
  <c r="A198" i="34"/>
  <c r="B198" i="34"/>
  <c r="C198" i="34"/>
  <c r="D198" i="34"/>
  <c r="E198" i="34"/>
  <c r="F198" i="34"/>
  <c r="G198" i="34"/>
  <c r="H198" i="34"/>
  <c r="I198" i="34"/>
  <c r="J198" i="34"/>
  <c r="K198" i="34"/>
  <c r="L198" i="34"/>
  <c r="M198" i="34"/>
  <c r="N198" i="34"/>
  <c r="O198" i="34"/>
  <c r="P198" i="34"/>
  <c r="A199" i="34"/>
  <c r="B199" i="34"/>
  <c r="C199" i="34"/>
  <c r="D199" i="34"/>
  <c r="E199" i="34"/>
  <c r="F199" i="34"/>
  <c r="G199" i="34"/>
  <c r="H199" i="34"/>
  <c r="I199" i="34"/>
  <c r="J199" i="34"/>
  <c r="K199" i="34"/>
  <c r="L199" i="34"/>
  <c r="M199" i="34"/>
  <c r="N199" i="34"/>
  <c r="O199" i="34"/>
  <c r="P199" i="34"/>
  <c r="A200" i="34"/>
  <c r="B200" i="34"/>
  <c r="C200" i="34"/>
  <c r="D200" i="34"/>
  <c r="E200" i="34"/>
  <c r="F200" i="34"/>
  <c r="G200" i="34"/>
  <c r="H200" i="34"/>
  <c r="I200" i="34"/>
  <c r="J200" i="34"/>
  <c r="K200" i="34"/>
  <c r="L200" i="34"/>
  <c r="M200" i="34"/>
  <c r="N200" i="34"/>
  <c r="O200" i="34"/>
  <c r="P200" i="34"/>
  <c r="A201" i="34"/>
  <c r="B201" i="34"/>
  <c r="C201" i="34"/>
  <c r="D201" i="34"/>
  <c r="E201" i="34"/>
  <c r="F201" i="34"/>
  <c r="G201" i="34"/>
  <c r="H201" i="34"/>
  <c r="I201" i="34"/>
  <c r="J201" i="34"/>
  <c r="K201" i="34"/>
  <c r="L201" i="34"/>
  <c r="M201" i="34"/>
  <c r="N201" i="34"/>
  <c r="O201" i="34"/>
  <c r="P201" i="34"/>
  <c r="A202" i="34"/>
  <c r="B202" i="34"/>
  <c r="C202" i="34"/>
  <c r="D202" i="34"/>
  <c r="E202" i="34"/>
  <c r="F202" i="34"/>
  <c r="G202" i="34"/>
  <c r="H202" i="34"/>
  <c r="I202" i="34"/>
  <c r="J202" i="34"/>
  <c r="K202" i="34"/>
  <c r="L202" i="34"/>
  <c r="M202" i="34"/>
  <c r="N202" i="34"/>
  <c r="O202" i="34"/>
  <c r="P202" i="34"/>
  <c r="A203" i="34"/>
  <c r="B203" i="34"/>
  <c r="C203" i="34"/>
  <c r="D203" i="34"/>
  <c r="E203" i="34"/>
  <c r="F203" i="34"/>
  <c r="G203" i="34"/>
  <c r="H203" i="34"/>
  <c r="I203" i="34"/>
  <c r="J203" i="34"/>
  <c r="K203" i="34"/>
  <c r="L203" i="34"/>
  <c r="M203" i="34"/>
  <c r="N203" i="34"/>
  <c r="O203" i="34"/>
  <c r="P203" i="34"/>
  <c r="A204" i="34"/>
  <c r="B204" i="34"/>
  <c r="C204" i="34"/>
  <c r="D204" i="34"/>
  <c r="E204" i="34"/>
  <c r="F204" i="34"/>
  <c r="G204" i="34"/>
  <c r="H204" i="34"/>
  <c r="I204" i="34"/>
  <c r="J204" i="34"/>
  <c r="K204" i="34"/>
  <c r="L204" i="34"/>
  <c r="M204" i="34"/>
  <c r="N204" i="34"/>
  <c r="O204" i="34"/>
  <c r="P204" i="34"/>
  <c r="A205" i="34"/>
  <c r="B205" i="34"/>
  <c r="C205" i="34"/>
  <c r="D205" i="34"/>
  <c r="E205" i="34"/>
  <c r="F205" i="34"/>
  <c r="G205" i="34"/>
  <c r="H205" i="34"/>
  <c r="I205" i="34"/>
  <c r="J205" i="34"/>
  <c r="K205" i="34"/>
  <c r="L205" i="34"/>
  <c r="M205" i="34"/>
  <c r="N205" i="34"/>
  <c r="O205" i="34"/>
  <c r="P205" i="34"/>
  <c r="A206" i="34"/>
  <c r="B206" i="34"/>
  <c r="C206" i="34"/>
  <c r="D206" i="34"/>
  <c r="E206" i="34"/>
  <c r="F206" i="34"/>
  <c r="G206" i="34"/>
  <c r="H206" i="34"/>
  <c r="I206" i="34"/>
  <c r="J206" i="34"/>
  <c r="K206" i="34"/>
  <c r="L206" i="34"/>
  <c r="M206" i="34"/>
  <c r="N206" i="34"/>
  <c r="O206" i="34"/>
  <c r="P206" i="34"/>
  <c r="A207" i="34"/>
  <c r="B207" i="34"/>
  <c r="C207" i="34"/>
  <c r="D207" i="34"/>
  <c r="E207" i="34"/>
  <c r="F207" i="34"/>
  <c r="G207" i="34"/>
  <c r="H207" i="34"/>
  <c r="I207" i="34"/>
  <c r="J207" i="34"/>
  <c r="K207" i="34"/>
  <c r="L207" i="34"/>
  <c r="M207" i="34"/>
  <c r="N207" i="34"/>
  <c r="O207" i="34"/>
  <c r="P207" i="34"/>
  <c r="A208" i="34"/>
  <c r="B208" i="34"/>
  <c r="C208" i="34"/>
  <c r="D208" i="34"/>
  <c r="E208" i="34"/>
  <c r="F208" i="34"/>
  <c r="G208" i="34"/>
  <c r="H208" i="34"/>
  <c r="I208" i="34"/>
  <c r="J208" i="34"/>
  <c r="K208" i="34"/>
  <c r="L208" i="34"/>
  <c r="M208" i="34"/>
  <c r="N208" i="34"/>
  <c r="O208" i="34"/>
  <c r="P208" i="34"/>
  <c r="A209" i="34"/>
  <c r="B209" i="34"/>
  <c r="C209" i="34"/>
  <c r="D209" i="34"/>
  <c r="E209" i="34"/>
  <c r="F209" i="34"/>
  <c r="G209" i="34"/>
  <c r="H209" i="34"/>
  <c r="I209" i="34"/>
  <c r="J209" i="34"/>
  <c r="K209" i="34"/>
  <c r="L209" i="34"/>
  <c r="M209" i="34"/>
  <c r="N209" i="34"/>
  <c r="O209" i="34"/>
  <c r="P209" i="34"/>
  <c r="A210" i="34"/>
  <c r="B210" i="34"/>
  <c r="C210" i="34"/>
  <c r="D210" i="34"/>
  <c r="E210" i="34"/>
  <c r="F210" i="34"/>
  <c r="G210" i="34"/>
  <c r="H210" i="34"/>
  <c r="I210" i="34"/>
  <c r="J210" i="34"/>
  <c r="K210" i="34"/>
  <c r="L210" i="34"/>
  <c r="M210" i="34"/>
  <c r="N210" i="34"/>
  <c r="O210" i="34"/>
  <c r="P210" i="34"/>
  <c r="A211" i="34"/>
  <c r="B211" i="34"/>
  <c r="C211" i="34"/>
  <c r="D211" i="34"/>
  <c r="E211" i="34"/>
  <c r="F211" i="34"/>
  <c r="G211" i="34"/>
  <c r="H211" i="34"/>
  <c r="I211" i="34"/>
  <c r="J211" i="34"/>
  <c r="K211" i="34"/>
  <c r="L211" i="34"/>
  <c r="M211" i="34"/>
  <c r="N211" i="34"/>
  <c r="O211" i="34"/>
  <c r="P211" i="34"/>
  <c r="A212" i="34"/>
  <c r="B212" i="34"/>
  <c r="C212" i="34"/>
  <c r="D212" i="34"/>
  <c r="E212" i="34"/>
  <c r="F212" i="34"/>
  <c r="G212" i="34"/>
  <c r="H212" i="34"/>
  <c r="I212" i="34"/>
  <c r="J212" i="34"/>
  <c r="K212" i="34"/>
  <c r="L212" i="34"/>
  <c r="M212" i="34"/>
  <c r="N212" i="34"/>
  <c r="O212" i="34"/>
  <c r="P212" i="34"/>
  <c r="A213" i="34"/>
  <c r="B213" i="34"/>
  <c r="C213" i="34"/>
  <c r="D213" i="34"/>
  <c r="E213" i="34"/>
  <c r="F213" i="34"/>
  <c r="G213" i="34"/>
  <c r="H213" i="34"/>
  <c r="I213" i="34"/>
  <c r="J213" i="34"/>
  <c r="K213" i="34"/>
  <c r="L213" i="34"/>
  <c r="M213" i="34"/>
  <c r="N213" i="34"/>
  <c r="O213" i="34"/>
  <c r="P213" i="34"/>
  <c r="A214" i="34"/>
  <c r="B214" i="34"/>
  <c r="C214" i="34"/>
  <c r="D214" i="34"/>
  <c r="E214" i="34"/>
  <c r="F214" i="34"/>
  <c r="G214" i="34"/>
  <c r="H214" i="34"/>
  <c r="I214" i="34"/>
  <c r="J214" i="34"/>
  <c r="K214" i="34"/>
  <c r="L214" i="34"/>
  <c r="M214" i="34"/>
  <c r="N214" i="34"/>
  <c r="O214" i="34"/>
  <c r="P214" i="34"/>
  <c r="A215" i="34"/>
  <c r="B215" i="34"/>
  <c r="C215" i="34"/>
  <c r="D215" i="34"/>
  <c r="E215" i="34"/>
  <c r="F215" i="34"/>
  <c r="G215" i="34"/>
  <c r="H215" i="34"/>
  <c r="I215" i="34"/>
  <c r="J215" i="34"/>
  <c r="K215" i="34"/>
  <c r="L215" i="34"/>
  <c r="M215" i="34"/>
  <c r="N215" i="34"/>
  <c r="O215" i="34"/>
  <c r="P215" i="34"/>
  <c r="A216" i="34"/>
  <c r="B216" i="34"/>
  <c r="C216" i="34"/>
  <c r="D216" i="34"/>
  <c r="E216" i="34"/>
  <c r="F216" i="34"/>
  <c r="G216" i="34"/>
  <c r="H216" i="34"/>
  <c r="I216" i="34"/>
  <c r="J216" i="34"/>
  <c r="K216" i="34"/>
  <c r="L216" i="34"/>
  <c r="M216" i="34"/>
  <c r="N216" i="34"/>
  <c r="O216" i="34"/>
  <c r="P216" i="34"/>
  <c r="A217" i="34"/>
  <c r="B217" i="34"/>
  <c r="C217" i="34"/>
  <c r="D217" i="34"/>
  <c r="E217" i="34"/>
  <c r="F217" i="34"/>
  <c r="G217" i="34"/>
  <c r="H217" i="34"/>
  <c r="I217" i="34"/>
  <c r="J217" i="34"/>
  <c r="K217" i="34"/>
  <c r="L217" i="34"/>
  <c r="M217" i="34"/>
  <c r="N217" i="34"/>
  <c r="O217" i="34"/>
  <c r="P217" i="34"/>
  <c r="A218" i="34"/>
  <c r="B218" i="34"/>
  <c r="C218" i="34"/>
  <c r="D218" i="34"/>
  <c r="E218" i="34"/>
  <c r="F218" i="34"/>
  <c r="G218" i="34"/>
  <c r="H218" i="34"/>
  <c r="I218" i="34"/>
  <c r="J218" i="34"/>
  <c r="K218" i="34"/>
  <c r="L218" i="34"/>
  <c r="M218" i="34"/>
  <c r="N218" i="34"/>
  <c r="O218" i="34"/>
  <c r="P218" i="34"/>
  <c r="A219" i="34"/>
  <c r="B219" i="34"/>
  <c r="C219" i="34"/>
  <c r="D219" i="34"/>
  <c r="E219" i="34"/>
  <c r="F219" i="34"/>
  <c r="G219" i="34"/>
  <c r="H219" i="34"/>
  <c r="I219" i="34"/>
  <c r="J219" i="34"/>
  <c r="K219" i="34"/>
  <c r="L219" i="34"/>
  <c r="M219" i="34"/>
  <c r="N219" i="34"/>
  <c r="O219" i="34"/>
  <c r="P219" i="34"/>
  <c r="A220" i="34"/>
  <c r="B220" i="34"/>
  <c r="C220" i="34"/>
  <c r="D220" i="34"/>
  <c r="E220" i="34"/>
  <c r="F220" i="34"/>
  <c r="G220" i="34"/>
  <c r="H220" i="34"/>
  <c r="I220" i="34"/>
  <c r="J220" i="34"/>
  <c r="K220" i="34"/>
  <c r="L220" i="34"/>
  <c r="M220" i="34"/>
  <c r="N220" i="34"/>
  <c r="O220" i="34"/>
  <c r="P220" i="34"/>
  <c r="A221" i="34"/>
  <c r="B221" i="34"/>
  <c r="C221" i="34"/>
  <c r="D221" i="34"/>
  <c r="E221" i="34"/>
  <c r="F221" i="34"/>
  <c r="G221" i="34"/>
  <c r="H221" i="34"/>
  <c r="I221" i="34"/>
  <c r="J221" i="34"/>
  <c r="K221" i="34"/>
  <c r="L221" i="34"/>
  <c r="M221" i="34"/>
  <c r="N221" i="34"/>
  <c r="O221" i="34"/>
  <c r="P221" i="34"/>
  <c r="A222" i="34"/>
  <c r="B222" i="34"/>
  <c r="C222" i="34"/>
  <c r="D222" i="34"/>
  <c r="E222" i="34"/>
  <c r="F222" i="34"/>
  <c r="G222" i="34"/>
  <c r="H222" i="34"/>
  <c r="I222" i="34"/>
  <c r="J222" i="34"/>
  <c r="K222" i="34"/>
  <c r="L222" i="34"/>
  <c r="M222" i="34"/>
  <c r="N222" i="34"/>
  <c r="O222" i="34"/>
  <c r="P222" i="34"/>
  <c r="A223" i="34"/>
  <c r="B223" i="34"/>
  <c r="C223" i="34"/>
  <c r="D223" i="34"/>
  <c r="E223" i="34"/>
  <c r="F223" i="34"/>
  <c r="G223" i="34"/>
  <c r="H223" i="34"/>
  <c r="I223" i="34"/>
  <c r="J223" i="34"/>
  <c r="K223" i="34"/>
  <c r="L223" i="34"/>
  <c r="M223" i="34"/>
  <c r="N223" i="34"/>
  <c r="O223" i="34"/>
  <c r="P223" i="34"/>
  <c r="A224" i="34"/>
  <c r="B224" i="34"/>
  <c r="C224" i="34"/>
  <c r="D224" i="34"/>
  <c r="E224" i="34"/>
  <c r="F224" i="34"/>
  <c r="G224" i="34"/>
  <c r="H224" i="34"/>
  <c r="I224" i="34"/>
  <c r="J224" i="34"/>
  <c r="K224" i="34"/>
  <c r="L224" i="34"/>
  <c r="M224" i="34"/>
  <c r="N224" i="34"/>
  <c r="O224" i="34"/>
  <c r="P224" i="34"/>
  <c r="A225" i="34"/>
  <c r="B225" i="34"/>
  <c r="C225" i="34"/>
  <c r="D225" i="34"/>
  <c r="E225" i="34"/>
  <c r="F225" i="34"/>
  <c r="G225" i="34"/>
  <c r="H225" i="34"/>
  <c r="I225" i="34"/>
  <c r="J225" i="34"/>
  <c r="K225" i="34"/>
  <c r="L225" i="34"/>
  <c r="M225" i="34"/>
  <c r="N225" i="34"/>
  <c r="O225" i="34"/>
  <c r="P225" i="34"/>
  <c r="A226" i="34"/>
  <c r="B226" i="34"/>
  <c r="C226" i="34"/>
  <c r="D226" i="34"/>
  <c r="E226" i="34"/>
  <c r="F226" i="34"/>
  <c r="G226" i="34"/>
  <c r="H226" i="34"/>
  <c r="I226" i="34"/>
  <c r="J226" i="34"/>
  <c r="K226" i="34"/>
  <c r="L226" i="34"/>
  <c r="M226" i="34"/>
  <c r="N226" i="34"/>
  <c r="O226" i="34"/>
  <c r="P226" i="34"/>
  <c r="A227" i="34"/>
  <c r="B227" i="34"/>
  <c r="C227" i="34"/>
  <c r="D227" i="34"/>
  <c r="E227" i="34"/>
  <c r="F227" i="34"/>
  <c r="G227" i="34"/>
  <c r="H227" i="34"/>
  <c r="I227" i="34"/>
  <c r="J227" i="34"/>
  <c r="K227" i="34"/>
  <c r="L227" i="34"/>
  <c r="M227" i="34"/>
  <c r="N227" i="34"/>
  <c r="O227" i="34"/>
  <c r="P227" i="34"/>
  <c r="A228" i="34"/>
  <c r="B228" i="34"/>
  <c r="C228" i="34"/>
  <c r="D228" i="34"/>
  <c r="E228" i="34"/>
  <c r="F228" i="34"/>
  <c r="G228" i="34"/>
  <c r="H228" i="34"/>
  <c r="I228" i="34"/>
  <c r="J228" i="34"/>
  <c r="K228" i="34"/>
  <c r="L228" i="34"/>
  <c r="M228" i="34"/>
  <c r="N228" i="34"/>
  <c r="O228" i="34"/>
  <c r="P228" i="34"/>
  <c r="A229" i="34"/>
  <c r="B229" i="34"/>
  <c r="C229" i="34"/>
  <c r="D229" i="34"/>
  <c r="E229" i="34"/>
  <c r="F229" i="34"/>
  <c r="G229" i="34"/>
  <c r="H229" i="34"/>
  <c r="I229" i="34"/>
  <c r="J229" i="34"/>
  <c r="K229" i="34"/>
  <c r="L229" i="34"/>
  <c r="M229" i="34"/>
  <c r="N229" i="34"/>
  <c r="O229" i="34"/>
  <c r="P229" i="34"/>
  <c r="A230" i="34"/>
  <c r="B230" i="34"/>
  <c r="C230" i="34"/>
  <c r="D230" i="34"/>
  <c r="E230" i="34"/>
  <c r="F230" i="34"/>
  <c r="G230" i="34"/>
  <c r="H230" i="34"/>
  <c r="I230" i="34"/>
  <c r="J230" i="34"/>
  <c r="K230" i="34"/>
  <c r="L230" i="34"/>
  <c r="M230" i="34"/>
  <c r="N230" i="34"/>
  <c r="O230" i="34"/>
  <c r="P230" i="34"/>
  <c r="A231" i="34"/>
  <c r="B231" i="34"/>
  <c r="C231" i="34"/>
  <c r="D231" i="34"/>
  <c r="E231" i="34"/>
  <c r="F231" i="34"/>
  <c r="G231" i="34"/>
  <c r="H231" i="34"/>
  <c r="I231" i="34"/>
  <c r="J231" i="34"/>
  <c r="K231" i="34"/>
  <c r="L231" i="34"/>
  <c r="M231" i="34"/>
  <c r="N231" i="34"/>
  <c r="O231" i="34"/>
  <c r="P231" i="34"/>
  <c r="A232" i="34"/>
  <c r="B232" i="34"/>
  <c r="C232" i="34"/>
  <c r="D232" i="34"/>
  <c r="E232" i="34"/>
  <c r="F232" i="34"/>
  <c r="G232" i="34"/>
  <c r="H232" i="34"/>
  <c r="I232" i="34"/>
  <c r="J232" i="34"/>
  <c r="K232" i="34"/>
  <c r="L232" i="34"/>
  <c r="M232" i="34"/>
  <c r="N232" i="34"/>
  <c r="O232" i="34"/>
  <c r="P232" i="34"/>
  <c r="A233" i="34"/>
  <c r="B233" i="34"/>
  <c r="C233" i="34"/>
  <c r="D233" i="34"/>
  <c r="E233" i="34"/>
  <c r="F233" i="34"/>
  <c r="G233" i="34"/>
  <c r="H233" i="34"/>
  <c r="I233" i="34"/>
  <c r="J233" i="34"/>
  <c r="K233" i="34"/>
  <c r="L233" i="34"/>
  <c r="M233" i="34"/>
  <c r="N233" i="34"/>
  <c r="O233" i="34"/>
  <c r="P233" i="34"/>
  <c r="A234" i="34"/>
  <c r="B234" i="34"/>
  <c r="C234" i="34"/>
  <c r="D234" i="34"/>
  <c r="E234" i="34"/>
  <c r="F234" i="34"/>
  <c r="G234" i="34"/>
  <c r="H234" i="34"/>
  <c r="I234" i="34"/>
  <c r="J234" i="34"/>
  <c r="K234" i="34"/>
  <c r="L234" i="34"/>
  <c r="M234" i="34"/>
  <c r="N234" i="34"/>
  <c r="O234" i="34"/>
  <c r="P234" i="34"/>
  <c r="A235" i="34"/>
  <c r="B235" i="34"/>
  <c r="C235" i="34"/>
  <c r="D235" i="34"/>
  <c r="E235" i="34"/>
  <c r="F235" i="34"/>
  <c r="G235" i="34"/>
  <c r="H235" i="34"/>
  <c r="I235" i="34"/>
  <c r="J235" i="34"/>
  <c r="K235" i="34"/>
  <c r="L235" i="34"/>
  <c r="M235" i="34"/>
  <c r="N235" i="34"/>
  <c r="O235" i="34"/>
  <c r="P235" i="34"/>
  <c r="A236" i="34"/>
  <c r="B236" i="34"/>
  <c r="C236" i="34"/>
  <c r="D236" i="34"/>
  <c r="E236" i="34"/>
  <c r="F236" i="34"/>
  <c r="G236" i="34"/>
  <c r="H236" i="34"/>
  <c r="I236" i="34"/>
  <c r="J236" i="34"/>
  <c r="K236" i="34"/>
  <c r="L236" i="34"/>
  <c r="M236" i="34"/>
  <c r="N236" i="34"/>
  <c r="O236" i="34"/>
  <c r="P236" i="34"/>
  <c r="A237" i="34"/>
  <c r="B237" i="34"/>
  <c r="C237" i="34"/>
  <c r="D237" i="34"/>
  <c r="E237" i="34"/>
  <c r="F237" i="34"/>
  <c r="G237" i="34"/>
  <c r="H237" i="34"/>
  <c r="I237" i="34"/>
  <c r="J237" i="34"/>
  <c r="K237" i="34"/>
  <c r="L237" i="34"/>
  <c r="M237" i="34"/>
  <c r="N237" i="34"/>
  <c r="O237" i="34"/>
  <c r="P237" i="34"/>
  <c r="A238" i="34"/>
  <c r="B238" i="34"/>
  <c r="C238" i="34"/>
  <c r="D238" i="34"/>
  <c r="E238" i="34"/>
  <c r="F238" i="34"/>
  <c r="G238" i="34"/>
  <c r="H238" i="34"/>
  <c r="I238" i="34"/>
  <c r="J238" i="34"/>
  <c r="K238" i="34"/>
  <c r="L238" i="34"/>
  <c r="M238" i="34"/>
  <c r="N238" i="34"/>
  <c r="O238" i="34"/>
  <c r="P238" i="34"/>
  <c r="A239" i="34"/>
  <c r="B239" i="34"/>
  <c r="C239" i="34"/>
  <c r="D239" i="34"/>
  <c r="E239" i="34"/>
  <c r="F239" i="34"/>
  <c r="G239" i="34"/>
  <c r="H239" i="34"/>
  <c r="I239" i="34"/>
  <c r="J239" i="34"/>
  <c r="K239" i="34"/>
  <c r="L239" i="34"/>
  <c r="M239" i="34"/>
  <c r="N239" i="34"/>
  <c r="O239" i="34"/>
  <c r="P239" i="34"/>
  <c r="A240" i="34"/>
  <c r="B240" i="34"/>
  <c r="C240" i="34"/>
  <c r="D240" i="34"/>
  <c r="E240" i="34"/>
  <c r="F240" i="34"/>
  <c r="G240" i="34"/>
  <c r="H240" i="34"/>
  <c r="I240" i="34"/>
  <c r="J240" i="34"/>
  <c r="K240" i="34"/>
  <c r="L240" i="34"/>
  <c r="M240" i="34"/>
  <c r="N240" i="34"/>
  <c r="O240" i="34"/>
  <c r="P240" i="34"/>
  <c r="A241" i="34"/>
  <c r="B241" i="34"/>
  <c r="C241" i="34"/>
  <c r="D241" i="34"/>
  <c r="E241" i="34"/>
  <c r="F241" i="34"/>
  <c r="G241" i="34"/>
  <c r="H241" i="34"/>
  <c r="I241" i="34"/>
  <c r="J241" i="34"/>
  <c r="K241" i="34"/>
  <c r="L241" i="34"/>
  <c r="M241" i="34"/>
  <c r="N241" i="34"/>
  <c r="O241" i="34"/>
  <c r="P241" i="34"/>
  <c r="A242" i="34"/>
  <c r="B242" i="34"/>
  <c r="C242" i="34"/>
  <c r="D242" i="34"/>
  <c r="E242" i="34"/>
  <c r="F242" i="34"/>
  <c r="G242" i="34"/>
  <c r="H242" i="34"/>
  <c r="I242" i="34"/>
  <c r="J242" i="34"/>
  <c r="K242" i="34"/>
  <c r="L242" i="34"/>
  <c r="M242" i="34"/>
  <c r="N242" i="34"/>
  <c r="O242" i="34"/>
  <c r="P242" i="34"/>
  <c r="A243" i="34"/>
  <c r="B243" i="34"/>
  <c r="C243" i="34"/>
  <c r="D243" i="34"/>
  <c r="E243" i="34"/>
  <c r="F243" i="34"/>
  <c r="G243" i="34"/>
  <c r="H243" i="34"/>
  <c r="I243" i="34"/>
  <c r="J243" i="34"/>
  <c r="K243" i="34"/>
  <c r="L243" i="34"/>
  <c r="M243" i="34"/>
  <c r="N243" i="34"/>
  <c r="O243" i="34"/>
  <c r="P243" i="34"/>
  <c r="A244" i="34"/>
  <c r="B244" i="34"/>
  <c r="C244" i="34"/>
  <c r="D244" i="34"/>
  <c r="E244" i="34"/>
  <c r="F244" i="34"/>
  <c r="G244" i="34"/>
  <c r="H244" i="34"/>
  <c r="I244" i="34"/>
  <c r="J244" i="34"/>
  <c r="K244" i="34"/>
  <c r="L244" i="34"/>
  <c r="M244" i="34"/>
  <c r="N244" i="34"/>
  <c r="O244" i="34"/>
  <c r="P244" i="34"/>
  <c r="A245" i="34"/>
  <c r="B245" i="34"/>
  <c r="C245" i="34"/>
  <c r="D245" i="34"/>
  <c r="E245" i="34"/>
  <c r="F245" i="34"/>
  <c r="G245" i="34"/>
  <c r="H245" i="34"/>
  <c r="I245" i="34"/>
  <c r="J245" i="34"/>
  <c r="K245" i="34"/>
  <c r="L245" i="34"/>
  <c r="M245" i="34"/>
  <c r="N245" i="34"/>
  <c r="O245" i="34"/>
  <c r="P245" i="34"/>
  <c r="A246" i="34"/>
  <c r="B246" i="34"/>
  <c r="C246" i="34"/>
  <c r="D246" i="34"/>
  <c r="E246" i="34"/>
  <c r="F246" i="34"/>
  <c r="G246" i="34"/>
  <c r="H246" i="34"/>
  <c r="I246" i="34"/>
  <c r="J246" i="34"/>
  <c r="K246" i="34"/>
  <c r="L246" i="34"/>
  <c r="M246" i="34"/>
  <c r="N246" i="34"/>
  <c r="O246" i="34"/>
  <c r="P246" i="34"/>
  <c r="A247" i="34"/>
  <c r="B247" i="34"/>
  <c r="C247" i="34"/>
  <c r="D247" i="34"/>
  <c r="E247" i="34"/>
  <c r="F247" i="34"/>
  <c r="G247" i="34"/>
  <c r="H247" i="34"/>
  <c r="I247" i="34"/>
  <c r="J247" i="34"/>
  <c r="K247" i="34"/>
  <c r="L247" i="34"/>
  <c r="M247" i="34"/>
  <c r="N247" i="34"/>
  <c r="O247" i="34"/>
  <c r="P247" i="34"/>
  <c r="A248" i="34"/>
  <c r="B248" i="34"/>
  <c r="C248" i="34"/>
  <c r="D248" i="34"/>
  <c r="E248" i="34"/>
  <c r="F248" i="34"/>
  <c r="G248" i="34"/>
  <c r="H248" i="34"/>
  <c r="I248" i="34"/>
  <c r="J248" i="34"/>
  <c r="K248" i="34"/>
  <c r="L248" i="34"/>
  <c r="M248" i="34"/>
  <c r="N248" i="34"/>
  <c r="O248" i="34"/>
  <c r="P248" i="34"/>
  <c r="A249" i="34"/>
  <c r="B249" i="34"/>
  <c r="C249" i="34"/>
  <c r="D249" i="34"/>
  <c r="E249" i="34"/>
  <c r="F249" i="34"/>
  <c r="G249" i="34"/>
  <c r="H249" i="34"/>
  <c r="I249" i="34"/>
  <c r="J249" i="34"/>
  <c r="K249" i="34"/>
  <c r="L249" i="34"/>
  <c r="M249" i="34"/>
  <c r="N249" i="34"/>
  <c r="O249" i="34"/>
  <c r="P249" i="34"/>
  <c r="A250" i="34"/>
  <c r="B250" i="34"/>
  <c r="C250" i="34"/>
  <c r="D250" i="34"/>
  <c r="E250" i="34"/>
  <c r="F250" i="34"/>
  <c r="G250" i="34"/>
  <c r="H250" i="34"/>
  <c r="I250" i="34"/>
  <c r="J250" i="34"/>
  <c r="K250" i="34"/>
  <c r="L250" i="34"/>
  <c r="M250" i="34"/>
  <c r="N250" i="34"/>
  <c r="O250" i="34"/>
  <c r="P250" i="34"/>
  <c r="A251" i="34"/>
  <c r="B251" i="34"/>
  <c r="C251" i="34"/>
  <c r="D251" i="34"/>
  <c r="E251" i="34"/>
  <c r="F251" i="34"/>
  <c r="G251" i="34"/>
  <c r="H251" i="34"/>
  <c r="I251" i="34"/>
  <c r="J251" i="34"/>
  <c r="K251" i="34"/>
  <c r="L251" i="34"/>
  <c r="M251" i="34"/>
  <c r="N251" i="34"/>
  <c r="O251" i="34"/>
  <c r="P251" i="34"/>
  <c r="A252" i="34"/>
  <c r="B252" i="34"/>
  <c r="C252" i="34"/>
  <c r="D252" i="34"/>
  <c r="E252" i="34"/>
  <c r="F252" i="34"/>
  <c r="G252" i="34"/>
  <c r="H252" i="34"/>
  <c r="I252" i="34"/>
  <c r="J252" i="34"/>
  <c r="K252" i="34"/>
  <c r="L252" i="34"/>
  <c r="M252" i="34"/>
  <c r="N252" i="34"/>
  <c r="O252" i="34"/>
  <c r="P252" i="34"/>
  <c r="A253" i="34"/>
  <c r="B253" i="34"/>
  <c r="C253" i="34"/>
  <c r="D253" i="34"/>
  <c r="E253" i="34"/>
  <c r="F253" i="34"/>
  <c r="G253" i="34"/>
  <c r="H253" i="34"/>
  <c r="I253" i="34"/>
  <c r="J253" i="34"/>
  <c r="K253" i="34"/>
  <c r="L253" i="34"/>
  <c r="M253" i="34"/>
  <c r="N253" i="34"/>
  <c r="O253" i="34"/>
  <c r="P253" i="34"/>
  <c r="A254" i="34"/>
  <c r="B254" i="34"/>
  <c r="C254" i="34"/>
  <c r="D254" i="34"/>
  <c r="E254" i="34"/>
  <c r="F254" i="34"/>
  <c r="G254" i="34"/>
  <c r="H254" i="34"/>
  <c r="I254" i="34"/>
  <c r="J254" i="34"/>
  <c r="K254" i="34"/>
  <c r="L254" i="34"/>
  <c r="M254" i="34"/>
  <c r="N254" i="34"/>
  <c r="O254" i="34"/>
  <c r="P254" i="34"/>
  <c r="A255" i="34"/>
  <c r="B255" i="34"/>
  <c r="C255" i="34"/>
  <c r="D255" i="34"/>
  <c r="E255" i="34"/>
  <c r="F255" i="34"/>
  <c r="G255" i="34"/>
  <c r="H255" i="34"/>
  <c r="I255" i="34"/>
  <c r="J255" i="34"/>
  <c r="K255" i="34"/>
  <c r="L255" i="34"/>
  <c r="M255" i="34"/>
  <c r="N255" i="34"/>
  <c r="O255" i="34"/>
  <c r="P255" i="34"/>
  <c r="A256" i="34"/>
  <c r="B256" i="34"/>
  <c r="C256" i="34"/>
  <c r="D256" i="34"/>
  <c r="E256" i="34"/>
  <c r="F256" i="34"/>
  <c r="G256" i="34"/>
  <c r="H256" i="34"/>
  <c r="I256" i="34"/>
  <c r="J256" i="34"/>
  <c r="K256" i="34"/>
  <c r="L256" i="34"/>
  <c r="M256" i="34"/>
  <c r="N256" i="34"/>
  <c r="O256" i="34"/>
  <c r="P256" i="34"/>
  <c r="A257" i="34"/>
  <c r="B257" i="34"/>
  <c r="C257" i="34"/>
  <c r="D257" i="34"/>
  <c r="E257" i="34"/>
  <c r="F257" i="34"/>
  <c r="G257" i="34"/>
  <c r="H257" i="34"/>
  <c r="I257" i="34"/>
  <c r="J257" i="34"/>
  <c r="K257" i="34"/>
  <c r="L257" i="34"/>
  <c r="M257" i="34"/>
  <c r="N257" i="34"/>
  <c r="O257" i="34"/>
  <c r="P257" i="34"/>
  <c r="A258" i="34"/>
  <c r="B258" i="34"/>
  <c r="C258" i="34"/>
  <c r="D258" i="34"/>
  <c r="E258" i="34"/>
  <c r="F258" i="34"/>
  <c r="G258" i="34"/>
  <c r="H258" i="34"/>
  <c r="I258" i="34"/>
  <c r="J258" i="34"/>
  <c r="K258" i="34"/>
  <c r="L258" i="34"/>
  <c r="M258" i="34"/>
  <c r="N258" i="34"/>
  <c r="O258" i="34"/>
  <c r="P258" i="34"/>
  <c r="A259" i="34"/>
  <c r="B259" i="34"/>
  <c r="C259" i="34"/>
  <c r="D259" i="34"/>
  <c r="E259" i="34"/>
  <c r="F259" i="34"/>
  <c r="G259" i="34"/>
  <c r="H259" i="34"/>
  <c r="I259" i="34"/>
  <c r="J259" i="34"/>
  <c r="K259" i="34"/>
  <c r="L259" i="34"/>
  <c r="M259" i="34"/>
  <c r="N259" i="34"/>
  <c r="O259" i="34"/>
  <c r="P259" i="34"/>
  <c r="A260" i="34"/>
  <c r="B260" i="34"/>
  <c r="C260" i="34"/>
  <c r="D260" i="34"/>
  <c r="E260" i="34"/>
  <c r="F260" i="34"/>
  <c r="G260" i="34"/>
  <c r="H260" i="34"/>
  <c r="I260" i="34"/>
  <c r="J260" i="34"/>
  <c r="K260" i="34"/>
  <c r="L260" i="34"/>
  <c r="M260" i="34"/>
  <c r="N260" i="34"/>
  <c r="O260" i="34"/>
  <c r="P260" i="34"/>
  <c r="A261" i="34"/>
  <c r="B261" i="34"/>
  <c r="C261" i="34"/>
  <c r="D261" i="34"/>
  <c r="E261" i="34"/>
  <c r="F261" i="34"/>
  <c r="G261" i="34"/>
  <c r="H261" i="34"/>
  <c r="I261" i="34"/>
  <c r="J261" i="34"/>
  <c r="K261" i="34"/>
  <c r="L261" i="34"/>
  <c r="M261" i="34"/>
  <c r="N261" i="34"/>
  <c r="O261" i="34"/>
  <c r="P261" i="34"/>
  <c r="A262" i="34"/>
  <c r="B262" i="34"/>
  <c r="C262" i="34"/>
  <c r="D262" i="34"/>
  <c r="E262" i="34"/>
  <c r="F262" i="34"/>
  <c r="G262" i="34"/>
  <c r="H262" i="34"/>
  <c r="I262" i="34"/>
  <c r="J262" i="34"/>
  <c r="K262" i="34"/>
  <c r="L262" i="34"/>
  <c r="M262" i="34"/>
  <c r="N262" i="34"/>
  <c r="O262" i="34"/>
  <c r="P262" i="34"/>
  <c r="A263" i="34"/>
  <c r="B263" i="34"/>
  <c r="C263" i="34"/>
  <c r="D263" i="34"/>
  <c r="E263" i="34"/>
  <c r="F263" i="34"/>
  <c r="G263" i="34"/>
  <c r="H263" i="34"/>
  <c r="I263" i="34"/>
  <c r="J263" i="34"/>
  <c r="K263" i="34"/>
  <c r="L263" i="34"/>
  <c r="M263" i="34"/>
  <c r="N263" i="34"/>
  <c r="O263" i="34"/>
  <c r="P263" i="34"/>
  <c r="A264" i="34"/>
  <c r="B264" i="34"/>
  <c r="C264" i="34"/>
  <c r="D264" i="34"/>
  <c r="E264" i="34"/>
  <c r="F264" i="34"/>
  <c r="G264" i="34"/>
  <c r="H264" i="34"/>
  <c r="I264" i="34"/>
  <c r="J264" i="34"/>
  <c r="K264" i="34"/>
  <c r="L264" i="34"/>
  <c r="M264" i="34"/>
  <c r="N264" i="34"/>
  <c r="O264" i="34"/>
  <c r="P264" i="34"/>
  <c r="A265" i="34"/>
  <c r="B265" i="34"/>
  <c r="C265" i="34"/>
  <c r="D265" i="34"/>
  <c r="E265" i="34"/>
  <c r="F265" i="34"/>
  <c r="G265" i="34"/>
  <c r="H265" i="34"/>
  <c r="I265" i="34"/>
  <c r="J265" i="34"/>
  <c r="K265" i="34"/>
  <c r="L265" i="34"/>
  <c r="M265" i="34"/>
  <c r="N265" i="34"/>
  <c r="O265" i="34"/>
  <c r="P265" i="34"/>
  <c r="A266" i="34"/>
  <c r="B266" i="34"/>
  <c r="C266" i="34"/>
  <c r="D266" i="34"/>
  <c r="E266" i="34"/>
  <c r="F266" i="34"/>
  <c r="G266" i="34"/>
  <c r="H266" i="34"/>
  <c r="I266" i="34"/>
  <c r="J266" i="34"/>
  <c r="K266" i="34"/>
  <c r="L266" i="34"/>
  <c r="M266" i="34"/>
  <c r="N266" i="34"/>
  <c r="O266" i="34"/>
  <c r="P266" i="34"/>
  <c r="A267" i="34"/>
  <c r="B267" i="34"/>
  <c r="C267" i="34"/>
  <c r="D267" i="34"/>
  <c r="E267" i="34"/>
  <c r="F267" i="34"/>
  <c r="G267" i="34"/>
  <c r="H267" i="34"/>
  <c r="I267" i="34"/>
  <c r="J267" i="34"/>
  <c r="K267" i="34"/>
  <c r="L267" i="34"/>
  <c r="M267" i="34"/>
  <c r="N267" i="34"/>
  <c r="O267" i="34"/>
  <c r="P267" i="34"/>
  <c r="A268" i="34"/>
  <c r="B268" i="34"/>
  <c r="C268" i="34"/>
  <c r="D268" i="34"/>
  <c r="E268" i="34"/>
  <c r="F268" i="34"/>
  <c r="G268" i="34"/>
  <c r="H268" i="34"/>
  <c r="I268" i="34"/>
  <c r="J268" i="34"/>
  <c r="K268" i="34"/>
  <c r="L268" i="34"/>
  <c r="M268" i="34"/>
  <c r="N268" i="34"/>
  <c r="O268" i="34"/>
  <c r="P268" i="34"/>
  <c r="A269" i="34"/>
  <c r="B269" i="34"/>
  <c r="C269" i="34"/>
  <c r="D269" i="34"/>
  <c r="E269" i="34"/>
  <c r="F269" i="34"/>
  <c r="G269" i="34"/>
  <c r="H269" i="34"/>
  <c r="I269" i="34"/>
  <c r="J269" i="34"/>
  <c r="K269" i="34"/>
  <c r="L269" i="34"/>
  <c r="M269" i="34"/>
  <c r="N269" i="34"/>
  <c r="O269" i="34"/>
  <c r="P269" i="34"/>
  <c r="A270" i="34"/>
  <c r="B270" i="34"/>
  <c r="C270" i="34"/>
  <c r="D270" i="34"/>
  <c r="E270" i="34"/>
  <c r="F270" i="34"/>
  <c r="G270" i="34"/>
  <c r="H270" i="34"/>
  <c r="I270" i="34"/>
  <c r="J270" i="34"/>
  <c r="K270" i="34"/>
  <c r="L270" i="34"/>
  <c r="M270" i="34"/>
  <c r="N270" i="34"/>
  <c r="O270" i="34"/>
  <c r="P270" i="34"/>
  <c r="A271" i="34"/>
  <c r="B271" i="34"/>
  <c r="C271" i="34"/>
  <c r="D271" i="34"/>
  <c r="E271" i="34"/>
  <c r="F271" i="34"/>
  <c r="G271" i="34"/>
  <c r="H271" i="34"/>
  <c r="I271" i="34"/>
  <c r="J271" i="34"/>
  <c r="K271" i="34"/>
  <c r="L271" i="34"/>
  <c r="M271" i="34"/>
  <c r="N271" i="34"/>
  <c r="O271" i="34"/>
  <c r="P271" i="34"/>
  <c r="A272" i="34"/>
  <c r="B272" i="34"/>
  <c r="C272" i="34"/>
  <c r="D272" i="34"/>
  <c r="E272" i="34"/>
  <c r="F272" i="34"/>
  <c r="G272" i="34"/>
  <c r="H272" i="34"/>
  <c r="I272" i="34"/>
  <c r="J272" i="34"/>
  <c r="K272" i="34"/>
  <c r="L272" i="34"/>
  <c r="M272" i="34"/>
  <c r="N272" i="34"/>
  <c r="O272" i="34"/>
  <c r="P272" i="34"/>
  <c r="A273" i="34"/>
  <c r="B273" i="34"/>
  <c r="C273" i="34"/>
  <c r="D273" i="34"/>
  <c r="E273" i="34"/>
  <c r="F273" i="34"/>
  <c r="G273" i="34"/>
  <c r="H273" i="34"/>
  <c r="I273" i="34"/>
  <c r="J273" i="34"/>
  <c r="K273" i="34"/>
  <c r="L273" i="34"/>
  <c r="M273" i="34"/>
  <c r="N273" i="34"/>
  <c r="O273" i="34"/>
  <c r="P273" i="34"/>
  <c r="A274" i="34"/>
  <c r="B274" i="34"/>
  <c r="C274" i="34"/>
  <c r="D274" i="34"/>
  <c r="E274" i="34"/>
  <c r="F274" i="34"/>
  <c r="G274" i="34"/>
  <c r="H274" i="34"/>
  <c r="I274" i="34"/>
  <c r="J274" i="34"/>
  <c r="K274" i="34"/>
  <c r="L274" i="34"/>
  <c r="M274" i="34"/>
  <c r="N274" i="34"/>
  <c r="O274" i="34"/>
  <c r="P274" i="34"/>
  <c r="A275" i="34"/>
  <c r="B275" i="34"/>
  <c r="C275" i="34"/>
  <c r="D275" i="34"/>
  <c r="E275" i="34"/>
  <c r="F275" i="34"/>
  <c r="G275" i="34"/>
  <c r="H275" i="34"/>
  <c r="I275" i="34"/>
  <c r="J275" i="34"/>
  <c r="K275" i="34"/>
  <c r="L275" i="34"/>
  <c r="M275" i="34"/>
  <c r="N275" i="34"/>
  <c r="O275" i="34"/>
  <c r="P275" i="34"/>
  <c r="A276" i="34"/>
  <c r="B276" i="34"/>
  <c r="C276" i="34"/>
  <c r="D276" i="34"/>
  <c r="E276" i="34"/>
  <c r="F276" i="34"/>
  <c r="G276" i="34"/>
  <c r="H276" i="34"/>
  <c r="I276" i="34"/>
  <c r="J276" i="34"/>
  <c r="K276" i="34"/>
  <c r="L276" i="34"/>
  <c r="M276" i="34"/>
  <c r="N276" i="34"/>
  <c r="O276" i="34"/>
  <c r="P276" i="34"/>
  <c r="A277" i="34"/>
  <c r="B277" i="34"/>
  <c r="C277" i="34"/>
  <c r="D277" i="34"/>
  <c r="E277" i="34"/>
  <c r="F277" i="34"/>
  <c r="G277" i="34"/>
  <c r="H277" i="34"/>
  <c r="I277" i="34"/>
  <c r="J277" i="34"/>
  <c r="K277" i="34"/>
  <c r="L277" i="34"/>
  <c r="M277" i="34"/>
  <c r="N277" i="34"/>
  <c r="O277" i="34"/>
  <c r="P277" i="34"/>
  <c r="A278" i="34"/>
  <c r="B278" i="34"/>
  <c r="C278" i="34"/>
  <c r="D278" i="34"/>
  <c r="E278" i="34"/>
  <c r="F278" i="34"/>
  <c r="G278" i="34"/>
  <c r="H278" i="34"/>
  <c r="I278" i="34"/>
  <c r="J278" i="34"/>
  <c r="K278" i="34"/>
  <c r="L278" i="34"/>
  <c r="M278" i="34"/>
  <c r="N278" i="34"/>
  <c r="O278" i="34"/>
  <c r="P278" i="34"/>
  <c r="A279" i="34"/>
  <c r="B279" i="34"/>
  <c r="C279" i="34"/>
  <c r="D279" i="34"/>
  <c r="E279" i="34"/>
  <c r="F279" i="34"/>
  <c r="G279" i="34"/>
  <c r="H279" i="34"/>
  <c r="I279" i="34"/>
  <c r="J279" i="34"/>
  <c r="K279" i="34"/>
  <c r="L279" i="34"/>
  <c r="M279" i="34"/>
  <c r="N279" i="34"/>
  <c r="O279" i="34"/>
  <c r="P279" i="34"/>
  <c r="A280" i="34"/>
  <c r="B280" i="34"/>
  <c r="C280" i="34"/>
  <c r="D280" i="34"/>
  <c r="E280" i="34"/>
  <c r="F280" i="34"/>
  <c r="G280" i="34"/>
  <c r="H280" i="34"/>
  <c r="I280" i="34"/>
  <c r="J280" i="34"/>
  <c r="K280" i="34"/>
  <c r="L280" i="34"/>
  <c r="M280" i="34"/>
  <c r="N280" i="34"/>
  <c r="O280" i="34"/>
  <c r="P280" i="34"/>
  <c r="A281" i="34"/>
  <c r="B281" i="34"/>
  <c r="C281" i="34"/>
  <c r="D281" i="34"/>
  <c r="E281" i="34"/>
  <c r="F281" i="34"/>
  <c r="G281" i="34"/>
  <c r="H281" i="34"/>
  <c r="I281" i="34"/>
  <c r="J281" i="34"/>
  <c r="K281" i="34"/>
  <c r="L281" i="34"/>
  <c r="M281" i="34"/>
  <c r="N281" i="34"/>
  <c r="O281" i="34"/>
  <c r="P281" i="34"/>
  <c r="A282" i="34"/>
  <c r="B282" i="34"/>
  <c r="C282" i="34"/>
  <c r="D282" i="34"/>
  <c r="E282" i="34"/>
  <c r="F282" i="34"/>
  <c r="G282" i="34"/>
  <c r="H282" i="34"/>
  <c r="I282" i="34"/>
  <c r="J282" i="34"/>
  <c r="K282" i="34"/>
  <c r="L282" i="34"/>
  <c r="M282" i="34"/>
  <c r="N282" i="34"/>
  <c r="O282" i="34"/>
  <c r="P282" i="34"/>
  <c r="A283" i="34"/>
  <c r="B283" i="34"/>
  <c r="C283" i="34"/>
  <c r="D283" i="34"/>
  <c r="E283" i="34"/>
  <c r="F283" i="34"/>
  <c r="G283" i="34"/>
  <c r="H283" i="34"/>
  <c r="I283" i="34"/>
  <c r="J283" i="34"/>
  <c r="K283" i="34"/>
  <c r="L283" i="34"/>
  <c r="M283" i="34"/>
  <c r="N283" i="34"/>
  <c r="O283" i="34"/>
  <c r="P283" i="34"/>
  <c r="A284" i="34"/>
  <c r="B284" i="34"/>
  <c r="C284" i="34"/>
  <c r="D284" i="34"/>
  <c r="E284" i="34"/>
  <c r="F284" i="34"/>
  <c r="G284" i="34"/>
  <c r="H284" i="34"/>
  <c r="I284" i="34"/>
  <c r="J284" i="34"/>
  <c r="K284" i="34"/>
  <c r="L284" i="34"/>
  <c r="M284" i="34"/>
  <c r="N284" i="34"/>
  <c r="O284" i="34"/>
  <c r="P284" i="34"/>
  <c r="A285" i="34"/>
  <c r="B285" i="34"/>
  <c r="C285" i="34"/>
  <c r="D285" i="34"/>
  <c r="E285" i="34"/>
  <c r="F285" i="34"/>
  <c r="G285" i="34"/>
  <c r="H285" i="34"/>
  <c r="I285" i="34"/>
  <c r="J285" i="34"/>
  <c r="K285" i="34"/>
  <c r="L285" i="34"/>
  <c r="M285" i="34"/>
  <c r="N285" i="34"/>
  <c r="O285" i="34"/>
  <c r="P285" i="34"/>
  <c r="A286" i="34"/>
  <c r="B286" i="34"/>
  <c r="C286" i="34"/>
  <c r="D286" i="34"/>
  <c r="E286" i="34"/>
  <c r="F286" i="34"/>
  <c r="G286" i="34"/>
  <c r="H286" i="34"/>
  <c r="I286" i="34"/>
  <c r="J286" i="34"/>
  <c r="K286" i="34"/>
  <c r="L286" i="34"/>
  <c r="M286" i="34"/>
  <c r="N286" i="34"/>
  <c r="O286" i="34"/>
  <c r="P286" i="34"/>
  <c r="A287" i="34"/>
  <c r="B287" i="34"/>
  <c r="C287" i="34"/>
  <c r="D287" i="34"/>
  <c r="E287" i="34"/>
  <c r="F287" i="34"/>
  <c r="G287" i="34"/>
  <c r="H287" i="34"/>
  <c r="I287" i="34"/>
  <c r="J287" i="34"/>
  <c r="K287" i="34"/>
  <c r="L287" i="34"/>
  <c r="M287" i="34"/>
  <c r="N287" i="34"/>
  <c r="O287" i="34"/>
  <c r="P287" i="34"/>
  <c r="A288" i="34"/>
  <c r="B288" i="34"/>
  <c r="C288" i="34"/>
  <c r="D288" i="34"/>
  <c r="E288" i="34"/>
  <c r="F288" i="34"/>
  <c r="G288" i="34"/>
  <c r="H288" i="34"/>
  <c r="I288" i="34"/>
  <c r="J288" i="34"/>
  <c r="K288" i="34"/>
  <c r="L288" i="34"/>
  <c r="M288" i="34"/>
  <c r="N288" i="34"/>
  <c r="O288" i="34"/>
  <c r="P288" i="34"/>
  <c r="B291" i="34"/>
  <c r="C291" i="34"/>
  <c r="D291" i="34"/>
  <c r="E291" i="34"/>
  <c r="F291" i="34"/>
  <c r="G291" i="34"/>
  <c r="H291" i="34"/>
  <c r="I291" i="34"/>
  <c r="J291" i="34"/>
  <c r="K291" i="34"/>
  <c r="L291" i="34"/>
  <c r="M291" i="34"/>
  <c r="N291" i="34"/>
  <c r="O291" i="34"/>
  <c r="P291" i="34"/>
  <c r="A1" i="16"/>
  <c r="A2" i="16"/>
  <c r="A3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P8" i="16"/>
  <c r="AP9" i="16"/>
  <c r="B10" i="16"/>
  <c r="D10" i="16"/>
  <c r="AP10" i="16"/>
  <c r="D11" i="16"/>
  <c r="AP11" i="16"/>
  <c r="D12" i="16"/>
  <c r="AP12" i="16"/>
  <c r="D13" i="16"/>
  <c r="AP13" i="16"/>
  <c r="AP14" i="16"/>
  <c r="AP15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P21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P22" i="16"/>
  <c r="AP23" i="16"/>
  <c r="AP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P31" i="16"/>
  <c r="AP32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P39" i="16"/>
  <c r="AP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P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P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P52" i="16"/>
  <c r="B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P54" i="16"/>
  <c r="AP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P57" i="16"/>
  <c r="AP58" i="16"/>
  <c r="AP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AO60" i="16"/>
  <c r="AP60" i="16"/>
  <c r="AQ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P61" i="16"/>
  <c r="AP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O65" i="16"/>
  <c r="AP65" i="16"/>
  <c r="AO66" i="16"/>
  <c r="AP66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P68" i="16"/>
  <c r="D69" i="16"/>
  <c r="AP69" i="16"/>
  <c r="D70" i="16"/>
  <c r="AP70" i="16"/>
  <c r="AP71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P72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P73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P74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P75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D86" i="16"/>
  <c r="A1" i="30"/>
  <c r="A2" i="30"/>
  <c r="A3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C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C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Z49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Z50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Z52" i="30"/>
  <c r="C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W58" i="30"/>
  <c r="X58" i="30"/>
  <c r="Y58" i="30"/>
  <c r="Z58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Z59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W60" i="30"/>
  <c r="X60" i="30"/>
  <c r="Y60" i="30"/>
  <c r="Z60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W62" i="30"/>
  <c r="X62" i="30"/>
  <c r="Y62" i="30"/>
  <c r="Z62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W63" i="30"/>
  <c r="X63" i="30"/>
  <c r="Y63" i="30"/>
  <c r="Z63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W64" i="30"/>
  <c r="X64" i="30"/>
  <c r="Y64" i="30"/>
  <c r="Z64" i="30"/>
  <c r="G65" i="30"/>
  <c r="H65" i="30"/>
  <c r="I65" i="30"/>
  <c r="J65" i="30"/>
  <c r="K65" i="30"/>
  <c r="L65" i="30"/>
  <c r="M65" i="30"/>
  <c r="N65" i="30"/>
  <c r="O65" i="30"/>
  <c r="P65" i="30"/>
  <c r="Q65" i="30"/>
  <c r="R65" i="30"/>
  <c r="S65" i="30"/>
  <c r="T65" i="30"/>
  <c r="U65" i="30"/>
  <c r="V65" i="30"/>
  <c r="W65" i="30"/>
  <c r="X65" i="30"/>
  <c r="Y65" i="30"/>
  <c r="Z65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1" i="2"/>
  <c r="A2" i="2"/>
  <c r="A3" i="2"/>
  <c r="A10" i="2"/>
  <c r="B10" i="2"/>
  <c r="C10" i="2"/>
  <c r="D10" i="2"/>
  <c r="B11" i="2"/>
  <c r="C11" i="2"/>
  <c r="D11" i="2"/>
  <c r="A13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A23" i="2"/>
  <c r="B23" i="2"/>
  <c r="C23" i="2"/>
  <c r="B24" i="2"/>
  <c r="C24" i="2"/>
  <c r="B25" i="2"/>
  <c r="C25" i="2"/>
  <c r="A27" i="2"/>
  <c r="C27" i="2"/>
  <c r="B28" i="2"/>
  <c r="C28" i="2"/>
  <c r="D28" i="2"/>
  <c r="B29" i="2"/>
  <c r="C29" i="2"/>
  <c r="D29" i="2"/>
  <c r="C30" i="2"/>
  <c r="A32" i="2"/>
  <c r="B32" i="2"/>
  <c r="C32" i="2"/>
  <c r="C33" i="2"/>
  <c r="C34" i="2"/>
  <c r="D34" i="2"/>
  <c r="E34" i="2"/>
  <c r="C35" i="2"/>
  <c r="D35" i="2"/>
  <c r="E35" i="2"/>
  <c r="A37" i="2"/>
  <c r="C37" i="2"/>
  <c r="C38" i="2"/>
  <c r="B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A50" i="2"/>
  <c r="B50" i="2"/>
  <c r="B52" i="2"/>
  <c r="C52" i="2"/>
  <c r="B53" i="2"/>
  <c r="C53" i="2"/>
  <c r="B54" i="2"/>
  <c r="C54" i="2"/>
  <c r="A56" i="2"/>
  <c r="C56" i="2"/>
  <c r="C57" i="2"/>
  <c r="C58" i="2"/>
  <c r="A1" i="3"/>
  <c r="A2" i="3"/>
  <c r="A3" i="3"/>
  <c r="A10" i="3"/>
  <c r="B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B27" i="3"/>
  <c r="C27" i="3"/>
  <c r="D27" i="3"/>
  <c r="B28" i="3"/>
  <c r="C28" i="3"/>
  <c r="D28" i="3"/>
  <c r="B29" i="3"/>
  <c r="C29" i="3"/>
  <c r="D29" i="3"/>
  <c r="A31" i="3"/>
  <c r="B32" i="3"/>
  <c r="B33" i="3"/>
  <c r="B34" i="3"/>
  <c r="B35" i="3"/>
  <c r="C35" i="3"/>
  <c r="B36" i="3"/>
  <c r="C36" i="3"/>
  <c r="D36" i="3"/>
  <c r="E36" i="3"/>
  <c r="B37" i="3"/>
  <c r="C37" i="3"/>
  <c r="D37" i="3"/>
  <c r="E37" i="3"/>
  <c r="A39" i="3"/>
  <c r="B39" i="3"/>
  <c r="C39" i="3"/>
  <c r="B40" i="3"/>
  <c r="C40" i="3"/>
  <c r="A42" i="3"/>
  <c r="B43" i="3"/>
  <c r="C43" i="3"/>
  <c r="D43" i="3"/>
  <c r="E43" i="3"/>
  <c r="B44" i="3"/>
  <c r="C44" i="3"/>
  <c r="D44" i="3"/>
  <c r="E44" i="3"/>
  <c r="B45" i="3"/>
  <c r="C45" i="3"/>
  <c r="D45" i="3"/>
  <c r="E45" i="3"/>
  <c r="A47" i="3"/>
  <c r="B47" i="3"/>
  <c r="B48" i="3"/>
  <c r="D48" i="3"/>
  <c r="B49" i="3"/>
  <c r="D49" i="3"/>
  <c r="A51" i="3"/>
  <c r="C51" i="3"/>
  <c r="A53" i="3"/>
  <c r="B53" i="3"/>
  <c r="C53" i="3"/>
  <c r="D53" i="3"/>
  <c r="C54" i="3"/>
  <c r="D54" i="3"/>
  <c r="A56" i="3"/>
  <c r="B56" i="3"/>
  <c r="B57" i="3"/>
  <c r="C57" i="3"/>
  <c r="A1" i="4"/>
  <c r="A2" i="4"/>
  <c r="A3" i="4"/>
  <c r="A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7" i="4"/>
  <c r="C37" i="4"/>
  <c r="B38" i="4"/>
  <c r="C38" i="4"/>
  <c r="B39" i="4"/>
  <c r="C39" i="4"/>
  <c r="B40" i="4"/>
  <c r="C40" i="4"/>
  <c r="B42" i="4"/>
  <c r="C42" i="4"/>
  <c r="B43" i="4"/>
  <c r="C43" i="4"/>
  <c r="B45" i="4"/>
  <c r="C45" i="4"/>
  <c r="I45" i="4"/>
  <c r="B46" i="4"/>
  <c r="C46" i="4"/>
  <c r="I46" i="4"/>
  <c r="B47" i="4"/>
  <c r="C47" i="4"/>
  <c r="B49" i="4"/>
  <c r="C49" i="4"/>
  <c r="B50" i="4"/>
  <c r="C50" i="4"/>
  <c r="A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8" i="4"/>
  <c r="C60" i="4"/>
  <c r="D60" i="4"/>
  <c r="C61" i="4"/>
  <c r="D61" i="4"/>
  <c r="A1" i="5"/>
  <c r="A2" i="5"/>
  <c r="A3" i="5"/>
  <c r="A10" i="5"/>
  <c r="B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A65" i="5"/>
  <c r="B65" i="5"/>
  <c r="C65" i="5"/>
  <c r="D65" i="5"/>
  <c r="B66" i="5"/>
  <c r="C66" i="5"/>
  <c r="D66" i="5"/>
  <c r="B67" i="5"/>
  <c r="C67" i="5"/>
  <c r="D67" i="5"/>
  <c r="A1" i="31"/>
  <c r="A2" i="31"/>
  <c r="A3" i="31"/>
  <c r="A10" i="31"/>
  <c r="B10" i="31"/>
  <c r="D10" i="31"/>
  <c r="B11" i="31"/>
  <c r="C11" i="31"/>
  <c r="D11" i="31"/>
  <c r="B12" i="31"/>
  <c r="C12" i="31"/>
  <c r="A14" i="31"/>
  <c r="C15" i="31"/>
  <c r="D15" i="31"/>
  <c r="C16" i="31"/>
  <c r="D16" i="31"/>
  <c r="C17" i="31"/>
  <c r="D17" i="31"/>
  <c r="A19" i="31"/>
  <c r="B19" i="31"/>
  <c r="C19" i="31"/>
  <c r="B20" i="31"/>
  <c r="C20" i="31"/>
  <c r="B21" i="31"/>
  <c r="C21" i="31"/>
  <c r="A23" i="31"/>
  <c r="B23" i="31"/>
  <c r="C23" i="31"/>
  <c r="B24" i="31"/>
  <c r="C24" i="31"/>
  <c r="B25" i="31"/>
  <c r="C25" i="31"/>
  <c r="A1" i="12"/>
  <c r="A2" i="12"/>
  <c r="A3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C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B19" i="12"/>
  <c r="B21" i="12"/>
  <c r="C21" i="12"/>
  <c r="C22" i="12"/>
  <c r="C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C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C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B45" i="12"/>
  <c r="B47" i="12"/>
  <c r="C47" i="12"/>
  <c r="C48" i="12"/>
  <c r="C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B61" i="12"/>
  <c r="B63" i="12"/>
  <c r="C63" i="12"/>
  <c r="C64" i="12"/>
  <c r="C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B77" i="12"/>
  <c r="B79" i="12"/>
  <c r="C79" i="12"/>
  <c r="C80" i="12"/>
  <c r="C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83" i="12"/>
  <c r="A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C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C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B98" i="12"/>
  <c r="B100" i="12"/>
  <c r="C100" i="12"/>
  <c r="B101" i="12"/>
  <c r="C101" i="12"/>
  <c r="A103" i="12"/>
  <c r="A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C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C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B118" i="12"/>
  <c r="B120" i="12"/>
  <c r="C120" i="12"/>
  <c r="B121" i="12"/>
  <c r="C121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B132" i="12"/>
  <c r="B134" i="12"/>
  <c r="C134" i="12"/>
  <c r="C135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B146" i="12"/>
  <c r="B148" i="12"/>
  <c r="C148" i="12"/>
  <c r="C149" i="12"/>
  <c r="A1" i="29"/>
  <c r="A2" i="29"/>
  <c r="A3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A1" i="18"/>
  <c r="A2" i="18"/>
  <c r="A3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AA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A9" i="18"/>
  <c r="AA10" i="18"/>
  <c r="AA11" i="18"/>
  <c r="AA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A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A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AA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A21" i="18"/>
  <c r="AA22" i="18"/>
  <c r="AA23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B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A28" i="18"/>
  <c r="AA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AA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A33" i="18"/>
  <c r="AA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A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AA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A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A44" i="18"/>
  <c r="AA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AA47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A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A53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AA54" i="18"/>
  <c r="AA55" i="18"/>
  <c r="AA56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A57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A61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A62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A64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A65" i="18"/>
  <c r="AA66" i="18"/>
  <c r="AA67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A68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AA69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A70" i="18"/>
  <c r="AA71" i="18"/>
  <c r="AA72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A73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AA74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A75" i="18"/>
  <c r="AA76" i="18"/>
  <c r="AA77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A78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AA79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A80" i="18"/>
  <c r="AA81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A82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A83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A84" i="18"/>
  <c r="AA85" i="18"/>
  <c r="AA86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A87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A88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A89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A90" i="18"/>
  <c r="B3" i="1"/>
  <c r="A1" i="33"/>
  <c r="A2" i="33"/>
  <c r="A3" i="33"/>
  <c r="K9" i="33"/>
  <c r="K10" i="33"/>
  <c r="A12" i="33"/>
  <c r="C12" i="33"/>
  <c r="D12" i="33"/>
  <c r="E12" i="33"/>
  <c r="F12" i="33"/>
  <c r="G12" i="33"/>
  <c r="H12" i="33"/>
  <c r="I12" i="33"/>
  <c r="J12" i="33"/>
  <c r="K12" i="33"/>
  <c r="L12" i="33"/>
  <c r="M12" i="33"/>
  <c r="A13" i="33"/>
  <c r="C13" i="33"/>
  <c r="D13" i="33"/>
  <c r="E13" i="33"/>
  <c r="F13" i="33"/>
  <c r="G13" i="33"/>
  <c r="H13" i="33"/>
  <c r="I13" i="33"/>
  <c r="J13" i="33"/>
  <c r="K13" i="33"/>
  <c r="L13" i="33"/>
  <c r="M13" i="33"/>
  <c r="A14" i="33"/>
  <c r="C14" i="33"/>
  <c r="D14" i="33"/>
  <c r="E14" i="33"/>
  <c r="F14" i="33"/>
  <c r="G14" i="33"/>
  <c r="H14" i="33"/>
  <c r="I14" i="33"/>
  <c r="J14" i="33"/>
  <c r="K14" i="33"/>
  <c r="L14" i="33"/>
  <c r="M14" i="33"/>
  <c r="A15" i="33"/>
  <c r="C15" i="33"/>
  <c r="D15" i="33"/>
  <c r="E15" i="33"/>
  <c r="F15" i="33"/>
  <c r="G15" i="33"/>
  <c r="H15" i="33"/>
  <c r="I15" i="33"/>
  <c r="J15" i="33"/>
  <c r="K15" i="33"/>
  <c r="L15" i="33"/>
  <c r="M15" i="33"/>
  <c r="A16" i="33"/>
  <c r="C16" i="33"/>
  <c r="D16" i="33"/>
  <c r="E16" i="33"/>
  <c r="F16" i="33"/>
  <c r="G16" i="33"/>
  <c r="H16" i="33"/>
  <c r="I16" i="33"/>
  <c r="J16" i="33"/>
  <c r="K16" i="33"/>
  <c r="L16" i="33"/>
  <c r="M16" i="33"/>
  <c r="A17" i="33"/>
  <c r="C17" i="33"/>
  <c r="D17" i="33"/>
  <c r="E17" i="33"/>
  <c r="F17" i="33"/>
  <c r="G17" i="33"/>
  <c r="H17" i="33"/>
  <c r="I17" i="33"/>
  <c r="J17" i="33"/>
  <c r="K17" i="33"/>
  <c r="L17" i="33"/>
  <c r="M17" i="33"/>
  <c r="A18" i="33"/>
  <c r="C18" i="33"/>
  <c r="D18" i="33"/>
  <c r="E18" i="33"/>
  <c r="F18" i="33"/>
  <c r="G18" i="33"/>
  <c r="H18" i="33"/>
  <c r="I18" i="33"/>
  <c r="J18" i="33"/>
  <c r="K18" i="33"/>
  <c r="L18" i="33"/>
  <c r="M18" i="33"/>
  <c r="A19" i="33"/>
  <c r="C19" i="33"/>
  <c r="D19" i="33"/>
  <c r="E19" i="33"/>
  <c r="F19" i="33"/>
  <c r="G19" i="33"/>
  <c r="H19" i="33"/>
  <c r="I19" i="33"/>
  <c r="J19" i="33"/>
  <c r="K19" i="33"/>
  <c r="L19" i="33"/>
  <c r="M19" i="33"/>
  <c r="A20" i="33"/>
  <c r="C20" i="33"/>
  <c r="D20" i="33"/>
  <c r="E20" i="33"/>
  <c r="F20" i="33"/>
  <c r="G20" i="33"/>
  <c r="H20" i="33"/>
  <c r="I20" i="33"/>
  <c r="J20" i="33"/>
  <c r="K20" i="33"/>
  <c r="L20" i="33"/>
  <c r="M20" i="33"/>
  <c r="A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A22" i="33"/>
  <c r="C22" i="33"/>
  <c r="D22" i="33"/>
  <c r="E22" i="33"/>
  <c r="F22" i="33"/>
  <c r="G22" i="33"/>
  <c r="H22" i="33"/>
  <c r="I22" i="33"/>
  <c r="J22" i="33"/>
  <c r="K22" i="33"/>
  <c r="L22" i="33"/>
  <c r="M22" i="33"/>
  <c r="A23" i="33"/>
  <c r="C23" i="33"/>
  <c r="D23" i="33"/>
  <c r="E23" i="33"/>
  <c r="F23" i="33"/>
  <c r="G23" i="33"/>
  <c r="H23" i="33"/>
  <c r="I23" i="33"/>
  <c r="J23" i="33"/>
  <c r="K23" i="33"/>
  <c r="L23" i="33"/>
  <c r="M23" i="33"/>
  <c r="A24" i="33"/>
  <c r="C24" i="33"/>
  <c r="D24" i="33"/>
  <c r="E24" i="33"/>
  <c r="F24" i="33"/>
  <c r="G24" i="33"/>
  <c r="H24" i="33"/>
  <c r="I24" i="33"/>
  <c r="J24" i="33"/>
  <c r="K24" i="33"/>
  <c r="L24" i="33"/>
  <c r="M24" i="33"/>
  <c r="A25" i="33"/>
  <c r="C25" i="33"/>
  <c r="D25" i="33"/>
  <c r="E25" i="33"/>
  <c r="F25" i="33"/>
  <c r="G25" i="33"/>
  <c r="H25" i="33"/>
  <c r="I25" i="33"/>
  <c r="J25" i="33"/>
  <c r="K25" i="33"/>
  <c r="L25" i="33"/>
  <c r="M25" i="33"/>
  <c r="A26" i="33"/>
  <c r="C26" i="33"/>
  <c r="D26" i="33"/>
  <c r="E26" i="33"/>
  <c r="F26" i="33"/>
  <c r="G26" i="33"/>
  <c r="H26" i="33"/>
  <c r="I26" i="33"/>
  <c r="J26" i="33"/>
  <c r="K26" i="33"/>
  <c r="L26" i="33"/>
  <c r="M26" i="33"/>
  <c r="A27" i="33"/>
  <c r="C27" i="33"/>
  <c r="D27" i="33"/>
  <c r="E27" i="33"/>
  <c r="F27" i="33"/>
  <c r="G27" i="33"/>
  <c r="H27" i="33"/>
  <c r="I27" i="33"/>
  <c r="J27" i="33"/>
  <c r="K27" i="33"/>
  <c r="L27" i="33"/>
  <c r="M27" i="33"/>
  <c r="A28" i="33"/>
  <c r="C28" i="33"/>
  <c r="D28" i="33"/>
  <c r="E28" i="33"/>
  <c r="F28" i="33"/>
  <c r="G28" i="33"/>
  <c r="H28" i="33"/>
  <c r="I28" i="33"/>
  <c r="J28" i="33"/>
  <c r="K28" i="33"/>
  <c r="L28" i="33"/>
  <c r="M28" i="33"/>
  <c r="A29" i="33"/>
  <c r="C29" i="33"/>
  <c r="D29" i="33"/>
  <c r="E29" i="33"/>
  <c r="F29" i="33"/>
  <c r="G29" i="33"/>
  <c r="H29" i="33"/>
  <c r="I29" i="33"/>
  <c r="J29" i="33"/>
  <c r="K29" i="33"/>
  <c r="L29" i="33"/>
  <c r="M29" i="33"/>
  <c r="A30" i="33"/>
  <c r="C30" i="33"/>
  <c r="D30" i="33"/>
  <c r="E30" i="33"/>
  <c r="F30" i="33"/>
  <c r="G30" i="33"/>
  <c r="H30" i="33"/>
  <c r="I30" i="33"/>
  <c r="J30" i="33"/>
  <c r="K30" i="33"/>
  <c r="L30" i="33"/>
  <c r="M30" i="33"/>
  <c r="A31" i="33"/>
  <c r="C31" i="33"/>
  <c r="D31" i="33"/>
  <c r="E31" i="33"/>
  <c r="F31" i="33"/>
  <c r="G31" i="33"/>
  <c r="H31" i="33"/>
  <c r="I31" i="33"/>
  <c r="J31" i="33"/>
  <c r="K31" i="33"/>
  <c r="L31" i="33"/>
  <c r="M31" i="33"/>
  <c r="A32" i="33"/>
  <c r="C32" i="33"/>
  <c r="D32" i="33"/>
  <c r="E32" i="33"/>
  <c r="F32" i="33"/>
  <c r="G32" i="33"/>
  <c r="H32" i="33"/>
  <c r="I32" i="33"/>
  <c r="J32" i="33"/>
  <c r="K32" i="33"/>
  <c r="L32" i="33"/>
  <c r="M32" i="33"/>
  <c r="A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A34" i="33"/>
  <c r="C34" i="33"/>
  <c r="D34" i="33"/>
  <c r="E34" i="33"/>
  <c r="F34" i="33"/>
  <c r="G34" i="33"/>
  <c r="H34" i="33"/>
  <c r="I34" i="33"/>
  <c r="J34" i="33"/>
  <c r="K34" i="33"/>
  <c r="L34" i="33"/>
  <c r="M34" i="33"/>
  <c r="A35" i="33"/>
  <c r="C35" i="33"/>
  <c r="D35" i="33"/>
  <c r="E35" i="33"/>
  <c r="F35" i="33"/>
  <c r="G35" i="33"/>
  <c r="H35" i="33"/>
  <c r="I35" i="33"/>
  <c r="J35" i="33"/>
  <c r="K35" i="33"/>
  <c r="L35" i="33"/>
  <c r="M35" i="33"/>
  <c r="A36" i="33"/>
  <c r="C36" i="33"/>
  <c r="D36" i="33"/>
  <c r="E36" i="33"/>
  <c r="F36" i="33"/>
  <c r="G36" i="33"/>
  <c r="H36" i="33"/>
  <c r="I36" i="33"/>
  <c r="J36" i="33"/>
  <c r="K36" i="33"/>
  <c r="L36" i="33"/>
  <c r="M36" i="33"/>
  <c r="A37" i="33"/>
  <c r="C37" i="33"/>
  <c r="D37" i="33"/>
  <c r="E37" i="33"/>
  <c r="F37" i="33"/>
  <c r="G37" i="33"/>
  <c r="H37" i="33"/>
  <c r="I37" i="33"/>
  <c r="J37" i="33"/>
  <c r="K37" i="33"/>
  <c r="L37" i="33"/>
  <c r="M37" i="33"/>
  <c r="A38" i="33"/>
  <c r="C38" i="33"/>
  <c r="D38" i="33"/>
  <c r="E38" i="33"/>
  <c r="F38" i="33"/>
  <c r="G38" i="33"/>
  <c r="H38" i="33"/>
  <c r="I38" i="33"/>
  <c r="J38" i="33"/>
  <c r="K38" i="33"/>
  <c r="L38" i="33"/>
  <c r="M38" i="33"/>
  <c r="A39" i="33"/>
  <c r="C39" i="33"/>
  <c r="D39" i="33"/>
  <c r="E39" i="33"/>
  <c r="F39" i="33"/>
  <c r="G39" i="33"/>
  <c r="H39" i="33"/>
  <c r="I39" i="33"/>
  <c r="J39" i="33"/>
  <c r="K39" i="33"/>
  <c r="L39" i="33"/>
  <c r="M39" i="33"/>
  <c r="A40" i="33"/>
  <c r="C40" i="33"/>
  <c r="D40" i="33"/>
  <c r="E40" i="33"/>
  <c r="F40" i="33"/>
  <c r="G40" i="33"/>
  <c r="H40" i="33"/>
  <c r="I40" i="33"/>
  <c r="J40" i="33"/>
  <c r="K40" i="33"/>
  <c r="L40" i="33"/>
  <c r="M40" i="33"/>
  <c r="A41" i="33"/>
  <c r="C41" i="33"/>
  <c r="D41" i="33"/>
  <c r="E41" i="33"/>
  <c r="F41" i="33"/>
  <c r="G41" i="33"/>
  <c r="H41" i="33"/>
  <c r="I41" i="33"/>
  <c r="J41" i="33"/>
  <c r="K41" i="33"/>
  <c r="L41" i="33"/>
  <c r="M41" i="33"/>
  <c r="A42" i="33"/>
  <c r="C42" i="33"/>
  <c r="D42" i="33"/>
  <c r="E42" i="33"/>
  <c r="F42" i="33"/>
  <c r="G42" i="33"/>
  <c r="H42" i="33"/>
  <c r="I42" i="33"/>
  <c r="J42" i="33"/>
  <c r="K42" i="33"/>
  <c r="L42" i="33"/>
  <c r="M42" i="33"/>
  <c r="A43" i="33"/>
  <c r="C43" i="33"/>
  <c r="D43" i="33"/>
  <c r="E43" i="33"/>
  <c r="F43" i="33"/>
  <c r="G43" i="33"/>
  <c r="H43" i="33"/>
  <c r="I43" i="33"/>
  <c r="J43" i="33"/>
  <c r="K43" i="33"/>
  <c r="L43" i="33"/>
  <c r="M43" i="33"/>
  <c r="A44" i="33"/>
  <c r="C44" i="33"/>
  <c r="D44" i="33"/>
  <c r="E44" i="33"/>
  <c r="F44" i="33"/>
  <c r="G44" i="33"/>
  <c r="H44" i="33"/>
  <c r="I44" i="33"/>
  <c r="J44" i="33"/>
  <c r="K44" i="33"/>
  <c r="L44" i="33"/>
  <c r="M44" i="33"/>
  <c r="A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A46" i="33"/>
  <c r="C46" i="33"/>
  <c r="D46" i="33"/>
  <c r="E46" i="33"/>
  <c r="F46" i="33"/>
  <c r="G46" i="33"/>
  <c r="H46" i="33"/>
  <c r="I46" i="33"/>
  <c r="J46" i="33"/>
  <c r="K46" i="33"/>
  <c r="L46" i="33"/>
  <c r="M46" i="33"/>
  <c r="A47" i="33"/>
  <c r="C47" i="33"/>
  <c r="D47" i="33"/>
  <c r="E47" i="33"/>
  <c r="F47" i="33"/>
  <c r="G47" i="33"/>
  <c r="H47" i="33"/>
  <c r="I47" i="33"/>
  <c r="J47" i="33"/>
  <c r="K47" i="33"/>
  <c r="L47" i="33"/>
  <c r="M47" i="33"/>
  <c r="A48" i="33"/>
  <c r="C48" i="33"/>
  <c r="D48" i="33"/>
  <c r="E48" i="33"/>
  <c r="F48" i="33"/>
  <c r="G48" i="33"/>
  <c r="H48" i="33"/>
  <c r="I48" i="33"/>
  <c r="J48" i="33"/>
  <c r="K48" i="33"/>
  <c r="L48" i="33"/>
  <c r="M48" i="33"/>
  <c r="A49" i="33"/>
  <c r="C49" i="33"/>
  <c r="D49" i="33"/>
  <c r="E49" i="33"/>
  <c r="F49" i="33"/>
  <c r="G49" i="33"/>
  <c r="H49" i="33"/>
  <c r="I49" i="33"/>
  <c r="J49" i="33"/>
  <c r="K49" i="33"/>
  <c r="L49" i="33"/>
  <c r="M49" i="33"/>
  <c r="A50" i="33"/>
  <c r="C50" i="33"/>
  <c r="D50" i="33"/>
  <c r="E50" i="33"/>
  <c r="F50" i="33"/>
  <c r="G50" i="33"/>
  <c r="H50" i="33"/>
  <c r="I50" i="33"/>
  <c r="J50" i="33"/>
  <c r="K50" i="33"/>
  <c r="L50" i="33"/>
  <c r="M50" i="33"/>
  <c r="A51" i="33"/>
  <c r="C51" i="33"/>
  <c r="D51" i="33"/>
  <c r="E51" i="33"/>
  <c r="F51" i="33"/>
  <c r="G51" i="33"/>
  <c r="H51" i="33"/>
  <c r="I51" i="33"/>
  <c r="J51" i="33"/>
  <c r="K51" i="33"/>
  <c r="L51" i="33"/>
  <c r="M51" i="33"/>
  <c r="A52" i="33"/>
  <c r="C52" i="33"/>
  <c r="D52" i="33"/>
  <c r="E52" i="33"/>
  <c r="F52" i="33"/>
  <c r="G52" i="33"/>
  <c r="H52" i="33"/>
  <c r="I52" i="33"/>
  <c r="J52" i="33"/>
  <c r="K52" i="33"/>
  <c r="L52" i="33"/>
  <c r="M52" i="33"/>
  <c r="A53" i="33"/>
  <c r="C53" i="33"/>
  <c r="D53" i="33"/>
  <c r="E53" i="33"/>
  <c r="F53" i="33"/>
  <c r="G53" i="33"/>
  <c r="H53" i="33"/>
  <c r="I53" i="33"/>
  <c r="J53" i="33"/>
  <c r="K53" i="33"/>
  <c r="L53" i="33"/>
  <c r="M53" i="33"/>
  <c r="A54" i="33"/>
  <c r="C54" i="33"/>
  <c r="D54" i="33"/>
  <c r="E54" i="33"/>
  <c r="F54" i="33"/>
  <c r="G54" i="33"/>
  <c r="H54" i="33"/>
  <c r="I54" i="33"/>
  <c r="J54" i="33"/>
  <c r="K54" i="33"/>
  <c r="L54" i="33"/>
  <c r="M54" i="33"/>
  <c r="A55" i="33"/>
  <c r="C55" i="33"/>
  <c r="D55" i="33"/>
  <c r="E55" i="33"/>
  <c r="F55" i="33"/>
  <c r="G55" i="33"/>
  <c r="H55" i="33"/>
  <c r="I55" i="33"/>
  <c r="J55" i="33"/>
  <c r="K55" i="33"/>
  <c r="L55" i="33"/>
  <c r="M55" i="33"/>
  <c r="A56" i="33"/>
  <c r="C56" i="33"/>
  <c r="D56" i="33"/>
  <c r="E56" i="33"/>
  <c r="F56" i="33"/>
  <c r="G56" i="33"/>
  <c r="H56" i="33"/>
  <c r="I56" i="33"/>
  <c r="J56" i="33"/>
  <c r="K56" i="33"/>
  <c r="L56" i="33"/>
  <c r="M56" i="33"/>
  <c r="A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A58" i="33"/>
  <c r="C58" i="33"/>
  <c r="D58" i="33"/>
  <c r="E58" i="33"/>
  <c r="F58" i="33"/>
  <c r="G58" i="33"/>
  <c r="H58" i="33"/>
  <c r="I58" i="33"/>
  <c r="J58" i="33"/>
  <c r="K58" i="33"/>
  <c r="L58" i="33"/>
  <c r="M58" i="33"/>
  <c r="A59" i="33"/>
  <c r="C59" i="33"/>
  <c r="D59" i="33"/>
  <c r="E59" i="33"/>
  <c r="F59" i="33"/>
  <c r="G59" i="33"/>
  <c r="H59" i="33"/>
  <c r="I59" i="33"/>
  <c r="J59" i="33"/>
  <c r="K59" i="33"/>
  <c r="L59" i="33"/>
  <c r="M59" i="33"/>
  <c r="A60" i="33"/>
  <c r="C60" i="33"/>
  <c r="D60" i="33"/>
  <c r="E60" i="33"/>
  <c r="F60" i="33"/>
  <c r="G60" i="33"/>
  <c r="H60" i="33"/>
  <c r="I60" i="33"/>
  <c r="J60" i="33"/>
  <c r="K60" i="33"/>
  <c r="L60" i="33"/>
  <c r="M60" i="33"/>
  <c r="A61" i="33"/>
  <c r="C61" i="33"/>
  <c r="D61" i="33"/>
  <c r="E61" i="33"/>
  <c r="F61" i="33"/>
  <c r="G61" i="33"/>
  <c r="H61" i="33"/>
  <c r="I61" i="33"/>
  <c r="J61" i="33"/>
  <c r="K61" i="33"/>
  <c r="L61" i="33"/>
  <c r="M61" i="33"/>
  <c r="A62" i="33"/>
  <c r="C62" i="33"/>
  <c r="D62" i="33"/>
  <c r="E62" i="33"/>
  <c r="F62" i="33"/>
  <c r="G62" i="33"/>
  <c r="H62" i="33"/>
  <c r="I62" i="33"/>
  <c r="J62" i="33"/>
  <c r="K62" i="33"/>
  <c r="L62" i="33"/>
  <c r="M62" i="33"/>
  <c r="A63" i="33"/>
  <c r="C63" i="33"/>
  <c r="D63" i="33"/>
  <c r="E63" i="33"/>
  <c r="F63" i="33"/>
  <c r="G63" i="33"/>
  <c r="H63" i="33"/>
  <c r="I63" i="33"/>
  <c r="J63" i="33"/>
  <c r="K63" i="33"/>
  <c r="L63" i="33"/>
  <c r="M63" i="33"/>
  <c r="A64" i="33"/>
  <c r="C64" i="33"/>
  <c r="D64" i="33"/>
  <c r="E64" i="33"/>
  <c r="F64" i="33"/>
  <c r="G64" i="33"/>
  <c r="H64" i="33"/>
  <c r="I64" i="33"/>
  <c r="J64" i="33"/>
  <c r="K64" i="33"/>
  <c r="L64" i="33"/>
  <c r="M64" i="33"/>
  <c r="A65" i="33"/>
  <c r="C65" i="33"/>
  <c r="D65" i="33"/>
  <c r="E65" i="33"/>
  <c r="F65" i="33"/>
  <c r="G65" i="33"/>
  <c r="H65" i="33"/>
  <c r="I65" i="33"/>
  <c r="J65" i="33"/>
  <c r="K65" i="33"/>
  <c r="L65" i="33"/>
  <c r="M65" i="33"/>
  <c r="A66" i="33"/>
  <c r="C66" i="33"/>
  <c r="D66" i="33"/>
  <c r="E66" i="33"/>
  <c r="F66" i="33"/>
  <c r="G66" i="33"/>
  <c r="H66" i="33"/>
  <c r="I66" i="33"/>
  <c r="J66" i="33"/>
  <c r="K66" i="33"/>
  <c r="L66" i="33"/>
  <c r="M66" i="33"/>
  <c r="A67" i="33"/>
  <c r="C67" i="33"/>
  <c r="D67" i="33"/>
  <c r="E67" i="33"/>
  <c r="F67" i="33"/>
  <c r="G67" i="33"/>
  <c r="H67" i="33"/>
  <c r="I67" i="33"/>
  <c r="J67" i="33"/>
  <c r="K67" i="33"/>
  <c r="L67" i="33"/>
  <c r="M67" i="33"/>
  <c r="A68" i="33"/>
  <c r="C68" i="33"/>
  <c r="D68" i="33"/>
  <c r="E68" i="33"/>
  <c r="F68" i="33"/>
  <c r="G68" i="33"/>
  <c r="H68" i="33"/>
  <c r="I68" i="33"/>
  <c r="J68" i="33"/>
  <c r="K68" i="33"/>
  <c r="L68" i="33"/>
  <c r="M68" i="33"/>
  <c r="A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A70" i="33"/>
  <c r="C70" i="33"/>
  <c r="D70" i="33"/>
  <c r="E70" i="33"/>
  <c r="F70" i="33"/>
  <c r="G70" i="33"/>
  <c r="H70" i="33"/>
  <c r="I70" i="33"/>
  <c r="J70" i="33"/>
  <c r="K70" i="33"/>
  <c r="L70" i="33"/>
  <c r="M70" i="33"/>
  <c r="A71" i="33"/>
  <c r="C71" i="33"/>
  <c r="D71" i="33"/>
  <c r="E71" i="33"/>
  <c r="F71" i="33"/>
  <c r="G71" i="33"/>
  <c r="H71" i="33"/>
  <c r="I71" i="33"/>
  <c r="J71" i="33"/>
  <c r="K71" i="33"/>
  <c r="L71" i="33"/>
  <c r="M71" i="33"/>
  <c r="A72" i="33"/>
  <c r="C72" i="33"/>
  <c r="D72" i="33"/>
  <c r="E72" i="33"/>
  <c r="F72" i="33"/>
  <c r="G72" i="33"/>
  <c r="H72" i="33"/>
  <c r="I72" i="33"/>
  <c r="J72" i="33"/>
  <c r="K72" i="33"/>
  <c r="L72" i="33"/>
  <c r="M72" i="33"/>
  <c r="A73" i="33"/>
  <c r="C73" i="33"/>
  <c r="D73" i="33"/>
  <c r="E73" i="33"/>
  <c r="F73" i="33"/>
  <c r="G73" i="33"/>
  <c r="H73" i="33"/>
  <c r="I73" i="33"/>
  <c r="J73" i="33"/>
  <c r="K73" i="33"/>
  <c r="L73" i="33"/>
  <c r="M73" i="33"/>
  <c r="A74" i="33"/>
  <c r="C74" i="33"/>
  <c r="D74" i="33"/>
  <c r="E74" i="33"/>
  <c r="F74" i="33"/>
  <c r="G74" i="33"/>
  <c r="H74" i="33"/>
  <c r="I74" i="33"/>
  <c r="J74" i="33"/>
  <c r="K74" i="33"/>
  <c r="L74" i="33"/>
  <c r="M74" i="33"/>
  <c r="A75" i="33"/>
  <c r="C75" i="33"/>
  <c r="D75" i="33"/>
  <c r="E75" i="33"/>
  <c r="F75" i="33"/>
  <c r="G75" i="33"/>
  <c r="H75" i="33"/>
  <c r="I75" i="33"/>
  <c r="J75" i="33"/>
  <c r="K75" i="33"/>
  <c r="L75" i="33"/>
  <c r="M75" i="33"/>
  <c r="A76" i="33"/>
  <c r="C76" i="33"/>
  <c r="D76" i="33"/>
  <c r="E76" i="33"/>
  <c r="F76" i="33"/>
  <c r="G76" i="33"/>
  <c r="H76" i="33"/>
  <c r="I76" i="33"/>
  <c r="J76" i="33"/>
  <c r="K76" i="33"/>
  <c r="L76" i="33"/>
  <c r="M76" i="33"/>
  <c r="A77" i="33"/>
  <c r="C77" i="33"/>
  <c r="D77" i="33"/>
  <c r="E77" i="33"/>
  <c r="F77" i="33"/>
  <c r="G77" i="33"/>
  <c r="H77" i="33"/>
  <c r="I77" i="33"/>
  <c r="J77" i="33"/>
  <c r="K77" i="33"/>
  <c r="L77" i="33"/>
  <c r="M77" i="33"/>
  <c r="A78" i="33"/>
  <c r="C78" i="33"/>
  <c r="D78" i="33"/>
  <c r="E78" i="33"/>
  <c r="F78" i="33"/>
  <c r="G78" i="33"/>
  <c r="H78" i="33"/>
  <c r="I78" i="33"/>
  <c r="J78" i="33"/>
  <c r="K78" i="33"/>
  <c r="L78" i="33"/>
  <c r="M78" i="33"/>
  <c r="A79" i="33"/>
  <c r="C79" i="33"/>
  <c r="D79" i="33"/>
  <c r="E79" i="33"/>
  <c r="F79" i="33"/>
  <c r="G79" i="33"/>
  <c r="H79" i="33"/>
  <c r="I79" i="33"/>
  <c r="J79" i="33"/>
  <c r="K79" i="33"/>
  <c r="L79" i="33"/>
  <c r="M79" i="33"/>
  <c r="A80" i="33"/>
  <c r="C80" i="33"/>
  <c r="D80" i="33"/>
  <c r="E80" i="33"/>
  <c r="F80" i="33"/>
  <c r="G80" i="33"/>
  <c r="H80" i="33"/>
  <c r="I80" i="33"/>
  <c r="J80" i="33"/>
  <c r="K80" i="33"/>
  <c r="L80" i="33"/>
  <c r="M80" i="33"/>
  <c r="A81" i="33"/>
  <c r="C81" i="33"/>
  <c r="D81" i="33"/>
  <c r="E81" i="33"/>
  <c r="F81" i="33"/>
  <c r="G81" i="33"/>
  <c r="H81" i="33"/>
  <c r="I81" i="33"/>
  <c r="J81" i="33"/>
  <c r="K81" i="33"/>
  <c r="L81" i="33"/>
  <c r="M81" i="33"/>
  <c r="A82" i="33"/>
  <c r="C82" i="33"/>
  <c r="D82" i="33"/>
  <c r="E82" i="33"/>
  <c r="F82" i="33"/>
  <c r="G82" i="33"/>
  <c r="H82" i="33"/>
  <c r="I82" i="33"/>
  <c r="J82" i="33"/>
  <c r="K82" i="33"/>
  <c r="L82" i="33"/>
  <c r="M82" i="33"/>
  <c r="A83" i="33"/>
  <c r="C83" i="33"/>
  <c r="D83" i="33"/>
  <c r="E83" i="33"/>
  <c r="F83" i="33"/>
  <c r="G83" i="33"/>
  <c r="H83" i="33"/>
  <c r="I83" i="33"/>
  <c r="J83" i="33"/>
  <c r="K83" i="33"/>
  <c r="L83" i="33"/>
  <c r="M83" i="33"/>
  <c r="A84" i="33"/>
  <c r="C84" i="33"/>
  <c r="D84" i="33"/>
  <c r="E84" i="33"/>
  <c r="F84" i="33"/>
  <c r="G84" i="33"/>
  <c r="H84" i="33"/>
  <c r="I84" i="33"/>
  <c r="J84" i="33"/>
  <c r="K84" i="33"/>
  <c r="L84" i="33"/>
  <c r="M84" i="33"/>
  <c r="A85" i="33"/>
  <c r="C85" i="33"/>
  <c r="D85" i="33"/>
  <c r="E85" i="33"/>
  <c r="F85" i="33"/>
  <c r="G85" i="33"/>
  <c r="H85" i="33"/>
  <c r="I85" i="33"/>
  <c r="J85" i="33"/>
  <c r="K85" i="33"/>
  <c r="L85" i="33"/>
  <c r="M85" i="33"/>
  <c r="A86" i="33"/>
  <c r="C86" i="33"/>
  <c r="D86" i="33"/>
  <c r="E86" i="33"/>
  <c r="F86" i="33"/>
  <c r="G86" i="33"/>
  <c r="H86" i="33"/>
  <c r="I86" i="33"/>
  <c r="J86" i="33"/>
  <c r="K86" i="33"/>
  <c r="L86" i="33"/>
  <c r="M86" i="33"/>
  <c r="A87" i="33"/>
  <c r="C87" i="33"/>
  <c r="D87" i="33"/>
  <c r="E87" i="33"/>
  <c r="F87" i="33"/>
  <c r="G87" i="33"/>
  <c r="H87" i="33"/>
  <c r="I87" i="33"/>
  <c r="J87" i="33"/>
  <c r="K87" i="33"/>
  <c r="L87" i="33"/>
  <c r="M87" i="33"/>
  <c r="A88" i="33"/>
  <c r="C88" i="33"/>
  <c r="D88" i="33"/>
  <c r="E88" i="33"/>
  <c r="F88" i="33"/>
  <c r="G88" i="33"/>
  <c r="H88" i="33"/>
  <c r="I88" i="33"/>
  <c r="J88" i="33"/>
  <c r="K88" i="33"/>
  <c r="L88" i="33"/>
  <c r="M88" i="33"/>
  <c r="A89" i="33"/>
  <c r="C89" i="33"/>
  <c r="D89" i="33"/>
  <c r="E89" i="33"/>
  <c r="F89" i="33"/>
  <c r="G89" i="33"/>
  <c r="H89" i="33"/>
  <c r="I89" i="33"/>
  <c r="J89" i="33"/>
  <c r="K89" i="33"/>
  <c r="L89" i="33"/>
  <c r="M89" i="33"/>
  <c r="A90" i="33"/>
  <c r="C90" i="33"/>
  <c r="D90" i="33"/>
  <c r="E90" i="33"/>
  <c r="F90" i="33"/>
  <c r="G90" i="33"/>
  <c r="H90" i="33"/>
  <c r="I90" i="33"/>
  <c r="J90" i="33"/>
  <c r="K90" i="33"/>
  <c r="L90" i="33"/>
  <c r="M90" i="33"/>
  <c r="A91" i="33"/>
  <c r="C91" i="33"/>
  <c r="D91" i="33"/>
  <c r="E91" i="33"/>
  <c r="F91" i="33"/>
  <c r="G91" i="33"/>
  <c r="H91" i="33"/>
  <c r="I91" i="33"/>
  <c r="J91" i="33"/>
  <c r="K91" i="33"/>
  <c r="L91" i="33"/>
  <c r="M91" i="33"/>
  <c r="A92" i="33"/>
  <c r="C92" i="33"/>
  <c r="D92" i="33"/>
  <c r="E92" i="33"/>
  <c r="F92" i="33"/>
  <c r="G92" i="33"/>
  <c r="H92" i="33"/>
  <c r="I92" i="33"/>
  <c r="J92" i="33"/>
  <c r="K92" i="33"/>
  <c r="L92" i="33"/>
  <c r="M92" i="33"/>
  <c r="A93" i="33"/>
  <c r="C93" i="33"/>
  <c r="D93" i="33"/>
  <c r="E93" i="33"/>
  <c r="F93" i="33"/>
  <c r="G93" i="33"/>
  <c r="H93" i="33"/>
  <c r="I93" i="33"/>
  <c r="J93" i="33"/>
  <c r="K93" i="33"/>
  <c r="L93" i="33"/>
  <c r="M93" i="33"/>
  <c r="A94" i="33"/>
  <c r="C94" i="33"/>
  <c r="D94" i="33"/>
  <c r="E94" i="33"/>
  <c r="F94" i="33"/>
  <c r="G94" i="33"/>
  <c r="H94" i="33"/>
  <c r="I94" i="33"/>
  <c r="J94" i="33"/>
  <c r="K94" i="33"/>
  <c r="L94" i="33"/>
  <c r="M94" i="33"/>
  <c r="A95" i="33"/>
  <c r="C95" i="33"/>
  <c r="D95" i="33"/>
  <c r="E95" i="33"/>
  <c r="F95" i="33"/>
  <c r="G95" i="33"/>
  <c r="H95" i="33"/>
  <c r="I95" i="33"/>
  <c r="J95" i="33"/>
  <c r="K95" i="33"/>
  <c r="L95" i="33"/>
  <c r="M95" i="33"/>
  <c r="A96" i="33"/>
  <c r="C96" i="33"/>
  <c r="D96" i="33"/>
  <c r="E96" i="33"/>
  <c r="F96" i="33"/>
  <c r="G96" i="33"/>
  <c r="H96" i="33"/>
  <c r="I96" i="33"/>
  <c r="J96" i="33"/>
  <c r="K96" i="33"/>
  <c r="L96" i="33"/>
  <c r="M96" i="33"/>
  <c r="A97" i="33"/>
  <c r="C97" i="33"/>
  <c r="D97" i="33"/>
  <c r="E97" i="33"/>
  <c r="F97" i="33"/>
  <c r="G97" i="33"/>
  <c r="H97" i="33"/>
  <c r="I97" i="33"/>
  <c r="J97" i="33"/>
  <c r="K97" i="33"/>
  <c r="L97" i="33"/>
  <c r="M97" i="33"/>
  <c r="A98" i="33"/>
  <c r="C98" i="33"/>
  <c r="D98" i="33"/>
  <c r="E98" i="33"/>
  <c r="F98" i="33"/>
  <c r="G98" i="33"/>
  <c r="H98" i="33"/>
  <c r="I98" i="33"/>
  <c r="J98" i="33"/>
  <c r="K98" i="33"/>
  <c r="L98" i="33"/>
  <c r="M98" i="33"/>
  <c r="A99" i="33"/>
  <c r="C99" i="33"/>
  <c r="D99" i="33"/>
  <c r="E99" i="33"/>
  <c r="F99" i="33"/>
  <c r="G99" i="33"/>
  <c r="H99" i="33"/>
  <c r="I99" i="33"/>
  <c r="J99" i="33"/>
  <c r="K99" i="33"/>
  <c r="L99" i="33"/>
  <c r="M99" i="33"/>
  <c r="A100" i="33"/>
  <c r="C100" i="33"/>
  <c r="D100" i="33"/>
  <c r="E100" i="33"/>
  <c r="F100" i="33"/>
  <c r="G100" i="33"/>
  <c r="H100" i="33"/>
  <c r="I100" i="33"/>
  <c r="J100" i="33"/>
  <c r="K100" i="33"/>
  <c r="L100" i="33"/>
  <c r="M100" i="33"/>
  <c r="A101" i="33"/>
  <c r="C101" i="33"/>
  <c r="D101" i="33"/>
  <c r="E101" i="33"/>
  <c r="F101" i="33"/>
  <c r="G101" i="33"/>
  <c r="H101" i="33"/>
  <c r="I101" i="33"/>
  <c r="J101" i="33"/>
  <c r="K101" i="33"/>
  <c r="L101" i="33"/>
  <c r="M101" i="33"/>
  <c r="A102" i="33"/>
  <c r="C102" i="33"/>
  <c r="D102" i="33"/>
  <c r="E102" i="33"/>
  <c r="F102" i="33"/>
  <c r="G102" i="33"/>
  <c r="H102" i="33"/>
  <c r="I102" i="33"/>
  <c r="J102" i="33"/>
  <c r="K102" i="33"/>
  <c r="L102" i="33"/>
  <c r="M102" i="33"/>
  <c r="A103" i="33"/>
  <c r="C103" i="33"/>
  <c r="D103" i="33"/>
  <c r="E103" i="33"/>
  <c r="F103" i="33"/>
  <c r="G103" i="33"/>
  <c r="H103" i="33"/>
  <c r="I103" i="33"/>
  <c r="J103" i="33"/>
  <c r="K103" i="33"/>
  <c r="L103" i="33"/>
  <c r="M103" i="33"/>
  <c r="A104" i="33"/>
  <c r="C104" i="33"/>
  <c r="D104" i="33"/>
  <c r="E104" i="33"/>
  <c r="F104" i="33"/>
  <c r="G104" i="33"/>
  <c r="H104" i="33"/>
  <c r="I104" i="33"/>
  <c r="J104" i="33"/>
  <c r="K104" i="33"/>
  <c r="L104" i="33"/>
  <c r="M104" i="33"/>
  <c r="A105" i="33"/>
  <c r="C105" i="33"/>
  <c r="D105" i="33"/>
  <c r="E105" i="33"/>
  <c r="F105" i="33"/>
  <c r="G105" i="33"/>
  <c r="H105" i="33"/>
  <c r="I105" i="33"/>
  <c r="J105" i="33"/>
  <c r="K105" i="33"/>
  <c r="L105" i="33"/>
  <c r="M105" i="33"/>
  <c r="A106" i="33"/>
  <c r="C106" i="33"/>
  <c r="D106" i="33"/>
  <c r="E106" i="33"/>
  <c r="F106" i="33"/>
  <c r="G106" i="33"/>
  <c r="H106" i="33"/>
  <c r="I106" i="33"/>
  <c r="J106" i="33"/>
  <c r="K106" i="33"/>
  <c r="L106" i="33"/>
  <c r="M106" i="33"/>
  <c r="A107" i="33"/>
  <c r="C107" i="33"/>
  <c r="D107" i="33"/>
  <c r="E107" i="33"/>
  <c r="F107" i="33"/>
  <c r="G107" i="33"/>
  <c r="H107" i="33"/>
  <c r="I107" i="33"/>
  <c r="J107" i="33"/>
  <c r="K107" i="33"/>
  <c r="L107" i="33"/>
  <c r="M107" i="33"/>
  <c r="A108" i="33"/>
  <c r="C108" i="33"/>
  <c r="D108" i="33"/>
  <c r="E108" i="33"/>
  <c r="F108" i="33"/>
  <c r="G108" i="33"/>
  <c r="H108" i="33"/>
  <c r="I108" i="33"/>
  <c r="J108" i="33"/>
  <c r="K108" i="33"/>
  <c r="L108" i="33"/>
  <c r="M108" i="33"/>
  <c r="A109" i="33"/>
  <c r="C109" i="33"/>
  <c r="D109" i="33"/>
  <c r="E109" i="33"/>
  <c r="F109" i="33"/>
  <c r="G109" i="33"/>
  <c r="H109" i="33"/>
  <c r="I109" i="33"/>
  <c r="J109" i="33"/>
  <c r="K109" i="33"/>
  <c r="L109" i="33"/>
  <c r="M109" i="33"/>
  <c r="A110" i="33"/>
  <c r="C110" i="33"/>
  <c r="D110" i="33"/>
  <c r="E110" i="33"/>
  <c r="F110" i="33"/>
  <c r="G110" i="33"/>
  <c r="H110" i="33"/>
  <c r="I110" i="33"/>
  <c r="J110" i="33"/>
  <c r="K110" i="33"/>
  <c r="L110" i="33"/>
  <c r="M110" i="33"/>
  <c r="A111" i="33"/>
  <c r="C111" i="33"/>
  <c r="D111" i="33"/>
  <c r="E111" i="33"/>
  <c r="F111" i="33"/>
  <c r="G111" i="33"/>
  <c r="H111" i="33"/>
  <c r="I111" i="33"/>
  <c r="J111" i="33"/>
  <c r="K111" i="33"/>
  <c r="L111" i="33"/>
  <c r="M111" i="33"/>
  <c r="A112" i="33"/>
  <c r="C112" i="33"/>
  <c r="D112" i="33"/>
  <c r="E112" i="33"/>
  <c r="F112" i="33"/>
  <c r="G112" i="33"/>
  <c r="H112" i="33"/>
  <c r="I112" i="33"/>
  <c r="J112" i="33"/>
  <c r="K112" i="33"/>
  <c r="L112" i="33"/>
  <c r="M112" i="33"/>
  <c r="A113" i="33"/>
  <c r="C113" i="33"/>
  <c r="D113" i="33"/>
  <c r="E113" i="33"/>
  <c r="F113" i="33"/>
  <c r="G113" i="33"/>
  <c r="H113" i="33"/>
  <c r="I113" i="33"/>
  <c r="J113" i="33"/>
  <c r="K113" i="33"/>
  <c r="L113" i="33"/>
  <c r="M113" i="33"/>
  <c r="A114" i="33"/>
  <c r="C114" i="33"/>
  <c r="D114" i="33"/>
  <c r="E114" i="33"/>
  <c r="F114" i="33"/>
  <c r="G114" i="33"/>
  <c r="H114" i="33"/>
  <c r="I114" i="33"/>
  <c r="J114" i="33"/>
  <c r="K114" i="33"/>
  <c r="L114" i="33"/>
  <c r="M114" i="33"/>
  <c r="A115" i="33"/>
  <c r="C115" i="33"/>
  <c r="D115" i="33"/>
  <c r="E115" i="33"/>
  <c r="F115" i="33"/>
  <c r="G115" i="33"/>
  <c r="H115" i="33"/>
  <c r="I115" i="33"/>
  <c r="J115" i="33"/>
  <c r="K115" i="33"/>
  <c r="L115" i="33"/>
  <c r="M115" i="33"/>
  <c r="A116" i="33"/>
  <c r="C116" i="33"/>
  <c r="D116" i="33"/>
  <c r="E116" i="33"/>
  <c r="F116" i="33"/>
  <c r="G116" i="33"/>
  <c r="H116" i="33"/>
  <c r="I116" i="33"/>
  <c r="J116" i="33"/>
  <c r="K116" i="33"/>
  <c r="L116" i="33"/>
  <c r="M116" i="33"/>
  <c r="A117" i="33"/>
  <c r="C117" i="33"/>
  <c r="D117" i="33"/>
  <c r="E117" i="33"/>
  <c r="F117" i="33"/>
  <c r="G117" i="33"/>
  <c r="H117" i="33"/>
  <c r="I117" i="33"/>
  <c r="J117" i="33"/>
  <c r="K117" i="33"/>
  <c r="L117" i="33"/>
  <c r="M117" i="33"/>
  <c r="A118" i="33"/>
  <c r="C118" i="33"/>
  <c r="D118" i="33"/>
  <c r="E118" i="33"/>
  <c r="F118" i="33"/>
  <c r="G118" i="33"/>
  <c r="H118" i="33"/>
  <c r="I118" i="33"/>
  <c r="J118" i="33"/>
  <c r="K118" i="33"/>
  <c r="L118" i="33"/>
  <c r="M118" i="33"/>
  <c r="A119" i="33"/>
  <c r="C119" i="33"/>
  <c r="D119" i="33"/>
  <c r="E119" i="33"/>
  <c r="F119" i="33"/>
  <c r="G119" i="33"/>
  <c r="H119" i="33"/>
  <c r="I119" i="33"/>
  <c r="J119" i="33"/>
  <c r="K119" i="33"/>
  <c r="L119" i="33"/>
  <c r="M119" i="33"/>
  <c r="A120" i="33"/>
  <c r="C120" i="33"/>
  <c r="D120" i="33"/>
  <c r="E120" i="33"/>
  <c r="F120" i="33"/>
  <c r="G120" i="33"/>
  <c r="H120" i="33"/>
  <c r="I120" i="33"/>
  <c r="J120" i="33"/>
  <c r="K120" i="33"/>
  <c r="L120" i="33"/>
  <c r="M120" i="33"/>
  <c r="A121" i="33"/>
  <c r="C121" i="33"/>
  <c r="D121" i="33"/>
  <c r="E121" i="33"/>
  <c r="F121" i="33"/>
  <c r="G121" i="33"/>
  <c r="H121" i="33"/>
  <c r="I121" i="33"/>
  <c r="J121" i="33"/>
  <c r="K121" i="33"/>
  <c r="L121" i="33"/>
  <c r="M121" i="33"/>
  <c r="A122" i="33"/>
  <c r="C122" i="33"/>
  <c r="D122" i="33"/>
  <c r="E122" i="33"/>
  <c r="F122" i="33"/>
  <c r="G122" i="33"/>
  <c r="H122" i="33"/>
  <c r="I122" i="33"/>
  <c r="J122" i="33"/>
  <c r="K122" i="33"/>
  <c r="L122" i="33"/>
  <c r="M122" i="33"/>
  <c r="A123" i="33"/>
  <c r="C123" i="33"/>
  <c r="D123" i="33"/>
  <c r="E123" i="33"/>
  <c r="F123" i="33"/>
  <c r="G123" i="33"/>
  <c r="H123" i="33"/>
  <c r="I123" i="33"/>
  <c r="J123" i="33"/>
  <c r="K123" i="33"/>
  <c r="L123" i="33"/>
  <c r="M123" i="33"/>
  <c r="A124" i="33"/>
  <c r="C124" i="33"/>
  <c r="D124" i="33"/>
  <c r="E124" i="33"/>
  <c r="F124" i="33"/>
  <c r="G124" i="33"/>
  <c r="H124" i="33"/>
  <c r="I124" i="33"/>
  <c r="J124" i="33"/>
  <c r="K124" i="33"/>
  <c r="L124" i="33"/>
  <c r="M124" i="33"/>
  <c r="A125" i="33"/>
  <c r="C125" i="33"/>
  <c r="D125" i="33"/>
  <c r="E125" i="33"/>
  <c r="F125" i="33"/>
  <c r="G125" i="33"/>
  <c r="H125" i="33"/>
  <c r="I125" i="33"/>
  <c r="J125" i="33"/>
  <c r="K125" i="33"/>
  <c r="L125" i="33"/>
  <c r="M125" i="33"/>
  <c r="A126" i="33"/>
  <c r="C126" i="33"/>
  <c r="D126" i="33"/>
  <c r="E126" i="33"/>
  <c r="F126" i="33"/>
  <c r="G126" i="33"/>
  <c r="H126" i="33"/>
  <c r="I126" i="33"/>
  <c r="J126" i="33"/>
  <c r="K126" i="33"/>
  <c r="L126" i="33"/>
  <c r="M126" i="33"/>
  <c r="A127" i="33"/>
  <c r="C127" i="33"/>
  <c r="D127" i="33"/>
  <c r="E127" i="33"/>
  <c r="F127" i="33"/>
  <c r="G127" i="33"/>
  <c r="H127" i="33"/>
  <c r="I127" i="33"/>
  <c r="J127" i="33"/>
  <c r="K127" i="33"/>
  <c r="L127" i="33"/>
  <c r="M127" i="33"/>
  <c r="A128" i="33"/>
  <c r="C128" i="33"/>
  <c r="D128" i="33"/>
  <c r="E128" i="33"/>
  <c r="F128" i="33"/>
  <c r="G128" i="33"/>
  <c r="H128" i="33"/>
  <c r="I128" i="33"/>
  <c r="J128" i="33"/>
  <c r="K128" i="33"/>
  <c r="L128" i="33"/>
  <c r="M128" i="33"/>
  <c r="A129" i="33"/>
  <c r="C129" i="33"/>
  <c r="D129" i="33"/>
  <c r="E129" i="33"/>
  <c r="F129" i="33"/>
  <c r="G129" i="33"/>
  <c r="H129" i="33"/>
  <c r="I129" i="33"/>
  <c r="J129" i="33"/>
  <c r="K129" i="33"/>
  <c r="L129" i="33"/>
  <c r="M129" i="33"/>
  <c r="A130" i="33"/>
  <c r="C130" i="33"/>
  <c r="D130" i="33"/>
  <c r="E130" i="33"/>
  <c r="F130" i="33"/>
  <c r="G130" i="33"/>
  <c r="H130" i="33"/>
  <c r="I130" i="33"/>
  <c r="J130" i="33"/>
  <c r="K130" i="33"/>
  <c r="L130" i="33"/>
  <c r="M130" i="33"/>
  <c r="A131" i="33"/>
  <c r="C131" i="33"/>
  <c r="D131" i="33"/>
  <c r="E131" i="33"/>
  <c r="F131" i="33"/>
  <c r="G131" i="33"/>
  <c r="H131" i="33"/>
  <c r="I131" i="33"/>
  <c r="J131" i="33"/>
  <c r="K131" i="33"/>
  <c r="L131" i="33"/>
  <c r="M131" i="33"/>
  <c r="A132" i="33"/>
  <c r="C132" i="33"/>
  <c r="D132" i="33"/>
  <c r="E132" i="33"/>
  <c r="F132" i="33"/>
  <c r="G132" i="33"/>
  <c r="H132" i="33"/>
  <c r="I132" i="33"/>
  <c r="J132" i="33"/>
  <c r="K132" i="33"/>
  <c r="L132" i="33"/>
  <c r="M132" i="33"/>
  <c r="A133" i="33"/>
  <c r="C133" i="33"/>
  <c r="D133" i="33"/>
  <c r="E133" i="33"/>
  <c r="F133" i="33"/>
  <c r="G133" i="33"/>
  <c r="H133" i="33"/>
  <c r="I133" i="33"/>
  <c r="J133" i="33"/>
  <c r="K133" i="33"/>
  <c r="L133" i="33"/>
  <c r="M133" i="33"/>
  <c r="A134" i="33"/>
  <c r="C134" i="33"/>
  <c r="D134" i="33"/>
  <c r="E134" i="33"/>
  <c r="F134" i="33"/>
  <c r="G134" i="33"/>
  <c r="H134" i="33"/>
  <c r="I134" i="33"/>
  <c r="J134" i="33"/>
  <c r="K134" i="33"/>
  <c r="L134" i="33"/>
  <c r="M134" i="33"/>
  <c r="A135" i="33"/>
  <c r="C135" i="33"/>
  <c r="D135" i="33"/>
  <c r="E135" i="33"/>
  <c r="F135" i="33"/>
  <c r="G135" i="33"/>
  <c r="H135" i="33"/>
  <c r="I135" i="33"/>
  <c r="J135" i="33"/>
  <c r="K135" i="33"/>
  <c r="L135" i="33"/>
  <c r="M135" i="33"/>
  <c r="A136" i="33"/>
  <c r="C136" i="33"/>
  <c r="D136" i="33"/>
  <c r="E136" i="33"/>
  <c r="F136" i="33"/>
  <c r="G136" i="33"/>
  <c r="H136" i="33"/>
  <c r="I136" i="33"/>
  <c r="J136" i="33"/>
  <c r="K136" i="33"/>
  <c r="L136" i="33"/>
  <c r="M136" i="33"/>
  <c r="A137" i="33"/>
  <c r="C137" i="33"/>
  <c r="D137" i="33"/>
  <c r="E137" i="33"/>
  <c r="F137" i="33"/>
  <c r="G137" i="33"/>
  <c r="H137" i="33"/>
  <c r="I137" i="33"/>
  <c r="J137" i="33"/>
  <c r="K137" i="33"/>
  <c r="L137" i="33"/>
  <c r="M137" i="33"/>
  <c r="A138" i="33"/>
  <c r="C138" i="33"/>
  <c r="D138" i="33"/>
  <c r="E138" i="33"/>
  <c r="F138" i="33"/>
  <c r="G138" i="33"/>
  <c r="H138" i="33"/>
  <c r="I138" i="33"/>
  <c r="J138" i="33"/>
  <c r="K138" i="33"/>
  <c r="L138" i="33"/>
  <c r="M138" i="33"/>
  <c r="A139" i="33"/>
  <c r="C139" i="33"/>
  <c r="D139" i="33"/>
  <c r="E139" i="33"/>
  <c r="F139" i="33"/>
  <c r="G139" i="33"/>
  <c r="H139" i="33"/>
  <c r="I139" i="33"/>
  <c r="J139" i="33"/>
  <c r="K139" i="33"/>
  <c r="L139" i="33"/>
  <c r="M139" i="33"/>
  <c r="A140" i="33"/>
  <c r="C140" i="33"/>
  <c r="D140" i="33"/>
  <c r="E140" i="33"/>
  <c r="F140" i="33"/>
  <c r="G140" i="33"/>
  <c r="H140" i="33"/>
  <c r="I140" i="33"/>
  <c r="J140" i="33"/>
  <c r="K140" i="33"/>
  <c r="L140" i="33"/>
  <c r="M140" i="33"/>
  <c r="A141" i="33"/>
  <c r="C141" i="33"/>
  <c r="D141" i="33"/>
  <c r="E141" i="33"/>
  <c r="F141" i="33"/>
  <c r="G141" i="33"/>
  <c r="H141" i="33"/>
  <c r="I141" i="33"/>
  <c r="J141" i="33"/>
  <c r="K141" i="33"/>
  <c r="L141" i="33"/>
  <c r="M141" i="33"/>
  <c r="A142" i="33"/>
  <c r="C142" i="33"/>
  <c r="D142" i="33"/>
  <c r="E142" i="33"/>
  <c r="F142" i="33"/>
  <c r="G142" i="33"/>
  <c r="H142" i="33"/>
  <c r="I142" i="33"/>
  <c r="J142" i="33"/>
  <c r="K142" i="33"/>
  <c r="L142" i="33"/>
  <c r="M142" i="33"/>
  <c r="A143" i="33"/>
  <c r="C143" i="33"/>
  <c r="D143" i="33"/>
  <c r="E143" i="33"/>
  <c r="F143" i="33"/>
  <c r="G143" i="33"/>
  <c r="H143" i="33"/>
  <c r="I143" i="33"/>
  <c r="J143" i="33"/>
  <c r="K143" i="33"/>
  <c r="L143" i="33"/>
  <c r="M143" i="33"/>
  <c r="A144" i="33"/>
  <c r="C144" i="33"/>
  <c r="D144" i="33"/>
  <c r="E144" i="33"/>
  <c r="F144" i="33"/>
  <c r="G144" i="33"/>
  <c r="H144" i="33"/>
  <c r="I144" i="33"/>
  <c r="J144" i="33"/>
  <c r="K144" i="33"/>
  <c r="L144" i="33"/>
  <c r="M144" i="33"/>
  <c r="A145" i="33"/>
  <c r="C145" i="33"/>
  <c r="D145" i="33"/>
  <c r="E145" i="33"/>
  <c r="F145" i="33"/>
  <c r="G145" i="33"/>
  <c r="H145" i="33"/>
  <c r="I145" i="33"/>
  <c r="J145" i="33"/>
  <c r="K145" i="33"/>
  <c r="L145" i="33"/>
  <c r="M145" i="33"/>
  <c r="A146" i="33"/>
  <c r="C146" i="33"/>
  <c r="D146" i="33"/>
  <c r="E146" i="33"/>
  <c r="F146" i="33"/>
  <c r="G146" i="33"/>
  <c r="H146" i="33"/>
  <c r="I146" i="33"/>
  <c r="J146" i="33"/>
  <c r="K146" i="33"/>
  <c r="L146" i="33"/>
  <c r="M146" i="33"/>
  <c r="A147" i="33"/>
  <c r="C147" i="33"/>
  <c r="D147" i="33"/>
  <c r="E147" i="33"/>
  <c r="F147" i="33"/>
  <c r="G147" i="33"/>
  <c r="H147" i="33"/>
  <c r="I147" i="33"/>
  <c r="J147" i="33"/>
  <c r="K147" i="33"/>
  <c r="L147" i="33"/>
  <c r="M147" i="33"/>
  <c r="A148" i="33"/>
  <c r="C148" i="33"/>
  <c r="D148" i="33"/>
  <c r="E148" i="33"/>
  <c r="F148" i="33"/>
  <c r="G148" i="33"/>
  <c r="H148" i="33"/>
  <c r="I148" i="33"/>
  <c r="J148" i="33"/>
  <c r="K148" i="33"/>
  <c r="L148" i="33"/>
  <c r="M148" i="33"/>
  <c r="A149" i="33"/>
  <c r="C149" i="33"/>
  <c r="D149" i="33"/>
  <c r="E149" i="33"/>
  <c r="F149" i="33"/>
  <c r="G149" i="33"/>
  <c r="H149" i="33"/>
  <c r="I149" i="33"/>
  <c r="J149" i="33"/>
  <c r="K149" i="33"/>
  <c r="L149" i="33"/>
  <c r="M149" i="33"/>
  <c r="A150" i="33"/>
  <c r="C150" i="33"/>
  <c r="D150" i="33"/>
  <c r="E150" i="33"/>
  <c r="F150" i="33"/>
  <c r="G150" i="33"/>
  <c r="H150" i="33"/>
  <c r="I150" i="33"/>
  <c r="J150" i="33"/>
  <c r="K150" i="33"/>
  <c r="L150" i="33"/>
  <c r="M150" i="33"/>
  <c r="A151" i="33"/>
  <c r="C151" i="33"/>
  <c r="D151" i="33"/>
  <c r="E151" i="33"/>
  <c r="F151" i="33"/>
  <c r="G151" i="33"/>
  <c r="H151" i="33"/>
  <c r="I151" i="33"/>
  <c r="J151" i="33"/>
  <c r="K151" i="33"/>
  <c r="L151" i="33"/>
  <c r="M151" i="33"/>
  <c r="A152" i="33"/>
  <c r="C152" i="33"/>
  <c r="D152" i="33"/>
  <c r="E152" i="33"/>
  <c r="F152" i="33"/>
  <c r="G152" i="33"/>
  <c r="H152" i="33"/>
  <c r="I152" i="33"/>
  <c r="J152" i="33"/>
  <c r="K152" i="33"/>
  <c r="L152" i="33"/>
  <c r="M152" i="33"/>
  <c r="A153" i="33"/>
  <c r="C153" i="33"/>
  <c r="D153" i="33"/>
  <c r="E153" i="33"/>
  <c r="F153" i="33"/>
  <c r="G153" i="33"/>
  <c r="H153" i="33"/>
  <c r="I153" i="33"/>
  <c r="J153" i="33"/>
  <c r="K153" i="33"/>
  <c r="L153" i="33"/>
  <c r="M153" i="33"/>
  <c r="A154" i="33"/>
  <c r="C154" i="33"/>
  <c r="D154" i="33"/>
  <c r="E154" i="33"/>
  <c r="F154" i="33"/>
  <c r="G154" i="33"/>
  <c r="H154" i="33"/>
  <c r="I154" i="33"/>
  <c r="J154" i="33"/>
  <c r="K154" i="33"/>
  <c r="L154" i="33"/>
  <c r="M154" i="33"/>
  <c r="A155" i="33"/>
  <c r="C155" i="33"/>
  <c r="D155" i="33"/>
  <c r="E155" i="33"/>
  <c r="F155" i="33"/>
  <c r="G155" i="33"/>
  <c r="H155" i="33"/>
  <c r="I155" i="33"/>
  <c r="J155" i="33"/>
  <c r="K155" i="33"/>
  <c r="L155" i="33"/>
  <c r="M155" i="33"/>
  <c r="A156" i="33"/>
  <c r="C156" i="33"/>
  <c r="D156" i="33"/>
  <c r="E156" i="33"/>
  <c r="F156" i="33"/>
  <c r="G156" i="33"/>
  <c r="H156" i="33"/>
  <c r="I156" i="33"/>
  <c r="J156" i="33"/>
  <c r="K156" i="33"/>
  <c r="L156" i="33"/>
  <c r="M156" i="33"/>
  <c r="A157" i="33"/>
  <c r="C157" i="33"/>
  <c r="D157" i="33"/>
  <c r="E157" i="33"/>
  <c r="F157" i="33"/>
  <c r="G157" i="33"/>
  <c r="H157" i="33"/>
  <c r="I157" i="33"/>
  <c r="J157" i="33"/>
  <c r="K157" i="33"/>
  <c r="L157" i="33"/>
  <c r="M157" i="33"/>
  <c r="A158" i="33"/>
  <c r="C158" i="33"/>
  <c r="D158" i="33"/>
  <c r="E158" i="33"/>
  <c r="F158" i="33"/>
  <c r="G158" i="33"/>
  <c r="H158" i="33"/>
  <c r="I158" i="33"/>
  <c r="J158" i="33"/>
  <c r="K158" i="33"/>
  <c r="L158" i="33"/>
  <c r="M158" i="33"/>
  <c r="A159" i="33"/>
  <c r="C159" i="33"/>
  <c r="D159" i="33"/>
  <c r="E159" i="33"/>
  <c r="F159" i="33"/>
  <c r="G159" i="33"/>
  <c r="H159" i="33"/>
  <c r="I159" i="33"/>
  <c r="J159" i="33"/>
  <c r="K159" i="33"/>
  <c r="L159" i="33"/>
  <c r="M159" i="33"/>
  <c r="A160" i="33"/>
  <c r="C160" i="33"/>
  <c r="D160" i="33"/>
  <c r="E160" i="33"/>
  <c r="F160" i="33"/>
  <c r="G160" i="33"/>
  <c r="H160" i="33"/>
  <c r="I160" i="33"/>
  <c r="J160" i="33"/>
  <c r="K160" i="33"/>
  <c r="L160" i="33"/>
  <c r="M160" i="33"/>
  <c r="A161" i="33"/>
  <c r="C161" i="33"/>
  <c r="D161" i="33"/>
  <c r="E161" i="33"/>
  <c r="F161" i="33"/>
  <c r="G161" i="33"/>
  <c r="H161" i="33"/>
  <c r="I161" i="33"/>
  <c r="J161" i="33"/>
  <c r="K161" i="33"/>
  <c r="L161" i="33"/>
  <c r="M161" i="33"/>
  <c r="A162" i="33"/>
  <c r="C162" i="33"/>
  <c r="D162" i="33"/>
  <c r="E162" i="33"/>
  <c r="F162" i="33"/>
  <c r="G162" i="33"/>
  <c r="H162" i="33"/>
  <c r="I162" i="33"/>
  <c r="J162" i="33"/>
  <c r="K162" i="33"/>
  <c r="L162" i="33"/>
  <c r="M162" i="33"/>
  <c r="A163" i="33"/>
  <c r="C163" i="33"/>
  <c r="D163" i="33"/>
  <c r="E163" i="33"/>
  <c r="F163" i="33"/>
  <c r="G163" i="33"/>
  <c r="H163" i="33"/>
  <c r="I163" i="33"/>
  <c r="J163" i="33"/>
  <c r="K163" i="33"/>
  <c r="L163" i="33"/>
  <c r="M163" i="33"/>
  <c r="A164" i="33"/>
  <c r="C164" i="33"/>
  <c r="D164" i="33"/>
  <c r="E164" i="33"/>
  <c r="F164" i="33"/>
  <c r="G164" i="33"/>
  <c r="H164" i="33"/>
  <c r="I164" i="33"/>
  <c r="J164" i="33"/>
  <c r="K164" i="33"/>
  <c r="L164" i="33"/>
  <c r="M164" i="33"/>
  <c r="A165" i="33"/>
  <c r="C165" i="33"/>
  <c r="D165" i="33"/>
  <c r="E165" i="33"/>
  <c r="F165" i="33"/>
  <c r="G165" i="33"/>
  <c r="H165" i="33"/>
  <c r="I165" i="33"/>
  <c r="J165" i="33"/>
  <c r="K165" i="33"/>
  <c r="L165" i="33"/>
  <c r="M165" i="33"/>
  <c r="A166" i="33"/>
  <c r="C166" i="33"/>
  <c r="D166" i="33"/>
  <c r="E166" i="33"/>
  <c r="F166" i="33"/>
  <c r="G166" i="33"/>
  <c r="H166" i="33"/>
  <c r="I166" i="33"/>
  <c r="J166" i="33"/>
  <c r="K166" i="33"/>
  <c r="L166" i="33"/>
  <c r="M166" i="33"/>
  <c r="A167" i="33"/>
  <c r="C167" i="33"/>
  <c r="D167" i="33"/>
  <c r="E167" i="33"/>
  <c r="F167" i="33"/>
  <c r="G167" i="33"/>
  <c r="H167" i="33"/>
  <c r="I167" i="33"/>
  <c r="J167" i="33"/>
  <c r="K167" i="33"/>
  <c r="L167" i="33"/>
  <c r="M167" i="33"/>
  <c r="A168" i="33"/>
  <c r="C168" i="33"/>
  <c r="D168" i="33"/>
  <c r="E168" i="33"/>
  <c r="F168" i="33"/>
  <c r="G168" i="33"/>
  <c r="H168" i="33"/>
  <c r="I168" i="33"/>
  <c r="J168" i="33"/>
  <c r="K168" i="33"/>
  <c r="L168" i="33"/>
  <c r="M168" i="33"/>
  <c r="A169" i="33"/>
  <c r="C169" i="33"/>
  <c r="D169" i="33"/>
  <c r="E169" i="33"/>
  <c r="F169" i="33"/>
  <c r="G169" i="33"/>
  <c r="H169" i="33"/>
  <c r="I169" i="33"/>
  <c r="J169" i="33"/>
  <c r="K169" i="33"/>
  <c r="L169" i="33"/>
  <c r="M169" i="33"/>
  <c r="A170" i="33"/>
  <c r="C170" i="33"/>
  <c r="D170" i="33"/>
  <c r="E170" i="33"/>
  <c r="F170" i="33"/>
  <c r="G170" i="33"/>
  <c r="H170" i="33"/>
  <c r="I170" i="33"/>
  <c r="J170" i="33"/>
  <c r="K170" i="33"/>
  <c r="L170" i="33"/>
  <c r="M170" i="33"/>
  <c r="A171" i="33"/>
  <c r="C171" i="33"/>
  <c r="D171" i="33"/>
  <c r="E171" i="33"/>
  <c r="F171" i="33"/>
  <c r="G171" i="33"/>
  <c r="H171" i="33"/>
  <c r="I171" i="33"/>
  <c r="J171" i="33"/>
  <c r="K171" i="33"/>
  <c r="L171" i="33"/>
  <c r="M171" i="33"/>
  <c r="A172" i="33"/>
  <c r="C172" i="33"/>
  <c r="D172" i="33"/>
  <c r="E172" i="33"/>
  <c r="F172" i="33"/>
  <c r="G172" i="33"/>
  <c r="H172" i="33"/>
  <c r="I172" i="33"/>
  <c r="J172" i="33"/>
  <c r="K172" i="33"/>
  <c r="L172" i="33"/>
  <c r="M172" i="33"/>
  <c r="A173" i="33"/>
  <c r="C173" i="33"/>
  <c r="D173" i="33"/>
  <c r="E173" i="33"/>
  <c r="F173" i="33"/>
  <c r="G173" i="33"/>
  <c r="H173" i="33"/>
  <c r="I173" i="33"/>
  <c r="J173" i="33"/>
  <c r="K173" i="33"/>
  <c r="L173" i="33"/>
  <c r="M173" i="33"/>
  <c r="A174" i="33"/>
  <c r="C174" i="33"/>
  <c r="D174" i="33"/>
  <c r="E174" i="33"/>
  <c r="F174" i="33"/>
  <c r="G174" i="33"/>
  <c r="H174" i="33"/>
  <c r="I174" i="33"/>
  <c r="J174" i="33"/>
  <c r="K174" i="33"/>
  <c r="L174" i="33"/>
  <c r="M174" i="33"/>
  <c r="A175" i="33"/>
  <c r="C175" i="33"/>
  <c r="D175" i="33"/>
  <c r="E175" i="33"/>
  <c r="F175" i="33"/>
  <c r="G175" i="33"/>
  <c r="H175" i="33"/>
  <c r="I175" i="33"/>
  <c r="J175" i="33"/>
  <c r="K175" i="33"/>
  <c r="L175" i="33"/>
  <c r="M175" i="33"/>
  <c r="A176" i="33"/>
  <c r="C176" i="33"/>
  <c r="D176" i="33"/>
  <c r="E176" i="33"/>
  <c r="F176" i="33"/>
  <c r="G176" i="33"/>
  <c r="H176" i="33"/>
  <c r="I176" i="33"/>
  <c r="J176" i="33"/>
  <c r="K176" i="33"/>
  <c r="L176" i="33"/>
  <c r="M176" i="33"/>
  <c r="A177" i="33"/>
  <c r="C177" i="33"/>
  <c r="D177" i="33"/>
  <c r="E177" i="33"/>
  <c r="F177" i="33"/>
  <c r="G177" i="33"/>
  <c r="H177" i="33"/>
  <c r="I177" i="33"/>
  <c r="J177" i="33"/>
  <c r="K177" i="33"/>
  <c r="L177" i="33"/>
  <c r="M177" i="33"/>
  <c r="A178" i="33"/>
  <c r="C178" i="33"/>
  <c r="D178" i="33"/>
  <c r="E178" i="33"/>
  <c r="F178" i="33"/>
  <c r="G178" i="33"/>
  <c r="H178" i="33"/>
  <c r="I178" i="33"/>
  <c r="J178" i="33"/>
  <c r="K178" i="33"/>
  <c r="L178" i="33"/>
  <c r="M178" i="33"/>
  <c r="A179" i="33"/>
  <c r="C179" i="33"/>
  <c r="D179" i="33"/>
  <c r="E179" i="33"/>
  <c r="F179" i="33"/>
  <c r="G179" i="33"/>
  <c r="H179" i="33"/>
  <c r="I179" i="33"/>
  <c r="J179" i="33"/>
  <c r="K179" i="33"/>
  <c r="L179" i="33"/>
  <c r="M179" i="33"/>
  <c r="A180" i="33"/>
  <c r="C180" i="33"/>
  <c r="D180" i="33"/>
  <c r="E180" i="33"/>
  <c r="F180" i="33"/>
  <c r="G180" i="33"/>
  <c r="H180" i="33"/>
  <c r="I180" i="33"/>
  <c r="J180" i="33"/>
  <c r="K180" i="33"/>
  <c r="L180" i="33"/>
  <c r="M180" i="33"/>
  <c r="A181" i="33"/>
  <c r="C181" i="33"/>
  <c r="D181" i="33"/>
  <c r="E181" i="33"/>
  <c r="F181" i="33"/>
  <c r="G181" i="33"/>
  <c r="H181" i="33"/>
  <c r="I181" i="33"/>
  <c r="J181" i="33"/>
  <c r="K181" i="33"/>
  <c r="L181" i="33"/>
  <c r="M181" i="33"/>
  <c r="A182" i="33"/>
  <c r="C182" i="33"/>
  <c r="D182" i="33"/>
  <c r="E182" i="33"/>
  <c r="F182" i="33"/>
  <c r="G182" i="33"/>
  <c r="H182" i="33"/>
  <c r="I182" i="33"/>
  <c r="J182" i="33"/>
  <c r="K182" i="33"/>
  <c r="L182" i="33"/>
  <c r="M182" i="33"/>
  <c r="A183" i="33"/>
  <c r="C183" i="33"/>
  <c r="D183" i="33"/>
  <c r="E183" i="33"/>
  <c r="F183" i="33"/>
  <c r="G183" i="33"/>
  <c r="H183" i="33"/>
  <c r="I183" i="33"/>
  <c r="J183" i="33"/>
  <c r="K183" i="33"/>
  <c r="L183" i="33"/>
  <c r="M183" i="33"/>
  <c r="A184" i="33"/>
  <c r="C184" i="33"/>
  <c r="D184" i="33"/>
  <c r="E184" i="33"/>
  <c r="F184" i="33"/>
  <c r="G184" i="33"/>
  <c r="H184" i="33"/>
  <c r="I184" i="33"/>
  <c r="J184" i="33"/>
  <c r="K184" i="33"/>
  <c r="L184" i="33"/>
  <c r="M184" i="33"/>
  <c r="A185" i="33"/>
  <c r="C185" i="33"/>
  <c r="D185" i="33"/>
  <c r="E185" i="33"/>
  <c r="F185" i="33"/>
  <c r="G185" i="33"/>
  <c r="H185" i="33"/>
  <c r="I185" i="33"/>
  <c r="J185" i="33"/>
  <c r="K185" i="33"/>
  <c r="L185" i="33"/>
  <c r="M185" i="33"/>
  <c r="A186" i="33"/>
  <c r="C186" i="33"/>
  <c r="D186" i="33"/>
  <c r="E186" i="33"/>
  <c r="F186" i="33"/>
  <c r="G186" i="33"/>
  <c r="H186" i="33"/>
  <c r="I186" i="33"/>
  <c r="J186" i="33"/>
  <c r="K186" i="33"/>
  <c r="L186" i="33"/>
  <c r="M186" i="33"/>
  <c r="A187" i="33"/>
  <c r="C187" i="33"/>
  <c r="D187" i="33"/>
  <c r="E187" i="33"/>
  <c r="F187" i="33"/>
  <c r="G187" i="33"/>
  <c r="H187" i="33"/>
  <c r="I187" i="33"/>
  <c r="J187" i="33"/>
  <c r="K187" i="33"/>
  <c r="L187" i="33"/>
  <c r="M187" i="33"/>
  <c r="A188" i="33"/>
  <c r="C188" i="33"/>
  <c r="D188" i="33"/>
  <c r="E188" i="33"/>
  <c r="F188" i="33"/>
  <c r="G188" i="33"/>
  <c r="H188" i="33"/>
  <c r="I188" i="33"/>
  <c r="J188" i="33"/>
  <c r="K188" i="33"/>
  <c r="L188" i="33"/>
  <c r="M188" i="33"/>
  <c r="A189" i="33"/>
  <c r="C189" i="33"/>
  <c r="D189" i="33"/>
  <c r="E189" i="33"/>
  <c r="F189" i="33"/>
  <c r="G189" i="33"/>
  <c r="H189" i="33"/>
  <c r="I189" i="33"/>
  <c r="J189" i="33"/>
  <c r="K189" i="33"/>
  <c r="L189" i="33"/>
  <c r="M189" i="33"/>
  <c r="A190" i="33"/>
  <c r="C190" i="33"/>
  <c r="D190" i="33"/>
  <c r="E190" i="33"/>
  <c r="F190" i="33"/>
  <c r="G190" i="33"/>
  <c r="H190" i="33"/>
  <c r="I190" i="33"/>
  <c r="J190" i="33"/>
  <c r="K190" i="33"/>
  <c r="L190" i="33"/>
  <c r="M190" i="33"/>
  <c r="A191" i="33"/>
  <c r="C191" i="33"/>
  <c r="D191" i="33"/>
  <c r="E191" i="33"/>
  <c r="F191" i="33"/>
  <c r="G191" i="33"/>
  <c r="H191" i="33"/>
  <c r="I191" i="33"/>
  <c r="J191" i="33"/>
  <c r="K191" i="33"/>
  <c r="L191" i="33"/>
  <c r="M191" i="33"/>
  <c r="A192" i="33"/>
  <c r="C192" i="33"/>
  <c r="D192" i="33"/>
  <c r="E192" i="33"/>
  <c r="F192" i="33"/>
  <c r="G192" i="33"/>
  <c r="H192" i="33"/>
  <c r="I192" i="33"/>
  <c r="J192" i="33"/>
  <c r="K192" i="33"/>
  <c r="L192" i="33"/>
  <c r="M192" i="33"/>
  <c r="A193" i="33"/>
  <c r="C193" i="33"/>
  <c r="D193" i="33"/>
  <c r="E193" i="33"/>
  <c r="F193" i="33"/>
  <c r="G193" i="33"/>
  <c r="H193" i="33"/>
  <c r="I193" i="33"/>
  <c r="J193" i="33"/>
  <c r="K193" i="33"/>
  <c r="L193" i="33"/>
  <c r="M193" i="33"/>
  <c r="A194" i="33"/>
  <c r="C194" i="33"/>
  <c r="D194" i="33"/>
  <c r="E194" i="33"/>
  <c r="F194" i="33"/>
  <c r="G194" i="33"/>
  <c r="H194" i="33"/>
  <c r="I194" i="33"/>
  <c r="J194" i="33"/>
  <c r="K194" i="33"/>
  <c r="L194" i="33"/>
  <c r="M194" i="33"/>
  <c r="A195" i="33"/>
  <c r="C195" i="33"/>
  <c r="D195" i="33"/>
  <c r="E195" i="33"/>
  <c r="F195" i="33"/>
  <c r="G195" i="33"/>
  <c r="H195" i="33"/>
  <c r="I195" i="33"/>
  <c r="J195" i="33"/>
  <c r="K195" i="33"/>
  <c r="L195" i="33"/>
  <c r="M195" i="33"/>
  <c r="A196" i="33"/>
  <c r="C196" i="33"/>
  <c r="D196" i="33"/>
  <c r="E196" i="33"/>
  <c r="F196" i="33"/>
  <c r="G196" i="33"/>
  <c r="H196" i="33"/>
  <c r="I196" i="33"/>
  <c r="J196" i="33"/>
  <c r="K196" i="33"/>
  <c r="L196" i="33"/>
  <c r="M196" i="33"/>
  <c r="A197" i="33"/>
  <c r="C197" i="33"/>
  <c r="D197" i="33"/>
  <c r="E197" i="33"/>
  <c r="F197" i="33"/>
  <c r="G197" i="33"/>
  <c r="H197" i="33"/>
  <c r="I197" i="33"/>
  <c r="J197" i="33"/>
  <c r="K197" i="33"/>
  <c r="L197" i="33"/>
  <c r="M197" i="33"/>
  <c r="A198" i="33"/>
  <c r="C198" i="33"/>
  <c r="D198" i="33"/>
  <c r="E198" i="33"/>
  <c r="F198" i="33"/>
  <c r="G198" i="33"/>
  <c r="H198" i="33"/>
  <c r="I198" i="33"/>
  <c r="J198" i="33"/>
  <c r="K198" i="33"/>
  <c r="L198" i="33"/>
  <c r="M198" i="33"/>
  <c r="A199" i="33"/>
  <c r="C199" i="33"/>
  <c r="D199" i="33"/>
  <c r="E199" i="33"/>
  <c r="F199" i="33"/>
  <c r="G199" i="33"/>
  <c r="H199" i="33"/>
  <c r="I199" i="33"/>
  <c r="J199" i="33"/>
  <c r="K199" i="33"/>
  <c r="L199" i="33"/>
  <c r="M199" i="33"/>
  <c r="A200" i="33"/>
  <c r="C200" i="33"/>
  <c r="D200" i="33"/>
  <c r="E200" i="33"/>
  <c r="F200" i="33"/>
  <c r="G200" i="33"/>
  <c r="H200" i="33"/>
  <c r="I200" i="33"/>
  <c r="J200" i="33"/>
  <c r="K200" i="33"/>
  <c r="L200" i="33"/>
  <c r="M200" i="33"/>
  <c r="A201" i="33"/>
  <c r="C201" i="33"/>
  <c r="D201" i="33"/>
  <c r="E201" i="33"/>
  <c r="F201" i="33"/>
  <c r="G201" i="33"/>
  <c r="H201" i="33"/>
  <c r="I201" i="33"/>
  <c r="J201" i="33"/>
  <c r="K201" i="33"/>
  <c r="L201" i="33"/>
  <c r="M201" i="33"/>
  <c r="A202" i="33"/>
  <c r="C202" i="33"/>
  <c r="D202" i="33"/>
  <c r="E202" i="33"/>
  <c r="F202" i="33"/>
  <c r="G202" i="33"/>
  <c r="H202" i="33"/>
  <c r="I202" i="33"/>
  <c r="J202" i="33"/>
  <c r="K202" i="33"/>
  <c r="L202" i="33"/>
  <c r="M202" i="33"/>
  <c r="A203" i="33"/>
  <c r="C203" i="33"/>
  <c r="D203" i="33"/>
  <c r="E203" i="33"/>
  <c r="F203" i="33"/>
  <c r="G203" i="33"/>
  <c r="H203" i="33"/>
  <c r="I203" i="33"/>
  <c r="J203" i="33"/>
  <c r="K203" i="33"/>
  <c r="L203" i="33"/>
  <c r="M203" i="33"/>
  <c r="A204" i="33"/>
  <c r="C204" i="33"/>
  <c r="D204" i="33"/>
  <c r="E204" i="33"/>
  <c r="F204" i="33"/>
  <c r="G204" i="33"/>
  <c r="H204" i="33"/>
  <c r="I204" i="33"/>
  <c r="J204" i="33"/>
  <c r="K204" i="33"/>
  <c r="L204" i="33"/>
  <c r="M204" i="33"/>
  <c r="A205" i="33"/>
  <c r="C205" i="33"/>
  <c r="D205" i="33"/>
  <c r="E205" i="33"/>
  <c r="F205" i="33"/>
  <c r="G205" i="33"/>
  <c r="H205" i="33"/>
  <c r="I205" i="33"/>
  <c r="J205" i="33"/>
  <c r="K205" i="33"/>
  <c r="L205" i="33"/>
  <c r="M205" i="33"/>
  <c r="A206" i="33"/>
  <c r="C206" i="33"/>
  <c r="D206" i="33"/>
  <c r="E206" i="33"/>
  <c r="F206" i="33"/>
  <c r="G206" i="33"/>
  <c r="H206" i="33"/>
  <c r="I206" i="33"/>
  <c r="J206" i="33"/>
  <c r="K206" i="33"/>
  <c r="L206" i="33"/>
  <c r="M206" i="33"/>
  <c r="A207" i="33"/>
  <c r="C207" i="33"/>
  <c r="D207" i="33"/>
  <c r="E207" i="33"/>
  <c r="F207" i="33"/>
  <c r="G207" i="33"/>
  <c r="H207" i="33"/>
  <c r="I207" i="33"/>
  <c r="J207" i="33"/>
  <c r="K207" i="33"/>
  <c r="L207" i="33"/>
  <c r="M207" i="33"/>
  <c r="A208" i="33"/>
  <c r="C208" i="33"/>
  <c r="D208" i="33"/>
  <c r="E208" i="33"/>
  <c r="F208" i="33"/>
  <c r="G208" i="33"/>
  <c r="H208" i="33"/>
  <c r="I208" i="33"/>
  <c r="J208" i="33"/>
  <c r="K208" i="33"/>
  <c r="L208" i="33"/>
  <c r="M208" i="33"/>
  <c r="A209" i="33"/>
  <c r="C209" i="33"/>
  <c r="D209" i="33"/>
  <c r="E209" i="33"/>
  <c r="F209" i="33"/>
  <c r="G209" i="33"/>
  <c r="H209" i="33"/>
  <c r="I209" i="33"/>
  <c r="J209" i="33"/>
  <c r="K209" i="33"/>
  <c r="L209" i="33"/>
  <c r="M209" i="33"/>
  <c r="A210" i="33"/>
  <c r="C210" i="33"/>
  <c r="D210" i="33"/>
  <c r="E210" i="33"/>
  <c r="F210" i="33"/>
  <c r="G210" i="33"/>
  <c r="H210" i="33"/>
  <c r="I210" i="33"/>
  <c r="J210" i="33"/>
  <c r="K210" i="33"/>
  <c r="L210" i="33"/>
  <c r="M210" i="33"/>
  <c r="A211" i="33"/>
  <c r="C211" i="33"/>
  <c r="D211" i="33"/>
  <c r="E211" i="33"/>
  <c r="F211" i="33"/>
  <c r="G211" i="33"/>
  <c r="H211" i="33"/>
  <c r="I211" i="33"/>
  <c r="J211" i="33"/>
  <c r="K211" i="33"/>
  <c r="L211" i="33"/>
  <c r="M211" i="33"/>
  <c r="A212" i="33"/>
  <c r="C212" i="33"/>
  <c r="D212" i="33"/>
  <c r="E212" i="33"/>
  <c r="F212" i="33"/>
  <c r="G212" i="33"/>
  <c r="H212" i="33"/>
  <c r="I212" i="33"/>
  <c r="J212" i="33"/>
  <c r="K212" i="33"/>
  <c r="L212" i="33"/>
  <c r="M212" i="33"/>
  <c r="A213" i="33"/>
  <c r="C213" i="33"/>
  <c r="D213" i="33"/>
  <c r="E213" i="33"/>
  <c r="F213" i="33"/>
  <c r="G213" i="33"/>
  <c r="H213" i="33"/>
  <c r="I213" i="33"/>
  <c r="J213" i="33"/>
  <c r="K213" i="33"/>
  <c r="L213" i="33"/>
  <c r="M213" i="33"/>
  <c r="A214" i="33"/>
  <c r="C214" i="33"/>
  <c r="D214" i="33"/>
  <c r="E214" i="33"/>
  <c r="F214" i="33"/>
  <c r="G214" i="33"/>
  <c r="H214" i="33"/>
  <c r="I214" i="33"/>
  <c r="J214" i="33"/>
  <c r="K214" i="33"/>
  <c r="L214" i="33"/>
  <c r="M214" i="33"/>
  <c r="A215" i="33"/>
  <c r="C215" i="33"/>
  <c r="D215" i="33"/>
  <c r="E215" i="33"/>
  <c r="F215" i="33"/>
  <c r="G215" i="33"/>
  <c r="H215" i="33"/>
  <c r="I215" i="33"/>
  <c r="J215" i="33"/>
  <c r="K215" i="33"/>
  <c r="L215" i="33"/>
  <c r="M215" i="33"/>
  <c r="A216" i="33"/>
  <c r="C216" i="33"/>
  <c r="D216" i="33"/>
  <c r="E216" i="33"/>
  <c r="F216" i="33"/>
  <c r="G216" i="33"/>
  <c r="H216" i="33"/>
  <c r="I216" i="33"/>
  <c r="J216" i="33"/>
  <c r="K216" i="33"/>
  <c r="L216" i="33"/>
  <c r="M216" i="33"/>
  <c r="A217" i="33"/>
  <c r="C217" i="33"/>
  <c r="D217" i="33"/>
  <c r="E217" i="33"/>
  <c r="F217" i="33"/>
  <c r="G217" i="33"/>
  <c r="H217" i="33"/>
  <c r="I217" i="33"/>
  <c r="J217" i="33"/>
  <c r="K217" i="33"/>
  <c r="L217" i="33"/>
  <c r="M217" i="33"/>
  <c r="A218" i="33"/>
  <c r="C218" i="33"/>
  <c r="D218" i="33"/>
  <c r="E218" i="33"/>
  <c r="F218" i="33"/>
  <c r="G218" i="33"/>
  <c r="H218" i="33"/>
  <c r="I218" i="33"/>
  <c r="J218" i="33"/>
  <c r="K218" i="33"/>
  <c r="L218" i="33"/>
  <c r="M218" i="33"/>
  <c r="A219" i="33"/>
  <c r="C219" i="33"/>
  <c r="D219" i="33"/>
  <c r="E219" i="33"/>
  <c r="F219" i="33"/>
  <c r="G219" i="33"/>
  <c r="H219" i="33"/>
  <c r="I219" i="33"/>
  <c r="J219" i="33"/>
  <c r="K219" i="33"/>
  <c r="L219" i="33"/>
  <c r="M219" i="33"/>
  <c r="A220" i="33"/>
  <c r="C220" i="33"/>
  <c r="D220" i="33"/>
  <c r="E220" i="33"/>
  <c r="F220" i="33"/>
  <c r="G220" i="33"/>
  <c r="H220" i="33"/>
  <c r="I220" i="33"/>
  <c r="J220" i="33"/>
  <c r="K220" i="33"/>
  <c r="L220" i="33"/>
  <c r="M220" i="33"/>
  <c r="A221" i="33"/>
  <c r="C221" i="33"/>
  <c r="D221" i="33"/>
  <c r="E221" i="33"/>
  <c r="F221" i="33"/>
  <c r="G221" i="33"/>
  <c r="H221" i="33"/>
  <c r="I221" i="33"/>
  <c r="J221" i="33"/>
  <c r="K221" i="33"/>
  <c r="L221" i="33"/>
  <c r="M221" i="33"/>
  <c r="A222" i="33"/>
  <c r="C222" i="33"/>
  <c r="D222" i="33"/>
  <c r="E222" i="33"/>
  <c r="F222" i="33"/>
  <c r="G222" i="33"/>
  <c r="H222" i="33"/>
  <c r="I222" i="33"/>
  <c r="J222" i="33"/>
  <c r="K222" i="33"/>
  <c r="L222" i="33"/>
  <c r="M222" i="33"/>
  <c r="A223" i="33"/>
  <c r="C223" i="33"/>
  <c r="D223" i="33"/>
  <c r="E223" i="33"/>
  <c r="F223" i="33"/>
  <c r="G223" i="33"/>
  <c r="H223" i="33"/>
  <c r="I223" i="33"/>
  <c r="J223" i="33"/>
  <c r="K223" i="33"/>
  <c r="L223" i="33"/>
  <c r="M223" i="33"/>
  <c r="A224" i="33"/>
  <c r="C224" i="33"/>
  <c r="D224" i="33"/>
  <c r="E224" i="33"/>
  <c r="F224" i="33"/>
  <c r="G224" i="33"/>
  <c r="H224" i="33"/>
  <c r="I224" i="33"/>
  <c r="J224" i="33"/>
  <c r="K224" i="33"/>
  <c r="L224" i="33"/>
  <c r="M224" i="33"/>
  <c r="A225" i="33"/>
  <c r="C225" i="33"/>
  <c r="D225" i="33"/>
  <c r="E225" i="33"/>
  <c r="F225" i="33"/>
  <c r="G225" i="33"/>
  <c r="H225" i="33"/>
  <c r="I225" i="33"/>
  <c r="J225" i="33"/>
  <c r="K225" i="33"/>
  <c r="L225" i="33"/>
  <c r="M225" i="33"/>
  <c r="A226" i="33"/>
  <c r="C226" i="33"/>
  <c r="D226" i="33"/>
  <c r="E226" i="33"/>
  <c r="F226" i="33"/>
  <c r="G226" i="33"/>
  <c r="H226" i="33"/>
  <c r="I226" i="33"/>
  <c r="J226" i="33"/>
  <c r="K226" i="33"/>
  <c r="L226" i="33"/>
  <c r="M226" i="33"/>
  <c r="A227" i="33"/>
  <c r="C227" i="33"/>
  <c r="D227" i="33"/>
  <c r="E227" i="33"/>
  <c r="F227" i="33"/>
  <c r="G227" i="33"/>
  <c r="H227" i="33"/>
  <c r="I227" i="33"/>
  <c r="J227" i="33"/>
  <c r="K227" i="33"/>
  <c r="L227" i="33"/>
  <c r="M227" i="33"/>
  <c r="A228" i="33"/>
  <c r="C228" i="33"/>
  <c r="D228" i="33"/>
  <c r="E228" i="33"/>
  <c r="F228" i="33"/>
  <c r="G228" i="33"/>
  <c r="H228" i="33"/>
  <c r="I228" i="33"/>
  <c r="J228" i="33"/>
  <c r="K228" i="33"/>
  <c r="L228" i="33"/>
  <c r="M228" i="33"/>
  <c r="A229" i="33"/>
  <c r="C229" i="33"/>
  <c r="D229" i="33"/>
  <c r="E229" i="33"/>
  <c r="F229" i="33"/>
  <c r="G229" i="33"/>
  <c r="H229" i="33"/>
  <c r="I229" i="33"/>
  <c r="J229" i="33"/>
  <c r="K229" i="33"/>
  <c r="L229" i="33"/>
  <c r="M229" i="33"/>
  <c r="A230" i="33"/>
  <c r="C230" i="33"/>
  <c r="D230" i="33"/>
  <c r="E230" i="33"/>
  <c r="F230" i="33"/>
  <c r="G230" i="33"/>
  <c r="H230" i="33"/>
  <c r="I230" i="33"/>
  <c r="J230" i="33"/>
  <c r="K230" i="33"/>
  <c r="L230" i="33"/>
  <c r="M230" i="33"/>
  <c r="A231" i="33"/>
  <c r="C231" i="33"/>
  <c r="D231" i="33"/>
  <c r="E231" i="33"/>
  <c r="F231" i="33"/>
  <c r="G231" i="33"/>
  <c r="H231" i="33"/>
  <c r="I231" i="33"/>
  <c r="J231" i="33"/>
  <c r="K231" i="33"/>
  <c r="L231" i="33"/>
  <c r="M231" i="33"/>
  <c r="A232" i="33"/>
  <c r="C232" i="33"/>
  <c r="D232" i="33"/>
  <c r="E232" i="33"/>
  <c r="F232" i="33"/>
  <c r="G232" i="33"/>
  <c r="H232" i="33"/>
  <c r="I232" i="33"/>
  <c r="J232" i="33"/>
  <c r="K232" i="33"/>
  <c r="L232" i="33"/>
  <c r="M232" i="33"/>
  <c r="A233" i="33"/>
  <c r="C233" i="33"/>
  <c r="D233" i="33"/>
  <c r="E233" i="33"/>
  <c r="F233" i="33"/>
  <c r="G233" i="33"/>
  <c r="H233" i="33"/>
  <c r="I233" i="33"/>
  <c r="J233" i="33"/>
  <c r="K233" i="33"/>
  <c r="L233" i="33"/>
  <c r="M233" i="33"/>
  <c r="A234" i="33"/>
  <c r="C234" i="33"/>
  <c r="D234" i="33"/>
  <c r="E234" i="33"/>
  <c r="F234" i="33"/>
  <c r="G234" i="33"/>
  <c r="H234" i="33"/>
  <c r="I234" i="33"/>
  <c r="J234" i="33"/>
  <c r="K234" i="33"/>
  <c r="L234" i="33"/>
  <c r="M234" i="33"/>
  <c r="A235" i="33"/>
  <c r="C235" i="33"/>
  <c r="D235" i="33"/>
  <c r="E235" i="33"/>
  <c r="F235" i="33"/>
  <c r="G235" i="33"/>
  <c r="H235" i="33"/>
  <c r="I235" i="33"/>
  <c r="J235" i="33"/>
  <c r="K235" i="33"/>
  <c r="L235" i="33"/>
  <c r="M235" i="33"/>
  <c r="A236" i="33"/>
  <c r="C236" i="33"/>
  <c r="D236" i="33"/>
  <c r="E236" i="33"/>
  <c r="F236" i="33"/>
  <c r="G236" i="33"/>
  <c r="H236" i="33"/>
  <c r="I236" i="33"/>
  <c r="J236" i="33"/>
  <c r="K236" i="33"/>
  <c r="L236" i="33"/>
  <c r="M236" i="33"/>
  <c r="A237" i="33"/>
  <c r="C237" i="33"/>
  <c r="D237" i="33"/>
  <c r="E237" i="33"/>
  <c r="F237" i="33"/>
  <c r="G237" i="33"/>
  <c r="H237" i="33"/>
  <c r="I237" i="33"/>
  <c r="J237" i="33"/>
  <c r="K237" i="33"/>
  <c r="L237" i="33"/>
  <c r="M237" i="33"/>
  <c r="A238" i="33"/>
  <c r="C238" i="33"/>
  <c r="D238" i="33"/>
  <c r="E238" i="33"/>
  <c r="F238" i="33"/>
  <c r="G238" i="33"/>
  <c r="H238" i="33"/>
  <c r="I238" i="33"/>
  <c r="J238" i="33"/>
  <c r="K238" i="33"/>
  <c r="L238" i="33"/>
  <c r="M238" i="33"/>
  <c r="A239" i="33"/>
  <c r="C239" i="33"/>
  <c r="D239" i="33"/>
  <c r="E239" i="33"/>
  <c r="F239" i="33"/>
  <c r="G239" i="33"/>
  <c r="H239" i="33"/>
  <c r="I239" i="33"/>
  <c r="J239" i="33"/>
  <c r="K239" i="33"/>
  <c r="L239" i="33"/>
  <c r="M239" i="33"/>
  <c r="A240" i="33"/>
  <c r="C240" i="33"/>
  <c r="D240" i="33"/>
  <c r="E240" i="33"/>
  <c r="F240" i="33"/>
  <c r="G240" i="33"/>
  <c r="H240" i="33"/>
  <c r="I240" i="33"/>
  <c r="J240" i="33"/>
  <c r="K240" i="33"/>
  <c r="L240" i="33"/>
  <c r="M240" i="33"/>
  <c r="A241" i="33"/>
  <c r="C241" i="33"/>
  <c r="D241" i="33"/>
  <c r="E241" i="33"/>
  <c r="F241" i="33"/>
  <c r="G241" i="33"/>
  <c r="H241" i="33"/>
  <c r="I241" i="33"/>
  <c r="J241" i="33"/>
  <c r="K241" i="33"/>
  <c r="L241" i="33"/>
  <c r="M241" i="33"/>
  <c r="A242" i="33"/>
  <c r="C242" i="33"/>
  <c r="D242" i="33"/>
  <c r="E242" i="33"/>
  <c r="F242" i="33"/>
  <c r="G242" i="33"/>
  <c r="H242" i="33"/>
  <c r="I242" i="33"/>
  <c r="J242" i="33"/>
  <c r="K242" i="33"/>
  <c r="L242" i="33"/>
  <c r="M242" i="33"/>
  <c r="A243" i="33"/>
  <c r="C243" i="33"/>
  <c r="D243" i="33"/>
  <c r="E243" i="33"/>
  <c r="F243" i="33"/>
  <c r="G243" i="33"/>
  <c r="H243" i="33"/>
  <c r="I243" i="33"/>
  <c r="J243" i="33"/>
  <c r="K243" i="33"/>
  <c r="L243" i="33"/>
  <c r="M243" i="33"/>
  <c r="A244" i="33"/>
  <c r="C244" i="33"/>
  <c r="D244" i="33"/>
  <c r="E244" i="33"/>
  <c r="F244" i="33"/>
  <c r="G244" i="33"/>
  <c r="H244" i="33"/>
  <c r="I244" i="33"/>
  <c r="J244" i="33"/>
  <c r="K244" i="33"/>
  <c r="L244" i="33"/>
  <c r="M244" i="33"/>
  <c r="A245" i="33"/>
  <c r="C245" i="33"/>
  <c r="D245" i="33"/>
  <c r="E245" i="33"/>
  <c r="F245" i="33"/>
  <c r="G245" i="33"/>
  <c r="H245" i="33"/>
  <c r="I245" i="33"/>
  <c r="J245" i="33"/>
  <c r="K245" i="33"/>
  <c r="L245" i="33"/>
  <c r="M245" i="33"/>
  <c r="A246" i="33"/>
  <c r="M247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A1" i="11"/>
  <c r="A2" i="11"/>
  <c r="A3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C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C9" i="11"/>
  <c r="AC10" i="11"/>
  <c r="AC11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C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C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C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C16" i="11"/>
  <c r="AC17" i="11"/>
  <c r="AC18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C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C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C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C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C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C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C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C26" i="11"/>
  <c r="AC27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C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C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C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C32" i="11"/>
  <c r="AC33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C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C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C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C37" i="11"/>
  <c r="AC38" i="11"/>
  <c r="D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C39" i="11"/>
  <c r="D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C40" i="11"/>
  <c r="AC41" i="11"/>
  <c r="AC42" i="11"/>
  <c r="AA43" i="11"/>
  <c r="AC43" i="11"/>
  <c r="AC44" i="11"/>
  <c r="AC45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C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C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C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C49" i="11"/>
  <c r="AC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C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C52" i="11"/>
  <c r="AC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C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C55" i="11"/>
  <c r="AC56" i="11"/>
  <c r="AC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C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C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C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C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C62" i="11"/>
  <c r="AC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C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C65" i="11"/>
  <c r="AC66" i="11"/>
  <c r="AC67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C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C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C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C71" i="11"/>
  <c r="A1" i="32"/>
  <c r="A2" i="32"/>
  <c r="A3" i="32"/>
  <c r="J9" i="32"/>
  <c r="K9" i="32"/>
  <c r="H10" i="32"/>
  <c r="J10" i="32"/>
  <c r="K10" i="32"/>
  <c r="H11" i="32"/>
  <c r="J11" i="32"/>
  <c r="K11" i="32"/>
  <c r="H12" i="32"/>
  <c r="J12" i="32"/>
  <c r="K12" i="32"/>
  <c r="H13" i="32"/>
  <c r="J13" i="32"/>
  <c r="K13" i="32"/>
  <c r="K14" i="32"/>
  <c r="H17" i="32"/>
  <c r="J17" i="32"/>
  <c r="K17" i="32"/>
  <c r="H18" i="32"/>
  <c r="J18" i="32"/>
  <c r="K18" i="32"/>
  <c r="C19" i="32"/>
  <c r="D19" i="32"/>
  <c r="H19" i="32"/>
  <c r="J19" i="32"/>
  <c r="K19" i="32"/>
  <c r="D20" i="32"/>
  <c r="C21" i="32"/>
  <c r="D21" i="32"/>
  <c r="K21" i="32"/>
  <c r="J25" i="32"/>
  <c r="K25" i="32"/>
  <c r="H26" i="32"/>
  <c r="J26" i="32"/>
  <c r="K26" i="32"/>
  <c r="K27" i="32"/>
  <c r="J29" i="32"/>
  <c r="K29" i="32"/>
  <c r="H30" i="32"/>
  <c r="J30" i="32"/>
  <c r="K30" i="32"/>
  <c r="K31" i="32"/>
  <c r="J33" i="32"/>
  <c r="K33" i="32"/>
  <c r="H34" i="32"/>
  <c r="J34" i="32"/>
  <c r="K34" i="32"/>
  <c r="K35" i="32"/>
  <c r="K36" i="32"/>
  <c r="K38" i="32"/>
  <c r="D44" i="32"/>
  <c r="D48" i="32"/>
  <c r="B49" i="32"/>
  <c r="D49" i="32"/>
  <c r="D54" i="32"/>
  <c r="F54" i="32"/>
  <c r="D57" i="32"/>
</calcChain>
</file>

<file path=xl/comments1.xml><?xml version="1.0" encoding="utf-8"?>
<comments xmlns="http://schemas.openxmlformats.org/spreadsheetml/2006/main">
  <authors>
    <author>Robert Sammon</author>
  </authors>
  <commentList>
    <comment ref="R18" authorId="0" shapeId="0">
      <text>
        <r>
          <rPr>
            <b/>
            <sz val="8"/>
            <color indexed="81"/>
            <rFont val="Tahoma"/>
          </rPr>
          <t>Robert Sammon:</t>
        </r>
        <r>
          <rPr>
            <sz val="8"/>
            <color indexed="81"/>
            <rFont val="Tahoma"/>
          </rPr>
          <t xml:space="preserve">
Increase Parson's per Jeremy Dawson on 2/16/2000.
</t>
        </r>
      </text>
    </comment>
  </commentList>
</comments>
</file>

<file path=xl/comments2.xml><?xml version="1.0" encoding="utf-8"?>
<comments xmlns="http://schemas.openxmlformats.org/spreadsheetml/2006/main">
  <authors>
    <author>D Carneiro</author>
  </authors>
  <commentList>
    <comment ref="E86" authorId="0" shapeId="0">
      <text>
        <r>
          <rPr>
            <b/>
            <sz val="8"/>
            <color indexed="81"/>
            <rFont val="Tahoma"/>
          </rPr>
          <t>D Carneiro:</t>
        </r>
        <r>
          <rPr>
            <sz val="8"/>
            <color indexed="81"/>
            <rFont val="Tahoma"/>
          </rPr>
          <t xml:space="preserve">
Does not include servicing of Sub Debt which is being treated as additional equity contributions from partners.</t>
        </r>
      </text>
    </comment>
  </commentList>
</comments>
</file>

<file path=xl/sharedStrings.xml><?xml version="1.0" encoding="utf-8"?>
<sst xmlns="http://schemas.openxmlformats.org/spreadsheetml/2006/main" count="2005" uniqueCount="1139">
  <si>
    <t>P.C.O. - 009 Geotech. Investigation For River Crossing</t>
  </si>
  <si>
    <t>P.C.O. - 010 Reroute Due To Landowner</t>
  </si>
  <si>
    <t>P.C.O. - 011 Home Office Support For Survey Work</t>
  </si>
  <si>
    <t>P.C.O. - 014 Eliminate Compressor Stations</t>
  </si>
  <si>
    <t>P.C.O. - 015 Roberto Ibatta (IPE) Visit For ROW Changes</t>
  </si>
  <si>
    <t>P.C.O. - 016 Inspect Pirputenga &amp; Santana Ridges</t>
  </si>
  <si>
    <t>P.C.O. - 017 Ridges Core Samples</t>
  </si>
  <si>
    <t>P.C.O. - 018 Reroute Pipeline In Ridges</t>
  </si>
  <si>
    <t>P.C.O. - 019 Survey Land For Metering Station</t>
  </si>
  <si>
    <t>Subordinated Debt</t>
  </si>
  <si>
    <t>Tranche 6: Subordinated Debt</t>
  </si>
  <si>
    <t>Subordinated Debt Proceeds</t>
  </si>
  <si>
    <t>IDC - Subordinated Debt</t>
  </si>
  <si>
    <t>Subordinated Debt Rate</t>
  </si>
  <si>
    <t>Subdebt</t>
  </si>
  <si>
    <t xml:space="preserve">         Total Senior Debt</t>
  </si>
  <si>
    <t xml:space="preserve">         Total Subordinated Debt</t>
  </si>
  <si>
    <t>Interest Expense - Senior Debt</t>
  </si>
  <si>
    <t>Interest Expense - Subordinated Debt</t>
  </si>
  <si>
    <t>Interest Paid -Senior Debt</t>
  </si>
  <si>
    <t>Interest Paid -Subordinated Debt</t>
  </si>
  <si>
    <t>Subordinated Debt - Proceeds</t>
  </si>
  <si>
    <t>Subordinated Debt - Principal Repayment</t>
  </si>
  <si>
    <t>NET A-T CASH FLOW BEFORE SUBORDINATED DEBT REPAYMENT</t>
  </si>
  <si>
    <t>Less: Principal Payments - Senior Debt</t>
  </si>
  <si>
    <t>Less: Principal Payments - Subordinated Debt</t>
  </si>
  <si>
    <t>Political Risk Calculation - Subordinated Debt</t>
  </si>
  <si>
    <r>
      <t xml:space="preserve">Political Risk Insurance - Subordinated Debt </t>
    </r>
    <r>
      <rPr>
        <i/>
        <sz val="9"/>
        <rFont val="Arial"/>
        <family val="2"/>
      </rPr>
      <t>(Cash Payment)</t>
    </r>
  </si>
  <si>
    <t>Enron Subordinated Debt Balance (BOY)</t>
  </si>
  <si>
    <t>Enron Subordinated Debt Balance (EOY)</t>
  </si>
  <si>
    <t>Cashflow Before Subordinated Debt</t>
  </si>
  <si>
    <t>Subordinated Debt Amount</t>
  </si>
  <si>
    <t>Subordinated Debt Repayment</t>
  </si>
  <si>
    <t>Plus: Interest Income - Subordinated Debt</t>
  </si>
  <si>
    <t>Less: Political Risk Insurance - Subordinated Debt</t>
  </si>
  <si>
    <t>Total Cash Flow w/ Subordinated Debt</t>
  </si>
  <si>
    <t>Enron IRR (w/ Subordinated Debt)</t>
  </si>
  <si>
    <t>Less: Interest Expense - Senior Debt</t>
  </si>
  <si>
    <t>Less: Interest Expense - Subordinated Debt</t>
  </si>
  <si>
    <t>n/a</t>
  </si>
  <si>
    <t>Fee for Lender's Put Option</t>
  </si>
  <si>
    <t xml:space="preserve">ENRON </t>
  </si>
  <si>
    <t>GUARANTEE FEE</t>
  </si>
  <si>
    <r>
      <t xml:space="preserve">Less: OPIC Agency Fee + </t>
    </r>
    <r>
      <rPr>
        <b/>
        <sz val="10"/>
        <color indexed="14"/>
        <rFont val="arial"/>
        <family val="2"/>
      </rPr>
      <t>Loan Guarantee Fee</t>
    </r>
  </si>
  <si>
    <t>COMMON SIZED FINANCIALS</t>
  </si>
  <si>
    <t>Inventory - Spares</t>
  </si>
  <si>
    <t>N/R - Shareholder Loans</t>
  </si>
  <si>
    <t>Land</t>
  </si>
  <si>
    <t>Stockholders' Equity</t>
  </si>
  <si>
    <t>Capital Stock (Common &amp; Preferred)</t>
  </si>
  <si>
    <t>Total Stockholders' Equity</t>
  </si>
  <si>
    <t>Total Liabilities &amp; Stockholders' Equity</t>
  </si>
  <si>
    <t>Gross Revenue</t>
  </si>
  <si>
    <t>Less: PIS / COFINS</t>
  </si>
  <si>
    <t>Net Revenues</t>
  </si>
  <si>
    <t>Commodity Fuel Expense</t>
  </si>
  <si>
    <t>Transportation &amp; Take Or Pay</t>
  </si>
  <si>
    <t>Provision For Income Taxes (Income &amp; Surtax)</t>
  </si>
  <si>
    <t>RATIO ANALYSIS</t>
  </si>
  <si>
    <t>Return on Invested Capital</t>
  </si>
  <si>
    <t>ROA</t>
  </si>
  <si>
    <t>ROE</t>
  </si>
  <si>
    <t>Profitability</t>
  </si>
  <si>
    <t>Operating Profit Margin</t>
  </si>
  <si>
    <t>Net Profit Margin</t>
  </si>
  <si>
    <t>Operating CF to Income</t>
  </si>
  <si>
    <t>Asset Utilization</t>
  </si>
  <si>
    <t>Asset Turnover</t>
  </si>
  <si>
    <t>Cash Turnover</t>
  </si>
  <si>
    <t>n/m</t>
  </si>
  <si>
    <t>Net Fixed Asset Turnover</t>
  </si>
  <si>
    <t>Liquidity</t>
  </si>
  <si>
    <t>Current Ratio</t>
  </si>
  <si>
    <t>Quick Ratio</t>
  </si>
  <si>
    <t>Interest Coverage (EBIT/Interest)</t>
  </si>
  <si>
    <t>Debt Service Coverage (EBITDA/Debt Service)</t>
  </si>
  <si>
    <t>GASOCIDENTE DO MATO GROSSO - GASMAT</t>
  </si>
  <si>
    <t>P.C.O. - 022 Additional Inspection Staff (42% Of $1,650)</t>
  </si>
  <si>
    <t>P.C.O. - 021 Extended Overheads (42% Of $300)</t>
  </si>
  <si>
    <t>P.C.O. - 023 Brazil Pipeline Contractor Standby Expenses</t>
  </si>
  <si>
    <t>P.C.O. - 024 Brazil Pipeline Contractor Acceleration Expenses</t>
  </si>
  <si>
    <t>P.C.O. - 049 Credit Owner For Camp Accomodations</t>
  </si>
  <si>
    <t>P.C.O. - 02? SCC Overheads (42% Of $1,085)</t>
  </si>
  <si>
    <t>P.C.O. - 026 Ridges - Pipe Purchase And 13 KM Reroute</t>
  </si>
  <si>
    <t>Change Order Settlement</t>
  </si>
  <si>
    <t>Assumptions</t>
  </si>
  <si>
    <t>Cash Flow</t>
  </si>
  <si>
    <t>Enron Book Income</t>
  </si>
  <si>
    <t>Drawdown Schedule</t>
  </si>
  <si>
    <t>Interest During Construction</t>
  </si>
  <si>
    <t>Depreciation</t>
  </si>
  <si>
    <t>Reference Sheets</t>
  </si>
  <si>
    <t>REFERENCE SHEET - 1</t>
  </si>
  <si>
    <t>Person(s)</t>
  </si>
  <si>
    <t>Responsible</t>
  </si>
  <si>
    <t>Assumption Category</t>
  </si>
  <si>
    <t>Assumption Description</t>
  </si>
  <si>
    <t>Current Assumption</t>
  </si>
  <si>
    <t>Assumption Reference</t>
  </si>
  <si>
    <t>Reference</t>
  </si>
  <si>
    <t>Comments</t>
  </si>
  <si>
    <t>J. Bestard</t>
  </si>
  <si>
    <t>Years</t>
  </si>
  <si>
    <t>S. Friedlander</t>
  </si>
  <si>
    <t>Base Year</t>
  </si>
  <si>
    <t>Escalation Factor</t>
  </si>
  <si>
    <t>Bridge Loan</t>
  </si>
  <si>
    <t>Commitment Fee</t>
  </si>
  <si>
    <t>Amount</t>
  </si>
  <si>
    <t>Interest Rate</t>
  </si>
  <si>
    <t>REFERENCE SHEET - 2</t>
  </si>
  <si>
    <t>Current</t>
  </si>
  <si>
    <t xml:space="preserve">Responsible </t>
  </si>
  <si>
    <t>Assumption</t>
  </si>
  <si>
    <t>B. Rosen</t>
  </si>
  <si>
    <t>Basis</t>
  </si>
  <si>
    <t>Calculation</t>
  </si>
  <si>
    <t xml:space="preserve">   Total</t>
  </si>
  <si>
    <t>Bid Date</t>
  </si>
  <si>
    <t>REFERENCE SHEET - 3</t>
  </si>
  <si>
    <t>K. Pierce</t>
  </si>
  <si>
    <t>D. Vincent</t>
  </si>
  <si>
    <t>REFERENCE SHEET - 4</t>
  </si>
  <si>
    <t>Per Dulaney Ccmail 6/18/97</t>
  </si>
  <si>
    <t>Enron IRR</t>
  </si>
  <si>
    <t>ASSUMPTIONS</t>
  </si>
  <si>
    <t>ENRON INTERNATIONAL</t>
  </si>
  <si>
    <t xml:space="preserve">                                                                                       </t>
  </si>
  <si>
    <t xml:space="preserve"> </t>
  </si>
  <si>
    <t>Project Structure:</t>
  </si>
  <si>
    <t>Limitada</t>
  </si>
  <si>
    <t>Values</t>
  </si>
  <si>
    <t>Inputs</t>
  </si>
  <si>
    <t>Difference</t>
  </si>
  <si>
    <t>Operating Taxes</t>
  </si>
  <si>
    <t>Project Type</t>
  </si>
  <si>
    <t>BOO</t>
  </si>
  <si>
    <t>Size of Pipe</t>
  </si>
  <si>
    <t>Project Operations</t>
  </si>
  <si>
    <t>Month</t>
  </si>
  <si>
    <t>Year</t>
  </si>
  <si>
    <t>Import Taxes</t>
  </si>
  <si>
    <t>Loop Factor</t>
  </si>
  <si>
    <t>Escalation</t>
  </si>
  <si>
    <t>US Taxes</t>
  </si>
  <si>
    <t>Fixed:</t>
  </si>
  <si>
    <t>Depreciation Assumptions</t>
  </si>
  <si>
    <t>Basis ($000)</t>
  </si>
  <si>
    <t>Life (Yrs)</t>
  </si>
  <si>
    <t>Method</t>
  </si>
  <si>
    <t>Other O&amp;M Expenses</t>
  </si>
  <si>
    <t>S/L</t>
  </si>
  <si>
    <t>Gas Loss</t>
  </si>
  <si>
    <t>GAAP</t>
  </si>
  <si>
    <t>Capital Budget Expenses</t>
  </si>
  <si>
    <t>Average</t>
  </si>
  <si>
    <t xml:space="preserve">Project Ownership </t>
  </si>
  <si>
    <t>Enron</t>
  </si>
  <si>
    <t>Shell</t>
  </si>
  <si>
    <t>Transredes</t>
  </si>
  <si>
    <t>Disc Rate</t>
  </si>
  <si>
    <t>IRR</t>
  </si>
  <si>
    <t>NPV</t>
  </si>
  <si>
    <t>Debt Reserve</t>
  </si>
  <si>
    <t>Target IRR</t>
  </si>
  <si>
    <t>Expense</t>
  </si>
  <si>
    <t>L/C Fee p.a.</t>
  </si>
  <si>
    <t>DS Coverage Ratios</t>
  </si>
  <si>
    <t>Pre-Tax</t>
  </si>
  <si>
    <t>After-Tax</t>
  </si>
  <si>
    <t>Plus:  Political Risk Insurance</t>
  </si>
  <si>
    <t>Plus: Bridge Loan Amount</t>
  </si>
  <si>
    <t>Less: Bridge Loan Repayment</t>
  </si>
  <si>
    <t>1 Kcal =</t>
  </si>
  <si>
    <t>MMBTU</t>
  </si>
  <si>
    <t>Less: Management Fee</t>
  </si>
  <si>
    <t>Less: Indemnity Fee</t>
  </si>
  <si>
    <t>Less: Development Fee</t>
  </si>
  <si>
    <t>Sub-total Partner Level Adjustments</t>
  </si>
  <si>
    <t>Unallocated Difference</t>
  </si>
  <si>
    <t>Tax Rate</t>
  </si>
  <si>
    <t>% Onshore</t>
  </si>
  <si>
    <t>Tax Amount</t>
  </si>
  <si>
    <t>Linefill</t>
  </si>
  <si>
    <t>Current Year</t>
  </si>
  <si>
    <t>Calendar Year</t>
  </si>
  <si>
    <t>Totals</t>
  </si>
  <si>
    <t>(a)</t>
  </si>
  <si>
    <t xml:space="preserve">Total O&amp;M </t>
  </si>
  <si>
    <t>Other Income/(Expenses)</t>
  </si>
  <si>
    <t>Earnings Before Depr, Int &amp; Taxes (EBDIT)</t>
  </si>
  <si>
    <t>Earnings Before Int &amp; Taxes (EBIT)</t>
  </si>
  <si>
    <t>Earnings Before Taxes (EBT)</t>
  </si>
  <si>
    <t>PROJECT BOOK INCOME</t>
  </si>
  <si>
    <t>NET A-T CASH FLOW DISTRIBUTED</t>
  </si>
  <si>
    <t>Contract Year</t>
  </si>
  <si>
    <t>Current Year Earnings</t>
  </si>
  <si>
    <t>Current Year Trapped Cash</t>
  </si>
  <si>
    <t>Beginning Balance</t>
  </si>
  <si>
    <t>Less: Loan Repayment</t>
  </si>
  <si>
    <t>Unescalated Capital Budget Expenses</t>
  </si>
  <si>
    <t>Expense Accrual Account</t>
  </si>
  <si>
    <t>Plus: Expense Accrual</t>
  </si>
  <si>
    <t>Less: Cash Expense</t>
  </si>
  <si>
    <t>Ending Balance</t>
  </si>
  <si>
    <t>Equity Injection</t>
  </si>
  <si>
    <t>Total Cash Flow</t>
  </si>
  <si>
    <t>20 Year Running NPV</t>
  </si>
  <si>
    <t>20 Year Running IRR</t>
  </si>
  <si>
    <t>Discounted Payback Year</t>
  </si>
  <si>
    <t>Plus: Indemnity Fee</t>
  </si>
  <si>
    <t>(1)</t>
  </si>
  <si>
    <t>Plus: Technical Service Fee</t>
  </si>
  <si>
    <t>Plus: Development Fee</t>
  </si>
  <si>
    <t>Enron Discounted Payback Year</t>
  </si>
  <si>
    <t>Less: Political Risk Insurance - Bridge Loan</t>
  </si>
  <si>
    <t>Less: US GAAP Depreciation</t>
  </si>
  <si>
    <t>Less: In Country Tax Expense</t>
  </si>
  <si>
    <t>(3)</t>
  </si>
  <si>
    <t>Plus: Indemnity Fee Recognized Currently</t>
  </si>
  <si>
    <t>Total</t>
  </si>
  <si>
    <t>Current Month</t>
  </si>
  <si>
    <t>Calendar Month</t>
  </si>
  <si>
    <t>Project Cost</t>
  </si>
  <si>
    <t>Permanent Financing Rate</t>
  </si>
  <si>
    <t>Construction Balance</t>
  </si>
  <si>
    <t>Construction Drawdown</t>
  </si>
  <si>
    <t>Equity Balance</t>
  </si>
  <si>
    <t>Total Interest During Construction</t>
  </si>
  <si>
    <t xml:space="preserve">Totals  </t>
  </si>
  <si>
    <t xml:space="preserve">   Interest</t>
  </si>
  <si>
    <t xml:space="preserve">   Principal</t>
  </si>
  <si>
    <t>Period</t>
  </si>
  <si>
    <t>Begin Bal</t>
  </si>
  <si>
    <t>Interest</t>
  </si>
  <si>
    <t>Principal</t>
  </si>
  <si>
    <t>End Bal</t>
  </si>
  <si>
    <t>TOTALS</t>
  </si>
  <si>
    <t>Times: Corporate Income Tax</t>
  </si>
  <si>
    <t>Total Cash Taxes</t>
  </si>
  <si>
    <t>BOOK TAXES</t>
  </si>
  <si>
    <t>Total Commitment Fee</t>
  </si>
  <si>
    <t>Tax</t>
  </si>
  <si>
    <t>Book</t>
  </si>
  <si>
    <t>Total Project Cost</t>
  </si>
  <si>
    <t>Less: Line Fill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</si>
  <si>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</si>
  <si>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</si>
  <si>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</si>
  <si>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</si>
  <si>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</si>
  <si>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</si>
  <si>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</si>
  <si>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</si>
  <si>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</si>
  <si>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</si>
  <si>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</si>
  <si>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</si>
  <si>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</si>
  <si>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</si>
  <si>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</si>
  <si>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</si>
  <si>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GAAP Depreciation:</t>
  </si>
  <si>
    <t>Current Gaap Depreciation</t>
  </si>
  <si>
    <t>BALANCE SHEET</t>
  </si>
  <si>
    <t>Opening</t>
  </si>
  <si>
    <t>Balance</t>
  </si>
  <si>
    <t>Inventory - Linefill</t>
  </si>
  <si>
    <t>Deferred Tax Asset</t>
  </si>
  <si>
    <t>Total Assets</t>
  </si>
  <si>
    <t>Deferred Tax Liability</t>
  </si>
  <si>
    <t>Capital Stock</t>
  </si>
  <si>
    <t>Balance Check:</t>
  </si>
  <si>
    <t>INCOME STATEMENT</t>
  </si>
  <si>
    <t>STATEMENT OF CASH FLOWS</t>
  </si>
  <si>
    <t>Page #</t>
  </si>
  <si>
    <t>*** DRAFT COPY ***</t>
  </si>
  <si>
    <t>Table Of Contents</t>
  </si>
  <si>
    <t>Kilometers</t>
  </si>
  <si>
    <t>Inches</t>
  </si>
  <si>
    <t>Pipeline Data</t>
  </si>
  <si>
    <t>Start Of Construction</t>
  </si>
  <si>
    <t>Months Of Construction</t>
  </si>
  <si>
    <t>Term Of Contract (Yrs)</t>
  </si>
  <si>
    <t>NTP To Financial Close  (Mos)</t>
  </si>
  <si>
    <t>$ / MMBTU</t>
  </si>
  <si>
    <t>(Years 5 &amp; 15)</t>
  </si>
  <si>
    <t>(Years 3 , 6 , 9, 12 , 15 &amp; 18)</t>
  </si>
  <si>
    <t>Months Of Debt Service Required</t>
  </si>
  <si>
    <t xml:space="preserve">Of Taxable Income </t>
  </si>
  <si>
    <t>Kcal</t>
  </si>
  <si>
    <t>Conversion Of MCM To MMBTU</t>
  </si>
  <si>
    <t>Units Used</t>
  </si>
  <si>
    <t>Of Taxable Income</t>
  </si>
  <si>
    <t>On Gross Turnover</t>
  </si>
  <si>
    <t>A-T Target</t>
  </si>
  <si>
    <t>Senior Debt</t>
  </si>
  <si>
    <t>Cashflow %</t>
  </si>
  <si>
    <t>Equity %</t>
  </si>
  <si>
    <t>Operations Mobilization</t>
  </si>
  <si>
    <t>Development Costs</t>
  </si>
  <si>
    <t>Development Fee</t>
  </si>
  <si>
    <t xml:space="preserve">Interest During Construction "IDC" </t>
  </si>
  <si>
    <t>Project &amp; Enron Economics</t>
  </si>
  <si>
    <t>Plus: Withholding Tax On Dividends</t>
  </si>
  <si>
    <t>Less: Withholding Tax On Indemnity Fee</t>
  </si>
  <si>
    <t>Plus: Interest Expense On Trapped Cash Loans</t>
  </si>
  <si>
    <t>Less:  Tax Cost / (Benefit) On (1)'s Above</t>
  </si>
  <si>
    <t>Reconciled Project NPV</t>
  </si>
  <si>
    <t xml:space="preserve">Tranche 3: </t>
  </si>
  <si>
    <t>Tranche 4:</t>
  </si>
  <si>
    <t>Equity</t>
  </si>
  <si>
    <t>Total Investment</t>
  </si>
  <si>
    <t>Tranche 5:</t>
  </si>
  <si>
    <t>Weighted Average Rate / Spread</t>
  </si>
  <si>
    <t>Maximum Life Of Financing (Years)</t>
  </si>
  <si>
    <t>Model Convergence</t>
  </si>
  <si>
    <t>Project Costs</t>
  </si>
  <si>
    <t>IDC</t>
  </si>
  <si>
    <t xml:space="preserve">Project Management </t>
  </si>
  <si>
    <t>Escalation Factor - Fixed Transportation</t>
  </si>
  <si>
    <t>Escalation Factor - Operating Expenses</t>
  </si>
  <si>
    <t>Operation &amp; Maintenance</t>
  </si>
  <si>
    <t>Total Operating Expenses Including Taxes</t>
  </si>
  <si>
    <t>Plus: Interest Income - Partner / Shareholder Loans</t>
  </si>
  <si>
    <t>Total Other Income / (Expenses)</t>
  </si>
  <si>
    <t>Less: Book Depreciation Expense</t>
  </si>
  <si>
    <t>Less: Interest Expense (Before W/H Tax)</t>
  </si>
  <si>
    <t>Less: IDC To Be Expensed</t>
  </si>
  <si>
    <t>Less: Book Provision For Income Taxes</t>
  </si>
  <si>
    <t>Less: Cash Taxes</t>
  </si>
  <si>
    <t>Plus: Book Depreciation</t>
  </si>
  <si>
    <t>Plus: IDC To Be Expensed</t>
  </si>
  <si>
    <t>Plus: Book Provision For Income Taxes</t>
  </si>
  <si>
    <t>Trapped Cash Loaned To Partners</t>
  </si>
  <si>
    <t>Pre-Tax Debt Coverage Ratio</t>
  </si>
  <si>
    <t>After-Tax Debt Coverage Ratio</t>
  </si>
  <si>
    <t>NET A-T CASH FLOW BEFORE TRAPPED CASH</t>
  </si>
  <si>
    <t>Dresdner Bank</t>
  </si>
  <si>
    <t>Shareholder Loan Repayment - Trapped Cash</t>
  </si>
  <si>
    <t>Months Of Operation</t>
  </si>
  <si>
    <t>Relief Of Prior Years Trapped Cash</t>
  </si>
  <si>
    <t>Partner / Shareholder Loans</t>
  </si>
  <si>
    <t>Plus: Prior Year Trapped Cash - Loaned To Partners</t>
  </si>
  <si>
    <t>Interest Income - Partner / Shareholder Loans</t>
  </si>
  <si>
    <t>Interest Expense - Partner / Shareholder Loans</t>
  </si>
  <si>
    <t>Reserve For Equipment Rental (Reserve During Term Of Debt Only)</t>
  </si>
  <si>
    <t>Base Equipment Rental Costs - Unescalated</t>
  </si>
  <si>
    <t>Additional Equipment Rental Costs - Unescalated</t>
  </si>
  <si>
    <t>Total Equipment Rental Costs - Unescalated</t>
  </si>
  <si>
    <t>Total Equipment Rental Costs - Escalated</t>
  </si>
  <si>
    <t>Accrual To Cash Adjustment</t>
  </si>
  <si>
    <t>Equipment Reserve Account</t>
  </si>
  <si>
    <t>Plus: Trapped / (Recovered) Cash</t>
  </si>
  <si>
    <t>Bridge Loan Amount</t>
  </si>
  <si>
    <t>Bridge Loan Repayment</t>
  </si>
  <si>
    <t>US Tax (Cost) / Benefit (2)'s Above</t>
  </si>
  <si>
    <t>Less: Withholding Tax - Dividends</t>
  </si>
  <si>
    <t>Plus: Trapped Cash Loans</t>
  </si>
  <si>
    <t>Less: Tax (Cost) / Benefit On (1)'s Above</t>
  </si>
  <si>
    <t>Less: Interest Expense On Trapped Cash Loans</t>
  </si>
  <si>
    <t>Less: Interest Expense - Trapped Cash Loans</t>
  </si>
  <si>
    <t>(2)</t>
  </si>
  <si>
    <t>Project Earnings Before Depr, Int, &amp; Taxes</t>
  </si>
  <si>
    <t>Times: Enron's Ownership Percentage</t>
  </si>
  <si>
    <t>Less: Political Risk Ins - Enron Equity Capitalized &amp; Amort</t>
  </si>
  <si>
    <t>Less: Political Risk Ins - Enron Equity Expensed Currently</t>
  </si>
  <si>
    <t>Project Book Income Restated To GAAP</t>
  </si>
  <si>
    <t>Times: In Counry Tax Rate (Effective Tax Rate)</t>
  </si>
  <si>
    <t>Project Book Income Restated To US GAAP After Tax</t>
  </si>
  <si>
    <t>Plus: Development Fee Recognized Currently</t>
  </si>
  <si>
    <t>Plus: Development Fee Capitalized &amp; Amortized</t>
  </si>
  <si>
    <t>Subtotal - Enron's Project Book Income</t>
  </si>
  <si>
    <t>Subtotal - Enron Bridge  Loan</t>
  </si>
  <si>
    <t>Subtotal - Other Enron Income / (Expenses)</t>
  </si>
  <si>
    <t>IDC - Cumulative</t>
  </si>
  <si>
    <t>Cumulative Principal Payments</t>
  </si>
  <si>
    <t xml:space="preserve">   6 Months Of Debt Service</t>
  </si>
  <si>
    <t>Effective Corporate Tax Rate</t>
  </si>
  <si>
    <t>Book Provision For Income Tax</t>
  </si>
  <si>
    <t>Less: Current Year Book Taxes</t>
  </si>
  <si>
    <t>Ending Deferred Tax Asset / (Liability)</t>
  </si>
  <si>
    <t>Beginning Deferred Tax Asset / (Liability)</t>
  </si>
  <si>
    <t>Commitment Fee Calculation</t>
  </si>
  <si>
    <t>Beginning Commitment Amount</t>
  </si>
  <si>
    <t>Current Period Amount Committed</t>
  </si>
  <si>
    <t>Current Period Amount Drawndown</t>
  </si>
  <si>
    <t>Ending Commitment Amount</t>
  </si>
  <si>
    <t xml:space="preserve">   Total Commitment Fee</t>
  </si>
  <si>
    <t>Less: Working Capital</t>
  </si>
  <si>
    <t>Life</t>
  </si>
  <si>
    <t>Deprec</t>
  </si>
  <si>
    <t>Plus: New Additions</t>
  </si>
  <si>
    <t>Beginning GAAP Basis</t>
  </si>
  <si>
    <t>Ending GAAP Basis</t>
  </si>
  <si>
    <t>Total Current GAAP Depreciation</t>
  </si>
  <si>
    <t>Accumulated GAAP Depreciation</t>
  </si>
  <si>
    <t>Assets</t>
  </si>
  <si>
    <t>Cash &amp; Cash Equivalents</t>
  </si>
  <si>
    <t>Property, Plant &amp; Equipment</t>
  </si>
  <si>
    <t>Accumulated Depreciation</t>
  </si>
  <si>
    <t>Property, Plant &amp; Equipment (Net)</t>
  </si>
  <si>
    <t>Liabilities</t>
  </si>
  <si>
    <t>Total Liabilities</t>
  </si>
  <si>
    <t>Stockholder's Equity</t>
  </si>
  <si>
    <t>Total Stockholder's Equity</t>
  </si>
  <si>
    <t>Total Liabilities &amp; Stockholder's Equity</t>
  </si>
  <si>
    <t>Cost (Less Sale Of VAT)</t>
  </si>
  <si>
    <t>Sales Revenues</t>
  </si>
  <si>
    <t>Income Before Income Taxes</t>
  </si>
  <si>
    <t>Less: Provision For Income Taxes (Income &amp; Surtax)</t>
  </si>
  <si>
    <t>Net Income</t>
  </si>
  <si>
    <t>Cash Flows From Operating Activities</t>
  </si>
  <si>
    <t>Cash Received From Customers</t>
  </si>
  <si>
    <t>Cash Paid To Suppliers &amp; Employees</t>
  </si>
  <si>
    <t>Income Taxes Paid</t>
  </si>
  <si>
    <t>Net Cash Provided By Operating Activities</t>
  </si>
  <si>
    <t>Cash Flows From Financing Activities</t>
  </si>
  <si>
    <t>Loans To Shareholders - Trapped Cash</t>
  </si>
  <si>
    <t>Interest Income - Loans To Shareholders</t>
  </si>
  <si>
    <t>Capital Contributions</t>
  </si>
  <si>
    <t>Construction In Progress</t>
  </si>
  <si>
    <t>Net Cash Provided By Financing Activities</t>
  </si>
  <si>
    <t>Net Increase In Cash &amp; Cash Equivalents</t>
  </si>
  <si>
    <t>Cash &amp; Cash Equivalents (BOY)</t>
  </si>
  <si>
    <t>Cash &amp; Cash Equivalents (EOY)</t>
  </si>
  <si>
    <t>IDC To Be Expensed</t>
  </si>
  <si>
    <t>Purchase Of Initial Line Fill</t>
  </si>
  <si>
    <t>Less: Political Risk Insurance</t>
  </si>
  <si>
    <t>Plus: Trapped Cash - Loans</t>
  </si>
  <si>
    <t>Less: Interest Expense - TC Loans</t>
  </si>
  <si>
    <t>Loopfactor</t>
  </si>
  <si>
    <t xml:space="preserve">   Total Commitment Fee Drawdown</t>
  </si>
  <si>
    <t xml:space="preserve">   Total Drawdown Before IDC</t>
  </si>
  <si>
    <t>Monthly Drawdown Amount</t>
  </si>
  <si>
    <t>Cumulative Drawdown Amount</t>
  </si>
  <si>
    <t>Monthly Drawdown %</t>
  </si>
  <si>
    <t>Cumulative Drawdown Percent</t>
  </si>
  <si>
    <t>Date Of</t>
  </si>
  <si>
    <t>For Assumption</t>
  </si>
  <si>
    <t>Escalation On Fixed Capacity Payment</t>
  </si>
  <si>
    <t>Salaries &amp; Benefits</t>
  </si>
  <si>
    <t>Upfront Fee</t>
  </si>
  <si>
    <t>K. Pierce - Memo</t>
  </si>
  <si>
    <t>S. Friedlander - Verbal</t>
  </si>
  <si>
    <t>$R / US$</t>
  </si>
  <si>
    <t>RAROC / RADR</t>
  </si>
  <si>
    <t>Political Risk Insurance</t>
  </si>
  <si>
    <t>Conversion Of MCM To Kcal</t>
  </si>
  <si>
    <t>Kcal / MCM</t>
  </si>
  <si>
    <t>MMBTU / Kcal</t>
  </si>
  <si>
    <t>Conversion Of Kcal To MMBTU</t>
  </si>
  <si>
    <t xml:space="preserve">  Cumulative % Complete (Excl IDC &amp; W/H Tax)</t>
  </si>
  <si>
    <t xml:space="preserve">  All-In Cumulative % Complete</t>
  </si>
  <si>
    <t>Trapped Cash / Partner Loans / Capital Budget</t>
  </si>
  <si>
    <t>11</t>
  </si>
  <si>
    <t>12</t>
  </si>
  <si>
    <t>13</t>
  </si>
  <si>
    <t>Debt Amortization</t>
  </si>
  <si>
    <t>Pipeline Length - Brazil</t>
  </si>
  <si>
    <t>Brazilian Taxes</t>
  </si>
  <si>
    <t>Additional Income Tax</t>
  </si>
  <si>
    <t>On Taxaable Income</t>
  </si>
  <si>
    <t>PIS - Social Contribution</t>
  </si>
  <si>
    <t>COFINS - Social Contribution</t>
  </si>
  <si>
    <t>ISS - Services Rendered Tax</t>
  </si>
  <si>
    <t>Avg Between 2%-5% (Exempt)</t>
  </si>
  <si>
    <t>Payroll Tax</t>
  </si>
  <si>
    <t>Severence Fund</t>
  </si>
  <si>
    <t>Education Fund</t>
  </si>
  <si>
    <t>On Payroll (Included In O&amp;M)</t>
  </si>
  <si>
    <t>ICMS - Transportation</t>
  </si>
  <si>
    <t>ICMS - Fuel Purchases</t>
  </si>
  <si>
    <t>Import Duties</t>
  </si>
  <si>
    <t>State ICMS</t>
  </si>
  <si>
    <t>Federal IPI</t>
  </si>
  <si>
    <t>Transportation</t>
  </si>
  <si>
    <t>Jose Bestard Assumption</t>
  </si>
  <si>
    <t>Times: Maximum % Allowable</t>
  </si>
  <si>
    <t>Maximum INE Allowable</t>
  </si>
  <si>
    <t>Times: Current Year Limitation % For INE</t>
  </si>
  <si>
    <t>Current Year INE Limitation</t>
  </si>
  <si>
    <t>(b)</t>
  </si>
  <si>
    <t>INE Payable To Shareholders</t>
  </si>
  <si>
    <t>Of Earnings Before Taxes</t>
  </si>
  <si>
    <t>Less: INE Interest Expense</t>
  </si>
  <si>
    <t>Corporate Income Tax</t>
  </si>
  <si>
    <t>Less: Amount Not Subject To Add'l Tax</t>
  </si>
  <si>
    <t>Social Contribution Tax</t>
  </si>
  <si>
    <t>Deferred Tax Asset / Liability</t>
  </si>
  <si>
    <t xml:space="preserve">Months Of Operation </t>
  </si>
  <si>
    <t>Minimum</t>
  </si>
  <si>
    <t>Distributions Limited To Retained Earnings</t>
  </si>
  <si>
    <t>3rd Party Legal Fees</t>
  </si>
  <si>
    <t>Project / Partner Returns</t>
  </si>
  <si>
    <t>Enron Returns</t>
  </si>
  <si>
    <t>10</t>
  </si>
  <si>
    <t>CASH TAXES</t>
  </si>
  <si>
    <t>Plus: INE Dividend Income</t>
  </si>
  <si>
    <t>Less: Tax Cost / (Benefit) On (1)'s Above</t>
  </si>
  <si>
    <t>Plus: Indemnity Fee Capitalized and Amortized</t>
  </si>
  <si>
    <r>
      <t xml:space="preserve">Enron Avg Book Income (Yrs 1-5) - </t>
    </r>
    <r>
      <rPr>
        <b/>
        <i/>
        <sz val="9"/>
        <rFont val="Arial"/>
        <family val="2"/>
      </rPr>
      <t>Comm Ops</t>
    </r>
  </si>
  <si>
    <t>Enron Equity Payback Year On Book Income</t>
  </si>
  <si>
    <t>TOTAL PARTNERS</t>
  </si>
  <si>
    <t>Total Convergence Variance</t>
  </si>
  <si>
    <t>Current Year Debt Service</t>
  </si>
  <si>
    <t>(EBDIT / Current Year Debt Service)</t>
  </si>
  <si>
    <t>Earnings Before Depr, Int &amp; Taxes (EBDIT) - Less Cash Taxes</t>
  </si>
  <si>
    <t>2</t>
  </si>
  <si>
    <t>3</t>
  </si>
  <si>
    <t>4</t>
  </si>
  <si>
    <t>9</t>
  </si>
  <si>
    <t>Avg</t>
  </si>
  <si>
    <t>Sudam Tax Credits</t>
  </si>
  <si>
    <t>(0 = Off, 1 = On)</t>
  </si>
  <si>
    <t>Final Year Of Tax Credits ==&gt;</t>
  </si>
  <si>
    <t>Tax Period Starting In Year</t>
  </si>
  <si>
    <t>Tax Credit Rate Applicable</t>
  </si>
  <si>
    <t>Min Of a &amp; b (Not&lt;0)</t>
  </si>
  <si>
    <t>Total Corporate Income Tax Payable</t>
  </si>
  <si>
    <t>Income Subject To Additional Tax</t>
  </si>
  <si>
    <t>Times: Additional Tax</t>
  </si>
  <si>
    <t>Total Additional Tax</t>
  </si>
  <si>
    <t>Times: Social Contribution Tax Rate</t>
  </si>
  <si>
    <t xml:space="preserve">Total Social Contribution Tax </t>
  </si>
  <si>
    <t>Sudam Tax Credit Reserve</t>
  </si>
  <si>
    <t>Beginning Reserve Balance</t>
  </si>
  <si>
    <t>Plus: Current Year Sudam Credits</t>
  </si>
  <si>
    <t>Less: Distribution Of Reserve</t>
  </si>
  <si>
    <t>Ending Reserve Balance</t>
  </si>
  <si>
    <t>CPI</t>
  </si>
  <si>
    <t xml:space="preserve">Escalation Rate: </t>
  </si>
  <si>
    <t>Exchange Rate</t>
  </si>
  <si>
    <t>N. Khan</t>
  </si>
  <si>
    <t>Operating Income</t>
  </si>
  <si>
    <t>Revenues</t>
  </si>
  <si>
    <t>Operating Expenses (Fuel, Transportation, O&amp;M)</t>
  </si>
  <si>
    <t>Net Operating Income</t>
  </si>
  <si>
    <t>Financial Income</t>
  </si>
  <si>
    <t>Interest Income - Partner Loans</t>
  </si>
  <si>
    <t>L/C Fee On Debt Reserve (Following Year)</t>
  </si>
  <si>
    <t>Net Financial Income</t>
  </si>
  <si>
    <t>Net Income Before NOL Carryforward</t>
  </si>
  <si>
    <t>NOL Used In Current Year</t>
  </si>
  <si>
    <t>See Below</t>
  </si>
  <si>
    <t>Net Income Subject To Income Taxes (w/o Sudam)</t>
  </si>
  <si>
    <t>Net Operating Loss Calculation (Normal Taxes)</t>
  </si>
  <si>
    <t>Beginning NOL Balance</t>
  </si>
  <si>
    <t>Prior Year's NOL</t>
  </si>
  <si>
    <t>Ending NOL Balance</t>
  </si>
  <si>
    <t>Income Taxes Subject To Sudam Credit</t>
  </si>
  <si>
    <t>Sudam Credit %</t>
  </si>
  <si>
    <t>Sudam Tax Credit Taken *</t>
  </si>
  <si>
    <t>(Min Of Max Vs Actual)</t>
  </si>
  <si>
    <t>* Sudam Tax Credit Taken Applied To A Reserve Account (See Trapped Cash Sheet)</t>
  </si>
  <si>
    <t>Transborder Payment (Gas Reservation)</t>
  </si>
  <si>
    <t>Less: Interest Expense - Before W/H Tax</t>
  </si>
  <si>
    <t>Net Income Subject To Income Tax (w/o Sudam)</t>
  </si>
  <si>
    <t>Subtotal Corporate Income Tax &amp; Additional Income Tax</t>
  </si>
  <si>
    <t>Net Corporate Tax &amp; Additional Tax Payable</t>
  </si>
  <si>
    <t>Total Cash Taxes (Excluding Sudam Credit)</t>
  </si>
  <si>
    <t>Tax Savings Under Sudam (Applied To Reserve)</t>
  </si>
  <si>
    <t>Corporate Income Tax (Before Sudam Credit)</t>
  </si>
  <si>
    <t>Additional Income Tax (Before Sudam Credit)</t>
  </si>
  <si>
    <t>Plus: Tax Depreciation</t>
  </si>
  <si>
    <t>Less: Book Depreciaiton</t>
  </si>
  <si>
    <t>Less: Maintenance Accrual To Cash Adjustment</t>
  </si>
  <si>
    <t>Total Temporary Differences</t>
  </si>
  <si>
    <t>Total Cash Taxes (Excl Sudam Credit &amp; Temp Differences)</t>
  </si>
  <si>
    <t>Total Cash Taxes On Temporary Differences</t>
  </si>
  <si>
    <t>Plus: Current Year Cash Taxes (Excluding Sudam Benefits)</t>
  </si>
  <si>
    <t>Cumulative Sudam Credits Available</t>
  </si>
  <si>
    <t>Beginning Trapped Cash</t>
  </si>
  <si>
    <t>Ending Trapped Cash</t>
  </si>
  <si>
    <t>N/R - Trapped Cash Loans</t>
  </si>
  <si>
    <t>Credits Held In A Reserve (Non Distributable As Dividends, Only As Trapped Cash Loans)</t>
  </si>
  <si>
    <t>Reserve Can Be Used Against Net Losses (Forward &amp; Backward)</t>
  </si>
  <si>
    <t>Credit Available = Tax Rate X Operating Income Reduced By Below %</t>
  </si>
  <si>
    <t>B. Rosen - Sudam Memo</t>
  </si>
  <si>
    <t>Exempt</t>
  </si>
  <si>
    <t>Of Total Equity For Life Of Project (TJLP)</t>
  </si>
  <si>
    <t>Limited To The Lesser Of</t>
  </si>
  <si>
    <t>Need Documentation</t>
  </si>
  <si>
    <t>B. Rosen - Memo</t>
  </si>
  <si>
    <t>14</t>
  </si>
  <si>
    <t>Tranche 1: MLA - OPIC</t>
  </si>
  <si>
    <t>Book Depreciation</t>
  </si>
  <si>
    <t>Pre-Tax Book Income</t>
  </si>
  <si>
    <t>Less: Financial Income In Excess Of Financial Losses</t>
  </si>
  <si>
    <t>Exploitation Profits</t>
  </si>
  <si>
    <t>Taxable Income Calculation (Excluding Sudam)</t>
  </si>
  <si>
    <t>Earnings Before Depr, Int, &amp; Taxes</t>
  </si>
  <si>
    <t>Less: Tax Depreciation</t>
  </si>
  <si>
    <t>Earnings Before Sudam Credits</t>
  </si>
  <si>
    <t>Add: Sudam Credits Applied Against Losses</t>
  </si>
  <si>
    <t>Less: Sudam Credits Applied Against Losses</t>
  </si>
  <si>
    <t>Current Year Earnings Before Sudam Credits</t>
  </si>
  <si>
    <t>Cumulative Earnings Before Sudam Credits</t>
  </si>
  <si>
    <t>Sudam Credits Applied Against Losses</t>
  </si>
  <si>
    <t>Add: Sudam Credits Applied To Losses</t>
  </si>
  <si>
    <t>Exploitation Profits Subject To Sudam (&gt;0)</t>
  </si>
  <si>
    <t>Monthly IDC To Be Expensed</t>
  </si>
  <si>
    <t>Cumulative IDC To Be Expensed</t>
  </si>
  <si>
    <t>W/H Tax - Interest (Non-MLA's)/ Cayman Islands</t>
  </si>
  <si>
    <t>Less: WH Tax - Bridge Loan</t>
  </si>
  <si>
    <t>Less: WH Tax - Subordinated Debt</t>
  </si>
  <si>
    <t>Less; WH Tax - Subordinated Debt</t>
  </si>
  <si>
    <t>Interest Paid To Tax Haven Such AS Cayman Islands</t>
  </si>
  <si>
    <t>Ridges Completion</t>
  </si>
  <si>
    <t>Park/Museum</t>
  </si>
  <si>
    <t>Contingency</t>
  </si>
  <si>
    <t>Start Date (Phase II - Power Plant)</t>
  </si>
  <si>
    <t>Start Date (Phase III - Power Plant)</t>
  </si>
  <si>
    <t>W/H Tax - Cumulative</t>
  </si>
  <si>
    <t>Political Risk Calculation - Equity @ Risk</t>
  </si>
  <si>
    <t>Total Stockholder's Equity Balance (BOY)</t>
  </si>
  <si>
    <t>Times: Enron's Ownership %</t>
  </si>
  <si>
    <t>Enron's Equity Balance (BOY)</t>
  </si>
  <si>
    <t>a</t>
  </si>
  <si>
    <t>Total Stockholder's Equity Balance (EOY)</t>
  </si>
  <si>
    <t>Enron's Equity Balance (EOY)</t>
  </si>
  <si>
    <t>b</t>
  </si>
  <si>
    <t>Max Of (a &amp; b) &gt; 0</t>
  </si>
  <si>
    <t>c</t>
  </si>
  <si>
    <t>Min Of (a &amp; b) &gt; 0</t>
  </si>
  <si>
    <t>d</t>
  </si>
  <si>
    <t>Enron @ Risk Equity [ (c x 2) + d ] / 3</t>
  </si>
  <si>
    <t>Political Risk Rate</t>
  </si>
  <si>
    <t>Political Risk Calculation - Bridge Loan</t>
  </si>
  <si>
    <t>Enron Bridge Loan Balance (BOY)</t>
  </si>
  <si>
    <t>Enron Bridge Loan Balance (EOY)</t>
  </si>
  <si>
    <t>Book Earnings Method</t>
  </si>
  <si>
    <t>Partner Level Only</t>
  </si>
  <si>
    <t>Project Returns</t>
  </si>
  <si>
    <t>Project IRR w/o TC</t>
  </si>
  <si>
    <t>Subtotal - Enron Earnings From Project Income</t>
  </si>
  <si>
    <t>Subtotal - Enron Earnings From Other Income / (Expense)</t>
  </si>
  <si>
    <t>Subtotal - Enron Earnings From Bridge Loans</t>
  </si>
  <si>
    <t>Enron Earnings From Project Income</t>
  </si>
  <si>
    <t>Enron Earnings From Other Income / (Expense)</t>
  </si>
  <si>
    <t>Enron Earnings From Bridge Loans</t>
  </si>
  <si>
    <t>Less: US Tax (Cost) / Benefit On (3)'s Above</t>
  </si>
  <si>
    <r>
      <t xml:space="preserve">Enron Avg Book Income (Project Life) - </t>
    </r>
    <r>
      <rPr>
        <b/>
        <i/>
        <sz val="9"/>
        <rFont val="Arial"/>
        <family val="2"/>
      </rPr>
      <t>Comm Ops</t>
    </r>
  </si>
  <si>
    <r>
      <t xml:space="preserve">Political Risk Insurance - Enron's @Risk Equity </t>
    </r>
    <r>
      <rPr>
        <i/>
        <sz val="9"/>
        <rFont val="Arial"/>
        <family val="2"/>
      </rPr>
      <t>(Cash Payment)</t>
    </r>
  </si>
  <si>
    <r>
      <t xml:space="preserve">Political Risk Insurance - Enron Bridge Loan </t>
    </r>
    <r>
      <rPr>
        <i/>
        <sz val="9"/>
        <rFont val="Arial"/>
        <family val="2"/>
      </rPr>
      <t>(Cash Payment)</t>
    </r>
  </si>
  <si>
    <t>Plus Bridge Loan Political Risk Insurance</t>
  </si>
  <si>
    <t>Less: Bridge Loan Interest Income</t>
  </si>
  <si>
    <t>Less:  Tax Cost / (Benefit) On (2)'s Above</t>
  </si>
  <si>
    <t>PRICING CURVES</t>
  </si>
  <si>
    <t>Recon</t>
  </si>
  <si>
    <t>Repayment</t>
  </si>
  <si>
    <t>Debt Service Coverage Ratio Calculation</t>
  </si>
  <si>
    <t>5</t>
  </si>
  <si>
    <t>6</t>
  </si>
  <si>
    <t>7</t>
  </si>
  <si>
    <t>8</t>
  </si>
  <si>
    <t>Political Risk / DSCR Calculations</t>
  </si>
  <si>
    <t>Total 3rd Party Dev / Financing Costs</t>
  </si>
  <si>
    <t>Total Development Costs / Fees</t>
  </si>
  <si>
    <t>Total Other Costs</t>
  </si>
  <si>
    <t>Total Contingency</t>
  </si>
  <si>
    <t>Total Project Costs</t>
  </si>
  <si>
    <t>Total Project Costs ($/MCM/Day)</t>
  </si>
  <si>
    <t>Project</t>
  </si>
  <si>
    <t>First Debt Service Payment</t>
  </si>
  <si>
    <t>ENE Cost Of Funds Charge Calculation (COF)</t>
  </si>
  <si>
    <t>Cumulative Equity Used</t>
  </si>
  <si>
    <t>Less: Cumulative A-T Cashflow</t>
  </si>
  <si>
    <t>Outstanding Equity Subject To Cost Of Funds Charge</t>
  </si>
  <si>
    <t>Times: Enron Cost Of Funds Rate</t>
  </si>
  <si>
    <t>ENE Cost Of Funds Charge / (Benefit)</t>
  </si>
  <si>
    <t>Memo: Cumulative ENE Cost Of Funds Charge / (Benefit)</t>
  </si>
  <si>
    <t>Enron Combined Book Income</t>
  </si>
  <si>
    <t>w/o COF</t>
  </si>
  <si>
    <t>w/ COF</t>
  </si>
  <si>
    <t>Less: ENE Cost Of Funds Charge - Expensed Currently</t>
  </si>
  <si>
    <t>Less: ENE Cost Of Funds Charge - Capitalized &amp; Amortized</t>
  </si>
  <si>
    <t>Enron Book Income Including Cost Of Funds Charge</t>
  </si>
  <si>
    <t>Enron Book Income Prior To Cost Of Funds Charge</t>
  </si>
  <si>
    <t>Cash &amp; Book Taxes, INE Calculation</t>
  </si>
  <si>
    <t>Project Financial Statements</t>
  </si>
  <si>
    <t>Tranche 2: KFW (Uncovered Loan)</t>
  </si>
  <si>
    <t>GASOCIDENTE DO MATO GROSSO LTDA (GASMAT)</t>
  </si>
  <si>
    <t>Total Revenues (Billed To TBS)</t>
  </si>
  <si>
    <t>Operations &amp; Maintenance</t>
  </si>
  <si>
    <t>Other Income / (Expenses)</t>
  </si>
  <si>
    <t>Total Depreciation &amp; Interest</t>
  </si>
  <si>
    <t>Earnings Before Depr, Int, &amp; Taxes (EBDIT)</t>
  </si>
  <si>
    <t>Operating Insurance</t>
  </si>
  <si>
    <t>Technical Services Fee</t>
  </si>
  <si>
    <r>
      <t xml:space="preserve">Capital Budget Expenses </t>
    </r>
    <r>
      <rPr>
        <i/>
        <sz val="9"/>
        <rFont val="Arial"/>
        <family val="2"/>
      </rPr>
      <t>(See Trapped Cash Sheet)</t>
    </r>
  </si>
  <si>
    <t>Facilities From 102,990 To 182,540 MMBTU/Day</t>
  </si>
  <si>
    <t>Option Scenario (0=Off, 1=On)</t>
  </si>
  <si>
    <t>Year Of Option Payment</t>
  </si>
  <si>
    <t>Option Amount</t>
  </si>
  <si>
    <t>Option Paid By TBS To GasMat To Expand Pipeline</t>
  </si>
  <si>
    <t>W/H Tax - Dividends (Non-Residents)</t>
  </si>
  <si>
    <t>W/H Tax - Interest (Non-MLA's)</t>
  </si>
  <si>
    <t>Gross Up For Interest Payments</t>
  </si>
  <si>
    <t>W/H Tax On Services (Non-Residents)</t>
  </si>
  <si>
    <t>Grossed Up At Project Level</t>
  </si>
  <si>
    <t>ICMS - Equipment</t>
  </si>
  <si>
    <t>Customs Duties</t>
  </si>
  <si>
    <t>Included In Turnkey</t>
  </si>
  <si>
    <t>Income Earned After 1/1/96 Exempt</t>
  </si>
  <si>
    <t>Item #1</t>
  </si>
  <si>
    <t>Item #2</t>
  </si>
  <si>
    <t>Item #3</t>
  </si>
  <si>
    <t>Item #78</t>
  </si>
  <si>
    <t>Item #19</t>
  </si>
  <si>
    <t>Item #75, 77</t>
  </si>
  <si>
    <t>Item #29</t>
  </si>
  <si>
    <t>Item #30</t>
  </si>
  <si>
    <t>Item #4, 17</t>
  </si>
  <si>
    <t>Item #33</t>
  </si>
  <si>
    <t>Item #34</t>
  </si>
  <si>
    <t>IPI - Industrial Products Tax</t>
  </si>
  <si>
    <t>Item #63, 64</t>
  </si>
  <si>
    <t>Division Of Project Fees</t>
  </si>
  <si>
    <r>
      <t xml:space="preserve">PIS/COFINS </t>
    </r>
    <r>
      <rPr>
        <i/>
        <sz val="9"/>
        <color indexed="10"/>
        <rFont val="Arial"/>
        <family val="2"/>
      </rPr>
      <t>(Calc'd On Total O&amp;M + W/H Tax)</t>
    </r>
  </si>
  <si>
    <t>WH Tax On Offshore Service (1)'s - Grossed Up</t>
  </si>
  <si>
    <t>Plus: Transport Option Payment From TBS</t>
  </si>
  <si>
    <t>Plus: Interest Income - Bridge Loan</t>
  </si>
  <si>
    <t>Total Cash Flow w/ Bridge Loan</t>
  </si>
  <si>
    <t>Enron IRR (w/ Bridge Loan)</t>
  </si>
  <si>
    <t>Less: US Tax Cost / (Benefit) On (1)'s Above</t>
  </si>
  <si>
    <t>Less: US Tax (Cost) / Benefit On (2)'s Above</t>
  </si>
  <si>
    <t>Memo: Cumulative Book Income (Prior To Cost Of Funds Charge)</t>
  </si>
  <si>
    <t>Memo: Cumulative Book Income (Including Cost Of Funds Charge)</t>
  </si>
  <si>
    <t>Current Year Capital Stock Issued</t>
  </si>
  <si>
    <t>Current Year Dividends</t>
  </si>
  <si>
    <r>
      <t xml:space="preserve">Construction </t>
    </r>
    <r>
      <rPr>
        <i/>
        <sz val="9"/>
        <rFont val="Arial"/>
        <family val="2"/>
      </rPr>
      <t>(Included In Contract)</t>
    </r>
  </si>
  <si>
    <t>Customs / Duties</t>
  </si>
  <si>
    <t>Pipe Only</t>
  </si>
  <si>
    <t>Subtotal</t>
  </si>
  <si>
    <r>
      <t xml:space="preserve">Total ICMS On Transportation </t>
    </r>
    <r>
      <rPr>
        <b/>
        <i/>
        <sz val="9"/>
        <color indexed="10"/>
        <rFont val="arial"/>
        <family val="2"/>
      </rPr>
      <t>(Included In Construction / Pipe / Non-Pipe Costs)</t>
    </r>
  </si>
  <si>
    <t>Tax On Services</t>
  </si>
  <si>
    <t>Total Customs / Duties</t>
  </si>
  <si>
    <t>Less: Interest On Net Equity (INE)</t>
  </si>
  <si>
    <t>Less: Withholding Tax - Indemnity Fee</t>
  </si>
  <si>
    <t>Plus: Interest On Net Equity (INE)</t>
  </si>
  <si>
    <t>Earnings Before Interest On Net Equity (INE) &amp; Taxes</t>
  </si>
  <si>
    <t>Interest On Net Equity (INE)</t>
  </si>
  <si>
    <t>REFERENCE SHEET - 5</t>
  </si>
  <si>
    <t>MCM / MMBTU</t>
  </si>
  <si>
    <t>Term (Yrs)</t>
  </si>
  <si>
    <t>Tax Position</t>
  </si>
  <si>
    <t>Federal Income Tax</t>
  </si>
  <si>
    <t>Target DSCR</t>
  </si>
  <si>
    <t>Pre-Tax DSCR</t>
  </si>
  <si>
    <t>After-Tax DSCR</t>
  </si>
  <si>
    <t>Service To Be Provided By</t>
  </si>
  <si>
    <t>Turnkey Components &amp; Construction Taxes</t>
  </si>
  <si>
    <r>
      <t xml:space="preserve">NOL </t>
    </r>
    <r>
      <rPr>
        <i/>
        <sz val="8"/>
        <rFont val="Arial"/>
        <family val="2"/>
      </rPr>
      <t>(Unlimited Carryforward, No Carryback) - Capped @</t>
    </r>
  </si>
  <si>
    <t>Financial Closing</t>
  </si>
  <si>
    <t>Date Of Financial Close</t>
  </si>
  <si>
    <t>Greater Of CPI Or 1.005</t>
  </si>
  <si>
    <t>J. Bestard - Verbal</t>
  </si>
  <si>
    <t>D. Vincent - Memo</t>
  </si>
  <si>
    <t>Conversion Tables</t>
  </si>
  <si>
    <t>Item #9 (Check Rate With B. Rosen)</t>
  </si>
  <si>
    <t>INE Issuance Paragraph 3</t>
  </si>
  <si>
    <t>B. Blesie - Verbak</t>
  </si>
  <si>
    <t>B. Blesie</t>
  </si>
  <si>
    <t>Days</t>
  </si>
  <si>
    <t>Months</t>
  </si>
  <si>
    <t>Construction Insurance</t>
  </si>
  <si>
    <t>Premium $308K, Taxes $63K</t>
  </si>
  <si>
    <t>Premium $875K, Taxes $178K</t>
  </si>
  <si>
    <t>Equipment Rental</t>
  </si>
  <si>
    <t>Administrative Expenses - General</t>
  </si>
  <si>
    <t>Administrative Expenses - Transredes</t>
  </si>
  <si>
    <t>TURNKEY COMPONENTS</t>
  </si>
  <si>
    <t>Turnkey</t>
  </si>
  <si>
    <t>Orig - Taxes</t>
  </si>
  <si>
    <t>New Taxes</t>
  </si>
  <si>
    <t>Engineering</t>
  </si>
  <si>
    <t>SCADA</t>
  </si>
  <si>
    <t>Pipeline Materials</t>
  </si>
  <si>
    <t>Non-Pipe Materials</t>
  </si>
  <si>
    <t>Construction</t>
  </si>
  <si>
    <t>Pre-NTP Engineering</t>
  </si>
  <si>
    <t>Construction Management</t>
  </si>
  <si>
    <t>Warranty Management</t>
  </si>
  <si>
    <t>Indemnity Fee</t>
  </si>
  <si>
    <t xml:space="preserve">   Subtotal Before Taxes</t>
  </si>
  <si>
    <t>Construction Taxes</t>
  </si>
  <si>
    <t>Total Turnkey Amount</t>
  </si>
  <si>
    <t>Total Tax On Services</t>
  </si>
  <si>
    <t>Non-Pipe Material</t>
  </si>
  <si>
    <r>
      <t xml:space="preserve">Plus: Total Customs / Duties </t>
    </r>
    <r>
      <rPr>
        <i/>
        <sz val="9"/>
        <rFont val="Arial"/>
        <family val="2"/>
      </rPr>
      <t>(See Below)</t>
    </r>
  </si>
  <si>
    <r>
      <t xml:space="preserve">ICMS On Transportation Within Brazil </t>
    </r>
    <r>
      <rPr>
        <b/>
        <i/>
        <u/>
        <sz val="9"/>
        <rFont val="Arial"/>
        <family val="2"/>
      </rPr>
      <t>(Exempt)</t>
    </r>
  </si>
  <si>
    <t>Total Construction Taxes</t>
  </si>
  <si>
    <t>CONSTRUCTION TAXES</t>
  </si>
  <si>
    <t>Tax Basis</t>
  </si>
  <si>
    <t>Contingency - Change Orders</t>
  </si>
  <si>
    <t>Funded By 1999 And 2000 Operating Cash</t>
  </si>
  <si>
    <t>TBS Transportation Revenues</t>
  </si>
  <si>
    <t>Escalated</t>
  </si>
  <si>
    <t>Monthly</t>
  </si>
  <si>
    <t>Annual</t>
  </si>
  <si>
    <t>Per</t>
  </si>
  <si>
    <t>Date</t>
  </si>
  <si>
    <t>US $000</t>
  </si>
  <si>
    <t>Total GasBol Transport Revenues</t>
  </si>
  <si>
    <t>End Of Operations - Cuiaba I</t>
  </si>
  <si>
    <t>CPI Annual</t>
  </si>
  <si>
    <t>Appendix I - Transporation Revenues</t>
  </si>
  <si>
    <t>W/H Tax - IDC</t>
  </si>
  <si>
    <t>Senior Debt Proceeds</t>
  </si>
  <si>
    <t>IDC - Senior Debt</t>
  </si>
  <si>
    <t>Total IDC</t>
  </si>
  <si>
    <t>Cumulative Bridge Loan Issuance</t>
  </si>
  <si>
    <t>Cumulative Bridge Loan IDC</t>
  </si>
  <si>
    <t>Cumulative Bridge Loan W/H Tax - IDC</t>
  </si>
  <si>
    <t>Total Cumulative Bridge Loan</t>
  </si>
  <si>
    <t>Bridge Loan - Proceeds</t>
  </si>
  <si>
    <t>Bridge Loan - Repayment</t>
  </si>
  <si>
    <t>Senior Debt - Proceeds</t>
  </si>
  <si>
    <t>Senior Debt - Principal Repayment</t>
  </si>
  <si>
    <t>Amort</t>
  </si>
  <si>
    <t>Percent</t>
  </si>
  <si>
    <t>Loan Amortization (1=S/L, 2=MTG, 3=Custom)</t>
  </si>
  <si>
    <t>Senior</t>
  </si>
  <si>
    <t>TBS &amp; GasMat</t>
  </si>
  <si>
    <t>Greater Of</t>
  </si>
  <si>
    <t>Change In Index</t>
  </si>
  <si>
    <t>Or</t>
  </si>
  <si>
    <t>Date Of 1st Change</t>
  </si>
  <si>
    <t>Brazil</t>
  </si>
  <si>
    <t>US</t>
  </si>
  <si>
    <t>Platt's</t>
  </si>
  <si>
    <t>R$ / $</t>
  </si>
  <si>
    <t>CPI Less</t>
  </si>
  <si>
    <t>PPI</t>
  </si>
  <si>
    <t>WTI</t>
  </si>
  <si>
    <t>Financing Costs (Borrower And Lender)</t>
  </si>
  <si>
    <t>Financing Costs (Other)</t>
  </si>
  <si>
    <t>FX</t>
  </si>
  <si>
    <t>Plus: Maintenance Accrual To Cash Adjustment</t>
  </si>
  <si>
    <t>INCOME STATEMENT - CASH FLOW ($000)</t>
  </si>
  <si>
    <t>Expenses</t>
  </si>
  <si>
    <t>Payment From TBS Expansion Option</t>
  </si>
  <si>
    <t>Custom Amortization</t>
  </si>
  <si>
    <t># Of Debt Service Pmts</t>
  </si>
  <si>
    <t>Term (Years) - Post Closing</t>
  </si>
  <si>
    <t>Grace (Periods) - Post Closing</t>
  </si>
  <si>
    <t>Grace - Post Phase III</t>
  </si>
  <si>
    <t># Of Payments</t>
  </si>
  <si>
    <t>Grace Periods</t>
  </si>
  <si>
    <t>Term (Years)</t>
  </si>
  <si>
    <t>Tranche 1</t>
  </si>
  <si>
    <t>Tranche 2</t>
  </si>
  <si>
    <t>Tranche 3</t>
  </si>
  <si>
    <t>Tranche 4</t>
  </si>
  <si>
    <t>Tranche 5</t>
  </si>
  <si>
    <t>Tranche 6</t>
  </si>
  <si>
    <t>Average Life Of Loan (Years)</t>
  </si>
  <si>
    <t>EPE/SCC - EPC Contract</t>
  </si>
  <si>
    <t>Exhibit C-1</t>
  </si>
  <si>
    <t>Exhibit C-2 Section II, Paragraph C</t>
  </si>
  <si>
    <t>Shareholder Agreement</t>
  </si>
  <si>
    <t>Enron Cost OF Funds</t>
  </si>
  <si>
    <t>C. Estrems</t>
  </si>
  <si>
    <t>Per Jeff Sommers' Memo</t>
  </si>
  <si>
    <t>Project Information Memorandum</t>
  </si>
  <si>
    <t>Six Months From Start Of Phase III</t>
  </si>
  <si>
    <t>Financing Plan</t>
  </si>
  <si>
    <t>Per Conversations With OPIC</t>
  </si>
  <si>
    <t>Table C-2</t>
  </si>
  <si>
    <t>Escalate @ CPI</t>
  </si>
  <si>
    <t>Standard Assumption</t>
  </si>
  <si>
    <t>Term Of Contract</t>
  </si>
  <si>
    <t>Shareholder Construction Loan</t>
  </si>
  <si>
    <t>W/H Tax - IDC (Shareholder Construction Loan)</t>
  </si>
  <si>
    <t>Weighted Average Financing Fee</t>
  </si>
  <si>
    <t>Weighted Average Commitment Fee</t>
  </si>
  <si>
    <t>Cashflow Before Bridge Loan</t>
  </si>
  <si>
    <t>Enron Cost Of Funds</t>
  </si>
  <si>
    <t>Shareholder Constr Loan</t>
  </si>
  <si>
    <t>After Initial Equity &amp; Before Permanent Financing</t>
  </si>
  <si>
    <t>IGP-DI</t>
  </si>
  <si>
    <t>Capacity Charge</t>
  </si>
  <si>
    <t>Variable Charge</t>
  </si>
  <si>
    <t>Transport Charges</t>
  </si>
  <si>
    <t>Firm Service TOP</t>
  </si>
  <si>
    <t>Start Date</t>
  </si>
  <si>
    <t>Outage</t>
  </si>
  <si>
    <t>MAXDTQ</t>
  </si>
  <si>
    <t>TOP%</t>
  </si>
  <si>
    <t>TOP Vol</t>
  </si>
  <si>
    <t>Monthly Vol</t>
  </si>
  <si>
    <t>Capacity</t>
  </si>
  <si>
    <t>Variable</t>
  </si>
  <si>
    <t>@ GasBol</t>
  </si>
  <si>
    <t>Charge</t>
  </si>
  <si>
    <t>Payment</t>
  </si>
  <si>
    <t>Unesc</t>
  </si>
  <si>
    <t>Transported</t>
  </si>
  <si>
    <t>TGS-GasMat Contract</t>
  </si>
  <si>
    <t>Opening Paragraph</t>
  </si>
  <si>
    <t>Section 3.1</t>
  </si>
  <si>
    <t>Section 4.1</t>
  </si>
  <si>
    <t>Transportation Payments</t>
  </si>
  <si>
    <t>Transportation Revenues</t>
  </si>
  <si>
    <t>Forecasted Change Orders</t>
  </si>
  <si>
    <t>P.C.O. - 004 Powercrete Pipe Coating 40 Mil Thickness</t>
  </si>
  <si>
    <r>
      <t xml:space="preserve">Approved Change Orders </t>
    </r>
    <r>
      <rPr>
        <sz val="10"/>
        <rFont val="Arial"/>
        <family val="2"/>
      </rPr>
      <t>(04/04/2000 Monthly Progress Report)</t>
    </r>
  </si>
  <si>
    <r>
      <t xml:space="preserve">Other Change Orders </t>
    </r>
    <r>
      <rPr>
        <sz val="10"/>
        <rFont val="Arial"/>
        <family val="2"/>
      </rPr>
      <t>(04/04/2000 Monthly Progress Report)</t>
    </r>
  </si>
  <si>
    <t>Links From TBS Model</t>
  </si>
  <si>
    <r>
      <t xml:space="preserve">Sudam Credit Used </t>
    </r>
    <r>
      <rPr>
        <sz val="9"/>
        <rFont val="Arial"/>
        <family val="2"/>
      </rPr>
      <t>(See Sudam Tax Credit Calculation)</t>
    </r>
  </si>
  <si>
    <r>
      <t xml:space="preserve">Turnkey Tax Adjustment </t>
    </r>
    <r>
      <rPr>
        <i/>
        <sz val="9"/>
        <rFont val="Arial"/>
        <family val="2"/>
      </rPr>
      <t>(0=Off, 1=On)</t>
    </r>
  </si>
  <si>
    <t>EPC Turnkey Contract</t>
  </si>
  <si>
    <t>Owner's Engineer (Parsons)</t>
  </si>
  <si>
    <t>Environmental &amp; Permitting</t>
  </si>
  <si>
    <t>Other Engineering Costs</t>
  </si>
  <si>
    <t>R. Lammers - Verbal</t>
  </si>
  <si>
    <t>R. Lammers</t>
  </si>
  <si>
    <t>Land &amp; Rights Of Way</t>
  </si>
  <si>
    <t>No Development Fee On Project</t>
  </si>
  <si>
    <t>Total Turnkey Construction</t>
  </si>
  <si>
    <t>Total Other Construction</t>
  </si>
  <si>
    <t>NTP On Pipeline</t>
  </si>
  <si>
    <t>Pipeline RFS</t>
  </si>
  <si>
    <t>(1=Base Schedule, 2=Accelerated Schedule)</t>
  </si>
  <si>
    <t>Construction Months</t>
  </si>
  <si>
    <t>Turnkey Drawdown (Accelerated)</t>
  </si>
  <si>
    <t>IDC - Shareholder Construction Loan</t>
  </si>
  <si>
    <t>Pipeline Notice To Proceed (NTP)</t>
  </si>
  <si>
    <t>Pipeline Ready For Service (RFS)</t>
  </si>
  <si>
    <t>+W/H Taxes Of</t>
  </si>
  <si>
    <t>Turnkey Drawdown (Base Per SCC Contract)</t>
  </si>
  <si>
    <t>Total Operating Expenses</t>
  </si>
  <si>
    <t>To Follow Up With Final Schedule</t>
  </si>
  <si>
    <t>PPA</t>
  </si>
  <si>
    <t>Verify This Assumption</t>
  </si>
  <si>
    <t>TGS-GasBol Contract</t>
  </si>
  <si>
    <t>E. Rengade - Memo</t>
  </si>
  <si>
    <t>E. Rengade</t>
  </si>
  <si>
    <t>Budget Review - 05/14/99</t>
  </si>
  <si>
    <t>Standard Calculation</t>
  </si>
  <si>
    <t>Consulting Fees</t>
  </si>
  <si>
    <t>Budget Review - 05/18/99</t>
  </si>
  <si>
    <t>Ingidenous People Programs</t>
  </si>
  <si>
    <t>Awaiting Final Termsheets</t>
  </si>
  <si>
    <t>Income Over R$</t>
  </si>
  <si>
    <t>Brazilian Exchange Rate</t>
  </si>
  <si>
    <t>DKB</t>
  </si>
  <si>
    <t>Chapter 6 Section 1.2</t>
  </si>
  <si>
    <t>Chapter 6 Section 1.0</t>
  </si>
  <si>
    <t>Months (Post Power Plant Phase III) Until 1st Debt Service</t>
  </si>
  <si>
    <t>Offset For</t>
  </si>
  <si>
    <t>"CF_Table"</t>
  </si>
  <si>
    <t>"Reserve_Table"</t>
  </si>
  <si>
    <t>"Draw_Table"</t>
  </si>
  <si>
    <t>"Draw_Table2"</t>
  </si>
  <si>
    <t>"IDC_Table"</t>
  </si>
  <si>
    <t>&lt;=== Offset For "Fin_Table"</t>
  </si>
  <si>
    <t>"Tax_Table"</t>
  </si>
  <si>
    <t>"BS_Table"</t>
  </si>
  <si>
    <t>&lt;=== Offset For "Revenue_Table"</t>
  </si>
  <si>
    <t>&lt;==== Offset For "Curves Table"</t>
  </si>
  <si>
    <t>Less: W/H Tax On INE Dividend Income</t>
  </si>
  <si>
    <t>Less: Withholding Tax On INE Dividends</t>
  </si>
  <si>
    <t>Column "L" is the offset for the table "Dec_Change"</t>
  </si>
  <si>
    <t>SCC EPC Contract</t>
  </si>
  <si>
    <t>Exhibit C-2, Section III C(I)</t>
  </si>
  <si>
    <t>Section 8.1</t>
  </si>
  <si>
    <t>Interest Rate / Spread</t>
  </si>
  <si>
    <t>(Excl IDC &amp; W/H)</t>
  </si>
  <si>
    <t>Bridge Financing Rate</t>
  </si>
  <si>
    <t>Shareholder Loan Repayment</t>
  </si>
  <si>
    <t>Plus: Interest During Construction</t>
  </si>
  <si>
    <t>Plus: W/H Tax - IDC</t>
  </si>
  <si>
    <t>Total W/H Tax - Interest</t>
  </si>
  <si>
    <t xml:space="preserve">1 CM = </t>
  </si>
  <si>
    <t>BTU</t>
  </si>
  <si>
    <t xml:space="preserve">1 MMCM = </t>
  </si>
  <si>
    <t>Point #2.</t>
  </si>
  <si>
    <t>IBFD Document</t>
  </si>
  <si>
    <t>Section 9.03 (a), 9.06 (b)</t>
  </si>
  <si>
    <t>Chapter 11 - Financial Analysis</t>
  </si>
  <si>
    <t>Shareholder Funding Agreement</t>
  </si>
  <si>
    <t>Schedule 1 - Paragraph 1</t>
  </si>
  <si>
    <t>Share Purchase Agreement</t>
  </si>
  <si>
    <t>Dual Dates</t>
  </si>
  <si>
    <t>Enron/Transrd Share Transfer - 1st Paragraph</t>
  </si>
  <si>
    <t>Enron/Shell Share Transfer - 1st Paragraph</t>
  </si>
  <si>
    <t>Balance Of Remaining Shares</t>
  </si>
  <si>
    <t>Operating Expenses ($000)</t>
  </si>
  <si>
    <t>TBS Transport Option ($000)</t>
  </si>
  <si>
    <t>Equity ($000)</t>
  </si>
  <si>
    <t>Project Costs ($000)</t>
  </si>
  <si>
    <t>Project &amp; Enron Economics ($000)</t>
  </si>
  <si>
    <t>Enron Book Income ($000)</t>
  </si>
  <si>
    <t>Project Financing ($000)</t>
  </si>
  <si>
    <t>Capital Structure ($000)</t>
  </si>
  <si>
    <t>PROJECT &amp; PARTNER RETURNS ($000)</t>
  </si>
  <si>
    <t>ENRON BOOK INCOME ($000)</t>
  </si>
  <si>
    <t>POLITICAL RISK / DSCR CALCULATIONS ($000)</t>
  </si>
  <si>
    <t>TRAPPED CASH, PARTNER LOANS, CAPITAL BUDGET ($000)</t>
  </si>
  <si>
    <t>TURNKEY COMPONENTS &amp; CONSTRUCTION TAXES ($000)</t>
  </si>
  <si>
    <t>DRAWDOWN SCHEDULE ($000)</t>
  </si>
  <si>
    <t>INTEREST DURING CONSTRUCTION ($000)</t>
  </si>
  <si>
    <t>DEBT AMORTIZATION ($000)</t>
  </si>
  <si>
    <t>SUDAM TAX CREDITS ($000)</t>
  </si>
  <si>
    <t>CASH / BOOK TAXES ($000)</t>
  </si>
  <si>
    <t>DEPRECIATION ($000)</t>
  </si>
  <si>
    <t>FINANCIAL STATEMENTS ($000)</t>
  </si>
  <si>
    <t>APPENDIX I - TRANSPORTATION REVENUES ($000)</t>
  </si>
  <si>
    <t>Cumul</t>
  </si>
  <si>
    <t>Change</t>
  </si>
  <si>
    <t>Plus: Prior Year Cumulative Net Income</t>
  </si>
  <si>
    <t>Less: Prior Year Cumulative Dividends</t>
  </si>
  <si>
    <t>Prior Year Cumulative Net Equity</t>
  </si>
  <si>
    <t>Prior Year Cumulative Initial Equity</t>
  </si>
  <si>
    <t>Prior Year Retained Earnings Balance</t>
  </si>
  <si>
    <t>Retained Earnings</t>
  </si>
  <si>
    <t>Subtotal Available For Dividends</t>
  </si>
  <si>
    <t>Plus: Current Year Earnings</t>
  </si>
  <si>
    <t>Cash (Excluding Working Capital)</t>
  </si>
  <si>
    <t>Plus: Prior Year Partner Loans Repayment</t>
  </si>
  <si>
    <t>Plus: Current Year Cashflow</t>
  </si>
  <si>
    <t>Subtotal Cashflow Available For Distribution</t>
  </si>
  <si>
    <t>Less: Current Year Dividends</t>
  </si>
  <si>
    <t>Less: Current Year Capital Reductions</t>
  </si>
  <si>
    <t>Less: Current Year Partner Loans</t>
  </si>
  <si>
    <t>Current Year Net Income (Before INE)</t>
  </si>
  <si>
    <t>(d)</t>
  </si>
  <si>
    <t>(c)</t>
  </si>
  <si>
    <t>Max Of (c) &amp; (d)</t>
  </si>
  <si>
    <t>Capital Reduction In Final Year To Liquidate Partner Loans</t>
  </si>
  <si>
    <t>Trapped Cash Loans To Partners (0=No, 1=Yes)</t>
  </si>
  <si>
    <t>Tax (Cost) / Benefit (2)'s Above</t>
  </si>
  <si>
    <t>Transredes IRR w/ Bridge Loan</t>
  </si>
  <si>
    <t>Transredes IRR w/ Subordinated Debt</t>
  </si>
  <si>
    <t>Apply Capital Reductions Of Excess Cash (0=No, 1=Yes)</t>
  </si>
  <si>
    <t>Interest Expense To Shareholders On Trapped Cash Loans</t>
  </si>
  <si>
    <t>Interest Income To Project On Trapped Cash Loans</t>
  </si>
  <si>
    <t>Repayment Of Prior Year Trapped Cash Loans</t>
  </si>
  <si>
    <t>Net A-T Cash Flow Distributed</t>
  </si>
  <si>
    <t>Cashflow Distributed</t>
  </si>
  <si>
    <t>Pipeline Materials Schedule</t>
  </si>
  <si>
    <t>GasBol</t>
  </si>
  <si>
    <t>GasMat</t>
  </si>
  <si>
    <t>Total Pipeline Materials</t>
  </si>
  <si>
    <t>Less: Paid</t>
  </si>
  <si>
    <t>Through</t>
  </si>
  <si>
    <t>Equal Payments Over</t>
  </si>
  <si>
    <t>Total Turnkey Payments</t>
  </si>
  <si>
    <t>Less: Pipeline Materials</t>
  </si>
  <si>
    <t>Remaining Turnkey Balance</t>
  </si>
  <si>
    <t>Pipeline In Service Date</t>
  </si>
  <si>
    <t># Of Remaining Turnkey Payments</t>
  </si>
  <si>
    <t>Total Approved Change Orders</t>
  </si>
  <si>
    <t>Approved Change Orders</t>
  </si>
  <si>
    <t>Other Change Orders</t>
  </si>
  <si>
    <t>Pending Change Orders</t>
  </si>
  <si>
    <t>Monthly Progress Report</t>
  </si>
  <si>
    <t>T. Whipple</t>
  </si>
  <si>
    <t>Pipeline Cost Summary (Section E)</t>
  </si>
  <si>
    <t>EPC Contract Issues</t>
  </si>
  <si>
    <t>M. Schulz - Schedule</t>
  </si>
  <si>
    <t>M. Schulz</t>
  </si>
  <si>
    <t>Total Pending Change Orders</t>
  </si>
  <si>
    <t>Total Other Change Orders</t>
  </si>
  <si>
    <t>Apply Devaluation To Model</t>
  </si>
  <si>
    <t>Bid Date Exchange Rate</t>
  </si>
  <si>
    <t>Trapped Cash</t>
  </si>
  <si>
    <t>Deferral</t>
  </si>
  <si>
    <t>Schedule 1</t>
  </si>
  <si>
    <t>Terminal Value</t>
  </si>
  <si>
    <t>Include In Valuation</t>
  </si>
  <si>
    <t>Final Year EBITDA</t>
  </si>
  <si>
    <t>Months In Final Year Of Service</t>
  </si>
  <si>
    <t>Adjusted Final Year EBITDA</t>
  </si>
  <si>
    <t>EBITDA Multiple</t>
  </si>
  <si>
    <t>15-19</t>
  </si>
  <si>
    <t>Plus: Terminal Value</t>
  </si>
  <si>
    <t>Other Senior Debt Fees</t>
  </si>
  <si>
    <t>OPIC Agency Fee ($000)</t>
  </si>
  <si>
    <t>EPE Percent / Amount</t>
  </si>
  <si>
    <t>Final Year Of Payment</t>
  </si>
  <si>
    <t>Less: L/C Fee - Debt Service</t>
  </si>
  <si>
    <t>L/C Fee - Debt Service</t>
  </si>
  <si>
    <t>OPIC Agency Fee</t>
  </si>
  <si>
    <t>Includes GasBol / Transredes O&amp;M Agrmnt</t>
  </si>
  <si>
    <t>Escalators</t>
  </si>
  <si>
    <t>Use 09/04/98 Curves used for Bank Models (0=No, 1=Yes)</t>
  </si>
  <si>
    <t>N. Khan/Alan Smithe</t>
  </si>
  <si>
    <t>Update New Change Orders</t>
  </si>
  <si>
    <t>A. Moreno</t>
  </si>
  <si>
    <t>Abe Moreno - Memo</t>
  </si>
  <si>
    <t>Update Indigenous People Details</t>
  </si>
  <si>
    <t>Budget Review - 08/31/99</t>
  </si>
  <si>
    <t>Total Amount</t>
  </si>
  <si>
    <t>GasBol %</t>
  </si>
  <si>
    <t>Allocated $</t>
  </si>
  <si>
    <t>Onshore Payment Adjustment</t>
  </si>
  <si>
    <t>Consulting Fees Above $4,000 Cap</t>
  </si>
  <si>
    <t>Houston Overheads Not Included In Project Costs</t>
  </si>
  <si>
    <t>Less: Consulting Fees Paid At Enron Level</t>
  </si>
  <si>
    <t>Less: Houston Overheads Not Included In Project Costs</t>
  </si>
  <si>
    <t>Plus: Technical Service Fee (Transredes)</t>
  </si>
  <si>
    <t>Disbursments</t>
  </si>
  <si>
    <t>EPC/Superior Onshore Payments</t>
  </si>
  <si>
    <t>Offshore Legal</t>
  </si>
  <si>
    <t>Imports Purchase</t>
  </si>
  <si>
    <t>Insurance</t>
  </si>
  <si>
    <t>Land &amp; Right Of Way</t>
  </si>
  <si>
    <t>Service Contractors</t>
  </si>
  <si>
    <t>Engineering Costs</t>
  </si>
  <si>
    <t>Environmental Costs</t>
  </si>
  <si>
    <t>IGPD</t>
  </si>
  <si>
    <t>Historic Drawdown - For Comparison Only</t>
  </si>
  <si>
    <t>Actual Equity Contribution</t>
  </si>
  <si>
    <t>Cumulative Equity Contribution</t>
  </si>
  <si>
    <t>AMOUNTS IN US$</t>
  </si>
  <si>
    <t>Actuals</t>
  </si>
  <si>
    <t>INFORMATION PROVIDED BY ASSET MANAGEMENT</t>
  </si>
  <si>
    <t>Funding</t>
  </si>
  <si>
    <t>Equity Funding</t>
  </si>
  <si>
    <t>Construction Loans</t>
  </si>
  <si>
    <t>Interest Income (Cash In Bank)</t>
  </si>
  <si>
    <t xml:space="preserve">OPIC </t>
  </si>
  <si>
    <t>KFW</t>
  </si>
  <si>
    <t>Total Funding</t>
  </si>
  <si>
    <t>Other (includes development and mobilization)</t>
  </si>
  <si>
    <t>Total Disbursments</t>
  </si>
  <si>
    <t>EPC/Superior Offshore Payments</t>
  </si>
  <si>
    <t xml:space="preserve">Working Capital </t>
  </si>
  <si>
    <t>Months In Period</t>
  </si>
  <si>
    <t>new equity</t>
  </si>
  <si>
    <t>Leverage Option</t>
  </si>
  <si>
    <t>Valuation Assumption</t>
  </si>
  <si>
    <t>Assume Principal Repayment (Keep Original Level Of Leverage)</t>
  </si>
  <si>
    <t>P.C.O. - 001 Survey / Engr For Addit'l Length</t>
  </si>
  <si>
    <t>P.C.O. - 002 Survey / Engr For Reduced Length</t>
  </si>
  <si>
    <t>P.C.O. - 003 Pipe Laydown And Storage 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</si>
</sst>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0" formatCode=";;;"/>
    <numFmt numFmtId="176" formatCode="_(&quot;$&quot;* #,##0_);_(&quot;$&quot;* \(#,##0\);_(&quot;$&quot;* &quot;-&quot;??_);_(@_)"/>
    <numFmt numFmtId="177" formatCode="&quot;$&quot;#,##0.0000_);\(&quot;$&quot;#,##0.0000\)"/>
    <numFmt numFmtId="179" formatCode="#,##0.0_);\(#,##0.0\)"/>
    <numFmt numFmtId="186" formatCode="_(* #,##0.0_);_(* \(#,##0.0\);_(* &quot;-&quot;??_);_(@_)"/>
    <numFmt numFmtId="189" formatCode="0.0000"/>
    <numFmt numFmtId="190" formatCode="0.000"/>
    <numFmt numFmtId="191" formatCode="#,##0.000_);\(#,##0.000\)"/>
    <numFmt numFmtId="192" formatCode="#,##0.0000_);\(#,##0.0000\)"/>
    <numFmt numFmtId="193" formatCode="0.0"/>
    <numFmt numFmtId="195" formatCode="_(* #,##0.0000_);_(* \(#,##0.0000\);_(* &quot;-&quot;??_);_(@_)"/>
    <numFmt numFmtId="202" formatCode="0.00_);[Red]\(0.00\)"/>
    <numFmt numFmtId="207" formatCode="#,##0.000_);[Red]\(#,##0.000\)"/>
    <numFmt numFmtId="208" formatCode="#,##0.0000_);[Red]\(#,##0.0000\)"/>
    <numFmt numFmtId="212" formatCode="0_);\(0\)"/>
    <numFmt numFmtId="215" formatCode="mm/dd/yy"/>
    <numFmt numFmtId="221" formatCode="#,##0.0000000000_);\(#,##0.0000000000\)"/>
    <numFmt numFmtId="251" formatCode="General_)"/>
    <numFmt numFmtId="252" formatCode="0_)"/>
    <numFmt numFmtId="255" formatCode="0.00_)"/>
    <numFmt numFmtId="283" formatCode="&quot;$&quot;#,##0;[Red]\-&quot;$&quot;#,##0"/>
    <numFmt numFmtId="285" formatCode="&quot;$&quot;#,##0.00;[Red]\-&quot;$&quot;#,##0.00"/>
    <numFmt numFmtId="286" formatCode="_-&quot;$&quot;* #,##0_-;\-&quot;$&quot;* #,##0_-;_-&quot;$&quot;* &quot;-&quot;_-;_-@_-"/>
    <numFmt numFmtId="287" formatCode="_-* #,##0_-;\-* #,##0_-;_-* &quot;-&quot;_-;_-@_-"/>
    <numFmt numFmtId="288" formatCode="_-&quot;$&quot;* #,##0.00_-;\-&quot;$&quot;* #,##0.00_-;_-&quot;$&quot;* &quot;-&quot;??_-;_-@_-"/>
    <numFmt numFmtId="289" formatCode="_-* #,##0.00_-;\-* #,##0.00_-;_-* &quot;-&quot;??_-;_-@_-"/>
    <numFmt numFmtId="322" formatCode="m\-d\-yy"/>
    <numFmt numFmtId="324" formatCode="0.000000000_)"/>
    <numFmt numFmtId="325" formatCode="0.0000000000_)"/>
    <numFmt numFmtId="326" formatCode="0.00000000000_)"/>
    <numFmt numFmtId="327" formatCode="\X"/>
    <numFmt numFmtId="328" formatCode="0;[Red]0"/>
    <numFmt numFmtId="329" formatCode="00\-000"/>
    <numFmt numFmtId="330" formatCode="0000"/>
    <numFmt numFmtId="331" formatCode="#,###"/>
    <numFmt numFmtId="332" formatCode="#,###_)"/>
    <numFmt numFmtId="333" formatCode="00"/>
    <numFmt numFmtId="334" formatCode="#,###.##"/>
    <numFmt numFmtId="336" formatCode="00\-000_)"/>
    <numFmt numFmtId="337" formatCode="m/d"/>
    <numFmt numFmtId="338" formatCode="#.##%"/>
    <numFmt numFmtId="339" formatCode="#.#%"/>
    <numFmt numFmtId="340" formatCode="#.0%"/>
    <numFmt numFmtId="341" formatCode="#,###.0#"/>
    <numFmt numFmtId="342" formatCode="#,###.#"/>
    <numFmt numFmtId="343" formatCode="0000\ \-\ 0000"/>
    <numFmt numFmtId="344" formatCode="000"/>
    <numFmt numFmtId="346" formatCode="\10000000"/>
    <numFmt numFmtId="347" formatCode="mmm"/>
    <numFmt numFmtId="348" formatCode="&quot;£&quot;#,##0;\-&quot;£&quot;#,##0"/>
    <numFmt numFmtId="349" formatCode="&quot;£&quot;#,##0;[Red]\-&quot;£&quot;#,##0"/>
    <numFmt numFmtId="350" formatCode="&quot;£&quot;#,##0.00;\-&quot;£&quot;#,##0.00"/>
    <numFmt numFmtId="351" formatCode="_-&quot;£&quot;* #,##0_-;\-&quot;£&quot;* #,##0_-;_-&quot;£&quot;* &quot;-&quot;_-;_-@_-"/>
    <numFmt numFmtId="352" formatCode="_-&quot;£&quot;* #,##0.00_-;\-&quot;£&quot;* #,##0.00_-;_-&quot;£&quot;* &quot;-&quot;??_-;_-@_-"/>
    <numFmt numFmtId="353" formatCode="[$R$ -416]#,##0_);\([$R$ -416]#,##0\)"/>
    <numFmt numFmtId="354" formatCode="&quot;On&quot;;;&quot;Off&quot;"/>
    <numFmt numFmtId="355" formatCode="&quot;Yes&quot;;;&quot;No&quot;"/>
  </numFmts>
  <fonts count="122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color indexed="39"/>
      <name val="Arial"/>
      <family val="2"/>
    </font>
    <font>
      <u/>
      <sz val="10"/>
      <color indexed="39"/>
      <name val="arial"/>
      <family val="2"/>
    </font>
    <font>
      <u val="double"/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u val="double"/>
      <sz val="10"/>
      <color indexed="8"/>
      <name val="Arial"/>
      <family val="2"/>
    </font>
    <font>
      <i/>
      <u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i/>
      <sz val="12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1"/>
      <color indexed="3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0"/>
      <color indexed="10"/>
      <name val="Arial"/>
      <family val="2"/>
    </font>
    <font>
      <b/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indexed="10"/>
      <name val="Arial"/>
      <family val="2"/>
    </font>
    <font>
      <b/>
      <sz val="11"/>
      <color indexed="12"/>
      <name val="Arial"/>
      <family val="2"/>
    </font>
    <font>
      <i/>
      <sz val="8"/>
      <color indexed="9"/>
      <name val="arial"/>
      <family val="2"/>
    </font>
    <font>
      <i/>
      <sz val="10"/>
      <color indexed="9"/>
      <name val="arial"/>
      <family val="2"/>
    </font>
    <font>
      <sz val="10"/>
      <name val="Times New Roman"/>
    </font>
    <font>
      <i/>
      <u/>
      <sz val="10"/>
      <name val="Arial"/>
      <family val="2"/>
    </font>
    <font>
      <i/>
      <sz val="10"/>
      <color indexed="12"/>
      <name val="Arial"/>
      <family val="2"/>
    </font>
    <font>
      <b/>
      <i/>
      <u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i/>
      <sz val="8"/>
      <color indexed="14"/>
      <name val="arial"/>
      <family val="2"/>
    </font>
    <font>
      <b/>
      <u/>
      <sz val="10"/>
      <color indexed="12"/>
      <name val="Arial"/>
      <family val="2"/>
    </font>
    <font>
      <i/>
      <sz val="8"/>
      <color indexed="12"/>
      <name val="arial"/>
      <family val="2"/>
    </font>
    <font>
      <i/>
      <sz val="9"/>
      <color indexed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0"/>
      <color indexed="60"/>
      <name val="Arial"/>
      <family val="2"/>
    </font>
    <font>
      <b/>
      <sz val="10"/>
      <color indexed="17"/>
      <name val="Arial"/>
      <family val="2"/>
    </font>
    <font>
      <b/>
      <sz val="10"/>
      <color indexed="20"/>
      <name val="Arial"/>
      <family val="2"/>
    </font>
    <font>
      <b/>
      <sz val="9"/>
      <color indexed="10"/>
      <name val="arial"/>
      <family val="2"/>
    </font>
    <font>
      <sz val="11"/>
      <color indexed="3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u/>
      <sz val="10"/>
      <color indexed="14"/>
      <name val="Arial"/>
      <family val="2"/>
    </font>
    <font>
      <i/>
      <sz val="10"/>
      <color indexed="14"/>
      <name val="Arial"/>
      <family val="2"/>
    </font>
    <font>
      <b/>
      <i/>
      <sz val="10"/>
      <color indexed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9"/>
      </bottom>
      <diagonal/>
    </border>
    <border>
      <left/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 style="thin">
        <color indexed="9"/>
      </top>
      <bottom/>
      <diagonal/>
    </border>
    <border>
      <left style="dashDot">
        <color indexed="23"/>
      </left>
      <right style="dashDot">
        <color indexed="23"/>
      </right>
      <top/>
      <bottom/>
      <diagonal/>
    </border>
    <border>
      <left/>
      <right style="dashDot">
        <color indexed="23"/>
      </right>
      <top style="thin">
        <color indexed="9"/>
      </top>
      <bottom/>
      <diagonal/>
    </border>
    <border>
      <left/>
      <right style="dashDot">
        <color indexed="23"/>
      </right>
      <top/>
      <bottom/>
      <diagonal/>
    </border>
    <border>
      <left/>
      <right/>
      <top style="dashDot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9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22"/>
      </bottom>
      <diagonal/>
    </border>
    <border>
      <left/>
      <right style="thin">
        <color indexed="22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9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9"/>
      </bottom>
      <diagonal/>
    </border>
    <border>
      <left/>
      <right/>
      <top style="thin">
        <color indexed="22"/>
      </top>
      <bottom style="thin">
        <color indexed="9"/>
      </bottom>
      <diagonal/>
    </border>
    <border>
      <left/>
      <right style="thin">
        <color indexed="9"/>
      </right>
      <top style="thin">
        <color indexed="22"/>
      </top>
      <bottom style="thin">
        <color indexed="9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/>
      <bottom style="thin">
        <color indexed="22"/>
      </bottom>
      <diagonal/>
    </border>
    <border>
      <left/>
      <right style="dashDot">
        <color indexed="23"/>
      </right>
      <top/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9"/>
      </top>
      <bottom style="thin">
        <color indexed="22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/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 style="medium">
        <color indexed="64"/>
      </bottom>
      <diagonal/>
    </border>
    <border>
      <left style="dashDot">
        <color indexed="64"/>
      </left>
      <right/>
      <top/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/>
      <right/>
      <top style="thin">
        <color indexed="55"/>
      </top>
      <bottom style="thin">
        <color indexed="9"/>
      </bottom>
      <diagonal/>
    </border>
    <border>
      <left/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 style="thin">
        <color indexed="9"/>
      </bottom>
      <diagonal/>
    </border>
    <border>
      <left style="medium">
        <color indexed="9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9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2" borderId="0"/>
    <xf numFmtId="0" fontId="49" fillId="0" borderId="0"/>
    <xf numFmtId="322" fontId="1" fillId="3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52" fillId="0" borderId="0">
      <protection locked="0"/>
    </xf>
    <xf numFmtId="333" fontId="44" fillId="0" borderId="0">
      <protection locked="0"/>
    </xf>
    <xf numFmtId="38" fontId="22" fillId="5" borderId="0" applyNumberFormat="0" applyBorder="0" applyAlignment="0" applyProtection="0"/>
    <xf numFmtId="0" fontId="63" fillId="0" borderId="0" applyNumberFormat="0" applyFill="0" applyBorder="0" applyAlignment="0" applyProtection="0"/>
    <xf numFmtId="351" fontId="44" fillId="0" borderId="0">
      <protection locked="0"/>
    </xf>
    <xf numFmtId="351" fontId="44" fillId="0" borderId="0">
      <protection locked="0"/>
    </xf>
    <xf numFmtId="0" fontId="3" fillId="0" borderId="2" applyNumberFormat="0" applyFill="0" applyAlignment="0" applyProtection="0"/>
    <xf numFmtId="10" fontId="22" fillId="6" borderId="3" applyNumberFormat="0" applyBorder="0" applyAlignment="0" applyProtection="0"/>
    <xf numFmtId="37" fontId="64" fillId="0" borderId="0"/>
    <xf numFmtId="255" fontId="65" fillId="0" borderId="0"/>
    <xf numFmtId="0" fontId="2" fillId="2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51" fontId="44" fillId="0" borderId="5">
      <protection locked="0"/>
    </xf>
    <xf numFmtId="37" fontId="22" fillId="8" borderId="0" applyNumberFormat="0" applyBorder="0" applyAlignment="0" applyProtection="0"/>
    <xf numFmtId="37" fontId="70" fillId="0" borderId="0"/>
    <xf numFmtId="37" fontId="70" fillId="5" borderId="0" applyNumberFormat="0" applyBorder="0" applyAlignment="0" applyProtection="0"/>
    <xf numFmtId="3" fontId="100" fillId="0" borderId="2" applyProtection="0"/>
  </cellStyleXfs>
  <cellXfs count="1326">
    <xf numFmtId="0" fontId="0" fillId="2" borderId="0" xfId="0"/>
    <xf numFmtId="10" fontId="3" fillId="2" borderId="0" xfId="19" applyNumberFormat="1" applyFont="1" applyFill="1" applyBorder="1"/>
    <xf numFmtId="9" fontId="3" fillId="2" borderId="0" xfId="19" applyFont="1" applyFill="1" applyBorder="1"/>
    <xf numFmtId="0" fontId="5" fillId="2" borderId="6" xfId="0" applyFont="1" applyBorder="1"/>
    <xf numFmtId="0" fontId="5" fillId="2" borderId="0" xfId="0" applyFont="1" applyAlignment="1">
      <alignment horizontal="centerContinuous"/>
    </xf>
    <xf numFmtId="0" fontId="5" fillId="2" borderId="0" xfId="0" applyFont="1"/>
    <xf numFmtId="0" fontId="6" fillId="2" borderId="0" xfId="0" applyFont="1"/>
    <xf numFmtId="0" fontId="5" fillId="2" borderId="7" xfId="0" applyFont="1" applyBorder="1"/>
    <xf numFmtId="0" fontId="5" fillId="2" borderId="0" xfId="0" applyFont="1" applyBorder="1"/>
    <xf numFmtId="0" fontId="5" fillId="2" borderId="8" xfId="0" applyFont="1" applyBorder="1"/>
    <xf numFmtId="0" fontId="5" fillId="2" borderId="4" xfId="0" applyFont="1" applyBorder="1"/>
    <xf numFmtId="0" fontId="7" fillId="2" borderId="0" xfId="0" applyFont="1" applyBorder="1"/>
    <xf numFmtId="0" fontId="5" fillId="2" borderId="9" xfId="0" applyFont="1" applyBorder="1"/>
    <xf numFmtId="0" fontId="3" fillId="2" borderId="0" xfId="0" applyFont="1" applyBorder="1"/>
    <xf numFmtId="0" fontId="5" fillId="2" borderId="10" xfId="0" applyFont="1" applyBorder="1"/>
    <xf numFmtId="10" fontId="5" fillId="2" borderId="0" xfId="19" applyNumberFormat="1" applyFont="1" applyFill="1" applyBorder="1"/>
    <xf numFmtId="10" fontId="5" fillId="2" borderId="0" xfId="0" applyNumberFormat="1" applyFont="1" applyBorder="1" applyAlignment="1">
      <alignment horizontal="center"/>
    </xf>
    <xf numFmtId="38" fontId="5" fillId="2" borderId="0" xfId="0" applyNumberFormat="1" applyFont="1" applyBorder="1"/>
    <xf numFmtId="10" fontId="5" fillId="2" borderId="0" xfId="19" applyNumberFormat="1" applyFont="1" applyFill="1" applyBorder="1" applyAlignment="1">
      <alignment horizontal="center"/>
    </xf>
    <xf numFmtId="0" fontId="5" fillId="2" borderId="0" xfId="0" quotePrefix="1" applyFont="1" applyBorder="1" applyAlignment="1">
      <alignment horizontal="center"/>
    </xf>
    <xf numFmtId="0" fontId="8" fillId="2" borderId="0" xfId="0" applyFont="1" applyBorder="1"/>
    <xf numFmtId="0" fontId="9" fillId="2" borderId="0" xfId="0" applyFont="1" applyBorder="1" applyAlignment="1">
      <alignment horizontal="center"/>
    </xf>
    <xf numFmtId="10" fontId="5" fillId="2" borderId="0" xfId="0" applyNumberFormat="1" applyFont="1" applyBorder="1"/>
    <xf numFmtId="37" fontId="4" fillId="2" borderId="0" xfId="0" applyNumberFormat="1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0" borderId="4" xfId="0" applyFont="1" applyFill="1" applyBorder="1"/>
    <xf numFmtId="38" fontId="5" fillId="2" borderId="0" xfId="0" applyNumberFormat="1" applyFont="1"/>
    <xf numFmtId="37" fontId="5" fillId="2" borderId="0" xfId="0" applyNumberFormat="1" applyFont="1" applyBorder="1"/>
    <xf numFmtId="37" fontId="12" fillId="2" borderId="0" xfId="0" applyNumberFormat="1" applyFont="1" applyBorder="1"/>
    <xf numFmtId="37" fontId="5" fillId="2" borderId="0" xfId="0" applyNumberFormat="1" applyFont="1"/>
    <xf numFmtId="0" fontId="6" fillId="2" borderId="10" xfId="0" applyFont="1" applyBorder="1" applyAlignment="1">
      <alignment horizontal="center"/>
    </xf>
    <xf numFmtId="0" fontId="6" fillId="2" borderId="0" xfId="0" applyFont="1" applyBorder="1"/>
    <xf numFmtId="0" fontId="6" fillId="2" borderId="7" xfId="0" applyFont="1" applyBorder="1"/>
    <xf numFmtId="0" fontId="7" fillId="2" borderId="0" xfId="0" applyFont="1" applyBorder="1" applyAlignment="1">
      <alignment horizontal="right"/>
    </xf>
    <xf numFmtId="10" fontId="4" fillId="0" borderId="0" xfId="19" applyNumberFormat="1" applyFont="1" applyBorder="1"/>
    <xf numFmtId="10" fontId="4" fillId="2" borderId="0" xfId="0" applyNumberFormat="1" applyFont="1" applyBorder="1"/>
    <xf numFmtId="10" fontId="4" fillId="2" borderId="0" xfId="19" applyNumberFormat="1" applyFont="1" applyFill="1" applyBorder="1"/>
    <xf numFmtId="37" fontId="6" fillId="2" borderId="0" xfId="0" applyNumberFormat="1" applyFont="1" applyBorder="1"/>
    <xf numFmtId="10" fontId="5" fillId="0" borderId="0" xfId="19" applyNumberFormat="1" applyFont="1" applyBorder="1"/>
    <xf numFmtId="0" fontId="6" fillId="2" borderId="4" xfId="0" applyFont="1" applyBorder="1"/>
    <xf numFmtId="3" fontId="6" fillId="2" borderId="0" xfId="0" applyNumberFormat="1" applyFont="1" applyBorder="1"/>
    <xf numFmtId="37" fontId="5" fillId="2" borderId="8" xfId="0" applyNumberFormat="1" applyFont="1" applyBorder="1"/>
    <xf numFmtId="0" fontId="5" fillId="2" borderId="0" xfId="0" applyFont="1" applyBorder="1" applyAlignment="1">
      <alignment horizontal="center"/>
    </xf>
    <xf numFmtId="0" fontId="5" fillId="2" borderId="8" xfId="0" applyFont="1" applyBorder="1" applyAlignment="1">
      <alignment horizontal="center"/>
    </xf>
    <xf numFmtId="0" fontId="4" fillId="2" borderId="0" xfId="0" applyFont="1" applyBorder="1" applyAlignment="1">
      <alignment horizontal="center"/>
    </xf>
    <xf numFmtId="0" fontId="4" fillId="2" borderId="8" xfId="0" applyFont="1" applyBorder="1" applyAlignment="1">
      <alignment horizontal="center"/>
    </xf>
    <xf numFmtId="0" fontId="14" fillId="2" borderId="0" xfId="0" applyFont="1"/>
    <xf numFmtId="37" fontId="6" fillId="0" borderId="0" xfId="0" applyNumberFormat="1" applyFont="1" applyFill="1" applyBorder="1"/>
    <xf numFmtId="37" fontId="8" fillId="0" borderId="0" xfId="0" applyNumberFormat="1" applyFont="1" applyFill="1" applyBorder="1"/>
    <xf numFmtId="0" fontId="6" fillId="2" borderId="11" xfId="0" applyFont="1" applyBorder="1" applyAlignment="1">
      <alignment horizontal="centerContinuous"/>
    </xf>
    <xf numFmtId="0" fontId="5" fillId="2" borderId="7" xfId="0" applyFont="1" applyBorder="1" applyAlignment="1">
      <alignment horizontal="centerContinuous"/>
    </xf>
    <xf numFmtId="0" fontId="5" fillId="2" borderId="12" xfId="0" applyFont="1" applyBorder="1" applyAlignment="1">
      <alignment horizontal="centerContinuous"/>
    </xf>
    <xf numFmtId="5" fontId="5" fillId="2" borderId="0" xfId="0" applyNumberFormat="1" applyFont="1" applyBorder="1"/>
    <xf numFmtId="6" fontId="5" fillId="2" borderId="0" xfId="0" applyNumberFormat="1" applyFont="1" applyBorder="1"/>
    <xf numFmtId="0" fontId="6" fillId="2" borderId="0" xfId="0" applyFont="1" applyBorder="1" applyAlignment="1">
      <alignment horizontal="center"/>
    </xf>
    <xf numFmtId="0" fontId="6" fillId="2" borderId="8" xfId="0" applyFont="1" applyBorder="1" applyAlignment="1">
      <alignment horizontal="center"/>
    </xf>
    <xf numFmtId="0" fontId="7" fillId="2" borderId="6" xfId="0" applyFont="1" applyBorder="1" applyAlignment="1">
      <alignment horizontal="center"/>
    </xf>
    <xf numFmtId="0" fontId="7" fillId="2" borderId="8" xfId="0" applyFont="1" applyBorder="1" applyAlignment="1">
      <alignment horizontal="center"/>
    </xf>
    <xf numFmtId="0" fontId="7" fillId="2" borderId="0" xfId="0" applyFont="1" applyBorder="1" applyAlignment="1">
      <alignment horizontal="center"/>
    </xf>
    <xf numFmtId="5" fontId="5" fillId="2" borderId="6" xfId="0" applyNumberFormat="1" applyFont="1" applyBorder="1"/>
    <xf numFmtId="5" fontId="5" fillId="2" borderId="8" xfId="0" applyNumberFormat="1" applyFont="1" applyBorder="1"/>
    <xf numFmtId="5" fontId="5" fillId="2" borderId="9" xfId="0" applyNumberFormat="1" applyFont="1" applyBorder="1"/>
    <xf numFmtId="5" fontId="15" fillId="2" borderId="4" xfId="0" applyNumberFormat="1" applyFont="1" applyBorder="1"/>
    <xf numFmtId="5" fontId="5" fillId="2" borderId="4" xfId="0" applyNumberFormat="1" applyFont="1" applyBorder="1"/>
    <xf numFmtId="5" fontId="5" fillId="2" borderId="13" xfId="0" applyNumberFormat="1" applyFont="1" applyBorder="1"/>
    <xf numFmtId="5" fontId="5" fillId="2" borderId="0" xfId="0" applyNumberFormat="1" applyFont="1"/>
    <xf numFmtId="221" fontId="5" fillId="2" borderId="0" xfId="0" applyNumberFormat="1" applyFont="1"/>
    <xf numFmtId="37" fontId="8" fillId="2" borderId="0" xfId="0" applyNumberFormat="1" applyFont="1" applyBorder="1"/>
    <xf numFmtId="0" fontId="6" fillId="2" borderId="6" xfId="0" applyFont="1" applyBorder="1" applyAlignment="1">
      <alignment horizontal="center"/>
    </xf>
    <xf numFmtId="6" fontId="5" fillId="2" borderId="0" xfId="0" applyNumberFormat="1" applyFont="1"/>
    <xf numFmtId="0" fontId="16" fillId="2" borderId="0" xfId="0" applyFont="1" applyBorder="1"/>
    <xf numFmtId="0" fontId="4" fillId="2" borderId="0" xfId="0" applyFont="1"/>
    <xf numFmtId="167" fontId="5" fillId="2" borderId="0" xfId="0" applyNumberFormat="1" applyFont="1" applyBorder="1"/>
    <xf numFmtId="0" fontId="5" fillId="2" borderId="14" xfId="0" applyFont="1" applyBorder="1"/>
    <xf numFmtId="0" fontId="6" fillId="2" borderId="15" xfId="0" applyFont="1" applyBorder="1"/>
    <xf numFmtId="0" fontId="6" fillId="2" borderId="16" xfId="0" applyFont="1" applyBorder="1"/>
    <xf numFmtId="0" fontId="5" fillId="2" borderId="17" xfId="0" applyFont="1" applyBorder="1"/>
    <xf numFmtId="0" fontId="12" fillId="2" borderId="0" xfId="0" applyFont="1"/>
    <xf numFmtId="0" fontId="6" fillId="2" borderId="14" xfId="0" applyFont="1" applyBorder="1"/>
    <xf numFmtId="0" fontId="6" fillId="2" borderId="17" xfId="0" applyFont="1" applyBorder="1"/>
    <xf numFmtId="9" fontId="5" fillId="2" borderId="0" xfId="0" applyNumberFormat="1" applyFont="1" applyBorder="1"/>
    <xf numFmtId="0" fontId="5" fillId="2" borderId="6" xfId="0" applyFont="1" applyBorder="1" applyAlignment="1">
      <alignment horizontal="right"/>
    </xf>
    <xf numFmtId="0" fontId="5" fillId="2" borderId="0" xfId="0" applyFont="1" applyBorder="1" applyAlignment="1">
      <alignment horizontal="right"/>
    </xf>
    <xf numFmtId="10" fontId="6" fillId="2" borderId="0" xfId="0" applyNumberFormat="1" applyFont="1" applyBorder="1"/>
    <xf numFmtId="1" fontId="7" fillId="2" borderId="0" xfId="0" applyNumberFormat="1" applyFont="1" applyBorder="1"/>
    <xf numFmtId="0" fontId="8" fillId="2" borderId="0" xfId="0" quotePrefix="1" applyFont="1" applyBorder="1" applyAlignment="1">
      <alignment horizontal="center"/>
    </xf>
    <xf numFmtId="202" fontId="5" fillId="2" borderId="0" xfId="0" applyNumberFormat="1" applyFont="1" applyBorder="1"/>
    <xf numFmtId="202" fontId="5" fillId="2" borderId="0" xfId="0" applyNumberFormat="1" applyFont="1"/>
    <xf numFmtId="202" fontId="6" fillId="2" borderId="0" xfId="0" applyNumberFormat="1" applyFont="1" applyBorder="1"/>
    <xf numFmtId="202" fontId="6" fillId="2" borderId="0" xfId="0" applyNumberFormat="1" applyFont="1"/>
    <xf numFmtId="202" fontId="8" fillId="2" borderId="0" xfId="0" applyNumberFormat="1" applyFont="1" applyBorder="1"/>
    <xf numFmtId="0" fontId="5" fillId="2" borderId="0" xfId="0" applyFont="1" applyBorder="1" applyAlignment="1">
      <alignment horizontal="centerContinuous"/>
    </xf>
    <xf numFmtId="6" fontId="5" fillId="2" borderId="8" xfId="0" applyNumberFormat="1" applyFont="1" applyBorder="1"/>
    <xf numFmtId="43" fontId="5" fillId="2" borderId="0" xfId="3" applyFont="1" applyFill="1"/>
    <xf numFmtId="0" fontId="6" fillId="2" borderId="0" xfId="0" applyFont="1" applyBorder="1" applyAlignment="1">
      <alignment horizontal="right"/>
    </xf>
    <xf numFmtId="10" fontId="10" fillId="2" borderId="0" xfId="0" applyNumberFormat="1" applyFont="1" applyBorder="1"/>
    <xf numFmtId="0" fontId="9" fillId="2" borderId="0" xfId="0" applyFont="1" applyBorder="1"/>
    <xf numFmtId="6" fontId="16" fillId="2" borderId="0" xfId="0" applyNumberFormat="1" applyFont="1" applyBorder="1"/>
    <xf numFmtId="6" fontId="23" fillId="2" borderId="0" xfId="0" applyNumberFormat="1" applyFont="1" applyBorder="1"/>
    <xf numFmtId="16" fontId="10" fillId="2" borderId="0" xfId="0" applyNumberFormat="1" applyFont="1" applyBorder="1"/>
    <xf numFmtId="6" fontId="17" fillId="2" borderId="0" xfId="0" applyNumberFormat="1" applyFont="1" applyBorder="1"/>
    <xf numFmtId="6" fontId="21" fillId="0" borderId="0" xfId="0" applyNumberFormat="1" applyFont="1" applyFill="1" applyBorder="1"/>
    <xf numFmtId="6" fontId="21" fillId="2" borderId="0" xfId="0" applyNumberFormat="1" applyFont="1" applyBorder="1"/>
    <xf numFmtId="2" fontId="5" fillId="2" borderId="0" xfId="0" applyNumberFormat="1" applyFont="1" applyBorder="1" applyAlignment="1">
      <alignment horizontal="center"/>
    </xf>
    <xf numFmtId="0" fontId="5" fillId="2" borderId="8" xfId="0" applyFont="1" applyBorder="1" applyAlignment="1">
      <alignment horizontal="left"/>
    </xf>
    <xf numFmtId="6" fontId="6" fillId="2" borderId="8" xfId="0" applyNumberFormat="1" applyFont="1" applyBorder="1"/>
    <xf numFmtId="6" fontId="25" fillId="2" borderId="0" xfId="0" applyNumberFormat="1" applyFont="1" applyBorder="1"/>
    <xf numFmtId="6" fontId="26" fillId="2" borderId="0" xfId="0" applyNumberFormat="1" applyFont="1" applyBorder="1"/>
    <xf numFmtId="6" fontId="27" fillId="2" borderId="0" xfId="0" applyNumberFormat="1" applyFont="1" applyBorder="1"/>
    <xf numFmtId="0" fontId="6" fillId="2" borderId="6" xfId="0" applyFont="1" applyBorder="1" applyAlignment="1">
      <alignment horizontal="centerContinuous"/>
    </xf>
    <xf numFmtId="10" fontId="5" fillId="2" borderId="6" xfId="0" applyNumberFormat="1" applyFont="1" applyBorder="1"/>
    <xf numFmtId="10" fontId="5" fillId="0" borderId="4" xfId="19" applyNumberFormat="1" applyFont="1" applyBorder="1"/>
    <xf numFmtId="10" fontId="4" fillId="2" borderId="6" xfId="0" applyNumberFormat="1" applyFont="1" applyBorder="1"/>
    <xf numFmtId="0" fontId="6" fillId="2" borderId="10" xfId="0" applyFont="1" applyBorder="1"/>
    <xf numFmtId="0" fontId="6" fillId="2" borderId="8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right"/>
    </xf>
    <xf numFmtId="15" fontId="5" fillId="2" borderId="0" xfId="0" applyNumberFormat="1" applyFont="1" applyBorder="1"/>
    <xf numFmtId="14" fontId="5" fillId="2" borderId="0" xfId="0" applyNumberFormat="1" applyFont="1" applyBorder="1"/>
    <xf numFmtId="7" fontId="5" fillId="2" borderId="8" xfId="0" applyNumberFormat="1" applyFont="1" applyBorder="1"/>
    <xf numFmtId="10" fontId="5" fillId="0" borderId="6" xfId="19" applyNumberFormat="1" applyFont="1" applyBorder="1"/>
    <xf numFmtId="0" fontId="4" fillId="2" borderId="6" xfId="0" applyFont="1" applyBorder="1" applyAlignment="1">
      <alignment horizontal="center"/>
    </xf>
    <xf numFmtId="5" fontId="5" fillId="2" borderId="8" xfId="0" applyNumberFormat="1" applyFont="1" applyBorder="1" applyAlignment="1">
      <alignment horizontal="right"/>
    </xf>
    <xf numFmtId="10" fontId="5" fillId="0" borderId="8" xfId="19" applyNumberFormat="1" applyFont="1" applyBorder="1" applyAlignment="1">
      <alignment horizontal="right"/>
    </xf>
    <xf numFmtId="8" fontId="5" fillId="2" borderId="8" xfId="0" applyNumberFormat="1" applyFont="1" applyBorder="1"/>
    <xf numFmtId="6" fontId="6" fillId="2" borderId="0" xfId="0" applyNumberFormat="1" applyFont="1" applyBorder="1"/>
    <xf numFmtId="1" fontId="5" fillId="2" borderId="0" xfId="0" applyNumberFormat="1" applyFont="1" applyBorder="1"/>
    <xf numFmtId="3" fontId="5" fillId="2" borderId="0" xfId="0" applyNumberFormat="1" applyFont="1" applyBorder="1"/>
    <xf numFmtId="0" fontId="0" fillId="2" borderId="0" xfId="0" applyBorder="1"/>
    <xf numFmtId="1" fontId="5" fillId="2" borderId="4" xfId="0" applyNumberFormat="1" applyFont="1" applyBorder="1"/>
    <xf numFmtId="0" fontId="8" fillId="2" borderId="0" xfId="0" applyFont="1" applyBorder="1" applyAlignment="1">
      <alignment horizontal="center"/>
    </xf>
    <xf numFmtId="1" fontId="6" fillId="2" borderId="0" xfId="0" applyNumberFormat="1" applyFont="1" applyBorder="1"/>
    <xf numFmtId="0" fontId="19" fillId="0" borderId="0" xfId="0" applyFont="1" applyFill="1" applyBorder="1"/>
    <xf numFmtId="0" fontId="31" fillId="0" borderId="0" xfId="0" applyFont="1" applyFill="1" applyBorder="1"/>
    <xf numFmtId="0" fontId="32" fillId="2" borderId="0" xfId="0" applyFont="1" applyAlignment="1">
      <alignment horizontal="centerContinuous"/>
    </xf>
    <xf numFmtId="0" fontId="32" fillId="2" borderId="0" xfId="0" applyFont="1" applyAlignment="1"/>
    <xf numFmtId="0" fontId="7" fillId="2" borderId="14" xfId="0" applyFont="1" applyBorder="1" applyAlignment="1">
      <alignment horizontal="right"/>
    </xf>
    <xf numFmtId="0" fontId="5" fillId="2" borderId="15" xfId="0" applyFont="1" applyBorder="1"/>
    <xf numFmtId="0" fontId="7" fillId="2" borderId="18" xfId="0" applyFont="1" applyBorder="1" applyAlignment="1">
      <alignment horizontal="right"/>
    </xf>
    <xf numFmtId="0" fontId="5" fillId="2" borderId="16" xfId="0" applyFont="1" applyBorder="1"/>
    <xf numFmtId="0" fontId="5" fillId="2" borderId="19" xfId="0" applyFont="1" applyBorder="1" applyAlignment="1"/>
    <xf numFmtId="0" fontId="8" fillId="2" borderId="18" xfId="0" applyFont="1" applyBorder="1" applyAlignment="1"/>
    <xf numFmtId="0" fontId="5" fillId="2" borderId="19" xfId="0" applyFont="1" applyBorder="1"/>
    <xf numFmtId="16" fontId="16" fillId="2" borderId="15" xfId="0" applyNumberFormat="1" applyFont="1" applyBorder="1"/>
    <xf numFmtId="0" fontId="7" fillId="2" borderId="15" xfId="0" applyFont="1" applyBorder="1"/>
    <xf numFmtId="0" fontId="8" fillId="2" borderId="17" xfId="0" applyFont="1" applyBorder="1"/>
    <xf numFmtId="0" fontId="5" fillId="2" borderId="14" xfId="0" applyFont="1" applyBorder="1" applyAlignment="1">
      <alignment horizontal="centerContinuous"/>
    </xf>
    <xf numFmtId="0" fontId="5" fillId="2" borderId="17" xfId="0" applyFont="1" applyBorder="1" applyAlignment="1"/>
    <xf numFmtId="0" fontId="5" fillId="2" borderId="18" xfId="0" applyFont="1" applyBorder="1"/>
    <xf numFmtId="0" fontId="5" fillId="2" borderId="20" xfId="0" applyFont="1" applyBorder="1"/>
    <xf numFmtId="0" fontId="5" fillId="2" borderId="0" xfId="0" applyFont="1" applyBorder="1" applyAlignment="1"/>
    <xf numFmtId="0" fontId="5" fillId="2" borderId="17" xfId="0" applyFont="1" applyBorder="1" applyAlignment="1">
      <alignment horizontal="center"/>
    </xf>
    <xf numFmtId="0" fontId="5" fillId="2" borderId="14" xfId="0" applyFont="1" applyBorder="1" applyAlignment="1">
      <alignment horizontal="right"/>
    </xf>
    <xf numFmtId="5" fontId="5" fillId="2" borderId="0" xfId="0" applyNumberFormat="1" applyFont="1" applyBorder="1" applyAlignment="1"/>
    <xf numFmtId="212" fontId="7" fillId="2" borderId="0" xfId="0" applyNumberFormat="1" applyFont="1" applyBorder="1" applyAlignment="1"/>
    <xf numFmtId="0" fontId="34" fillId="2" borderId="0" xfId="0" applyFont="1"/>
    <xf numFmtId="0" fontId="6" fillId="2" borderId="14" xfId="0" applyFont="1" applyBorder="1" applyAlignment="1">
      <alignment horizontal="right"/>
    </xf>
    <xf numFmtId="0" fontId="7" fillId="2" borderId="14" xfId="0" applyFont="1" applyBorder="1" applyAlignment="1">
      <alignment horizontal="center"/>
    </xf>
    <xf numFmtId="0" fontId="7" fillId="2" borderId="19" xfId="0" applyFont="1" applyBorder="1" applyAlignment="1">
      <alignment horizontal="center"/>
    </xf>
    <xf numFmtId="0" fontId="5" fillId="2" borderId="18" xfId="0" applyFont="1" applyBorder="1" applyAlignment="1">
      <alignment horizontal="center"/>
    </xf>
    <xf numFmtId="0" fontId="5" fillId="0" borderId="15" xfId="0" applyFont="1" applyFill="1" applyBorder="1"/>
    <xf numFmtId="0" fontId="5" fillId="0" borderId="18" xfId="0" applyFont="1" applyFill="1" applyBorder="1" applyAlignment="1">
      <alignment horizontal="center"/>
    </xf>
    <xf numFmtId="0" fontId="5" fillId="2" borderId="20" xfId="0" applyFont="1" applyBorder="1" applyAlignment="1">
      <alignment horizontal="center"/>
    </xf>
    <xf numFmtId="10" fontId="5" fillId="2" borderId="0" xfId="0" applyNumberFormat="1" applyFont="1" applyBorder="1" applyAlignment="1">
      <alignment horizontal="right"/>
    </xf>
    <xf numFmtId="0" fontId="7" fillId="2" borderId="19" xfId="0" applyFont="1" applyBorder="1" applyAlignment="1">
      <alignment horizontal="right"/>
    </xf>
    <xf numFmtId="10" fontId="5" fillId="2" borderId="18" xfId="0" applyNumberFormat="1" applyFont="1" applyBorder="1" applyAlignment="1">
      <alignment horizontal="right"/>
    </xf>
    <xf numFmtId="10" fontId="5" fillId="2" borderId="17" xfId="0" applyNumberFormat="1" applyFont="1" applyBorder="1" applyAlignment="1">
      <alignment horizontal="right"/>
    </xf>
    <xf numFmtId="10" fontId="5" fillId="2" borderId="20" xfId="0" applyNumberFormat="1" applyFont="1" applyBorder="1" applyAlignment="1">
      <alignment horizontal="right"/>
    </xf>
    <xf numFmtId="0" fontId="5" fillId="2" borderId="19" xfId="0" applyFont="1" applyBorder="1" applyAlignment="1">
      <alignment horizontal="centerContinuous"/>
    </xf>
    <xf numFmtId="0" fontId="6" fillId="2" borderId="18" xfId="0" applyFont="1" applyBorder="1" applyAlignment="1">
      <alignment horizontal="center"/>
    </xf>
    <xf numFmtId="0" fontId="5" fillId="2" borderId="19" xfId="0" applyFont="1" applyBorder="1" applyAlignment="1">
      <alignment horizontal="center"/>
    </xf>
    <xf numFmtId="0" fontId="5" fillId="2" borderId="18" xfId="0" applyFont="1" applyBorder="1" applyAlignment="1"/>
    <xf numFmtId="2" fontId="5" fillId="2" borderId="17" xfId="0" applyNumberFormat="1" applyFont="1" applyBorder="1" applyAlignment="1">
      <alignment horizontal="center"/>
    </xf>
    <xf numFmtId="0" fontId="5" fillId="2" borderId="20" xfId="0" applyFont="1" applyBorder="1" applyAlignment="1"/>
    <xf numFmtId="0" fontId="6" fillId="0" borderId="15" xfId="0" applyFont="1" applyFill="1" applyBorder="1"/>
    <xf numFmtId="6" fontId="6" fillId="0" borderId="18" xfId="0" applyNumberFormat="1" applyFont="1" applyFill="1" applyBorder="1"/>
    <xf numFmtId="6" fontId="7" fillId="0" borderId="18" xfId="0" applyNumberFormat="1" applyFont="1" applyFill="1" applyBorder="1"/>
    <xf numFmtId="0" fontId="6" fillId="2" borderId="21" xfId="0" applyFont="1" applyBorder="1"/>
    <xf numFmtId="0" fontId="6" fillId="2" borderId="22" xfId="0" applyFont="1" applyBorder="1"/>
    <xf numFmtId="0" fontId="5" fillId="2" borderId="22" xfId="0" applyFont="1" applyBorder="1"/>
    <xf numFmtId="10" fontId="6" fillId="2" borderId="0" xfId="0" applyNumberFormat="1" applyFont="1" applyBorder="1" applyAlignment="1"/>
    <xf numFmtId="5" fontId="21" fillId="2" borderId="18" xfId="0" applyNumberFormat="1" applyFont="1" applyBorder="1" applyAlignment="1"/>
    <xf numFmtId="0" fontId="5" fillId="2" borderId="18" xfId="0" applyFont="1" applyBorder="1" applyAlignment="1">
      <alignment horizontal="right"/>
    </xf>
    <xf numFmtId="5" fontId="5" fillId="2" borderId="18" xfId="0" applyNumberFormat="1" applyFont="1" applyBorder="1"/>
    <xf numFmtId="5" fontId="4" fillId="2" borderId="18" xfId="0" applyNumberFormat="1" applyFont="1" applyBorder="1"/>
    <xf numFmtId="5" fontId="5" fillId="2" borderId="20" xfId="0" applyNumberFormat="1" applyFont="1" applyBorder="1"/>
    <xf numFmtId="0" fontId="5" fillId="2" borderId="23" xfId="0" applyFont="1" applyBorder="1"/>
    <xf numFmtId="9" fontId="3" fillId="2" borderId="0" xfId="0" applyNumberFormat="1" applyFont="1" applyBorder="1" applyAlignment="1"/>
    <xf numFmtId="0" fontId="5" fillId="2" borderId="0" xfId="0" applyNumberFormat="1" applyFont="1" applyBorder="1" applyAlignment="1"/>
    <xf numFmtId="0" fontId="22" fillId="2" borderId="24" xfId="0" applyFont="1" applyBorder="1"/>
    <xf numFmtId="179" fontId="5" fillId="2" borderId="18" xfId="0" applyNumberFormat="1" applyFont="1" applyBorder="1"/>
    <xf numFmtId="10" fontId="5" fillId="2" borderId="18" xfId="0" applyNumberFormat="1" applyFont="1" applyBorder="1"/>
    <xf numFmtId="10" fontId="5" fillId="2" borderId="0" xfId="0" applyNumberFormat="1" applyFont="1" applyBorder="1" applyAlignment="1"/>
    <xf numFmtId="0" fontId="5" fillId="2" borderId="25" xfId="0" applyFont="1" applyBorder="1"/>
    <xf numFmtId="10" fontId="5" fillId="2" borderId="25" xfId="0" applyNumberFormat="1" applyFont="1" applyBorder="1" applyAlignment="1"/>
    <xf numFmtId="0" fontId="30" fillId="2" borderId="23" xfId="0" applyFont="1" applyBorder="1"/>
    <xf numFmtId="0" fontId="5" fillId="2" borderId="23" xfId="0" applyFont="1" applyBorder="1" applyAlignment="1"/>
    <xf numFmtId="10" fontId="5" fillId="2" borderId="23" xfId="0" applyNumberFormat="1" applyFont="1" applyBorder="1"/>
    <xf numFmtId="0" fontId="5" fillId="2" borderId="26" xfId="0" applyFont="1" applyBorder="1"/>
    <xf numFmtId="0" fontId="5" fillId="2" borderId="27" xfId="0" applyFont="1" applyBorder="1"/>
    <xf numFmtId="37" fontId="5" fillId="2" borderId="18" xfId="0" applyNumberFormat="1" applyFont="1" applyBorder="1"/>
    <xf numFmtId="0" fontId="5" fillId="2" borderId="26" xfId="0" applyFont="1" applyBorder="1" applyAlignment="1"/>
    <xf numFmtId="10" fontId="5" fillId="2" borderId="24" xfId="0" applyNumberFormat="1" applyFont="1" applyBorder="1" applyAlignment="1">
      <alignment horizontal="right"/>
    </xf>
    <xf numFmtId="10" fontId="5" fillId="2" borderId="20" xfId="19" applyNumberFormat="1" applyFont="1" applyFill="1" applyBorder="1"/>
    <xf numFmtId="10" fontId="5" fillId="2" borderId="18" xfId="19" applyNumberFormat="1" applyFont="1" applyFill="1" applyBorder="1"/>
    <xf numFmtId="0" fontId="28" fillId="2" borderId="0" xfId="0" applyFont="1" applyBorder="1"/>
    <xf numFmtId="0" fontId="33" fillId="2" borderId="0" xfId="0" applyFont="1" applyBorder="1"/>
    <xf numFmtId="0" fontId="6" fillId="2" borderId="28" xfId="0" applyFont="1" applyBorder="1" applyAlignment="1">
      <alignment horizontal="centerContinuous"/>
    </xf>
    <xf numFmtId="0" fontId="5" fillId="2" borderId="29" xfId="0" applyFont="1" applyBorder="1" applyAlignment="1">
      <alignment horizontal="centerContinuous"/>
    </xf>
    <xf numFmtId="38" fontId="6" fillId="2" borderId="30" xfId="0" applyNumberFormat="1" applyFont="1" applyBorder="1" applyAlignment="1">
      <alignment horizontal="centerContinuous"/>
    </xf>
    <xf numFmtId="0" fontId="5" fillId="2" borderId="31" xfId="0" applyFont="1" applyBorder="1" applyAlignment="1">
      <alignment horizontal="centerContinuous"/>
    </xf>
    <xf numFmtId="0" fontId="6" fillId="9" borderId="32" xfId="0" applyFont="1" applyFill="1" applyBorder="1"/>
    <xf numFmtId="0" fontId="6" fillId="9" borderId="33" xfId="0" applyFont="1" applyFill="1" applyBorder="1"/>
    <xf numFmtId="0" fontId="4" fillId="9" borderId="34" xfId="0" applyFont="1" applyFill="1" applyBorder="1" applyAlignment="1">
      <alignment horizontal="center"/>
    </xf>
    <xf numFmtId="37" fontId="5" fillId="2" borderId="18" xfId="0" applyNumberFormat="1" applyFont="1" applyBorder="1" applyAlignment="1">
      <alignment horizontal="right"/>
    </xf>
    <xf numFmtId="0" fontId="7" fillId="2" borderId="35" xfId="0" applyFont="1" applyBorder="1"/>
    <xf numFmtId="5" fontId="5" fillId="2" borderId="0" xfId="0" applyNumberFormat="1" applyFont="1" applyBorder="1" applyAlignment="1">
      <alignment horizontal="right"/>
    </xf>
    <xf numFmtId="5" fontId="4" fillId="2" borderId="0" xfId="0" applyNumberFormat="1" applyFont="1" applyBorder="1" applyAlignment="1">
      <alignment horizontal="right"/>
    </xf>
    <xf numFmtId="5" fontId="5" fillId="2" borderId="17" xfId="0" applyNumberFormat="1" applyFont="1" applyBorder="1" applyAlignment="1">
      <alignment horizontal="right"/>
    </xf>
    <xf numFmtId="5" fontId="16" fillId="2" borderId="0" xfId="0" applyNumberFormat="1" applyFont="1" applyBorder="1" applyAlignment="1">
      <alignment horizontal="center"/>
    </xf>
    <xf numFmtId="5" fontId="16" fillId="0" borderId="0" xfId="0" applyNumberFormat="1" applyFont="1" applyFill="1" applyBorder="1" applyAlignment="1">
      <alignment horizontal="center"/>
    </xf>
    <xf numFmtId="5" fontId="5" fillId="2" borderId="17" xfId="0" applyNumberFormat="1" applyFont="1" applyBorder="1" applyAlignment="1">
      <alignment horizontal="center"/>
    </xf>
    <xf numFmtId="5" fontId="5" fillId="0" borderId="18" xfId="0" applyNumberFormat="1" applyFont="1" applyFill="1" applyBorder="1"/>
    <xf numFmtId="5" fontId="4" fillId="0" borderId="18" xfId="0" applyNumberFormat="1" applyFont="1" applyFill="1" applyBorder="1"/>
    <xf numFmtId="5" fontId="6" fillId="0" borderId="18" xfId="0" applyNumberFormat="1" applyFont="1" applyFill="1" applyBorder="1"/>
    <xf numFmtId="5" fontId="6" fillId="2" borderId="36" xfId="0" applyNumberFormat="1" applyFont="1" applyBorder="1"/>
    <xf numFmtId="5" fontId="5" fillId="2" borderId="37" xfId="0" applyNumberFormat="1" applyFont="1" applyBorder="1"/>
    <xf numFmtId="7" fontId="6" fillId="2" borderId="20" xfId="0" applyNumberFormat="1" applyFont="1" applyBorder="1"/>
    <xf numFmtId="5" fontId="4" fillId="2" borderId="0" xfId="0" applyNumberFormat="1" applyFont="1" applyBorder="1"/>
    <xf numFmtId="6" fontId="6" fillId="2" borderId="17" xfId="0" applyNumberFormat="1" applyFont="1" applyBorder="1"/>
    <xf numFmtId="1" fontId="6" fillId="2" borderId="17" xfId="0" applyNumberFormat="1" applyFont="1" applyBorder="1"/>
    <xf numFmtId="202" fontId="16" fillId="2" borderId="0" xfId="0" applyNumberFormat="1" applyFont="1" applyBorder="1"/>
    <xf numFmtId="202" fontId="21" fillId="0" borderId="0" xfId="0" applyNumberFormat="1" applyFont="1" applyFill="1" applyBorder="1"/>
    <xf numFmtId="202" fontId="21" fillId="2" borderId="0" xfId="0" applyNumberFormat="1" applyFont="1" applyBorder="1"/>
    <xf numFmtId="5" fontId="6" fillId="2" borderId="0" xfId="0" applyNumberFormat="1" applyFont="1" applyBorder="1"/>
    <xf numFmtId="5" fontId="5" fillId="2" borderId="0" xfId="3" applyNumberFormat="1" applyFont="1" applyFill="1" applyBorder="1"/>
    <xf numFmtId="5" fontId="4" fillId="2" borderId="0" xfId="3" applyNumberFormat="1" applyFont="1" applyFill="1" applyBorder="1"/>
    <xf numFmtId="5" fontId="6" fillId="2" borderId="0" xfId="3" applyNumberFormat="1" applyFont="1" applyFill="1" applyBorder="1"/>
    <xf numFmtId="5" fontId="21" fillId="0" borderId="0" xfId="3" applyNumberFormat="1" applyFont="1" applyFill="1" applyBorder="1"/>
    <xf numFmtId="5" fontId="5" fillId="2" borderId="0" xfId="3" quotePrefix="1" applyNumberFormat="1" applyFont="1" applyFill="1" applyBorder="1"/>
    <xf numFmtId="5" fontId="6" fillId="0" borderId="0" xfId="3" applyNumberFormat="1" applyFont="1" applyFill="1" applyBorder="1"/>
    <xf numFmtId="0" fontId="28" fillId="0" borderId="0" xfId="0" applyFont="1" applyFill="1" applyBorder="1"/>
    <xf numFmtId="0" fontId="5" fillId="0" borderId="0" xfId="0" applyFont="1" applyFill="1"/>
    <xf numFmtId="0" fontId="34" fillId="0" borderId="0" xfId="0" applyFont="1" applyFill="1"/>
    <xf numFmtId="0" fontId="14" fillId="0" borderId="0" xfId="0" applyFont="1" applyFill="1"/>
    <xf numFmtId="43" fontId="5" fillId="0" borderId="0" xfId="3" applyFont="1" applyFill="1"/>
    <xf numFmtId="0" fontId="33" fillId="0" borderId="0" xfId="0" applyFont="1" applyFill="1" applyBorder="1"/>
    <xf numFmtId="37" fontId="5" fillId="0" borderId="0" xfId="0" applyNumberFormat="1" applyFont="1" applyFill="1"/>
    <xf numFmtId="6" fontId="5" fillId="0" borderId="0" xfId="0" applyNumberFormat="1" applyFont="1" applyFill="1"/>
    <xf numFmtId="6" fontId="6" fillId="0" borderId="17" xfId="0" applyNumberFormat="1" applyFont="1" applyFill="1" applyBorder="1"/>
    <xf numFmtId="0" fontId="5" fillId="0" borderId="17" xfId="0" applyFont="1" applyFill="1" applyBorder="1"/>
    <xf numFmtId="1" fontId="6" fillId="0" borderId="17" xfId="0" applyNumberFormat="1" applyFont="1" applyFill="1" applyBorder="1"/>
    <xf numFmtId="6" fontId="6" fillId="0" borderId="0" xfId="0" applyNumberFormat="1" applyFont="1" applyFill="1" applyBorder="1"/>
    <xf numFmtId="1" fontId="7" fillId="0" borderId="0" xfId="0" applyNumberFormat="1" applyFont="1" applyFill="1" applyBorder="1"/>
    <xf numFmtId="37" fontId="20" fillId="0" borderId="0" xfId="0" applyNumberFormat="1" applyFont="1" applyFill="1" applyBorder="1" applyProtection="1"/>
    <xf numFmtId="38" fontId="3" fillId="0" borderId="0" xfId="0" applyNumberFormat="1" applyFont="1" applyFill="1" applyBorder="1"/>
    <xf numFmtId="38" fontId="5" fillId="0" borderId="0" xfId="0" applyNumberFormat="1" applyFont="1" applyFill="1" applyBorder="1"/>
    <xf numFmtId="0" fontId="6" fillId="0" borderId="0" xfId="0" applyFont="1" applyFill="1"/>
    <xf numFmtId="5" fontId="5" fillId="0" borderId="0" xfId="0" applyNumberFormat="1" applyFont="1" applyFill="1" applyBorder="1"/>
    <xf numFmtId="5" fontId="4" fillId="0" borderId="0" xfId="0" applyNumberFormat="1" applyFont="1" applyFill="1" applyBorder="1"/>
    <xf numFmtId="5" fontId="5" fillId="0" borderId="0" xfId="3" applyNumberFormat="1" applyFont="1" applyFill="1" applyBorder="1"/>
    <xf numFmtId="5" fontId="4" fillId="0" borderId="0" xfId="3" applyNumberFormat="1" applyFont="1" applyFill="1" applyBorder="1"/>
    <xf numFmtId="5" fontId="5" fillId="0" borderId="4" xfId="3" applyNumberFormat="1" applyFont="1" applyFill="1" applyBorder="1"/>
    <xf numFmtId="5" fontId="6" fillId="0" borderId="0" xfId="0" applyNumberFormat="1" applyFont="1" applyFill="1" applyBorder="1"/>
    <xf numFmtId="1" fontId="6" fillId="0" borderId="17" xfId="0" applyNumberFormat="1" applyFont="1" applyFill="1" applyBorder="1" applyAlignment="1"/>
    <xf numFmtId="0" fontId="6" fillId="9" borderId="38" xfId="0" applyFont="1" applyFill="1" applyBorder="1"/>
    <xf numFmtId="0" fontId="30" fillId="0" borderId="4" xfId="0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5" fillId="9" borderId="39" xfId="0" applyFont="1" applyFill="1" applyBorder="1"/>
    <xf numFmtId="5" fontId="5" fillId="9" borderId="39" xfId="0" applyNumberFormat="1" applyFont="1" applyFill="1" applyBorder="1"/>
    <xf numFmtId="8" fontId="5" fillId="2" borderId="0" xfId="0" applyNumberFormat="1" applyFont="1" applyBorder="1"/>
    <xf numFmtId="5" fontId="16" fillId="2" borderId="0" xfId="0" applyNumberFormat="1" applyFont="1" applyBorder="1"/>
    <xf numFmtId="5" fontId="12" fillId="2" borderId="0" xfId="0" applyNumberFormat="1" applyFont="1" applyBorder="1"/>
    <xf numFmtId="0" fontId="5" fillId="9" borderId="0" xfId="0" applyFont="1" applyFill="1" applyBorder="1"/>
    <xf numFmtId="0" fontId="6" fillId="9" borderId="40" xfId="0" applyFont="1" applyFill="1" applyBorder="1"/>
    <xf numFmtId="5" fontId="8" fillId="2" borderId="0" xfId="0" applyNumberFormat="1" applyFont="1" applyBorder="1"/>
    <xf numFmtId="0" fontId="5" fillId="2" borderId="0" xfId="0" applyFont="1" applyAlignment="1"/>
    <xf numFmtId="49" fontId="5" fillId="2" borderId="0" xfId="0" applyNumberFormat="1" applyFont="1" applyBorder="1" applyAlignment="1">
      <alignment horizontal="center"/>
    </xf>
    <xf numFmtId="0" fontId="5" fillId="0" borderId="0" xfId="0" applyFont="1" applyFill="1" applyBorder="1" applyAlignment="1"/>
    <xf numFmtId="0" fontId="6" fillId="2" borderId="17" xfId="0" applyFont="1" applyBorder="1" applyAlignment="1"/>
    <xf numFmtId="0" fontId="7" fillId="2" borderId="0" xfId="0" applyFont="1" applyBorder="1" applyAlignment="1"/>
    <xf numFmtId="38" fontId="5" fillId="2" borderId="0" xfId="0" applyNumberFormat="1" applyFont="1" applyBorder="1" applyAlignment="1"/>
    <xf numFmtId="0" fontId="5" fillId="0" borderId="0" xfId="0" applyFont="1" applyFill="1" applyAlignment="1"/>
    <xf numFmtId="0" fontId="34" fillId="0" borderId="0" xfId="0" applyFont="1" applyFill="1" applyAlignment="1"/>
    <xf numFmtId="0" fontId="14" fillId="0" borderId="0" xfId="0" applyFont="1" applyFill="1" applyAlignment="1"/>
    <xf numFmtId="43" fontId="5" fillId="0" borderId="0" xfId="3" applyFont="1" applyFill="1" applyAlignment="1"/>
    <xf numFmtId="37" fontId="5" fillId="0" borderId="0" xfId="0" applyNumberFormat="1" applyFont="1" applyFill="1" applyAlignment="1"/>
    <xf numFmtId="6" fontId="5" fillId="0" borderId="0" xfId="0" applyNumberFormat="1" applyFont="1" applyFill="1" applyAlignment="1"/>
    <xf numFmtId="10" fontId="17" fillId="0" borderId="0" xfId="19" applyNumberFormat="1" applyFont="1" applyBorder="1" applyAlignment="1"/>
    <xf numFmtId="37" fontId="16" fillId="2" borderId="0" xfId="0" applyNumberFormat="1" applyFont="1" applyBorder="1" applyAlignment="1"/>
    <xf numFmtId="37" fontId="5" fillId="2" borderId="0" xfId="0" applyNumberFormat="1" applyFont="1" applyBorder="1" applyAlignment="1"/>
    <xf numFmtId="38" fontId="5" fillId="2" borderId="4" xfId="0" applyNumberFormat="1" applyFont="1" applyBorder="1" applyAlignment="1"/>
    <xf numFmtId="5" fontId="4" fillId="2" borderId="0" xfId="0" applyNumberFormat="1" applyFont="1" applyBorder="1" applyAlignment="1"/>
    <xf numFmtId="5" fontId="16" fillId="2" borderId="0" xfId="0" applyNumberFormat="1" applyFont="1" applyBorder="1" applyAlignment="1"/>
    <xf numFmtId="5" fontId="17" fillId="2" borderId="0" xfId="0" applyNumberFormat="1" applyFont="1" applyBorder="1" applyAlignment="1"/>
    <xf numFmtId="5" fontId="5" fillId="2" borderId="0" xfId="0" quotePrefix="1" applyNumberFormat="1" applyFont="1" applyBorder="1" applyAlignment="1"/>
    <xf numFmtId="37" fontId="37" fillId="2" borderId="0" xfId="0" applyNumberFormat="1" applyFont="1"/>
    <xf numFmtId="0" fontId="4" fillId="9" borderId="39" xfId="0" applyFont="1" applyFill="1" applyBorder="1" applyAlignment="1">
      <alignment horizontal="center"/>
    </xf>
    <xf numFmtId="5" fontId="5" fillId="9" borderId="0" xfId="0" applyNumberFormat="1" applyFont="1" applyFill="1" applyBorder="1"/>
    <xf numFmtId="37" fontId="5" fillId="9" borderId="0" xfId="0" applyNumberFormat="1" applyFont="1" applyFill="1" applyBorder="1"/>
    <xf numFmtId="5" fontId="6" fillId="2" borderId="4" xfId="0" applyNumberFormat="1" applyFont="1" applyBorder="1"/>
    <xf numFmtId="0" fontId="38" fillId="2" borderId="0" xfId="0" applyFont="1" applyAlignment="1">
      <alignment horizontal="center"/>
    </xf>
    <xf numFmtId="0" fontId="7" fillId="2" borderId="17" xfId="0" applyFont="1" applyBorder="1"/>
    <xf numFmtId="17" fontId="36" fillId="2" borderId="17" xfId="0" applyNumberFormat="1" applyFont="1" applyBorder="1" applyAlignment="1">
      <alignment horizontal="right"/>
    </xf>
    <xf numFmtId="17" fontId="6" fillId="2" borderId="17" xfId="0" applyNumberFormat="1" applyFont="1" applyBorder="1" applyAlignment="1">
      <alignment horizontal="right"/>
    </xf>
    <xf numFmtId="0" fontId="5" fillId="2" borderId="13" xfId="0" applyFont="1" applyBorder="1" applyAlignment="1">
      <alignment horizontal="center"/>
    </xf>
    <xf numFmtId="0" fontId="30" fillId="0" borderId="0" xfId="0" applyFont="1" applyFill="1" applyBorder="1"/>
    <xf numFmtId="37" fontId="30" fillId="0" borderId="0" xfId="0" applyNumberFormat="1" applyFont="1" applyFill="1" applyBorder="1"/>
    <xf numFmtId="0" fontId="6" fillId="2" borderId="41" xfId="0" applyFont="1" applyBorder="1" applyAlignment="1">
      <alignment horizontal="centerContinuous"/>
    </xf>
    <xf numFmtId="0" fontId="5" fillId="2" borderId="42" xfId="0" applyFont="1" applyBorder="1" applyAlignment="1">
      <alignment horizontal="centerContinuous"/>
    </xf>
    <xf numFmtId="5" fontId="5" fillId="2" borderId="42" xfId="0" applyNumberFormat="1" applyFont="1" applyBorder="1"/>
    <xf numFmtId="5" fontId="5" fillId="2" borderId="43" xfId="0" applyNumberFormat="1" applyFont="1" applyBorder="1"/>
    <xf numFmtId="0" fontId="30" fillId="2" borderId="0" xfId="0" applyFont="1" applyBorder="1"/>
    <xf numFmtId="0" fontId="4" fillId="9" borderId="44" xfId="0" applyFont="1" applyFill="1" applyBorder="1" applyAlignment="1">
      <alignment horizontal="center"/>
    </xf>
    <xf numFmtId="5" fontId="5" fillId="9" borderId="45" xfId="0" applyNumberFormat="1" applyFont="1" applyFill="1" applyBorder="1"/>
    <xf numFmtId="5" fontId="4" fillId="9" borderId="45" xfId="0" applyNumberFormat="1" applyFont="1" applyFill="1" applyBorder="1"/>
    <xf numFmtId="0" fontId="4" fillId="9" borderId="46" xfId="0" applyFont="1" applyFill="1" applyBorder="1" applyAlignment="1">
      <alignment horizontal="center"/>
    </xf>
    <xf numFmtId="5" fontId="5" fillId="9" borderId="47" xfId="0" applyNumberFormat="1" applyFont="1" applyFill="1" applyBorder="1"/>
    <xf numFmtId="5" fontId="4" fillId="9" borderId="47" xfId="0" applyNumberFormat="1" applyFont="1" applyFill="1" applyBorder="1"/>
    <xf numFmtId="37" fontId="5" fillId="2" borderId="13" xfId="0" applyNumberFormat="1" applyFont="1" applyBorder="1"/>
    <xf numFmtId="0" fontId="7" fillId="2" borderId="6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centerContinuous"/>
    </xf>
    <xf numFmtId="0" fontId="5" fillId="2" borderId="8" xfId="0" applyFont="1" applyBorder="1" applyAlignment="1">
      <alignment horizontal="centerContinuous"/>
    </xf>
    <xf numFmtId="0" fontId="6" fillId="0" borderId="17" xfId="0" applyFont="1" applyFill="1" applyBorder="1"/>
    <xf numFmtId="5" fontId="10" fillId="2" borderId="0" xfId="0" applyNumberFormat="1" applyFont="1" applyBorder="1"/>
    <xf numFmtId="38" fontId="34" fillId="2" borderId="0" xfId="0" applyNumberFormat="1" applyFont="1"/>
    <xf numFmtId="202" fontId="6" fillId="0" borderId="0" xfId="0" applyNumberFormat="1" applyFont="1" applyFill="1" applyBorder="1"/>
    <xf numFmtId="17" fontId="5" fillId="2" borderId="6" xfId="0" applyNumberFormat="1" applyFont="1" applyBorder="1"/>
    <xf numFmtId="5" fontId="6" fillId="2" borderId="6" xfId="0" applyNumberFormat="1" applyFont="1" applyBorder="1"/>
    <xf numFmtId="5" fontId="4" fillId="2" borderId="6" xfId="0" applyNumberFormat="1" applyFont="1" applyBorder="1"/>
    <xf numFmtId="6" fontId="4" fillId="2" borderId="8" xfId="0" applyNumberFormat="1" applyFont="1" applyBorder="1"/>
    <xf numFmtId="6" fontId="5" fillId="2" borderId="6" xfId="0" applyNumberFormat="1" applyFont="1" applyBorder="1"/>
    <xf numFmtId="179" fontId="5" fillId="2" borderId="6" xfId="0" applyNumberFormat="1" applyFont="1" applyBorder="1"/>
    <xf numFmtId="10" fontId="5" fillId="2" borderId="6" xfId="0" applyNumberFormat="1" applyFont="1" applyBorder="1" applyAlignment="1">
      <alignment horizontal="center"/>
    </xf>
    <xf numFmtId="10" fontId="4" fillId="2" borderId="6" xfId="0" applyNumberFormat="1" applyFont="1" applyBorder="1" applyAlignment="1">
      <alignment horizontal="center"/>
    </xf>
    <xf numFmtId="10" fontId="5" fillId="2" borderId="8" xfId="0" applyNumberFormat="1" applyFont="1" applyBorder="1" applyAlignment="1">
      <alignment horizontal="center"/>
    </xf>
    <xf numFmtId="10" fontId="4" fillId="2" borderId="8" xfId="0" applyNumberFormat="1" applyFont="1" applyBorder="1" applyAlignment="1">
      <alignment horizontal="center"/>
    </xf>
    <xf numFmtId="212" fontId="7" fillId="2" borderId="18" xfId="0" applyNumberFormat="1" applyFont="1" applyBorder="1" applyAlignment="1"/>
    <xf numFmtId="5" fontId="5" fillId="2" borderId="18" xfId="0" applyNumberFormat="1" applyFont="1" applyBorder="1" applyAlignment="1"/>
    <xf numFmtId="5" fontId="5" fillId="2" borderId="20" xfId="0" applyNumberFormat="1" applyFont="1" applyBorder="1" applyAlignment="1"/>
    <xf numFmtId="0" fontId="9" fillId="2" borderId="17" xfId="0" applyFont="1" applyBorder="1"/>
    <xf numFmtId="0" fontId="5" fillId="2" borderId="15" xfId="0" applyFont="1" applyBorder="1" applyAlignment="1">
      <alignment horizontal="center"/>
    </xf>
    <xf numFmtId="0" fontId="5" fillId="2" borderId="16" xfId="0" applyFont="1" applyBorder="1" applyAlignment="1">
      <alignment horizontal="center"/>
    </xf>
    <xf numFmtId="0" fontId="5" fillId="2" borderId="0" xfId="0" applyNumberFormat="1" applyFont="1" applyAlignment="1"/>
    <xf numFmtId="0" fontId="6" fillId="2" borderId="17" xfId="0" applyNumberFormat="1" applyFont="1" applyBorder="1" applyAlignment="1"/>
    <xf numFmtId="17" fontId="6" fillId="2" borderId="17" xfId="0" applyNumberFormat="1" applyFont="1" applyBorder="1" applyAlignment="1"/>
    <xf numFmtId="0" fontId="5" fillId="0" borderId="0" xfId="0" applyNumberFormat="1" applyFont="1" applyFill="1" applyBorder="1" applyAlignment="1"/>
    <xf numFmtId="0" fontId="5" fillId="2" borderId="11" xfId="0" applyNumberFormat="1" applyFont="1" applyBorder="1" applyAlignment="1"/>
    <xf numFmtId="0" fontId="5" fillId="2" borderId="12" xfId="0" applyNumberFormat="1" applyFont="1" applyBorder="1" applyAlignment="1"/>
    <xf numFmtId="0" fontId="5" fillId="2" borderId="6" xfId="0" applyNumberFormat="1" applyFont="1" applyBorder="1" applyAlignment="1"/>
    <xf numFmtId="0" fontId="5" fillId="2" borderId="8" xfId="0" applyNumberFormat="1" applyFont="1" applyBorder="1" applyAlignment="1"/>
    <xf numFmtId="0" fontId="5" fillId="2" borderId="9" xfId="0" applyNumberFormat="1" applyFont="1" applyBorder="1" applyAlignment="1"/>
    <xf numFmtId="0" fontId="5" fillId="2" borderId="13" xfId="0" applyNumberFormat="1" applyFont="1" applyBorder="1" applyAlignment="1"/>
    <xf numFmtId="0" fontId="5" fillId="9" borderId="39" xfId="0" applyNumberFormat="1" applyFont="1" applyFill="1" applyBorder="1" applyAlignment="1"/>
    <xf numFmtId="0" fontId="5" fillId="9" borderId="0" xfId="0" applyNumberFormat="1" applyFont="1" applyFill="1" applyBorder="1" applyAlignment="1"/>
    <xf numFmtId="10" fontId="5" fillId="9" borderId="0" xfId="19" applyNumberFormat="1" applyFont="1" applyFill="1" applyBorder="1" applyAlignment="1"/>
    <xf numFmtId="0" fontId="5" fillId="2" borderId="17" xfId="0" applyNumberFormat="1" applyFont="1" applyBorder="1"/>
    <xf numFmtId="10" fontId="5" fillId="0" borderId="4" xfId="0" applyNumberFormat="1" applyFont="1" applyFill="1" applyBorder="1" applyAlignment="1">
      <alignment horizontal="center"/>
    </xf>
    <xf numFmtId="0" fontId="6" fillId="2" borderId="30" xfId="0" applyFont="1" applyBorder="1"/>
    <xf numFmtId="0" fontId="6" fillId="2" borderId="48" xfId="0" applyFont="1" applyBorder="1"/>
    <xf numFmtId="37" fontId="6" fillId="2" borderId="31" xfId="0" applyNumberFormat="1" applyFont="1" applyBorder="1"/>
    <xf numFmtId="39" fontId="5" fillId="2" borderId="0" xfId="0" applyNumberFormat="1" applyFont="1" applyBorder="1" applyAlignment="1">
      <alignment horizontal="right"/>
    </xf>
    <xf numFmtId="5" fontId="5" fillId="9" borderId="0" xfId="0" applyNumberFormat="1" applyFont="1" applyFill="1" applyBorder="1" applyAlignment="1"/>
    <xf numFmtId="191" fontId="5" fillId="2" borderId="0" xfId="0" applyNumberFormat="1" applyFont="1" applyBorder="1"/>
    <xf numFmtId="0" fontId="8" fillId="2" borderId="14" xfId="0" applyFont="1" applyBorder="1" applyAlignment="1">
      <alignment horizontal="right"/>
    </xf>
    <xf numFmtId="0" fontId="3" fillId="2" borderId="18" xfId="0" applyFont="1" applyBorder="1" applyAlignment="1">
      <alignment horizontal="center"/>
    </xf>
    <xf numFmtId="0" fontId="42" fillId="2" borderId="0" xfId="0" applyFont="1" applyAlignment="1">
      <alignment horizontal="center"/>
    </xf>
    <xf numFmtId="167" fontId="4" fillId="0" borderId="0" xfId="19" applyNumberFormat="1" applyFont="1" applyBorder="1"/>
    <xf numFmtId="10" fontId="5" fillId="2" borderId="18" xfId="0" applyNumberFormat="1" applyFont="1" applyBorder="1" applyAlignment="1">
      <alignment horizontal="center"/>
    </xf>
    <xf numFmtId="10" fontId="5" fillId="2" borderId="20" xfId="0" applyNumberFormat="1" applyFont="1" applyBorder="1" applyAlignment="1">
      <alignment horizontal="center"/>
    </xf>
    <xf numFmtId="177" fontId="5" fillId="2" borderId="6" xfId="0" applyNumberFormat="1" applyFont="1" applyBorder="1"/>
    <xf numFmtId="10" fontId="5" fillId="0" borderId="6" xfId="19" applyNumberFormat="1" applyFont="1" applyBorder="1" applyAlignment="1">
      <alignment horizontal="right"/>
    </xf>
    <xf numFmtId="0" fontId="5" fillId="2" borderId="0" xfId="0" applyNumberFormat="1" applyFont="1" applyBorder="1"/>
    <xf numFmtId="0" fontId="9" fillId="2" borderId="4" xfId="0" applyFont="1" applyBorder="1" applyAlignment="1">
      <alignment horizontal="center"/>
    </xf>
    <xf numFmtId="0" fontId="8" fillId="2" borderId="0" xfId="0" applyFont="1" applyBorder="1" applyAlignment="1">
      <alignment horizontal="centerContinuous"/>
    </xf>
    <xf numFmtId="5" fontId="16" fillId="9" borderId="39" xfId="0" applyNumberFormat="1" applyFont="1" applyFill="1" applyBorder="1" applyProtection="1"/>
    <xf numFmtId="0" fontId="8" fillId="0" borderId="0" xfId="0" applyFont="1" applyFill="1" applyBorder="1" applyAlignment="1">
      <alignment horizontal="center"/>
    </xf>
    <xf numFmtId="0" fontId="8" fillId="2" borderId="0" xfId="0" applyFont="1" applyBorder="1" applyAlignment="1">
      <alignment horizontal="right"/>
    </xf>
    <xf numFmtId="0" fontId="5" fillId="2" borderId="15" xfId="0" applyFont="1" applyBorder="1" applyAlignment="1"/>
    <xf numFmtId="0" fontId="16" fillId="2" borderId="6" xfId="0" applyFont="1" applyBorder="1"/>
    <xf numFmtId="0" fontId="9" fillId="2" borderId="0" xfId="0" applyNumberFormat="1" applyFont="1" applyBorder="1" applyAlignment="1">
      <alignment horizontal="center"/>
    </xf>
    <xf numFmtId="0" fontId="4" fillId="2" borderId="6" xfId="0" applyNumberFormat="1" applyFont="1" applyBorder="1" applyAlignment="1">
      <alignment horizontal="center"/>
    </xf>
    <xf numFmtId="0" fontId="4" fillId="2" borderId="0" xfId="0" applyNumberFormat="1" applyFont="1" applyBorder="1" applyAlignment="1">
      <alignment horizontal="center"/>
    </xf>
    <xf numFmtId="0" fontId="6" fillId="2" borderId="0" xfId="0" applyFont="1" applyBorder="1" applyAlignment="1">
      <alignment horizontal="centerContinuous"/>
    </xf>
    <xf numFmtId="0" fontId="5" fillId="2" borderId="0" xfId="0" applyNumberFormat="1" applyFont="1" applyBorder="1" applyAlignment="1">
      <alignment horizontal="center"/>
    </xf>
    <xf numFmtId="0" fontId="5" fillId="2" borderId="16" xfId="0" applyFont="1" applyBorder="1" applyAlignment="1"/>
    <xf numFmtId="5" fontId="15" fillId="2" borderId="0" xfId="0" applyNumberFormat="1" applyFont="1" applyBorder="1"/>
    <xf numFmtId="0" fontId="5" fillId="2" borderId="17" xfId="0" applyFont="1" applyBorder="1" applyAlignment="1">
      <alignment horizontal="right"/>
    </xf>
    <xf numFmtId="5" fontId="5" fillId="0" borderId="0" xfId="0" applyNumberFormat="1" applyFont="1" applyFill="1" applyBorder="1" applyAlignment="1"/>
    <xf numFmtId="0" fontId="5" fillId="2" borderId="15" xfId="0" applyNumberFormat="1" applyFont="1" applyBorder="1"/>
    <xf numFmtId="0" fontId="6" fillId="2" borderId="15" xfId="0" applyNumberFormat="1" applyFont="1" applyBorder="1"/>
    <xf numFmtId="0" fontId="5" fillId="2" borderId="16" xfId="0" applyNumberFormat="1" applyFont="1" applyBorder="1"/>
    <xf numFmtId="49" fontId="5" fillId="2" borderId="0" xfId="0" applyNumberFormat="1" applyFont="1" applyBorder="1" applyAlignment="1">
      <alignment horizontal="left"/>
    </xf>
    <xf numFmtId="0" fontId="5" fillId="2" borderId="49" xfId="0" applyFont="1" applyBorder="1"/>
    <xf numFmtId="0" fontId="7" fillId="9" borderId="39" xfId="0" applyFont="1" applyFill="1" applyBorder="1" applyAlignment="1">
      <alignment horizontal="right"/>
    </xf>
    <xf numFmtId="5" fontId="6" fillId="9" borderId="0" xfId="0" applyNumberFormat="1" applyFont="1" applyFill="1" applyBorder="1" applyAlignment="1"/>
    <xf numFmtId="5" fontId="5" fillId="2" borderId="17" xfId="0" applyNumberFormat="1" applyFont="1" applyBorder="1"/>
    <xf numFmtId="0" fontId="6" fillId="9" borderId="34" xfId="0" applyFont="1" applyFill="1" applyBorder="1"/>
    <xf numFmtId="0" fontId="8" fillId="2" borderId="14" xfId="0" applyFont="1" applyBorder="1"/>
    <xf numFmtId="0" fontId="5" fillId="2" borderId="35" xfId="0" applyFont="1" applyBorder="1"/>
    <xf numFmtId="6" fontId="6" fillId="2" borderId="16" xfId="0" applyNumberFormat="1" applyFont="1" applyBorder="1"/>
    <xf numFmtId="0" fontId="6" fillId="2" borderId="50" xfId="0" applyFont="1" applyBorder="1" applyAlignment="1">
      <alignment horizontal="right"/>
    </xf>
    <xf numFmtId="6" fontId="6" fillId="2" borderId="35" xfId="0" applyNumberFormat="1" applyFont="1" applyBorder="1"/>
    <xf numFmtId="0" fontId="5" fillId="2" borderId="51" xfId="0" applyFont="1" applyBorder="1"/>
    <xf numFmtId="0" fontId="5" fillId="2" borderId="52" xfId="0" applyFont="1" applyBorder="1"/>
    <xf numFmtId="0" fontId="5" fillId="2" borderId="53" xfId="0" applyFont="1" applyBorder="1"/>
    <xf numFmtId="0" fontId="8" fillId="2" borderId="15" xfId="0" applyFont="1" applyBorder="1"/>
    <xf numFmtId="202" fontId="5" fillId="2" borderId="15" xfId="0" applyNumberFormat="1" applyFont="1" applyBorder="1"/>
    <xf numFmtId="202" fontId="6" fillId="2" borderId="15" xfId="0" applyNumberFormat="1" applyFont="1" applyBorder="1"/>
    <xf numFmtId="202" fontId="21" fillId="0" borderId="15" xfId="0" applyNumberFormat="1" applyFont="1" applyFill="1" applyBorder="1"/>
    <xf numFmtId="202" fontId="16" fillId="2" borderId="15" xfId="0" applyNumberFormat="1" applyFont="1" applyBorder="1"/>
    <xf numFmtId="202" fontId="21" fillId="2" borderId="15" xfId="0" applyNumberFormat="1" applyFont="1" applyBorder="1"/>
    <xf numFmtId="202" fontId="21" fillId="9" borderId="54" xfId="0" applyNumberFormat="1" applyFont="1" applyFill="1" applyBorder="1"/>
    <xf numFmtId="202" fontId="21" fillId="9" borderId="55" xfId="0" applyNumberFormat="1" applyFont="1" applyFill="1" applyBorder="1"/>
    <xf numFmtId="5" fontId="21" fillId="9" borderId="55" xfId="3" applyNumberFormat="1" applyFont="1" applyFill="1" applyBorder="1"/>
    <xf numFmtId="0" fontId="5" fillId="2" borderId="56" xfId="0" applyFont="1" applyBorder="1"/>
    <xf numFmtId="0" fontId="6" fillId="2" borderId="57" xfId="0" applyFont="1" applyBorder="1" applyAlignment="1">
      <alignment horizontal="right"/>
    </xf>
    <xf numFmtId="0" fontId="7" fillId="2" borderId="58" xfId="0" applyFont="1" applyBorder="1" applyAlignment="1">
      <alignment horizontal="center"/>
    </xf>
    <xf numFmtId="0" fontId="5" fillId="2" borderId="58" xfId="0" applyFont="1" applyBorder="1"/>
    <xf numFmtId="0" fontId="5" fillId="2" borderId="59" xfId="0" applyFont="1" applyBorder="1"/>
    <xf numFmtId="37" fontId="5" fillId="2" borderId="60" xfId="0" applyNumberFormat="1" applyFont="1" applyBorder="1"/>
    <xf numFmtId="3" fontId="5" fillId="2" borderId="58" xfId="0" applyNumberFormat="1" applyFont="1" applyBorder="1"/>
    <xf numFmtId="5" fontId="5" fillId="2" borderId="58" xfId="0" applyNumberFormat="1" applyFont="1" applyBorder="1"/>
    <xf numFmtId="5" fontId="4" fillId="2" borderId="58" xfId="0" applyNumberFormat="1" applyFont="1" applyBorder="1"/>
    <xf numFmtId="5" fontId="6" fillId="2" borderId="58" xfId="0" applyNumberFormat="1" applyFont="1" applyBorder="1"/>
    <xf numFmtId="5" fontId="5" fillId="2" borderId="58" xfId="3" applyNumberFormat="1" applyFont="1" applyFill="1" applyBorder="1"/>
    <xf numFmtId="5" fontId="4" fillId="2" borderId="58" xfId="3" applyNumberFormat="1" applyFont="1" applyFill="1" applyBorder="1"/>
    <xf numFmtId="5" fontId="6" fillId="2" borderId="58" xfId="3" applyNumberFormat="1" applyFont="1" applyFill="1" applyBorder="1"/>
    <xf numFmtId="5" fontId="21" fillId="9" borderId="61" xfId="3" applyNumberFormat="1" applyFont="1" applyFill="1" applyBorder="1"/>
    <xf numFmtId="5" fontId="21" fillId="0" borderId="58" xfId="3" applyNumberFormat="1" applyFont="1" applyFill="1" applyBorder="1"/>
    <xf numFmtId="5" fontId="5" fillId="2" borderId="58" xfId="3" quotePrefix="1" applyNumberFormat="1" applyFont="1" applyFill="1" applyBorder="1"/>
    <xf numFmtId="5" fontId="6" fillId="2" borderId="58" xfId="3" quotePrefix="1" applyNumberFormat="1" applyFont="1" applyFill="1" applyBorder="1"/>
    <xf numFmtId="0" fontId="5" fillId="2" borderId="57" xfId="0" applyFont="1" applyBorder="1"/>
    <xf numFmtId="5" fontId="6" fillId="9" borderId="62" xfId="0" applyNumberFormat="1" applyFont="1" applyFill="1" applyBorder="1"/>
    <xf numFmtId="10" fontId="6" fillId="9" borderId="63" xfId="19" applyNumberFormat="1" applyFont="1" applyFill="1" applyBorder="1"/>
    <xf numFmtId="0" fontId="6" fillId="9" borderId="64" xfId="0" applyFont="1" applyFill="1" applyBorder="1"/>
    <xf numFmtId="37" fontId="6" fillId="9" borderId="65" xfId="3" applyNumberFormat="1" applyFont="1" applyFill="1" applyBorder="1"/>
    <xf numFmtId="0" fontId="6" fillId="2" borderId="35" xfId="0" applyFont="1" applyBorder="1" applyAlignment="1"/>
    <xf numFmtId="0" fontId="6" fillId="2" borderId="51" xfId="0" applyFont="1" applyBorder="1" applyAlignment="1">
      <alignment horizontal="center"/>
    </xf>
    <xf numFmtId="0" fontId="6" fillId="2" borderId="15" xfId="0" applyFont="1" applyBorder="1" applyAlignment="1"/>
    <xf numFmtId="0" fontId="4" fillId="2" borderId="15" xfId="0" applyFont="1" applyBorder="1" applyAlignment="1"/>
    <xf numFmtId="0" fontId="5" fillId="2" borderId="53" xfId="0" applyFont="1" applyBorder="1" applyAlignment="1"/>
    <xf numFmtId="10" fontId="6" fillId="2" borderId="15" xfId="0" applyNumberFormat="1" applyFont="1" applyBorder="1" applyAlignment="1"/>
    <xf numFmtId="0" fontId="12" fillId="2" borderId="15" xfId="0" applyFont="1" applyBorder="1" applyAlignment="1"/>
    <xf numFmtId="0" fontId="6" fillId="9" borderId="66" xfId="0" applyFont="1" applyFill="1" applyBorder="1"/>
    <xf numFmtId="10" fontId="6" fillId="9" borderId="67" xfId="0" applyNumberFormat="1" applyFont="1" applyFill="1" applyBorder="1"/>
    <xf numFmtId="0" fontId="5" fillId="2" borderId="50" xfId="0" applyFont="1" applyBorder="1"/>
    <xf numFmtId="0" fontId="6" fillId="2" borderId="58" xfId="0" applyFont="1" applyBorder="1" applyAlignment="1">
      <alignment horizontal="center"/>
    </xf>
    <xf numFmtId="0" fontId="5" fillId="2" borderId="60" xfId="0" applyFont="1" applyBorder="1"/>
    <xf numFmtId="5" fontId="12" fillId="2" borderId="58" xfId="0" applyNumberFormat="1" applyFont="1" applyBorder="1"/>
    <xf numFmtId="37" fontId="5" fillId="2" borderId="58" xfId="0" applyNumberFormat="1" applyFont="1" applyBorder="1"/>
    <xf numFmtId="0" fontId="7" fillId="9" borderId="62" xfId="0" applyFont="1" applyFill="1" applyBorder="1" applyAlignment="1">
      <alignment horizontal="right"/>
    </xf>
    <xf numFmtId="5" fontId="6" fillId="9" borderId="63" xfId="0" applyNumberFormat="1" applyFont="1" applyFill="1" applyBorder="1" applyAlignment="1"/>
    <xf numFmtId="0" fontId="5" fillId="9" borderId="4" xfId="0" applyFont="1" applyFill="1" applyBorder="1"/>
    <xf numFmtId="38" fontId="5" fillId="9" borderId="4" xfId="0" applyNumberFormat="1" applyFont="1" applyFill="1" applyBorder="1" applyAlignment="1"/>
    <xf numFmtId="38" fontId="6" fillId="9" borderId="65" xfId="0" applyNumberFormat="1" applyFont="1" applyFill="1" applyBorder="1" applyAlignment="1"/>
    <xf numFmtId="0" fontId="5" fillId="2" borderId="14" xfId="0" applyFont="1" applyBorder="1" applyAlignment="1"/>
    <xf numFmtId="0" fontId="5" fillId="2" borderId="68" xfId="0" applyFont="1" applyBorder="1" applyAlignment="1"/>
    <xf numFmtId="0" fontId="6" fillId="2" borderId="35" xfId="0" applyFont="1" applyBorder="1"/>
    <xf numFmtId="0" fontId="7" fillId="2" borderId="51" xfId="0" applyFont="1" applyBorder="1" applyAlignment="1"/>
    <xf numFmtId="0" fontId="5" fillId="2" borderId="51" xfId="0" applyFont="1" applyBorder="1" applyAlignment="1"/>
    <xf numFmtId="3" fontId="5" fillId="2" borderId="51" xfId="0" applyNumberFormat="1" applyFont="1" applyBorder="1" applyAlignment="1"/>
    <xf numFmtId="0" fontId="16" fillId="2" borderId="15" xfId="0" applyFont="1" applyBorder="1"/>
    <xf numFmtId="0" fontId="5" fillId="9" borderId="69" xfId="0" applyFont="1" applyFill="1" applyBorder="1"/>
    <xf numFmtId="0" fontId="6" fillId="9" borderId="15" xfId="0" applyFont="1" applyFill="1" applyBorder="1"/>
    <xf numFmtId="0" fontId="6" fillId="9" borderId="53" xfId="0" applyFont="1" applyFill="1" applyBorder="1"/>
    <xf numFmtId="5" fontId="8" fillId="2" borderId="17" xfId="0" applyNumberFormat="1" applyFont="1" applyBorder="1"/>
    <xf numFmtId="0" fontId="5" fillId="2" borderId="56" xfId="0" applyFont="1" applyBorder="1" applyAlignment="1"/>
    <xf numFmtId="0" fontId="7" fillId="2" borderId="58" xfId="0" applyFont="1" applyBorder="1" applyAlignment="1"/>
    <xf numFmtId="0" fontId="5" fillId="2" borderId="58" xfId="0" applyFont="1" applyBorder="1" applyAlignment="1"/>
    <xf numFmtId="3" fontId="5" fillId="2" borderId="58" xfId="0" applyNumberFormat="1" applyFont="1" applyBorder="1" applyAlignment="1"/>
    <xf numFmtId="5" fontId="5" fillId="2" borderId="58" xfId="0" applyNumberFormat="1" applyFont="1" applyBorder="1" applyAlignment="1"/>
    <xf numFmtId="5" fontId="4" fillId="2" borderId="58" xfId="0" applyNumberFormat="1" applyFont="1" applyBorder="1" applyAlignment="1"/>
    <xf numFmtId="38" fontId="5" fillId="2" borderId="58" xfId="0" applyNumberFormat="1" applyFont="1" applyBorder="1" applyAlignment="1"/>
    <xf numFmtId="5" fontId="16" fillId="2" borderId="58" xfId="0" applyNumberFormat="1" applyFont="1" applyBorder="1" applyAlignment="1"/>
    <xf numFmtId="5" fontId="5" fillId="0" borderId="58" xfId="0" applyNumberFormat="1" applyFont="1" applyFill="1" applyBorder="1" applyAlignment="1"/>
    <xf numFmtId="37" fontId="5" fillId="2" borderId="58" xfId="0" applyNumberFormat="1" applyFont="1" applyBorder="1" applyAlignment="1"/>
    <xf numFmtId="37" fontId="5" fillId="2" borderId="60" xfId="0" applyNumberFormat="1" applyFont="1" applyBorder="1" applyAlignment="1"/>
    <xf numFmtId="10" fontId="4" fillId="0" borderId="58" xfId="19" applyNumberFormat="1" applyFont="1" applyBorder="1"/>
    <xf numFmtId="5" fontId="5" fillId="2" borderId="70" xfId="0" applyNumberFormat="1" applyFont="1" applyBorder="1"/>
    <xf numFmtId="202" fontId="5" fillId="2" borderId="51" xfId="0" applyNumberFormat="1" applyFont="1" applyBorder="1"/>
    <xf numFmtId="39" fontId="5" fillId="2" borderId="17" xfId="0" applyNumberFormat="1" applyFont="1" applyBorder="1" applyAlignment="1">
      <alignment horizontal="right"/>
    </xf>
    <xf numFmtId="0" fontId="5" fillId="9" borderId="71" xfId="0" applyFont="1" applyFill="1" applyBorder="1"/>
    <xf numFmtId="5" fontId="5" fillId="9" borderId="71" xfId="3" applyNumberFormat="1" applyFont="1" applyFill="1" applyBorder="1"/>
    <xf numFmtId="5" fontId="5" fillId="9" borderId="71" xfId="0" applyNumberFormat="1" applyFont="1" applyFill="1" applyBorder="1"/>
    <xf numFmtId="0" fontId="5" fillId="0" borderId="35" xfId="0" applyFont="1" applyFill="1" applyBorder="1"/>
    <xf numFmtId="0" fontId="5" fillId="0" borderId="14" xfId="0" applyFont="1" applyFill="1" applyBorder="1"/>
    <xf numFmtId="6" fontId="6" fillId="0" borderId="16" xfId="0" applyNumberFormat="1" applyFont="1" applyFill="1" applyBorder="1"/>
    <xf numFmtId="6" fontId="6" fillId="0" borderId="35" xfId="0" applyNumberFormat="1" applyFont="1" applyFill="1" applyBorder="1"/>
    <xf numFmtId="0" fontId="5" fillId="9" borderId="15" xfId="0" applyFont="1" applyFill="1" applyBorder="1"/>
    <xf numFmtId="0" fontId="5" fillId="9" borderId="72" xfId="0" applyFont="1" applyFill="1" applyBorder="1"/>
    <xf numFmtId="0" fontId="5" fillId="0" borderId="53" xfId="0" applyFont="1" applyFill="1" applyBorder="1"/>
    <xf numFmtId="0" fontId="4" fillId="0" borderId="15" xfId="0" applyFont="1" applyFill="1" applyBorder="1"/>
    <xf numFmtId="0" fontId="5" fillId="0" borderId="16" xfId="0" applyFont="1" applyFill="1" applyBorder="1"/>
    <xf numFmtId="5" fontId="5" fillId="0" borderId="17" xfId="0" applyNumberFormat="1" applyFont="1" applyFill="1" applyBorder="1"/>
    <xf numFmtId="0" fontId="5" fillId="0" borderId="56" xfId="0" applyFont="1" applyFill="1" applyBorder="1"/>
    <xf numFmtId="0" fontId="6" fillId="0" borderId="57" xfId="0" applyFont="1" applyFill="1" applyBorder="1" applyAlignment="1">
      <alignment horizontal="right"/>
    </xf>
    <xf numFmtId="0" fontId="5" fillId="0" borderId="58" xfId="0" applyFont="1" applyFill="1" applyBorder="1"/>
    <xf numFmtId="5" fontId="5" fillId="0" borderId="58" xfId="0" applyNumberFormat="1" applyFont="1" applyFill="1" applyBorder="1"/>
    <xf numFmtId="5" fontId="4" fillId="0" borderId="58" xfId="0" applyNumberFormat="1" applyFont="1" applyFill="1" applyBorder="1"/>
    <xf numFmtId="5" fontId="5" fillId="9" borderId="73" xfId="0" applyNumberFormat="1" applyFont="1" applyFill="1" applyBorder="1"/>
    <xf numFmtId="5" fontId="5" fillId="9" borderId="58" xfId="0" applyNumberFormat="1" applyFont="1" applyFill="1" applyBorder="1"/>
    <xf numFmtId="5" fontId="4" fillId="9" borderId="58" xfId="0" applyNumberFormat="1" applyFont="1" applyFill="1" applyBorder="1"/>
    <xf numFmtId="5" fontId="5" fillId="9" borderId="74" xfId="0" applyNumberFormat="1" applyFont="1" applyFill="1" applyBorder="1"/>
    <xf numFmtId="5" fontId="6" fillId="0" borderId="58" xfId="0" applyNumberFormat="1" applyFont="1" applyFill="1" applyBorder="1"/>
    <xf numFmtId="5" fontId="5" fillId="0" borderId="60" xfId="0" applyNumberFormat="1" applyFont="1" applyFill="1" applyBorder="1"/>
    <xf numFmtId="5" fontId="5" fillId="0" borderId="58" xfId="3" applyNumberFormat="1" applyFont="1" applyFill="1" applyBorder="1"/>
    <xf numFmtId="39" fontId="4" fillId="0" borderId="58" xfId="0" applyNumberFormat="1" applyFont="1" applyFill="1" applyBorder="1"/>
    <xf numFmtId="5" fontId="5" fillId="0" borderId="57" xfId="0" applyNumberFormat="1" applyFont="1" applyFill="1" applyBorder="1"/>
    <xf numFmtId="0" fontId="5" fillId="2" borderId="14" xfId="0" applyNumberFormat="1" applyFont="1" applyBorder="1" applyAlignment="1"/>
    <xf numFmtId="0" fontId="5" fillId="2" borderId="14" xfId="0" applyNumberFormat="1" applyFont="1" applyBorder="1" applyAlignment="1">
      <alignment horizontal="right"/>
    </xf>
    <xf numFmtId="0" fontId="5" fillId="0" borderId="35" xfId="0" applyNumberFormat="1" applyFont="1" applyFill="1" applyBorder="1" applyAlignment="1"/>
    <xf numFmtId="0" fontId="5" fillId="0" borderId="15" xfId="0" applyNumberFormat="1" applyFont="1" applyFill="1" applyBorder="1" applyAlignment="1"/>
    <xf numFmtId="0" fontId="4" fillId="2" borderId="0" xfId="0" applyNumberFormat="1" applyFont="1" applyBorder="1" applyAlignment="1"/>
    <xf numFmtId="0" fontId="5" fillId="2" borderId="15" xfId="0" applyNumberFormat="1" applyFont="1" applyBorder="1" applyAlignment="1"/>
    <xf numFmtId="0" fontId="5" fillId="9" borderId="15" xfId="0" applyNumberFormat="1" applyFont="1" applyFill="1" applyBorder="1" applyAlignment="1"/>
    <xf numFmtId="0" fontId="5" fillId="9" borderId="72" xfId="0" applyNumberFormat="1" applyFont="1" applyFill="1" applyBorder="1" applyAlignment="1"/>
    <xf numFmtId="0" fontId="5" fillId="9" borderId="71" xfId="0" applyNumberFormat="1" applyFont="1" applyFill="1" applyBorder="1" applyAlignment="1"/>
    <xf numFmtId="10" fontId="5" fillId="9" borderId="71" xfId="19" applyNumberFormat="1" applyFont="1" applyFill="1" applyBorder="1" applyAlignment="1"/>
    <xf numFmtId="5" fontId="3" fillId="9" borderId="75" xfId="0" applyNumberFormat="1" applyFont="1" applyFill="1" applyBorder="1" applyAlignment="1"/>
    <xf numFmtId="5" fontId="3" fillId="9" borderId="76" xfId="0" applyNumberFormat="1" applyFont="1" applyFill="1" applyBorder="1" applyAlignment="1"/>
    <xf numFmtId="5" fontId="3" fillId="9" borderId="77" xfId="0" applyNumberFormat="1" applyFont="1" applyFill="1" applyBorder="1" applyAlignment="1"/>
    <xf numFmtId="0" fontId="5" fillId="2" borderId="56" xfId="0" applyNumberFormat="1" applyFont="1" applyBorder="1" applyAlignment="1"/>
    <xf numFmtId="0" fontId="6" fillId="2" borderId="57" xfId="0" applyNumberFormat="1" applyFont="1" applyBorder="1" applyAlignment="1">
      <alignment horizontal="right"/>
    </xf>
    <xf numFmtId="0" fontId="5" fillId="2" borderId="58" xfId="0" applyNumberFormat="1" applyFont="1" applyBorder="1" applyAlignment="1"/>
    <xf numFmtId="0" fontId="5" fillId="9" borderId="73" xfId="0" applyNumberFormat="1" applyFont="1" applyFill="1" applyBorder="1" applyAlignment="1"/>
    <xf numFmtId="0" fontId="5" fillId="9" borderId="58" xfId="0" applyNumberFormat="1" applyFont="1" applyFill="1" applyBorder="1" applyAlignment="1"/>
    <xf numFmtId="5" fontId="5" fillId="9" borderId="58" xfId="0" applyNumberFormat="1" applyFont="1" applyFill="1" applyBorder="1" applyAlignment="1"/>
    <xf numFmtId="10" fontId="5" fillId="9" borderId="58" xfId="0" applyNumberFormat="1" applyFont="1" applyFill="1" applyBorder="1" applyAlignment="1"/>
    <xf numFmtId="0" fontId="5" fillId="9" borderId="74" xfId="0" applyNumberFormat="1" applyFont="1" applyFill="1" applyBorder="1" applyAlignment="1"/>
    <xf numFmtId="0" fontId="4" fillId="9" borderId="62" xfId="0" applyFont="1" applyFill="1" applyBorder="1" applyAlignment="1">
      <alignment horizontal="center"/>
    </xf>
    <xf numFmtId="5" fontId="5" fillId="9" borderId="63" xfId="0" applyNumberFormat="1" applyFont="1" applyFill="1" applyBorder="1"/>
    <xf numFmtId="10" fontId="5" fillId="9" borderId="63" xfId="0" applyNumberFormat="1" applyFont="1" applyFill="1" applyBorder="1"/>
    <xf numFmtId="10" fontId="5" fillId="9" borderId="78" xfId="0" applyNumberFormat="1" applyFont="1" applyFill="1" applyBorder="1"/>
    <xf numFmtId="5" fontId="6" fillId="9" borderId="78" xfId="0" applyNumberFormat="1" applyFont="1" applyFill="1" applyBorder="1"/>
    <xf numFmtId="0" fontId="5" fillId="2" borderId="79" xfId="0" applyFont="1" applyBorder="1"/>
    <xf numFmtId="0" fontId="6" fillId="9" borderId="69" xfId="0" applyFont="1" applyFill="1" applyBorder="1"/>
    <xf numFmtId="0" fontId="6" fillId="9" borderId="72" xfId="0" applyFont="1" applyFill="1" applyBorder="1"/>
    <xf numFmtId="0" fontId="6" fillId="2" borderId="52" xfId="0" applyFont="1" applyBorder="1"/>
    <xf numFmtId="0" fontId="5" fillId="2" borderId="56" xfId="0" applyFont="1" applyBorder="1" applyAlignment="1">
      <alignment horizontal="right"/>
    </xf>
    <xf numFmtId="5" fontId="8" fillId="2" borderId="58" xfId="0" applyNumberFormat="1" applyFont="1" applyBorder="1"/>
    <xf numFmtId="5" fontId="5" fillId="2" borderId="60" xfId="0" applyNumberFormat="1" applyFont="1" applyBorder="1"/>
    <xf numFmtId="5" fontId="6" fillId="2" borderId="60" xfId="0" applyNumberFormat="1" applyFont="1" applyBorder="1"/>
    <xf numFmtId="0" fontId="5" fillId="2" borderId="80" xfId="0" applyFont="1" applyBorder="1"/>
    <xf numFmtId="6" fontId="5" fillId="2" borderId="15" xfId="0" applyNumberFormat="1" applyFont="1" applyBorder="1"/>
    <xf numFmtId="0" fontId="13" fillId="2" borderId="0" xfId="0" applyFont="1" applyBorder="1"/>
    <xf numFmtId="0" fontId="8" fillId="0" borderId="15" xfId="0" applyFont="1" applyFill="1" applyBorder="1"/>
    <xf numFmtId="0" fontId="7" fillId="2" borderId="15" xfId="0" applyFont="1" applyBorder="1" applyAlignment="1">
      <alignment horizontal="center"/>
    </xf>
    <xf numFmtId="0" fontId="7" fillId="2" borderId="18" xfId="0" applyFont="1" applyBorder="1" applyAlignment="1">
      <alignment horizontal="center"/>
    </xf>
    <xf numFmtId="0" fontId="5" fillId="2" borderId="53" xfId="0" applyFont="1" applyBorder="1" applyAlignment="1">
      <alignment horizontal="center"/>
    </xf>
    <xf numFmtId="5" fontId="5" fillId="2" borderId="81" xfId="0" applyNumberFormat="1" applyFont="1" applyBorder="1"/>
    <xf numFmtId="0" fontId="5" fillId="2" borderId="82" xfId="0" applyFont="1" applyBorder="1"/>
    <xf numFmtId="0" fontId="5" fillId="2" borderId="83" xfId="0" applyFont="1" applyBorder="1"/>
    <xf numFmtId="0" fontId="5" fillId="2" borderId="58" xfId="0" applyNumberFormat="1" applyFont="1" applyBorder="1"/>
    <xf numFmtId="5" fontId="5" fillId="2" borderId="57" xfId="0" applyNumberFormat="1" applyFont="1" applyBorder="1"/>
    <xf numFmtId="0" fontId="6" fillId="2" borderId="53" xfId="0" applyFont="1" applyBorder="1"/>
    <xf numFmtId="0" fontId="8" fillId="2" borderId="17" xfId="0" applyFont="1" applyBorder="1" applyAlignment="1"/>
    <xf numFmtId="0" fontId="0" fillId="2" borderId="58" xfId="0" applyBorder="1"/>
    <xf numFmtId="3" fontId="6" fillId="2" borderId="58" xfId="0" applyNumberFormat="1" applyFont="1" applyBorder="1"/>
    <xf numFmtId="37" fontId="6" fillId="2" borderId="58" xfId="0" applyNumberFormat="1" applyFont="1" applyBorder="1"/>
    <xf numFmtId="5" fontId="4" fillId="2" borderId="18" xfId="0" applyNumberFormat="1" applyFont="1" applyBorder="1" applyAlignment="1"/>
    <xf numFmtId="5" fontId="6" fillId="2" borderId="20" xfId="0" applyNumberFormat="1" applyFont="1" applyBorder="1"/>
    <xf numFmtId="0" fontId="0" fillId="2" borderId="14" xfId="0" applyBorder="1"/>
    <xf numFmtId="5" fontId="4" fillId="9" borderId="63" xfId="0" applyNumberFormat="1" applyFont="1" applyFill="1" applyBorder="1"/>
    <xf numFmtId="5" fontId="5" fillId="9" borderId="84" xfId="0" applyNumberFormat="1" applyFont="1" applyFill="1" applyBorder="1"/>
    <xf numFmtId="5" fontId="5" fillId="9" borderId="85" xfId="0" applyNumberFormat="1" applyFont="1" applyFill="1" applyBorder="1"/>
    <xf numFmtId="5" fontId="5" fillId="9" borderId="78" xfId="0" applyNumberFormat="1" applyFont="1" applyFill="1" applyBorder="1"/>
    <xf numFmtId="0" fontId="5" fillId="2" borderId="86" xfId="0" applyFont="1" applyBorder="1"/>
    <xf numFmtId="37" fontId="5" fillId="2" borderId="87" xfId="0" applyNumberFormat="1" applyFont="1" applyBorder="1"/>
    <xf numFmtId="37" fontId="4" fillId="2" borderId="58" xfId="0" applyNumberFormat="1" applyFont="1" applyBorder="1"/>
    <xf numFmtId="0" fontId="5" fillId="2" borderId="14" xfId="0" applyFont="1" applyBorder="1" applyAlignment="1">
      <alignment horizontal="center"/>
    </xf>
    <xf numFmtId="0" fontId="13" fillId="2" borderId="0" xfId="0" applyFont="1" applyBorder="1" applyAlignment="1">
      <alignment horizontal="center"/>
    </xf>
    <xf numFmtId="0" fontId="6" fillId="2" borderId="88" xfId="0" applyFont="1" applyBorder="1" applyAlignment="1">
      <alignment horizontal="center"/>
    </xf>
    <xf numFmtId="0" fontId="6" fillId="2" borderId="49" xfId="0" applyFont="1" applyBorder="1" applyAlignment="1">
      <alignment horizontal="center"/>
    </xf>
    <xf numFmtId="0" fontId="6" fillId="2" borderId="89" xfId="0" applyFont="1" applyBorder="1" applyAlignment="1">
      <alignment horizontal="center"/>
    </xf>
    <xf numFmtId="0" fontId="6" fillId="2" borderId="80" xfId="0" applyFont="1" applyBorder="1" applyAlignment="1">
      <alignment horizontal="center"/>
    </xf>
    <xf numFmtId="0" fontId="6" fillId="2" borderId="68" xfId="0" applyFont="1" applyBorder="1" applyAlignment="1">
      <alignment horizontal="center"/>
    </xf>
    <xf numFmtId="0" fontId="6" fillId="2" borderId="90" xfId="0" applyFont="1" applyBorder="1" applyAlignment="1">
      <alignment horizontal="center"/>
    </xf>
    <xf numFmtId="0" fontId="6" fillId="2" borderId="91" xfId="0" applyFont="1" applyBorder="1" applyAlignment="1">
      <alignment horizontal="center"/>
    </xf>
    <xf numFmtId="0" fontId="6" fillId="2" borderId="86" xfId="0" applyFont="1" applyBorder="1" applyAlignment="1">
      <alignment horizontal="center"/>
    </xf>
    <xf numFmtId="0" fontId="6" fillId="2" borderId="86" xfId="0" applyFont="1" applyBorder="1" applyAlignment="1">
      <alignment horizontal="centerContinuous"/>
    </xf>
    <xf numFmtId="0" fontId="6" fillId="2" borderId="87" xfId="0" applyFont="1" applyBorder="1" applyAlignment="1">
      <alignment horizontal="centerContinuous"/>
    </xf>
    <xf numFmtId="0" fontId="6" fillId="2" borderId="92" xfId="0" applyFont="1" applyBorder="1" applyAlignment="1">
      <alignment horizontal="center"/>
    </xf>
    <xf numFmtId="0" fontId="6" fillId="2" borderId="50" xfId="0" applyFont="1" applyBorder="1" applyAlignment="1">
      <alignment horizontal="center"/>
    </xf>
    <xf numFmtId="0" fontId="5" fillId="2" borderId="92" xfId="0" applyFont="1" applyBorder="1"/>
    <xf numFmtId="0" fontId="6" fillId="2" borderId="88" xfId="0" applyFont="1" applyBorder="1"/>
    <xf numFmtId="17" fontId="5" fillId="2" borderId="49" xfId="0" applyNumberFormat="1" applyFont="1" applyBorder="1"/>
    <xf numFmtId="0" fontId="5" fillId="2" borderId="89" xfId="0" applyFont="1" applyBorder="1"/>
    <xf numFmtId="0" fontId="6" fillId="2" borderId="90" xfId="0" applyFont="1" applyBorder="1"/>
    <xf numFmtId="0" fontId="5" fillId="2" borderId="90" xfId="0" applyFont="1" applyBorder="1"/>
    <xf numFmtId="0" fontId="5" fillId="2" borderId="91" xfId="0" applyFont="1" applyBorder="1"/>
    <xf numFmtId="0" fontId="5" fillId="2" borderId="87" xfId="0" applyFont="1" applyBorder="1"/>
    <xf numFmtId="0" fontId="7" fillId="2" borderId="49" xfId="0" applyFont="1" applyBorder="1" applyAlignment="1">
      <alignment horizontal="right"/>
    </xf>
    <xf numFmtId="0" fontId="4" fillId="2" borderId="89" xfId="0" applyFont="1" applyBorder="1" applyAlignment="1">
      <alignment horizontal="center"/>
    </xf>
    <xf numFmtId="0" fontId="16" fillId="2" borderId="92" xfId="0" applyFont="1" applyBorder="1"/>
    <xf numFmtId="10" fontId="5" fillId="2" borderId="87" xfId="0" applyNumberFormat="1" applyFont="1" applyBorder="1"/>
    <xf numFmtId="192" fontId="5" fillId="2" borderId="49" xfId="0" applyNumberFormat="1" applyFont="1" applyBorder="1" applyAlignment="1"/>
    <xf numFmtId="0" fontId="5" fillId="2" borderId="89" xfId="0" applyFont="1" applyBorder="1" applyAlignment="1"/>
    <xf numFmtId="192" fontId="5" fillId="2" borderId="86" xfId="0" applyNumberFormat="1" applyFont="1" applyBorder="1"/>
    <xf numFmtId="10" fontId="5" fillId="2" borderId="86" xfId="19" applyNumberFormat="1" applyFont="1" applyFill="1" applyBorder="1"/>
    <xf numFmtId="5" fontId="5" fillId="2" borderId="49" xfId="0" applyNumberFormat="1" applyFont="1" applyBorder="1"/>
    <xf numFmtId="10" fontId="5" fillId="2" borderId="86" xfId="0" applyNumberFormat="1" applyFont="1" applyBorder="1"/>
    <xf numFmtId="0" fontId="6" fillId="2" borderId="14" xfId="0" applyFont="1" applyBorder="1" applyAlignment="1">
      <alignment horizontal="center"/>
    </xf>
    <xf numFmtId="0" fontId="6" fillId="2" borderId="17" xfId="0" applyFont="1" applyBorder="1" applyAlignment="1">
      <alignment horizontal="centerContinuous"/>
    </xf>
    <xf numFmtId="10" fontId="5" fillId="2" borderId="49" xfId="0" applyNumberFormat="1" applyFont="1" applyBorder="1"/>
    <xf numFmtId="0" fontId="6" fillId="2" borderId="91" xfId="0" applyFont="1" applyBorder="1"/>
    <xf numFmtId="0" fontId="16" fillId="2" borderId="49" xfId="0" applyFont="1" applyBorder="1"/>
    <xf numFmtId="0" fontId="5" fillId="2" borderId="49" xfId="0" applyNumberFormat="1" applyFont="1" applyBorder="1"/>
    <xf numFmtId="0" fontId="9" fillId="2" borderId="14" xfId="0" applyNumberFormat="1" applyFont="1" applyBorder="1" applyAlignment="1">
      <alignment horizontal="center"/>
    </xf>
    <xf numFmtId="10" fontId="5" fillId="2" borderId="86" xfId="0" applyNumberFormat="1" applyFont="1" applyBorder="1" applyAlignment="1">
      <alignment horizontal="center"/>
    </xf>
    <xf numFmtId="10" fontId="5" fillId="2" borderId="17" xfId="0" applyNumberFormat="1" applyFont="1" applyBorder="1" applyAlignment="1">
      <alignment horizontal="center"/>
    </xf>
    <xf numFmtId="10" fontId="5" fillId="2" borderId="49" xfId="0" applyNumberFormat="1" applyFont="1" applyBorder="1" applyAlignment="1">
      <alignment horizontal="centerContinuous"/>
    </xf>
    <xf numFmtId="0" fontId="5" fillId="2" borderId="89" xfId="0" applyFont="1" applyBorder="1" applyAlignment="1">
      <alignment horizontal="centerContinuous"/>
    </xf>
    <xf numFmtId="10" fontId="5" fillId="2" borderId="86" xfId="0" applyNumberFormat="1" applyFont="1" applyBorder="1" applyAlignment="1">
      <alignment horizontal="centerContinuous"/>
    </xf>
    <xf numFmtId="0" fontId="5" fillId="2" borderId="17" xfId="0" applyFont="1" applyBorder="1" applyAlignment="1">
      <alignment horizontal="centerContinuous"/>
    </xf>
    <xf numFmtId="0" fontId="5" fillId="2" borderId="87" xfId="0" applyFont="1" applyBorder="1" applyAlignment="1">
      <alignment horizontal="centerContinuous"/>
    </xf>
    <xf numFmtId="0" fontId="5" fillId="2" borderId="87" xfId="0" applyFont="1" applyBorder="1" applyAlignment="1"/>
    <xf numFmtId="10" fontId="5" fillId="2" borderId="87" xfId="0" applyNumberFormat="1" applyFont="1" applyBorder="1" applyAlignment="1">
      <alignment horizontal="center"/>
    </xf>
    <xf numFmtId="10" fontId="5" fillId="2" borderId="86" xfId="19" applyNumberFormat="1" applyFont="1" applyFill="1" applyBorder="1" applyAlignment="1">
      <alignment horizontal="right"/>
    </xf>
    <xf numFmtId="0" fontId="6" fillId="2" borderId="93" xfId="0" applyFont="1" applyBorder="1"/>
    <xf numFmtId="0" fontId="5" fillId="2" borderId="94" xfId="0" applyFont="1" applyBorder="1"/>
    <xf numFmtId="0" fontId="5" fillId="2" borderId="82" xfId="0" applyFont="1" applyBorder="1" applyAlignment="1">
      <alignment horizontal="right"/>
    </xf>
    <xf numFmtId="0" fontId="5" fillId="2" borderId="42" xfId="0" applyFont="1" applyBorder="1" applyAlignment="1">
      <alignment horizontal="left"/>
    </xf>
    <xf numFmtId="0" fontId="5" fillId="2" borderId="83" xfId="0" applyFont="1" applyBorder="1" applyAlignment="1">
      <alignment horizontal="left"/>
    </xf>
    <xf numFmtId="0" fontId="5" fillId="2" borderId="89" xfId="0" applyFont="1" applyBorder="1" applyAlignment="1">
      <alignment horizontal="center"/>
    </xf>
    <xf numFmtId="212" fontId="7" fillId="2" borderId="49" xfId="0" applyNumberFormat="1" applyFont="1" applyBorder="1" applyAlignment="1"/>
    <xf numFmtId="0" fontId="7" fillId="2" borderId="89" xfId="0" applyFont="1" applyBorder="1" applyAlignment="1">
      <alignment horizontal="center"/>
    </xf>
    <xf numFmtId="0" fontId="6" fillId="2" borderId="92" xfId="0" applyFont="1" applyBorder="1"/>
    <xf numFmtId="6" fontId="6" fillId="2" borderId="87" xfId="0" applyNumberFormat="1" applyFont="1" applyBorder="1"/>
    <xf numFmtId="0" fontId="29" fillId="2" borderId="49" xfId="0" applyFont="1" applyBorder="1" applyAlignment="1">
      <alignment horizontal="center"/>
    </xf>
    <xf numFmtId="0" fontId="29" fillId="2" borderId="89" xfId="0" applyFont="1" applyBorder="1" applyAlignment="1">
      <alignment horizontal="center"/>
    </xf>
    <xf numFmtId="5" fontId="5" fillId="2" borderId="86" xfId="0" applyNumberFormat="1" applyFont="1" applyBorder="1"/>
    <xf numFmtId="0" fontId="5" fillId="2" borderId="49" xfId="0" applyFont="1" applyBorder="1" applyAlignment="1"/>
    <xf numFmtId="6" fontId="5" fillId="2" borderId="87" xfId="0" applyNumberFormat="1" applyFont="1" applyBorder="1"/>
    <xf numFmtId="0" fontId="5" fillId="2" borderId="58" xfId="0" applyFont="1" applyBorder="1" applyAlignment="1">
      <alignment horizontal="right"/>
    </xf>
    <xf numFmtId="37" fontId="6" fillId="0" borderId="58" xfId="0" applyNumberFormat="1" applyFont="1" applyFill="1" applyBorder="1"/>
    <xf numFmtId="37" fontId="5" fillId="0" borderId="58" xfId="0" applyNumberFormat="1" applyFont="1" applyFill="1" applyBorder="1"/>
    <xf numFmtId="0" fontId="34" fillId="2" borderId="0" xfId="0" applyFont="1" applyBorder="1"/>
    <xf numFmtId="0" fontId="8" fillId="9" borderId="55" xfId="0" applyFont="1" applyFill="1" applyBorder="1"/>
    <xf numFmtId="5" fontId="8" fillId="9" borderId="55" xfId="0" applyNumberFormat="1" applyFont="1" applyFill="1" applyBorder="1"/>
    <xf numFmtId="5" fontId="8" fillId="9" borderId="61" xfId="0" applyNumberFormat="1" applyFont="1" applyFill="1" applyBorder="1"/>
    <xf numFmtId="189" fontId="5" fillId="2" borderId="17" xfId="0" applyNumberFormat="1" applyFont="1" applyBorder="1" applyAlignment="1">
      <alignment horizontal="center"/>
    </xf>
    <xf numFmtId="0" fontId="4" fillId="2" borderId="14" xfId="0" applyFont="1" applyBorder="1" applyAlignment="1">
      <alignment horizontal="center"/>
    </xf>
    <xf numFmtId="7" fontId="5" fillId="2" borderId="0" xfId="0" applyNumberFormat="1" applyFont="1" applyBorder="1"/>
    <xf numFmtId="10" fontId="5" fillId="2" borderId="17" xfId="0" applyNumberFormat="1" applyFont="1" applyBorder="1"/>
    <xf numFmtId="10" fontId="5" fillId="0" borderId="0" xfId="19" applyNumberFormat="1" applyFont="1" applyBorder="1" applyAlignment="1">
      <alignment horizontal="right"/>
    </xf>
    <xf numFmtId="0" fontId="29" fillId="2" borderId="14" xfId="0" applyFont="1" applyBorder="1" applyAlignment="1">
      <alignment horizontal="center"/>
    </xf>
    <xf numFmtId="10" fontId="4" fillId="2" borderId="0" xfId="0" applyNumberFormat="1" applyFont="1" applyBorder="1" applyAlignment="1">
      <alignment horizontal="center"/>
    </xf>
    <xf numFmtId="6" fontId="4" fillId="2" borderId="0" xfId="0" applyNumberFormat="1" applyFont="1" applyBorder="1"/>
    <xf numFmtId="6" fontId="5" fillId="2" borderId="17" xfId="0" applyNumberFormat="1" applyFont="1" applyBorder="1"/>
    <xf numFmtId="0" fontId="38" fillId="2" borderId="14" xfId="0" applyFont="1" applyBorder="1"/>
    <xf numFmtId="0" fontId="38" fillId="2" borderId="0" xfId="0" applyFont="1" applyBorder="1"/>
    <xf numFmtId="0" fontId="38" fillId="2" borderId="17" xfId="0" applyFont="1" applyBorder="1"/>
    <xf numFmtId="10" fontId="5" fillId="2" borderId="49" xfId="0" applyNumberFormat="1" applyFont="1" applyBorder="1" applyAlignment="1"/>
    <xf numFmtId="10" fontId="5" fillId="0" borderId="6" xfId="19" applyNumberFormat="1" applyFont="1" applyBorder="1" applyAlignment="1"/>
    <xf numFmtId="10" fontId="5" fillId="0" borderId="86" xfId="19" applyNumberFormat="1" applyFont="1" applyBorder="1" applyAlignment="1"/>
    <xf numFmtId="10" fontId="6" fillId="2" borderId="15" xfId="19" applyNumberFormat="1" applyFont="1" applyFill="1" applyBorder="1" applyAlignment="1"/>
    <xf numFmtId="37" fontId="6" fillId="9" borderId="67" xfId="3" applyNumberFormat="1" applyFont="1" applyFill="1" applyBorder="1"/>
    <xf numFmtId="37" fontId="5" fillId="0" borderId="17" xfId="3" applyNumberFormat="1" applyFont="1" applyBorder="1"/>
    <xf numFmtId="0" fontId="6" fillId="2" borderId="56" xfId="0" applyFont="1" applyBorder="1" applyAlignment="1">
      <alignment horizontal="right"/>
    </xf>
    <xf numFmtId="10" fontId="5" fillId="2" borderId="58" xfId="0" applyNumberFormat="1" applyFont="1" applyBorder="1"/>
    <xf numFmtId="38" fontId="14" fillId="2" borderId="58" xfId="0" applyNumberFormat="1" applyFont="1" applyBorder="1"/>
    <xf numFmtId="1" fontId="5" fillId="2" borderId="17" xfId="0" applyNumberFormat="1" applyFont="1" applyBorder="1"/>
    <xf numFmtId="5" fontId="5" fillId="2" borderId="51" xfId="0" applyNumberFormat="1" applyFont="1" applyBorder="1"/>
    <xf numFmtId="5" fontId="4" fillId="2" borderId="51" xfId="0" applyNumberFormat="1" applyFont="1" applyBorder="1"/>
    <xf numFmtId="5" fontId="6" fillId="2" borderId="18" xfId="0" applyNumberFormat="1" applyFont="1" applyBorder="1"/>
    <xf numFmtId="5" fontId="6" fillId="2" borderId="18" xfId="0" applyNumberFormat="1" applyFont="1" applyBorder="1" applyAlignment="1"/>
    <xf numFmtId="0" fontId="29" fillId="2" borderId="0" xfId="0" applyFont="1" applyBorder="1"/>
    <xf numFmtId="0" fontId="45" fillId="2" borderId="15" xfId="0" applyFont="1" applyBorder="1"/>
    <xf numFmtId="5" fontId="5" fillId="2" borderId="6" xfId="0" applyNumberFormat="1" applyFont="1" applyBorder="1" applyAlignment="1">
      <alignment horizontal="centerContinuous"/>
    </xf>
    <xf numFmtId="5" fontId="5" fillId="2" borderId="7" xfId="0" applyNumberFormat="1" applyFont="1" applyBorder="1"/>
    <xf numFmtId="5" fontId="5" fillId="2" borderId="59" xfId="0" applyNumberFormat="1" applyFont="1" applyBorder="1"/>
    <xf numFmtId="0" fontId="5" fillId="9" borderId="34" xfId="0" applyFont="1" applyFill="1" applyBorder="1" applyAlignment="1"/>
    <xf numFmtId="167" fontId="5" fillId="2" borderId="0" xfId="19" applyNumberFormat="1" applyFont="1" applyFill="1" applyBorder="1" applyAlignment="1">
      <alignment horizontal="center"/>
    </xf>
    <xf numFmtId="0" fontId="5" fillId="2" borderId="14" xfId="0" applyNumberFormat="1" applyFont="1" applyBorder="1"/>
    <xf numFmtId="17" fontId="5" fillId="2" borderId="86" xfId="3" applyNumberFormat="1" applyFont="1" applyFill="1" applyBorder="1"/>
    <xf numFmtId="0" fontId="5" fillId="2" borderId="6" xfId="0" applyNumberFormat="1" applyFont="1" applyBorder="1"/>
    <xf numFmtId="0" fontId="45" fillId="2" borderId="80" xfId="0" applyFont="1" applyBorder="1"/>
    <xf numFmtId="0" fontId="4" fillId="2" borderId="49" xfId="0" applyFont="1" applyBorder="1" applyAlignment="1">
      <alignment horizontal="right"/>
    </xf>
    <xf numFmtId="0" fontId="8" fillId="2" borderId="80" xfId="0" applyFont="1" applyBorder="1"/>
    <xf numFmtId="5" fontId="5" fillId="2" borderId="86" xfId="0" applyNumberFormat="1" applyFont="1" applyBorder="1" applyAlignment="1"/>
    <xf numFmtId="5" fontId="5" fillId="2" borderId="6" xfId="0" applyNumberFormat="1" applyFont="1" applyBorder="1" applyAlignment="1"/>
    <xf numFmtId="0" fontId="16" fillId="2" borderId="10" xfId="0" applyFont="1" applyBorder="1"/>
    <xf numFmtId="10" fontId="5" fillId="2" borderId="8" xfId="0" applyNumberFormat="1" applyFont="1" applyBorder="1"/>
    <xf numFmtId="192" fontId="4" fillId="2" borderId="6" xfId="0" applyNumberFormat="1" applyFont="1" applyBorder="1"/>
    <xf numFmtId="192" fontId="5" fillId="2" borderId="14" xfId="0" applyNumberFormat="1" applyFont="1" applyBorder="1" applyAlignment="1"/>
    <xf numFmtId="0" fontId="5" fillId="2" borderId="49" xfId="0" applyFont="1" applyBorder="1" applyAlignment="1">
      <alignment horizontal="center"/>
    </xf>
    <xf numFmtId="0" fontId="4" fillId="2" borderId="49" xfId="0" applyFont="1" applyBorder="1" applyAlignment="1">
      <alignment horizontal="center"/>
    </xf>
    <xf numFmtId="5" fontId="5" fillId="2" borderId="6" xfId="0" applyNumberFormat="1" applyFont="1" applyBorder="1" applyAlignment="1">
      <alignment horizontal="center"/>
    </xf>
    <xf numFmtId="37" fontId="5" fillId="2" borderId="8" xfId="0" applyNumberFormat="1" applyFont="1" applyBorder="1" applyAlignment="1">
      <alignment horizontal="center"/>
    </xf>
    <xf numFmtId="5" fontId="5" fillId="2" borderId="0" xfId="0" applyNumberFormat="1" applyFont="1" applyBorder="1" applyAlignment="1">
      <alignment horizontal="center"/>
    </xf>
    <xf numFmtId="37" fontId="5" fillId="2" borderId="87" xfId="0" applyNumberFormat="1" applyFont="1" applyBorder="1" applyAlignment="1">
      <alignment horizontal="center"/>
    </xf>
    <xf numFmtId="37" fontId="5" fillId="2" borderId="17" xfId="0" applyNumberFormat="1" applyFont="1" applyBorder="1" applyAlignment="1">
      <alignment horizontal="center"/>
    </xf>
    <xf numFmtId="5" fontId="5" fillId="2" borderId="8" xfId="0" applyNumberFormat="1" applyFont="1" applyBorder="1" applyAlignment="1">
      <alignment horizontal="center"/>
    </xf>
    <xf numFmtId="5" fontId="5" fillId="2" borderId="87" xfId="0" applyNumberFormat="1" applyFont="1" applyBorder="1" applyAlignment="1">
      <alignment horizontal="center"/>
    </xf>
    <xf numFmtId="2" fontId="5" fillId="2" borderId="6" xfId="0" applyNumberFormat="1" applyFont="1" applyBorder="1" applyAlignment="1">
      <alignment horizontal="center"/>
    </xf>
    <xf numFmtId="0" fontId="8" fillId="2" borderId="20" xfId="0" applyFont="1" applyBorder="1" applyAlignment="1"/>
    <xf numFmtId="17" fontId="5" fillId="2" borderId="49" xfId="3" applyNumberFormat="1" applyFont="1" applyFill="1" applyBorder="1"/>
    <xf numFmtId="37" fontId="5" fillId="2" borderId="17" xfId="0" applyNumberFormat="1" applyFont="1" applyBorder="1" applyAlignment="1">
      <alignment horizontal="right"/>
    </xf>
    <xf numFmtId="10" fontId="16" fillId="10" borderId="95" xfId="0" applyNumberFormat="1" applyFont="1" applyFill="1" applyBorder="1" applyAlignment="1"/>
    <xf numFmtId="10" fontId="16" fillId="10" borderId="96" xfId="0" applyNumberFormat="1" applyFont="1" applyFill="1" applyBorder="1" applyAlignment="1"/>
    <xf numFmtId="38" fontId="5" fillId="10" borderId="97" xfId="0" applyNumberFormat="1" applyFont="1" applyFill="1" applyBorder="1" applyAlignment="1"/>
    <xf numFmtId="6" fontId="16" fillId="2" borderId="0" xfId="0" applyNumberFormat="1" applyFont="1" applyBorder="1" applyAlignment="1"/>
    <xf numFmtId="6" fontId="16" fillId="2" borderId="0" xfId="0" applyNumberFormat="1" applyFont="1" applyBorder="1" applyAlignment="1">
      <alignment horizontal="centerContinuous"/>
    </xf>
    <xf numFmtId="0" fontId="0" fillId="2" borderId="19" xfId="0" applyBorder="1"/>
    <xf numFmtId="0" fontId="6" fillId="2" borderId="0" xfId="0" applyNumberFormat="1" applyFont="1" applyBorder="1" applyAlignment="1">
      <alignment horizontal="right"/>
    </xf>
    <xf numFmtId="0" fontId="6" fillId="2" borderId="18" xfId="0" applyNumberFormat="1" applyFont="1" applyBorder="1" applyAlignment="1">
      <alignment horizontal="right"/>
    </xf>
    <xf numFmtId="0" fontId="7" fillId="2" borderId="0" xfId="0" applyNumberFormat="1" applyFont="1" applyBorder="1" applyAlignment="1">
      <alignment horizontal="right"/>
    </xf>
    <xf numFmtId="0" fontId="7" fillId="2" borderId="18" xfId="0" applyNumberFormat="1" applyFont="1" applyBorder="1" applyAlignment="1">
      <alignment horizontal="right"/>
    </xf>
    <xf numFmtId="5" fontId="6" fillId="2" borderId="17" xfId="0" applyNumberFormat="1" applyFont="1" applyBorder="1"/>
    <xf numFmtId="10" fontId="5" fillId="2" borderId="0" xfId="19" applyNumberFormat="1" applyFont="1" applyFill="1" applyBorder="1" applyAlignment="1"/>
    <xf numFmtId="0" fontId="6" fillId="2" borderId="98" xfId="0" applyFont="1" applyBorder="1"/>
    <xf numFmtId="0" fontId="5" fillId="2" borderId="99" xfId="0" applyFont="1" applyBorder="1"/>
    <xf numFmtId="5" fontId="6" fillId="2" borderId="100" xfId="0" applyNumberFormat="1" applyFont="1" applyBorder="1"/>
    <xf numFmtId="0" fontId="30" fillId="2" borderId="0" xfId="0" applyFont="1" applyBorder="1" applyAlignment="1"/>
    <xf numFmtId="0" fontId="30" fillId="2" borderId="18" xfId="0" applyFont="1" applyBorder="1" applyAlignment="1"/>
    <xf numFmtId="0" fontId="29" fillId="2" borderId="0" xfId="0" applyFont="1" applyBorder="1" applyAlignment="1">
      <alignment horizontal="right"/>
    </xf>
    <xf numFmtId="0" fontId="29" fillId="2" borderId="18" xfId="0" applyFont="1" applyBorder="1" applyAlignment="1">
      <alignment horizontal="right"/>
    </xf>
    <xf numFmtId="0" fontId="5" fillId="0" borderId="0" xfId="17" applyFont="1" applyBorder="1"/>
    <xf numFmtId="0" fontId="5" fillId="0" borderId="0" xfId="17" applyNumberFormat="1" applyFont="1" applyBorder="1"/>
    <xf numFmtId="0" fontId="5" fillId="0" borderId="0" xfId="17" applyFont="1"/>
    <xf numFmtId="0" fontId="5" fillId="9" borderId="55" xfId="17" applyFont="1" applyFill="1" applyBorder="1" applyAlignment="1">
      <alignment horizontal="centerContinuous"/>
    </xf>
    <xf numFmtId="0" fontId="5" fillId="9" borderId="101" xfId="17" applyFont="1" applyFill="1" applyBorder="1" applyAlignment="1">
      <alignment horizontal="centerContinuous"/>
    </xf>
    <xf numFmtId="0" fontId="5" fillId="0" borderId="56" xfId="17" applyFont="1" applyBorder="1"/>
    <xf numFmtId="0" fontId="5" fillId="2" borderId="35" xfId="0" applyFont="1" applyBorder="1" applyAlignment="1">
      <alignment horizontal="center"/>
    </xf>
    <xf numFmtId="0" fontId="5" fillId="0" borderId="14" xfId="17" applyFont="1" applyBorder="1" applyAlignment="1">
      <alignment horizontal="center"/>
    </xf>
    <xf numFmtId="0" fontId="5" fillId="0" borderId="19" xfId="17" applyFont="1" applyBorder="1" applyAlignment="1">
      <alignment horizontal="center"/>
    </xf>
    <xf numFmtId="0" fontId="5" fillId="0" borderId="58" xfId="17" applyFont="1" applyBorder="1"/>
    <xf numFmtId="0" fontId="5" fillId="0" borderId="0" xfId="17" applyFont="1" applyBorder="1" applyAlignment="1">
      <alignment horizontal="center"/>
    </xf>
    <xf numFmtId="10" fontId="5" fillId="0" borderId="0" xfId="17" applyNumberFormat="1" applyFont="1" applyBorder="1" applyAlignment="1">
      <alignment horizontal="center"/>
    </xf>
    <xf numFmtId="0" fontId="5" fillId="0" borderId="18" xfId="17" applyFont="1" applyBorder="1" applyAlignment="1">
      <alignment horizontal="center"/>
    </xf>
    <xf numFmtId="0" fontId="4" fillId="0" borderId="58" xfId="17" applyFont="1" applyBorder="1" applyAlignment="1">
      <alignment horizontal="center"/>
    </xf>
    <xf numFmtId="0" fontId="4" fillId="2" borderId="15" xfId="0" applyFont="1" applyBorder="1" applyAlignment="1">
      <alignment horizontal="center"/>
    </xf>
    <xf numFmtId="0" fontId="4" fillId="0" borderId="0" xfId="17" applyFont="1" applyBorder="1" applyAlignment="1">
      <alignment horizontal="center"/>
    </xf>
    <xf numFmtId="192" fontId="4" fillId="0" borderId="0" xfId="17" applyNumberFormat="1" applyFont="1" applyBorder="1" applyAlignment="1">
      <alignment horizontal="center"/>
    </xf>
    <xf numFmtId="0" fontId="4" fillId="0" borderId="18" xfId="17" applyFont="1" applyBorder="1" applyAlignment="1">
      <alignment horizontal="center"/>
    </xf>
    <xf numFmtId="0" fontId="5" fillId="0" borderId="18" xfId="17" applyFont="1" applyBorder="1"/>
    <xf numFmtId="17" fontId="5" fillId="0" borderId="58" xfId="17" applyNumberFormat="1" applyFont="1" applyBorder="1" applyAlignment="1">
      <alignment horizontal="center"/>
    </xf>
    <xf numFmtId="37" fontId="5" fillId="2" borderId="15" xfId="0" applyNumberFormat="1" applyFont="1" applyBorder="1" applyAlignment="1">
      <alignment horizontal="center"/>
    </xf>
    <xf numFmtId="177" fontId="5" fillId="0" borderId="0" xfId="17" applyNumberFormat="1" applyFont="1" applyBorder="1" applyAlignment="1">
      <alignment horizontal="center"/>
    </xf>
    <xf numFmtId="192" fontId="5" fillId="0" borderId="0" xfId="17" applyNumberFormat="1" applyFont="1" applyBorder="1" applyAlignment="1">
      <alignment horizontal="center"/>
    </xf>
    <xf numFmtId="37" fontId="5" fillId="0" borderId="0" xfId="19" applyNumberFormat="1" applyFont="1" applyBorder="1" applyAlignment="1"/>
    <xf numFmtId="5" fontId="5" fillId="0" borderId="0" xfId="17" applyNumberFormat="1" applyFont="1" applyBorder="1" applyAlignment="1"/>
    <xf numFmtId="5" fontId="5" fillId="0" borderId="18" xfId="17" applyNumberFormat="1" applyFont="1" applyBorder="1" applyAlignment="1"/>
    <xf numFmtId="0" fontId="5" fillId="0" borderId="57" xfId="17" applyFont="1" applyBorder="1"/>
    <xf numFmtId="0" fontId="5" fillId="2" borderId="41" xfId="0" applyFont="1" applyBorder="1"/>
    <xf numFmtId="0" fontId="5" fillId="0" borderId="42" xfId="17" applyFont="1" applyBorder="1"/>
    <xf numFmtId="0" fontId="5" fillId="0" borderId="42" xfId="17" applyFont="1" applyBorder="1" applyAlignment="1">
      <alignment horizontal="right"/>
    </xf>
    <xf numFmtId="5" fontId="5" fillId="0" borderId="43" xfId="17" applyNumberFormat="1" applyFont="1" applyBorder="1" applyAlignment="1"/>
    <xf numFmtId="0" fontId="43" fillId="0" borderId="0" xfId="17" applyFont="1" applyAlignment="1">
      <alignment horizontal="center"/>
    </xf>
    <xf numFmtId="7" fontId="6" fillId="2" borderId="86" xfId="0" applyNumberFormat="1" applyFont="1" applyBorder="1"/>
    <xf numFmtId="191" fontId="4" fillId="0" borderId="0" xfId="0" applyNumberFormat="1" applyFont="1" applyFill="1" applyBorder="1"/>
    <xf numFmtId="5" fontId="45" fillId="2" borderId="0" xfId="0" applyNumberFormat="1" applyFont="1" applyBorder="1"/>
    <xf numFmtId="5" fontId="45" fillId="2" borderId="58" xfId="0" applyNumberFormat="1" applyFont="1" applyBorder="1"/>
    <xf numFmtId="0" fontId="7" fillId="2" borderId="52" xfId="0" applyFont="1" applyBorder="1"/>
    <xf numFmtId="5" fontId="5" fillId="0" borderId="4" xfId="0" applyNumberFormat="1" applyFont="1" applyFill="1" applyBorder="1"/>
    <xf numFmtId="0" fontId="6" fillId="2" borderId="35" xfId="0" applyFont="1" applyBorder="1" applyAlignment="1">
      <alignment horizontal="centerContinuous"/>
    </xf>
    <xf numFmtId="0" fontId="7" fillId="2" borderId="15" xfId="0" applyFont="1" applyBorder="1" applyAlignment="1">
      <alignment horizontal="right"/>
    </xf>
    <xf numFmtId="10" fontId="4" fillId="2" borderId="18" xfId="0" applyNumberFormat="1" applyFont="1" applyBorder="1"/>
    <xf numFmtId="5" fontId="5" fillId="2" borderId="15" xfId="0" applyNumberFormat="1" applyFont="1" applyBorder="1"/>
    <xf numFmtId="0" fontId="2" fillId="0" borderId="0" xfId="18"/>
    <xf numFmtId="0" fontId="2" fillId="0" borderId="88" xfId="18" applyBorder="1"/>
    <xf numFmtId="0" fontId="2" fillId="0" borderId="49" xfId="18" applyBorder="1"/>
    <xf numFmtId="0" fontId="2" fillId="0" borderId="14" xfId="18" applyBorder="1"/>
    <xf numFmtId="0" fontId="2" fillId="0" borderId="19" xfId="18" applyBorder="1"/>
    <xf numFmtId="0" fontId="6" fillId="0" borderId="35" xfId="18" applyFont="1" applyBorder="1" applyAlignment="1">
      <alignment horizontal="centerContinuous"/>
    </xf>
    <xf numFmtId="0" fontId="2" fillId="0" borderId="14" xfId="18" applyBorder="1" applyAlignment="1">
      <alignment horizontal="centerContinuous"/>
    </xf>
    <xf numFmtId="0" fontId="2" fillId="0" borderId="19" xfId="18" applyBorder="1" applyAlignment="1">
      <alignment horizontal="centerContinuous"/>
    </xf>
    <xf numFmtId="0" fontId="2" fillId="0" borderId="90" xfId="18" applyBorder="1"/>
    <xf numFmtId="0" fontId="46" fillId="8" borderId="6" xfId="18" applyFont="1" applyFill="1" applyBorder="1" applyAlignment="1">
      <alignment horizontal="center"/>
    </xf>
    <xf numFmtId="0" fontId="8" fillId="0" borderId="0" xfId="18" applyFont="1" applyBorder="1" applyAlignment="1">
      <alignment horizontal="center"/>
    </xf>
    <xf numFmtId="0" fontId="8" fillId="0" borderId="18" xfId="18" applyFont="1" applyBorder="1" applyAlignment="1">
      <alignment horizontal="center"/>
    </xf>
    <xf numFmtId="0" fontId="101" fillId="0" borderId="0" xfId="18" applyFont="1" applyAlignment="1">
      <alignment horizontal="center"/>
    </xf>
    <xf numFmtId="0" fontId="8" fillId="0" borderId="15" xfId="18" applyFont="1" applyBorder="1"/>
    <xf numFmtId="0" fontId="2" fillId="0" borderId="0" xfId="18" applyBorder="1"/>
    <xf numFmtId="0" fontId="2" fillId="0" borderId="18" xfId="18" applyBorder="1"/>
    <xf numFmtId="0" fontId="2" fillId="0" borderId="15" xfId="18" applyBorder="1"/>
    <xf numFmtId="0" fontId="2" fillId="0" borderId="6" xfId="18" applyBorder="1"/>
    <xf numFmtId="0" fontId="6" fillId="0" borderId="6" xfId="18" applyFont="1" applyBorder="1" applyAlignment="1">
      <alignment horizontal="centerContinuous"/>
    </xf>
    <xf numFmtId="0" fontId="2" fillId="0" borderId="0" xfId="18" applyBorder="1" applyAlignment="1">
      <alignment horizontal="centerContinuous"/>
    </xf>
    <xf numFmtId="0" fontId="2" fillId="0" borderId="18" xfId="18" applyBorder="1" applyAlignment="1">
      <alignment horizontal="centerContinuous"/>
    </xf>
    <xf numFmtId="0" fontId="46" fillId="8" borderId="15" xfId="18" applyFont="1" applyFill="1" applyBorder="1"/>
    <xf numFmtId="0" fontId="2" fillId="0" borderId="0" xfId="18" applyBorder="1" applyAlignment="1">
      <alignment horizontal="center"/>
    </xf>
    <xf numFmtId="0" fontId="2" fillId="0" borderId="18" xfId="18" applyBorder="1" applyAlignment="1">
      <alignment horizontal="center"/>
    </xf>
    <xf numFmtId="191" fontId="3" fillId="8" borderId="18" xfId="18" applyNumberFormat="1" applyFont="1" applyFill="1" applyBorder="1" applyAlignment="1">
      <alignment horizontal="center"/>
    </xf>
    <xf numFmtId="191" fontId="3" fillId="8" borderId="0" xfId="18" applyNumberFormat="1" applyFont="1" applyFill="1" applyBorder="1" applyAlignment="1">
      <alignment horizontal="center"/>
    </xf>
    <xf numFmtId="17" fontId="46" fillId="8" borderId="6" xfId="18" applyNumberFormat="1" applyFont="1" applyFill="1" applyBorder="1" applyAlignment="1">
      <alignment horizontal="center"/>
    </xf>
    <xf numFmtId="17" fontId="46" fillId="8" borderId="0" xfId="18" applyNumberFormat="1" applyFont="1" applyFill="1" applyBorder="1" applyAlignment="1">
      <alignment horizontal="center"/>
    </xf>
    <xf numFmtId="17" fontId="46" fillId="8" borderId="18" xfId="18" applyNumberFormat="1" applyFont="1" applyFill="1" applyBorder="1" applyAlignment="1">
      <alignment horizontal="center"/>
    </xf>
    <xf numFmtId="0" fontId="8" fillId="0" borderId="15" xfId="18" applyFont="1" applyBorder="1" applyAlignment="1"/>
    <xf numFmtId="0" fontId="2" fillId="0" borderId="0" xfId="18" applyBorder="1" applyAlignment="1"/>
    <xf numFmtId="215" fontId="3" fillId="8" borderId="18" xfId="18" applyNumberFormat="1" applyFont="1" applyFill="1" applyBorder="1" applyAlignment="1">
      <alignment horizontal="center"/>
    </xf>
    <xf numFmtId="0" fontId="6" fillId="0" borderId="6" xfId="18" applyFont="1" applyBorder="1" applyAlignment="1">
      <alignment horizontal="center"/>
    </xf>
    <xf numFmtId="0" fontId="6" fillId="0" borderId="0" xfId="18" applyFont="1" applyBorder="1" applyAlignment="1">
      <alignment horizontal="center"/>
    </xf>
    <xf numFmtId="0" fontId="6" fillId="0" borderId="8" xfId="18" applyFont="1" applyBorder="1" applyAlignment="1">
      <alignment horizontal="center"/>
    </xf>
    <xf numFmtId="0" fontId="6" fillId="0" borderId="18" xfId="18" applyFont="1" applyBorder="1" applyAlignment="1">
      <alignment horizontal="center"/>
    </xf>
    <xf numFmtId="0" fontId="6" fillId="0" borderId="15" xfId="18" applyFont="1" applyBorder="1" applyAlignment="1">
      <alignment horizontal="center"/>
    </xf>
    <xf numFmtId="0" fontId="7" fillId="0" borderId="90" xfId="18" applyFont="1" applyBorder="1" applyAlignment="1">
      <alignment horizontal="center"/>
    </xf>
    <xf numFmtId="0" fontId="7" fillId="0" borderId="6" xfId="18" applyFont="1" applyBorder="1" applyAlignment="1">
      <alignment horizontal="center"/>
    </xf>
    <xf numFmtId="0" fontId="7" fillId="0" borderId="0" xfId="18" applyFont="1" applyBorder="1" applyAlignment="1">
      <alignment horizontal="center"/>
    </xf>
    <xf numFmtId="0" fontId="102" fillId="0" borderId="0" xfId="18" applyFont="1" applyBorder="1" applyAlignment="1">
      <alignment horizontal="center"/>
    </xf>
    <xf numFmtId="0" fontId="7" fillId="0" borderId="18" xfId="18" applyFont="1" applyBorder="1" applyAlignment="1">
      <alignment horizontal="center"/>
    </xf>
    <xf numFmtId="0" fontId="7" fillId="0" borderId="15" xfId="18" applyFont="1" applyBorder="1" applyAlignment="1">
      <alignment horizontal="center"/>
    </xf>
    <xf numFmtId="17" fontId="3" fillId="8" borderId="90" xfId="18" applyNumberFormat="1" applyFont="1" applyFill="1" applyBorder="1" applyAlignment="1">
      <alignment horizontal="center"/>
    </xf>
    <xf numFmtId="191" fontId="3" fillId="8" borderId="6" xfId="18" applyNumberFormat="1" applyFont="1" applyFill="1" applyBorder="1" applyAlignment="1">
      <alignment horizontal="center"/>
    </xf>
    <xf numFmtId="191" fontId="15" fillId="8" borderId="18" xfId="18" applyNumberFormat="1" applyFont="1" applyFill="1" applyBorder="1" applyAlignment="1">
      <alignment horizontal="center"/>
    </xf>
    <xf numFmtId="191" fontId="5" fillId="0" borderId="15" xfId="18" applyNumberFormat="1" applyFont="1" applyBorder="1" applyAlignment="1">
      <alignment horizontal="center"/>
    </xf>
    <xf numFmtId="191" fontId="5" fillId="0" borderId="0" xfId="18" applyNumberFormat="1" applyFont="1" applyBorder="1" applyAlignment="1">
      <alignment horizontal="center"/>
    </xf>
    <xf numFmtId="17" fontId="2" fillId="0" borderId="90" xfId="18" applyNumberFormat="1" applyBorder="1" applyAlignment="1">
      <alignment horizontal="center"/>
    </xf>
    <xf numFmtId="191" fontId="5" fillId="0" borderId="6" xfId="18" applyNumberFormat="1" applyFont="1" applyBorder="1" applyAlignment="1">
      <alignment horizontal="center"/>
    </xf>
    <xf numFmtId="191" fontId="5" fillId="0" borderId="18" xfId="18" applyNumberFormat="1" applyFont="1" applyBorder="1" applyAlignment="1">
      <alignment horizontal="center"/>
    </xf>
    <xf numFmtId="0" fontId="2" fillId="0" borderId="91" xfId="18" applyBorder="1"/>
    <xf numFmtId="0" fontId="2" fillId="0" borderId="86" xfId="18" applyBorder="1"/>
    <xf numFmtId="0" fontId="2" fillId="0" borderId="17" xfId="18" applyBorder="1"/>
    <xf numFmtId="0" fontId="2" fillId="0" borderId="20" xfId="18" applyBorder="1"/>
    <xf numFmtId="0" fontId="2" fillId="0" borderId="16" xfId="18" applyBorder="1"/>
    <xf numFmtId="0" fontId="43" fillId="0" borderId="0" xfId="18" applyFont="1" applyAlignment="1">
      <alignment horizontal="center"/>
    </xf>
    <xf numFmtId="0" fontId="31" fillId="8" borderId="0" xfId="0" applyFont="1" applyFill="1" applyBorder="1"/>
    <xf numFmtId="0" fontId="3" fillId="8" borderId="0" xfId="0" applyFont="1" applyFill="1" applyBorder="1" applyAlignment="1">
      <alignment horizontal="right"/>
    </xf>
    <xf numFmtId="3" fontId="3" fillId="8" borderId="17" xfId="0" applyNumberFormat="1" applyFont="1" applyFill="1" applyBorder="1"/>
    <xf numFmtId="0" fontId="10" fillId="8" borderId="18" xfId="0" applyFont="1" applyFill="1" applyBorder="1"/>
    <xf numFmtId="0" fontId="10" fillId="8" borderId="0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right"/>
    </xf>
    <xf numFmtId="177" fontId="3" fillId="8" borderId="17" xfId="0" applyNumberFormat="1" applyFont="1" applyFill="1" applyBorder="1" applyAlignment="1"/>
    <xf numFmtId="5" fontId="3" fillId="8" borderId="0" xfId="0" applyNumberFormat="1" applyFont="1" applyFill="1" applyBorder="1"/>
    <xf numFmtId="10" fontId="23" fillId="8" borderId="19" xfId="0" applyNumberFormat="1" applyFont="1" applyFill="1" applyBorder="1" applyAlignment="1">
      <alignment horizontal="center"/>
    </xf>
    <xf numFmtId="5" fontId="10" fillId="8" borderId="0" xfId="0" applyNumberFormat="1" applyFont="1" applyFill="1" applyBorder="1" applyAlignment="1"/>
    <xf numFmtId="0" fontId="3" fillId="8" borderId="0" xfId="0" applyFont="1" applyFill="1" applyBorder="1" applyAlignment="1">
      <alignment horizontal="center"/>
    </xf>
    <xf numFmtId="0" fontId="3" fillId="8" borderId="18" xfId="0" applyFont="1" applyFill="1" applyBorder="1" applyAlignment="1"/>
    <xf numFmtId="5" fontId="10" fillId="8" borderId="20" xfId="0" applyNumberFormat="1" applyFont="1" applyFill="1" applyBorder="1" applyAlignment="1"/>
    <xf numFmtId="189" fontId="3" fillId="8" borderId="0" xfId="0" applyNumberFormat="1" applyFont="1" applyFill="1" applyBorder="1" applyAlignment="1">
      <alignment horizontal="center"/>
    </xf>
    <xf numFmtId="189" fontId="18" fillId="8" borderId="0" xfId="0" applyNumberFormat="1" applyFont="1" applyFill="1" applyBorder="1" applyAlignment="1">
      <alignment horizontal="center"/>
    </xf>
    <xf numFmtId="10" fontId="10" fillId="8" borderId="0" xfId="0" applyNumberFormat="1" applyFont="1" applyFill="1" applyBorder="1"/>
    <xf numFmtId="10" fontId="3" fillId="8" borderId="0" xfId="0" applyNumberFormat="1" applyFont="1" applyFill="1" applyBorder="1" applyAlignment="1"/>
    <xf numFmtId="10" fontId="10" fillId="8" borderId="17" xfId="0" applyNumberFormat="1" applyFont="1" applyFill="1" applyBorder="1"/>
    <xf numFmtId="0" fontId="24" fillId="8" borderId="19" xfId="0" applyFont="1" applyFill="1" applyBorder="1" applyAlignment="1">
      <alignment horizontal="center"/>
    </xf>
    <xf numFmtId="0" fontId="18" fillId="8" borderId="0" xfId="0" applyFont="1" applyFill="1" applyBorder="1"/>
    <xf numFmtId="10" fontId="3" fillId="8" borderId="17" xfId="0" applyNumberFormat="1" applyFont="1" applyFill="1" applyBorder="1"/>
    <xf numFmtId="0" fontId="3" fillId="8" borderId="19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10" fontId="3" fillId="8" borderId="20" xfId="19" applyNumberFormat="1" applyFont="1" applyFill="1" applyBorder="1" applyAlignment="1">
      <alignment horizontal="center"/>
    </xf>
    <xf numFmtId="10" fontId="3" fillId="8" borderId="0" xfId="0" applyNumberFormat="1" applyFont="1" applyFill="1" applyBorder="1"/>
    <xf numFmtId="10" fontId="10" fillId="8" borderId="0" xfId="0" applyNumberFormat="1" applyFont="1" applyFill="1" applyBorder="1" applyAlignment="1">
      <alignment horizontal="right"/>
    </xf>
    <xf numFmtId="10" fontId="10" fillId="8" borderId="18" xfId="0" applyNumberFormat="1" applyFont="1" applyFill="1" applyBorder="1" applyAlignment="1">
      <alignment horizontal="right"/>
    </xf>
    <xf numFmtId="10" fontId="11" fillId="8" borderId="0" xfId="0" applyNumberFormat="1" applyFont="1" applyFill="1" applyBorder="1" applyAlignment="1">
      <alignment horizontal="right"/>
    </xf>
    <xf numFmtId="10" fontId="11" fillId="8" borderId="18" xfId="0" applyNumberFormat="1" applyFont="1" applyFill="1" applyBorder="1" applyAlignment="1">
      <alignment horizontal="right"/>
    </xf>
    <xf numFmtId="10" fontId="3" fillId="8" borderId="0" xfId="0" applyNumberFormat="1" applyFont="1" applyFill="1" applyBorder="1" applyAlignment="1">
      <alignment horizontal="center"/>
    </xf>
    <xf numFmtId="10" fontId="10" fillId="8" borderId="17" xfId="0" applyNumberFormat="1" applyFont="1" applyFill="1" applyBorder="1" applyAlignment="1">
      <alignment horizontal="center"/>
    </xf>
    <xf numFmtId="10" fontId="10" fillId="8" borderId="20" xfId="0" applyNumberFormat="1" applyFont="1" applyFill="1" applyBorder="1" applyAlignment="1">
      <alignment horizontal="center"/>
    </xf>
    <xf numFmtId="0" fontId="3" fillId="8" borderId="18" xfId="0" applyFont="1" applyFill="1" applyBorder="1"/>
    <xf numFmtId="5" fontId="3" fillId="8" borderId="18" xfId="0" applyNumberFormat="1" applyFont="1" applyFill="1" applyBorder="1"/>
    <xf numFmtId="5" fontId="18" fillId="8" borderId="18" xfId="0" applyNumberFormat="1" applyFont="1" applyFill="1" applyBorder="1"/>
    <xf numFmtId="5" fontId="10" fillId="8" borderId="18" xfId="0" applyNumberFormat="1" applyFont="1" applyFill="1" applyBorder="1"/>
    <xf numFmtId="5" fontId="11" fillId="8" borderId="18" xfId="0" applyNumberFormat="1" applyFont="1" applyFill="1" applyBorder="1"/>
    <xf numFmtId="10" fontId="23" fillId="8" borderId="0" xfId="0" applyNumberFormat="1" applyFont="1" applyFill="1" applyBorder="1" applyAlignment="1"/>
    <xf numFmtId="10" fontId="3" fillId="8" borderId="18" xfId="0" applyNumberFormat="1" applyFont="1" applyFill="1" applyBorder="1"/>
    <xf numFmtId="10" fontId="3" fillId="8" borderId="20" xfId="0" applyNumberFormat="1" applyFont="1" applyFill="1" applyBorder="1"/>
    <xf numFmtId="0" fontId="3" fillId="8" borderId="19" xfId="0" applyFont="1" applyFill="1" applyBorder="1"/>
    <xf numFmtId="0" fontId="3" fillId="8" borderId="0" xfId="0" applyFont="1" applyFill="1" applyBorder="1"/>
    <xf numFmtId="2" fontId="10" fillId="8" borderId="0" xfId="0" applyNumberFormat="1" applyFont="1" applyFill="1" applyBorder="1" applyAlignment="1">
      <alignment horizontal="center"/>
    </xf>
    <xf numFmtId="2" fontId="10" fillId="8" borderId="17" xfId="0" applyNumberFormat="1" applyFont="1" applyFill="1" applyBorder="1" applyAlignment="1">
      <alignment horizontal="center"/>
    </xf>
    <xf numFmtId="0" fontId="3" fillId="8" borderId="14" xfId="0" applyFont="1" applyFill="1" applyBorder="1"/>
    <xf numFmtId="1" fontId="24" fillId="8" borderId="17" xfId="0" applyNumberFormat="1" applyFont="1" applyFill="1" applyBorder="1"/>
    <xf numFmtId="0" fontId="19" fillId="8" borderId="0" xfId="0" applyFont="1" applyFill="1" applyBorder="1"/>
    <xf numFmtId="0" fontId="5" fillId="8" borderId="0" xfId="0" applyFont="1" applyFill="1" applyBorder="1"/>
    <xf numFmtId="5" fontId="3" fillId="8" borderId="39" xfId="0" applyNumberFormat="1" applyFont="1" applyFill="1" applyBorder="1" applyProtection="1"/>
    <xf numFmtId="5" fontId="3" fillId="8" borderId="0" xfId="3" applyNumberFormat="1" applyFont="1" applyFill="1" applyBorder="1"/>
    <xf numFmtId="0" fontId="46" fillId="8" borderId="0" xfId="0" applyFont="1" applyFill="1" applyBorder="1" applyAlignment="1">
      <alignment horizontal="center"/>
    </xf>
    <xf numFmtId="5" fontId="3" fillId="8" borderId="4" xfId="0" applyNumberFormat="1" applyFont="1" applyFill="1" applyBorder="1"/>
    <xf numFmtId="5" fontId="18" fillId="8" borderId="0" xfId="0" applyNumberFormat="1" applyFont="1" applyFill="1" applyBorder="1"/>
    <xf numFmtId="10" fontId="3" fillId="8" borderId="0" xfId="19" applyNumberFormat="1" applyFont="1" applyFill="1" applyBorder="1" applyAlignment="1"/>
    <xf numFmtId="9" fontId="3" fillId="8" borderId="0" xfId="19" applyFont="1" applyFill="1" applyBorder="1" applyAlignment="1"/>
    <xf numFmtId="9" fontId="3" fillId="8" borderId="0" xfId="19" applyFont="1" applyFill="1" applyBorder="1"/>
    <xf numFmtId="10" fontId="3" fillId="8" borderId="0" xfId="19" applyNumberFormat="1" applyFont="1" applyFill="1" applyBorder="1"/>
    <xf numFmtId="0" fontId="103" fillId="8" borderId="0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right"/>
    </xf>
    <xf numFmtId="0" fontId="3" fillId="8" borderId="14" xfId="0" applyNumberFormat="1" applyFont="1" applyFill="1" applyBorder="1" applyAlignment="1"/>
    <xf numFmtId="0" fontId="5" fillId="8" borderId="0" xfId="0" applyFont="1" applyFill="1" applyBorder="1" applyAlignment="1"/>
    <xf numFmtId="0" fontId="6" fillId="0" borderId="16" xfId="0" applyFont="1" applyFill="1" applyBorder="1"/>
    <xf numFmtId="5" fontId="10" fillId="8" borderId="0" xfId="0" applyNumberFormat="1" applyFont="1" applyFill="1" applyBorder="1"/>
    <xf numFmtId="5" fontId="11" fillId="8" borderId="0" xfId="0" applyNumberFormat="1" applyFont="1" applyFill="1" applyBorder="1"/>
    <xf numFmtId="0" fontId="104" fillId="8" borderId="0" xfId="0" applyFont="1" applyFill="1" applyAlignment="1">
      <alignment horizontal="center"/>
    </xf>
    <xf numFmtId="0" fontId="3" fillId="8" borderId="0" xfId="0" applyFont="1" applyFill="1" applyBorder="1" applyAlignment="1">
      <alignment horizontal="left"/>
    </xf>
    <xf numFmtId="0" fontId="3" fillId="8" borderId="80" xfId="0" applyFont="1" applyFill="1" applyBorder="1"/>
    <xf numFmtId="0" fontId="3" fillId="8" borderId="10" xfId="0" applyFont="1" applyFill="1" applyBorder="1"/>
    <xf numFmtId="0" fontId="3" fillId="8" borderId="14" xfId="0" applyFont="1" applyFill="1" applyBorder="1" applyAlignment="1"/>
    <xf numFmtId="0" fontId="3" fillId="8" borderId="80" xfId="0" applyFont="1" applyFill="1" applyBorder="1" applyAlignment="1">
      <alignment horizontal="center"/>
    </xf>
    <xf numFmtId="14" fontId="3" fillId="8" borderId="80" xfId="0" applyNumberFormat="1" applyFont="1" applyFill="1" applyBorder="1" applyAlignment="1">
      <alignment horizontal="center"/>
    </xf>
    <xf numFmtId="0" fontId="3" fillId="8" borderId="68" xfId="0" applyFont="1" applyFill="1" applyBorder="1"/>
    <xf numFmtId="0" fontId="3" fillId="8" borderId="10" xfId="0" applyFont="1" applyFill="1" applyBorder="1" applyAlignment="1">
      <alignment horizontal="center"/>
    </xf>
    <xf numFmtId="14" fontId="3" fillId="8" borderId="10" xfId="0" applyNumberFormat="1" applyFont="1" applyFill="1" applyBorder="1" applyAlignment="1">
      <alignment horizontal="center"/>
    </xf>
    <xf numFmtId="0" fontId="3" fillId="8" borderId="51" xfId="0" applyFont="1" applyFill="1" applyBorder="1"/>
    <xf numFmtId="0" fontId="3" fillId="8" borderId="92" xfId="0" applyFont="1" applyFill="1" applyBorder="1" applyAlignment="1">
      <alignment horizontal="center"/>
    </xf>
    <xf numFmtId="14" fontId="3" fillId="8" borderId="92" xfId="0" applyNumberFormat="1" applyFont="1" applyFill="1" applyBorder="1" applyAlignment="1">
      <alignment horizontal="center"/>
    </xf>
    <xf numFmtId="0" fontId="3" fillId="8" borderId="50" xfId="0" applyFont="1" applyFill="1" applyBorder="1"/>
    <xf numFmtId="0" fontId="3" fillId="8" borderId="20" xfId="0" applyFont="1" applyFill="1" applyBorder="1"/>
    <xf numFmtId="0" fontId="3" fillId="8" borderId="80" xfId="0" applyNumberFormat="1" applyFont="1" applyFill="1" applyBorder="1" applyAlignment="1">
      <alignment horizontal="center"/>
    </xf>
    <xf numFmtId="0" fontId="3" fillId="8" borderId="68" xfId="0" applyNumberFormat="1" applyFont="1" applyFill="1" applyBorder="1"/>
    <xf numFmtId="0" fontId="3" fillId="8" borderId="10" xfId="0" applyNumberFormat="1" applyFont="1" applyFill="1" applyBorder="1" applyAlignment="1">
      <alignment horizontal="center"/>
    </xf>
    <xf numFmtId="0" fontId="3" fillId="8" borderId="51" xfId="0" applyNumberFormat="1" applyFont="1" applyFill="1" applyBorder="1"/>
    <xf numFmtId="0" fontId="3" fillId="8" borderId="92" xfId="0" applyNumberFormat="1" applyFont="1" applyFill="1" applyBorder="1" applyAlignment="1">
      <alignment horizontal="center"/>
    </xf>
    <xf numFmtId="0" fontId="3" fillId="8" borderId="50" xfId="0" applyNumberFormat="1" applyFont="1" applyFill="1" applyBorder="1"/>
    <xf numFmtId="0" fontId="3" fillId="8" borderId="94" xfId="0" applyFont="1" applyFill="1" applyBorder="1" applyAlignment="1">
      <alignment horizontal="center"/>
    </xf>
    <xf numFmtId="14" fontId="3" fillId="8" borderId="94" xfId="0" applyNumberFormat="1" applyFont="1" applyFill="1" applyBorder="1" applyAlignment="1">
      <alignment horizontal="center"/>
    </xf>
    <xf numFmtId="0" fontId="3" fillId="8" borderId="43" xfId="0" applyFont="1" applyFill="1" applyBorder="1"/>
    <xf numFmtId="0" fontId="3" fillId="8" borderId="89" xfId="0" applyFont="1" applyFill="1" applyBorder="1" applyAlignment="1">
      <alignment horizontal="center"/>
    </xf>
    <xf numFmtId="0" fontId="3" fillId="8" borderId="87" xfId="0" applyFont="1" applyFill="1" applyBorder="1" applyAlignment="1">
      <alignment horizontal="center"/>
    </xf>
    <xf numFmtId="14" fontId="3" fillId="8" borderId="49" xfId="0" applyNumberFormat="1" applyFont="1" applyFill="1" applyBorder="1" applyAlignment="1">
      <alignment horizontal="center"/>
    </xf>
    <xf numFmtId="14" fontId="3" fillId="8" borderId="6" xfId="0" applyNumberFormat="1" applyFont="1" applyFill="1" applyBorder="1" applyAlignment="1">
      <alignment horizontal="center"/>
    </xf>
    <xf numFmtId="6" fontId="3" fillId="8" borderId="92" xfId="0" applyNumberFormat="1" applyFont="1" applyFill="1" applyBorder="1" applyAlignment="1">
      <alignment horizontal="center"/>
    </xf>
    <xf numFmtId="0" fontId="3" fillId="8" borderId="92" xfId="0" applyFont="1" applyFill="1" applyBorder="1"/>
    <xf numFmtId="0" fontId="41" fillId="8" borderId="0" xfId="17" applyFont="1" applyFill="1" applyBorder="1"/>
    <xf numFmtId="0" fontId="5" fillId="8" borderId="0" xfId="17" applyFont="1" applyFill="1" applyBorder="1"/>
    <xf numFmtId="0" fontId="41" fillId="8" borderId="0" xfId="16" applyFont="1" applyFill="1" applyBorder="1"/>
    <xf numFmtId="0" fontId="2" fillId="8" borderId="0" xfId="18" applyFill="1"/>
    <xf numFmtId="0" fontId="30" fillId="0" borderId="23" xfId="0" applyFont="1" applyFill="1" applyBorder="1"/>
    <xf numFmtId="0" fontId="5" fillId="0" borderId="23" xfId="0" applyFont="1" applyFill="1" applyBorder="1"/>
    <xf numFmtId="0" fontId="22" fillId="0" borderId="24" xfId="0" applyFont="1" applyFill="1" applyBorder="1"/>
    <xf numFmtId="9" fontId="5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10" fontId="5" fillId="0" borderId="18" xfId="0" applyNumberFormat="1" applyFont="1" applyFill="1" applyBorder="1"/>
    <xf numFmtId="0" fontId="5" fillId="0" borderId="17" xfId="0" applyFont="1" applyFill="1" applyBorder="1" applyAlignment="1"/>
    <xf numFmtId="193" fontId="5" fillId="2" borderId="0" xfId="0" applyNumberFormat="1" applyFont="1" applyBorder="1" applyAlignment="1">
      <alignment horizontal="center"/>
    </xf>
    <xf numFmtId="37" fontId="10" fillId="8" borderId="18" xfId="0" applyNumberFormat="1" applyFont="1" applyFill="1" applyBorder="1" applyAlignment="1"/>
    <xf numFmtId="193" fontId="3" fillId="8" borderId="0" xfId="0" applyNumberFormat="1" applyFont="1" applyFill="1" applyBorder="1" applyAlignment="1">
      <alignment horizontal="center"/>
    </xf>
    <xf numFmtId="179" fontId="10" fillId="8" borderId="18" xfId="0" applyNumberFormat="1" applyFont="1" applyFill="1" applyBorder="1"/>
    <xf numFmtId="10" fontId="10" fillId="8" borderId="0" xfId="0" applyNumberFormat="1" applyFont="1" applyFill="1" applyBorder="1" applyAlignment="1">
      <alignment horizontal="center"/>
    </xf>
    <xf numFmtId="10" fontId="10" fillId="8" borderId="18" xfId="0" applyNumberFormat="1" applyFont="1" applyFill="1" applyBorder="1"/>
    <xf numFmtId="0" fontId="6" fillId="2" borderId="7" xfId="0" applyFont="1" applyBorder="1" applyAlignment="1">
      <alignment horizontal="right"/>
    </xf>
    <xf numFmtId="0" fontId="6" fillId="2" borderId="102" xfId="0" applyFont="1" applyBorder="1" applyAlignment="1">
      <alignment horizontal="right"/>
    </xf>
    <xf numFmtId="0" fontId="7" fillId="2" borderId="6" xfId="0" applyFont="1" applyBorder="1" applyAlignment="1">
      <alignment horizontal="right"/>
    </xf>
    <xf numFmtId="0" fontId="6" fillId="2" borderId="12" xfId="0" applyFont="1" applyBorder="1" applyAlignment="1">
      <alignment horizontal="center"/>
    </xf>
    <xf numFmtId="0" fontId="24" fillId="8" borderId="52" xfId="0" applyFont="1" applyFill="1" applyBorder="1" applyAlignment="1">
      <alignment horizontal="right"/>
    </xf>
    <xf numFmtId="5" fontId="3" fillId="8" borderId="15" xfId="0" applyNumberFormat="1" applyFont="1" applyFill="1" applyBorder="1"/>
    <xf numFmtId="5" fontId="18" fillId="8" borderId="15" xfId="0" applyNumberFormat="1" applyFont="1" applyFill="1" applyBorder="1"/>
    <xf numFmtId="5" fontId="3" fillId="8" borderId="6" xfId="0" applyNumberFormat="1" applyFont="1" applyFill="1" applyBorder="1"/>
    <xf numFmtId="5" fontId="18" fillId="8" borderId="6" xfId="0" applyNumberFormat="1" applyFont="1" applyFill="1" applyBorder="1"/>
    <xf numFmtId="37" fontId="3" fillId="8" borderId="18" xfId="0" applyNumberFormat="1" applyFont="1" applyFill="1" applyBorder="1" applyAlignment="1"/>
    <xf numFmtId="193" fontId="5" fillId="2" borderId="0" xfId="0" applyNumberFormat="1" applyFont="1" applyAlignment="1">
      <alignment horizontal="center"/>
    </xf>
    <xf numFmtId="179" fontId="5" fillId="2" borderId="8" xfId="0" applyNumberFormat="1" applyFont="1" applyBorder="1" applyAlignment="1"/>
    <xf numFmtId="179" fontId="5" fillId="2" borderId="8" xfId="0" applyNumberFormat="1" applyFont="1" applyBorder="1"/>
    <xf numFmtId="0" fontId="5" fillId="2" borderId="6" xfId="0" applyFont="1" applyBorder="1" applyAlignment="1"/>
    <xf numFmtId="0" fontId="6" fillId="2" borderId="49" xfId="0" applyFont="1" applyBorder="1" applyAlignment="1">
      <alignment horizontal="centerContinuous"/>
    </xf>
    <xf numFmtId="0" fontId="6" fillId="2" borderId="89" xfId="0" applyFont="1" applyBorder="1" applyAlignment="1">
      <alignment horizontal="centerContinuous"/>
    </xf>
    <xf numFmtId="179" fontId="5" fillId="2" borderId="8" xfId="3" applyNumberFormat="1" applyFont="1" applyFill="1" applyBorder="1"/>
    <xf numFmtId="0" fontId="5" fillId="2" borderId="18" xfId="0" applyNumberFormat="1" applyFont="1" applyBorder="1" applyAlignment="1"/>
    <xf numFmtId="0" fontId="5" fillId="2" borderId="17" xfId="0" applyNumberFormat="1" applyFont="1" applyBorder="1" applyAlignment="1"/>
    <xf numFmtId="0" fontId="8" fillId="2" borderId="19" xfId="0" applyFont="1" applyBorder="1" applyAlignment="1">
      <alignment horizontal="right"/>
    </xf>
    <xf numFmtId="177" fontId="3" fillId="8" borderId="0" xfId="0" applyNumberFormat="1" applyFont="1" applyFill="1" applyBorder="1" applyAlignment="1"/>
    <xf numFmtId="0" fontId="3" fillId="8" borderId="0" xfId="0" applyFont="1" applyFill="1"/>
    <xf numFmtId="0" fontId="3" fillId="8" borderId="18" xfId="0" applyNumberFormat="1" applyFont="1" applyFill="1" applyBorder="1" applyAlignment="1">
      <alignment horizontal="right"/>
    </xf>
    <xf numFmtId="0" fontId="5" fillId="2" borderId="20" xfId="0" applyNumberFormat="1" applyFont="1" applyBorder="1" applyAlignment="1">
      <alignment horizontal="right"/>
    </xf>
    <xf numFmtId="17" fontId="5" fillId="2" borderId="19" xfId="0" applyNumberFormat="1" applyFont="1" applyBorder="1" applyAlignment="1">
      <alignment horizontal="center"/>
    </xf>
    <xf numFmtId="0" fontId="8" fillId="2" borderId="18" xfId="0" applyFont="1" applyBorder="1" applyAlignment="1">
      <alignment horizontal="right"/>
    </xf>
    <xf numFmtId="0" fontId="45" fillId="2" borderId="0" xfId="0" applyFont="1" applyBorder="1" applyAlignment="1">
      <alignment horizontal="right"/>
    </xf>
    <xf numFmtId="0" fontId="45" fillId="2" borderId="0" xfId="0" applyFont="1" applyBorder="1" applyAlignment="1">
      <alignment horizontal="center"/>
    </xf>
    <xf numFmtId="0" fontId="45" fillId="2" borderId="18" xfId="0" applyFont="1" applyBorder="1" applyAlignment="1">
      <alignment horizontal="right"/>
    </xf>
    <xf numFmtId="3" fontId="3" fillId="8" borderId="17" xfId="0" applyNumberFormat="1" applyFont="1" applyFill="1" applyBorder="1" applyAlignment="1">
      <alignment horizontal="center"/>
    </xf>
    <xf numFmtId="3" fontId="5" fillId="0" borderId="17" xfId="0" applyNumberFormat="1" applyFont="1" applyFill="1" applyBorder="1"/>
    <xf numFmtId="9" fontId="3" fillId="8" borderId="17" xfId="19" applyFont="1" applyFill="1" applyBorder="1" applyAlignment="1">
      <alignment horizontal="center"/>
    </xf>
    <xf numFmtId="3" fontId="5" fillId="0" borderId="20" xfId="0" applyNumberFormat="1" applyFont="1" applyFill="1" applyBorder="1"/>
    <xf numFmtId="0" fontId="5" fillId="0" borderId="103" xfId="17" applyFont="1" applyBorder="1" applyAlignment="1">
      <alignment horizontal="center"/>
    </xf>
    <xf numFmtId="0" fontId="5" fillId="0" borderId="104" xfId="17" applyFont="1" applyBorder="1" applyAlignment="1">
      <alignment horizontal="center"/>
    </xf>
    <xf numFmtId="0" fontId="5" fillId="0" borderId="105" xfId="17" applyFont="1" applyBorder="1" applyAlignment="1">
      <alignment horizontal="center"/>
    </xf>
    <xf numFmtId="0" fontId="5" fillId="0" borderId="106" xfId="17" applyFont="1" applyBorder="1" applyAlignment="1">
      <alignment horizontal="center"/>
    </xf>
    <xf numFmtId="0" fontId="4" fillId="0" borderId="105" xfId="17" applyFont="1" applyBorder="1" applyAlignment="1">
      <alignment horizontal="center"/>
    </xf>
    <xf numFmtId="0" fontId="4" fillId="2" borderId="106" xfId="0" applyFont="1" applyBorder="1" applyAlignment="1">
      <alignment horizontal="center"/>
    </xf>
    <xf numFmtId="0" fontId="5" fillId="0" borderId="105" xfId="17" applyFont="1" applyBorder="1"/>
    <xf numFmtId="0" fontId="5" fillId="2" borderId="106" xfId="0" applyFont="1" applyBorder="1"/>
    <xf numFmtId="5" fontId="5" fillId="0" borderId="105" xfId="17" applyNumberFormat="1" applyFont="1" applyBorder="1" applyAlignment="1"/>
    <xf numFmtId="37" fontId="37" fillId="8" borderId="106" xfId="19" applyNumberFormat="1" applyFont="1" applyFill="1" applyBorder="1" applyAlignment="1"/>
    <xf numFmtId="0" fontId="5" fillId="0" borderId="107" xfId="17" applyFont="1" applyBorder="1"/>
    <xf numFmtId="0" fontId="5" fillId="2" borderId="108" xfId="0" applyFont="1" applyBorder="1"/>
    <xf numFmtId="0" fontId="4" fillId="0" borderId="106" xfId="17" applyFont="1" applyBorder="1" applyAlignment="1">
      <alignment horizontal="center"/>
    </xf>
    <xf numFmtId="0" fontId="5" fillId="0" borderId="106" xfId="17" applyFont="1" applyBorder="1"/>
    <xf numFmtId="5" fontId="5" fillId="0" borderId="106" xfId="17" applyNumberFormat="1" applyFont="1" applyBorder="1" applyAlignment="1"/>
    <xf numFmtId="37" fontId="5" fillId="2" borderId="0" xfId="0" applyNumberFormat="1" applyFont="1" applyBorder="1" applyAlignment="1">
      <alignment horizontal="right"/>
    </xf>
    <xf numFmtId="37" fontId="4" fillId="2" borderId="0" xfId="0" applyNumberFormat="1" applyFont="1" applyBorder="1" applyAlignment="1">
      <alignment horizontal="right"/>
    </xf>
    <xf numFmtId="0" fontId="4" fillId="2" borderId="0" xfId="0" applyFont="1" applyBorder="1" applyAlignment="1">
      <alignment horizontal="right"/>
    </xf>
    <xf numFmtId="37" fontId="5" fillId="2" borderId="17" xfId="0" applyNumberFormat="1" applyFont="1" applyBorder="1"/>
    <xf numFmtId="9" fontId="5" fillId="2" borderId="17" xfId="19" applyNumberFormat="1" applyFont="1" applyFill="1" applyBorder="1"/>
    <xf numFmtId="10" fontId="5" fillId="2" borderId="86" xfId="0" applyNumberFormat="1" applyFont="1" applyBorder="1" applyAlignment="1"/>
    <xf numFmtId="0" fontId="3" fillId="8" borderId="20" xfId="0" applyFont="1" applyFill="1" applyBorder="1" applyAlignment="1">
      <alignment horizontal="right"/>
    </xf>
    <xf numFmtId="0" fontId="24" fillId="8" borderId="17" xfId="0" applyFont="1" applyFill="1" applyBorder="1"/>
    <xf numFmtId="0" fontId="7" fillId="2" borderId="15" xfId="0" applyFont="1" applyBorder="1" applyAlignment="1"/>
    <xf numFmtId="0" fontId="37" fillId="8" borderId="0" xfId="0" applyFont="1" applyFill="1" applyBorder="1" applyAlignment="1">
      <alignment horizontal="centerContinuous"/>
    </xf>
    <xf numFmtId="0" fontId="5" fillId="8" borderId="0" xfId="0" applyFont="1" applyFill="1" applyBorder="1" applyAlignment="1">
      <alignment horizontal="centerContinuous"/>
    </xf>
    <xf numFmtId="0" fontId="105" fillId="2" borderId="0" xfId="0" applyFont="1" applyAlignment="1">
      <alignment horizontal="centerContinuous"/>
    </xf>
    <xf numFmtId="0" fontId="106" fillId="2" borderId="0" xfId="0" applyFont="1" applyAlignment="1">
      <alignment horizontal="centerContinuous"/>
    </xf>
    <xf numFmtId="0" fontId="107" fillId="2" borderId="0" xfId="0" applyFont="1" applyAlignment="1">
      <alignment horizontal="centerContinuous"/>
    </xf>
    <xf numFmtId="0" fontId="33" fillId="2" borderId="0" xfId="0" applyFont="1" applyAlignment="1">
      <alignment horizontal="centerContinuous"/>
    </xf>
    <xf numFmtId="0" fontId="108" fillId="2" borderId="0" xfId="0" applyFont="1" applyAlignment="1">
      <alignment horizontal="centerContinuous"/>
    </xf>
    <xf numFmtId="0" fontId="109" fillId="2" borderId="0" xfId="0" applyFont="1" applyAlignment="1">
      <alignment horizontal="centerContinuous"/>
    </xf>
    <xf numFmtId="0" fontId="7" fillId="2" borderId="0" xfId="0" applyFont="1" applyAlignment="1">
      <alignment horizontal="center"/>
    </xf>
    <xf numFmtId="49" fontId="5" fillId="2" borderId="0" xfId="0" applyNumberFormat="1" applyFont="1" applyAlignment="1">
      <alignment horizontal="center"/>
    </xf>
    <xf numFmtId="0" fontId="105" fillId="2" borderId="0" xfId="0" applyFont="1" applyBorder="1"/>
    <xf numFmtId="0" fontId="105" fillId="0" borderId="0" xfId="0" applyFont="1" applyFill="1" applyBorder="1"/>
    <xf numFmtId="0" fontId="27" fillId="2" borderId="15" xfId="0" applyFont="1" applyBorder="1"/>
    <xf numFmtId="0" fontId="6" fillId="2" borderId="26" xfId="0" applyFont="1" applyBorder="1"/>
    <xf numFmtId="0" fontId="6" fillId="0" borderId="26" xfId="0" applyFont="1" applyFill="1" applyBorder="1"/>
    <xf numFmtId="0" fontId="6" fillId="2" borderId="7" xfId="0" applyNumberFormat="1" applyFont="1" applyBorder="1" applyAlignment="1">
      <alignment horizontal="center"/>
    </xf>
    <xf numFmtId="0" fontId="6" fillId="2" borderId="4" xfId="0" applyNumberFormat="1" applyFont="1" applyBorder="1" applyAlignment="1">
      <alignment horizontal="center"/>
    </xf>
    <xf numFmtId="0" fontId="6" fillId="0" borderId="16" xfId="0" applyNumberFormat="1" applyFont="1" applyFill="1" applyBorder="1" applyAlignment="1"/>
    <xf numFmtId="0" fontId="6" fillId="0" borderId="17" xfId="0" applyNumberFormat="1" applyFont="1" applyFill="1" applyBorder="1" applyAlignment="1"/>
    <xf numFmtId="5" fontId="6" fillId="2" borderId="17" xfId="0" applyNumberFormat="1" applyFont="1" applyBorder="1" applyAlignment="1"/>
    <xf numFmtId="5" fontId="6" fillId="2" borderId="57" xfId="0" applyNumberFormat="1" applyFont="1" applyBorder="1" applyAlignment="1"/>
    <xf numFmtId="0" fontId="6" fillId="9" borderId="69" xfId="0" applyNumberFormat="1" applyFont="1" applyFill="1" applyBorder="1" applyAlignment="1"/>
    <xf numFmtId="17" fontId="24" fillId="8" borderId="39" xfId="0" applyNumberFormat="1" applyFont="1" applyFill="1" applyBorder="1" applyAlignment="1"/>
    <xf numFmtId="17" fontId="6" fillId="9" borderId="39" xfId="0" applyNumberFormat="1" applyFont="1" applyFill="1" applyBorder="1" applyAlignment="1"/>
    <xf numFmtId="0" fontId="6" fillId="9" borderId="0" xfId="0" applyNumberFormat="1" applyFont="1" applyFill="1" applyBorder="1" applyAlignment="1"/>
    <xf numFmtId="0" fontId="7" fillId="2" borderId="15" xfId="0" applyNumberFormat="1" applyFont="1" applyBorder="1"/>
    <xf numFmtId="0" fontId="5" fillId="9" borderId="54" xfId="0" applyFont="1" applyFill="1" applyBorder="1"/>
    <xf numFmtId="0" fontId="7" fillId="2" borderId="10" xfId="0" applyFont="1" applyBorder="1"/>
    <xf numFmtId="0" fontId="7" fillId="2" borderId="80" xfId="0" applyFont="1" applyBorder="1"/>
    <xf numFmtId="6" fontId="5" fillId="2" borderId="14" xfId="0" applyNumberFormat="1" applyFont="1" applyBorder="1"/>
    <xf numFmtId="6" fontId="5" fillId="2" borderId="89" xfId="0" applyNumberFormat="1" applyFont="1" applyBorder="1"/>
    <xf numFmtId="10" fontId="5" fillId="0" borderId="86" xfId="19" applyNumberFormat="1" applyFont="1" applyBorder="1"/>
    <xf numFmtId="14" fontId="3" fillId="8" borderId="86" xfId="0" applyNumberFormat="1" applyFont="1" applyFill="1" applyBorder="1" applyAlignment="1">
      <alignment horizontal="center"/>
    </xf>
    <xf numFmtId="0" fontId="6" fillId="9" borderId="109" xfId="17" applyFont="1" applyFill="1" applyBorder="1" applyAlignment="1">
      <alignment horizontal="centerContinuous"/>
    </xf>
    <xf numFmtId="212" fontId="7" fillId="2" borderId="19" xfId="0" applyNumberFormat="1" applyFont="1" applyBorder="1" applyAlignment="1">
      <alignment horizontal="right"/>
    </xf>
    <xf numFmtId="0" fontId="5" fillId="2" borderId="110" xfId="0" applyFont="1" applyBorder="1"/>
    <xf numFmtId="0" fontId="5" fillId="2" borderId="111" xfId="0" applyFont="1" applyBorder="1"/>
    <xf numFmtId="0" fontId="5" fillId="2" borderId="112" xfId="0" applyFont="1" applyBorder="1"/>
    <xf numFmtId="37" fontId="5" fillId="0" borderId="0" xfId="0" applyNumberFormat="1" applyFont="1" applyFill="1" applyBorder="1" applyAlignment="1">
      <alignment horizontal="center"/>
    </xf>
    <xf numFmtId="5" fontId="5" fillId="0" borderId="113" xfId="0" applyNumberFormat="1" applyFont="1" applyFill="1" applyBorder="1" applyAlignment="1"/>
    <xf numFmtId="5" fontId="5" fillId="0" borderId="114" xfId="0" applyNumberFormat="1" applyFont="1" applyFill="1" applyBorder="1" applyAlignment="1"/>
    <xf numFmtId="17" fontId="3" fillId="8" borderId="18" xfId="0" applyNumberFormat="1" applyFont="1" applyFill="1" applyBorder="1"/>
    <xf numFmtId="17" fontId="5" fillId="0" borderId="20" xfId="0" applyNumberFormat="1" applyFont="1" applyFill="1" applyBorder="1"/>
    <xf numFmtId="17" fontId="10" fillId="8" borderId="18" xfId="0" applyNumberFormat="1" applyFont="1" applyFill="1" applyBorder="1" applyAlignment="1"/>
    <xf numFmtId="17" fontId="5" fillId="0" borderId="0" xfId="0" applyNumberFormat="1" applyFont="1" applyFill="1" applyBorder="1" applyAlignment="1">
      <alignment horizontal="center"/>
    </xf>
    <xf numFmtId="5" fontId="18" fillId="8" borderId="0" xfId="0" applyNumberFormat="1" applyFont="1" applyFill="1" applyBorder="1" applyAlignment="1"/>
    <xf numFmtId="10" fontId="110" fillId="2" borderId="0" xfId="0" quotePrefix="1" applyNumberFormat="1" applyFont="1" applyBorder="1" applyAlignment="1">
      <alignment horizontal="right"/>
    </xf>
    <xf numFmtId="0" fontId="110" fillId="2" borderId="0" xfId="0" applyFont="1" applyBorder="1" applyAlignment="1">
      <alignment horizontal="right"/>
    </xf>
    <xf numFmtId="5" fontId="5" fillId="0" borderId="17" xfId="0" applyNumberFormat="1" applyFont="1" applyFill="1" applyBorder="1" applyAlignment="1"/>
    <xf numFmtId="5" fontId="11" fillId="8" borderId="0" xfId="0" applyNumberFormat="1" applyFont="1" applyFill="1" applyBorder="1" applyAlignment="1"/>
    <xf numFmtId="0" fontId="46" fillId="8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353" fontId="100" fillId="8" borderId="18" xfId="0" applyNumberFormat="1" applyFont="1" applyFill="1" applyBorder="1" applyAlignment="1">
      <alignment horizontal="center"/>
    </xf>
    <xf numFmtId="191" fontId="15" fillId="8" borderId="0" xfId="18" applyNumberFormat="1" applyFont="1" applyFill="1" applyBorder="1" applyAlignment="1">
      <alignment horizontal="center"/>
    </xf>
    <xf numFmtId="0" fontId="43" fillId="0" borderId="0" xfId="18" applyFont="1" applyBorder="1" applyAlignment="1">
      <alignment horizontal="center"/>
    </xf>
    <xf numFmtId="177" fontId="37" fillId="8" borderId="14" xfId="0" applyNumberFormat="1" applyFont="1" applyFill="1" applyBorder="1" applyAlignment="1"/>
    <xf numFmtId="0" fontId="5" fillId="2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NumberFormat="1" applyFont="1" applyAlignment="1"/>
    <xf numFmtId="0" fontId="4" fillId="2" borderId="0" xfId="0" applyFont="1" applyBorder="1"/>
    <xf numFmtId="0" fontId="4" fillId="2" borderId="0" xfId="0" applyFont="1" applyAlignment="1">
      <alignment horizontal="center"/>
    </xf>
    <xf numFmtId="5" fontId="5" fillId="2" borderId="8" xfId="0" applyNumberFormat="1" applyFont="1" applyBorder="1" applyAlignment="1"/>
    <xf numFmtId="0" fontId="5" fillId="8" borderId="0" xfId="0" applyFont="1" applyFill="1"/>
    <xf numFmtId="0" fontId="5" fillId="8" borderId="0" xfId="0" applyFont="1" applyFill="1" applyAlignment="1"/>
    <xf numFmtId="191" fontId="7" fillId="0" borderId="0" xfId="18" applyNumberFormat="1" applyFont="1" applyBorder="1" applyAlignment="1">
      <alignment horizontal="center"/>
    </xf>
    <xf numFmtId="37" fontId="6" fillId="2" borderId="14" xfId="0" applyNumberFormat="1" applyFont="1" applyBorder="1"/>
    <xf numFmtId="37" fontId="6" fillId="2" borderId="56" xfId="0" applyNumberFormat="1" applyFont="1" applyBorder="1"/>
    <xf numFmtId="37" fontId="5" fillId="2" borderId="14" xfId="0" applyNumberFormat="1" applyFont="1" applyBorder="1"/>
    <xf numFmtId="0" fontId="7" fillId="0" borderId="15" xfId="0" applyFont="1" applyFill="1" applyBorder="1"/>
    <xf numFmtId="5" fontId="17" fillId="9" borderId="0" xfId="0" applyNumberFormat="1" applyFont="1" applyFill="1" applyBorder="1" applyProtection="1"/>
    <xf numFmtId="6" fontId="6" fillId="0" borderId="15" xfId="0" applyNumberFormat="1" applyFont="1" applyFill="1" applyBorder="1"/>
    <xf numFmtId="49" fontId="5" fillId="2" borderId="0" xfId="0" applyNumberFormat="1" applyFont="1" applyBorder="1"/>
    <xf numFmtId="0" fontId="5" fillId="2" borderId="14" xfId="0" applyNumberFormat="1" applyFont="1" applyBorder="1" applyAlignment="1">
      <alignment horizontal="centerContinuous"/>
    </xf>
    <xf numFmtId="0" fontId="5" fillId="2" borderId="19" xfId="0" applyNumberFormat="1" applyFont="1" applyBorder="1" applyAlignment="1">
      <alignment horizontal="centerContinuous"/>
    </xf>
    <xf numFmtId="0" fontId="16" fillId="0" borderId="18" xfId="19" applyNumberFormat="1" applyFont="1" applyBorder="1"/>
    <xf numFmtId="0" fontId="3" fillId="8" borderId="18" xfId="19" applyNumberFormat="1" applyFont="1" applyFill="1" applyBorder="1" applyAlignment="1">
      <alignment horizontal="center"/>
    </xf>
    <xf numFmtId="10" fontId="3" fillId="8" borderId="18" xfId="19" applyNumberFormat="1" applyFont="1" applyFill="1" applyBorder="1" applyAlignment="1">
      <alignment horizontal="center"/>
    </xf>
    <xf numFmtId="0" fontId="6" fillId="2" borderId="11" xfId="0" applyNumberFormat="1" applyFont="1" applyBorder="1" applyAlignment="1"/>
    <xf numFmtId="0" fontId="5" fillId="2" borderId="7" xfId="0" applyNumberFormat="1" applyFont="1" applyBorder="1" applyAlignment="1"/>
    <xf numFmtId="0" fontId="7" fillId="2" borderId="7" xfId="0" applyNumberFormat="1" applyFont="1" applyBorder="1" applyAlignment="1">
      <alignment horizontal="center"/>
    </xf>
    <xf numFmtId="0" fontId="7" fillId="2" borderId="12" xfId="0" applyNumberFormat="1" applyFont="1" applyBorder="1" applyAlignment="1">
      <alignment horizontal="center"/>
    </xf>
    <xf numFmtId="167" fontId="5" fillId="2" borderId="0" xfId="0" applyNumberFormat="1" applyFont="1" applyBorder="1" applyAlignment="1"/>
    <xf numFmtId="167" fontId="5" fillId="2" borderId="8" xfId="19" applyNumberFormat="1" applyFont="1" applyFill="1" applyBorder="1" applyAlignment="1">
      <alignment horizontal="center"/>
    </xf>
    <xf numFmtId="5" fontId="3" fillId="8" borderId="8" xfId="0" applyNumberFormat="1" applyFont="1" applyFill="1" applyBorder="1"/>
    <xf numFmtId="17" fontId="3" fillId="8" borderId="0" xfId="0" applyNumberFormat="1" applyFont="1" applyFill="1" applyBorder="1" applyAlignment="1">
      <alignment horizontal="center"/>
    </xf>
    <xf numFmtId="5" fontId="4" fillId="2" borderId="8" xfId="0" applyNumberFormat="1" applyFont="1" applyBorder="1" applyAlignment="1"/>
    <xf numFmtId="17" fontId="5" fillId="2" borderId="6" xfId="0" applyNumberFormat="1" applyFont="1" applyBorder="1" applyAlignment="1">
      <alignment horizontal="center"/>
    </xf>
    <xf numFmtId="5" fontId="4" fillId="2" borderId="8" xfId="0" applyNumberFormat="1" applyFont="1" applyBorder="1"/>
    <xf numFmtId="0" fontId="5" fillId="2" borderId="4" xfId="0" applyNumberFormat="1" applyFont="1" applyBorder="1" applyAlignment="1">
      <alignment horizontal="center"/>
    </xf>
    <xf numFmtId="0" fontId="5" fillId="2" borderId="13" xfId="0" applyFont="1" applyBorder="1"/>
    <xf numFmtId="5" fontId="3" fillId="0" borderId="115" xfId="0" applyNumberFormat="1" applyFont="1" applyFill="1" applyBorder="1" applyAlignment="1"/>
    <xf numFmtId="5" fontId="3" fillId="0" borderId="113" xfId="0" applyNumberFormat="1" applyFont="1" applyFill="1" applyBorder="1" applyAlignment="1"/>
    <xf numFmtId="5" fontId="15" fillId="0" borderId="113" xfId="0" applyNumberFormat="1" applyFont="1" applyFill="1" applyBorder="1" applyAlignment="1"/>
    <xf numFmtId="0" fontId="43" fillId="2" borderId="0" xfId="0" applyNumberFormat="1" applyFont="1" applyBorder="1" applyAlignment="1"/>
    <xf numFmtId="0" fontId="114" fillId="2" borderId="0" xfId="0" applyFont="1"/>
    <xf numFmtId="354" fontId="3" fillId="8" borderId="0" xfId="0" applyNumberFormat="1" applyFont="1" applyFill="1" applyBorder="1" applyAlignment="1">
      <alignment horizontal="center"/>
    </xf>
    <xf numFmtId="355" fontId="3" fillId="8" borderId="20" xfId="0" applyNumberFormat="1" applyFont="1" applyFill="1" applyBorder="1" applyAlignment="1">
      <alignment horizontal="center"/>
    </xf>
    <xf numFmtId="0" fontId="5" fillId="2" borderId="116" xfId="0" applyFont="1" applyBorder="1"/>
    <xf numFmtId="191" fontId="3" fillId="8" borderId="19" xfId="0" applyNumberFormat="1" applyFont="1" applyFill="1" applyBorder="1" applyAlignment="1">
      <alignment horizontal="right"/>
    </xf>
    <xf numFmtId="0" fontId="5" fillId="2" borderId="49" xfId="0" applyNumberFormat="1" applyFont="1" applyBorder="1" applyAlignment="1"/>
    <xf numFmtId="0" fontId="5" fillId="2" borderId="89" xfId="0" applyNumberFormat="1" applyFont="1" applyBorder="1" applyAlignment="1"/>
    <xf numFmtId="0" fontId="5" fillId="2" borderId="87" xfId="0" applyNumberFormat="1" applyFont="1" applyBorder="1" applyAlignment="1"/>
    <xf numFmtId="0" fontId="5" fillId="2" borderId="86" xfId="0" applyNumberFormat="1" applyFont="1" applyBorder="1" applyAlignment="1"/>
    <xf numFmtId="10" fontId="5" fillId="2" borderId="17" xfId="19" applyNumberFormat="1" applyFont="1" applyFill="1" applyBorder="1" applyAlignment="1">
      <alignment horizontal="center"/>
    </xf>
    <xf numFmtId="355" fontId="3" fillId="8" borderId="19" xfId="0" applyNumberFormat="1" applyFont="1" applyFill="1" applyBorder="1" applyAlignment="1">
      <alignment horizontal="center"/>
    </xf>
    <xf numFmtId="5" fontId="5" fillId="0" borderId="18" xfId="0" applyNumberFormat="1" applyFont="1" applyFill="1" applyBorder="1" applyAlignment="1">
      <alignment horizontal="right"/>
    </xf>
    <xf numFmtId="37" fontId="5" fillId="0" borderId="18" xfId="0" applyNumberFormat="1" applyFont="1" applyFill="1" applyBorder="1" applyAlignment="1">
      <alignment horizontal="right"/>
    </xf>
    <xf numFmtId="37" fontId="3" fillId="8" borderId="18" xfId="0" applyNumberFormat="1" applyFont="1" applyFill="1" applyBorder="1" applyAlignment="1">
      <alignment horizontal="right"/>
    </xf>
    <xf numFmtId="5" fontId="5" fillId="0" borderId="20" xfId="0" applyNumberFormat="1" applyFont="1" applyFill="1" applyBorder="1" applyAlignment="1">
      <alignment horizontal="right"/>
    </xf>
    <xf numFmtId="5" fontId="3" fillId="8" borderId="19" xfId="0" applyNumberFormat="1" applyFont="1" applyFill="1" applyBorder="1"/>
    <xf numFmtId="9" fontId="3" fillId="8" borderId="0" xfId="0" applyNumberFormat="1" applyFont="1" applyFill="1" applyBorder="1" applyAlignment="1">
      <alignment horizontal="center"/>
    </xf>
    <xf numFmtId="1" fontId="5" fillId="0" borderId="17" xfId="0" applyNumberFormat="1" applyFont="1" applyFill="1" applyBorder="1" applyAlignment="1">
      <alignment horizontal="center"/>
    </xf>
    <xf numFmtId="0" fontId="5" fillId="0" borderId="20" xfId="0" applyNumberFormat="1" applyFont="1" applyFill="1" applyBorder="1"/>
    <xf numFmtId="0" fontId="5" fillId="8" borderId="19" xfId="0" applyFont="1" applyFill="1" applyBorder="1" applyAlignment="1">
      <alignment horizontal="centerContinuous"/>
    </xf>
    <xf numFmtId="0" fontId="3" fillId="8" borderId="14" xfId="0" applyFont="1" applyFill="1" applyBorder="1" applyAlignment="1">
      <alignment horizontal="centerContinuous"/>
    </xf>
    <xf numFmtId="5" fontId="5" fillId="2" borderId="14" xfId="0" applyNumberFormat="1" applyFont="1" applyBorder="1" applyAlignment="1"/>
    <xf numFmtId="9" fontId="5" fillId="2" borderId="6" xfId="0" applyNumberFormat="1" applyFont="1" applyBorder="1" applyAlignment="1"/>
    <xf numFmtId="1" fontId="5" fillId="2" borderId="86" xfId="19" applyNumberFormat="1" applyFont="1" applyFill="1" applyBorder="1" applyAlignment="1"/>
    <xf numFmtId="355" fontId="3" fillId="0" borderId="0" xfId="0" applyNumberFormat="1" applyFont="1" applyFill="1" applyBorder="1" applyAlignment="1">
      <alignment horizontal="center"/>
    </xf>
    <xf numFmtId="0" fontId="46" fillId="0" borderId="19" xfId="0" applyFont="1" applyFill="1" applyBorder="1" applyAlignment="1">
      <alignment horizontal="right"/>
    </xf>
    <xf numFmtId="0" fontId="8" fillId="0" borderId="14" xfId="0" applyFont="1" applyFill="1" applyBorder="1"/>
    <xf numFmtId="0" fontId="37" fillId="0" borderId="0" xfId="18" applyFont="1"/>
    <xf numFmtId="39" fontId="5" fillId="0" borderId="6" xfId="18" applyNumberFormat="1" applyFont="1" applyFill="1" applyBorder="1" applyAlignment="1">
      <alignment horizontal="center"/>
    </xf>
    <xf numFmtId="39" fontId="5" fillId="0" borderId="0" xfId="18" applyNumberFormat="1" applyFont="1" applyFill="1" applyBorder="1" applyAlignment="1">
      <alignment horizontal="center"/>
    </xf>
    <xf numFmtId="191" fontId="5" fillId="0" borderId="0" xfId="18" applyNumberFormat="1" applyFont="1" applyFill="1" applyBorder="1" applyAlignment="1">
      <alignment horizontal="center"/>
    </xf>
    <xf numFmtId="0" fontId="5" fillId="2" borderId="42" xfId="0" applyFont="1" applyBorder="1"/>
    <xf numFmtId="0" fontId="5" fillId="0" borderId="20" xfId="0" applyFont="1" applyFill="1" applyBorder="1" applyAlignment="1">
      <alignment horizontal="center"/>
    </xf>
    <xf numFmtId="0" fontId="19" fillId="2" borderId="0" xfId="0" applyFont="1" applyBorder="1"/>
    <xf numFmtId="0" fontId="32" fillId="2" borderId="0" xfId="0" applyFont="1" applyBorder="1"/>
    <xf numFmtId="0" fontId="115" fillId="8" borderId="0" xfId="0" applyFont="1" applyFill="1" applyBorder="1"/>
    <xf numFmtId="0" fontId="4" fillId="2" borderId="0" xfId="0" applyNumberFormat="1" applyFont="1" applyBorder="1" applyAlignment="1">
      <alignment horizontal="right"/>
    </xf>
    <xf numFmtId="0" fontId="4" fillId="2" borderId="18" xfId="0" applyNumberFormat="1" applyFont="1" applyBorder="1" applyAlignment="1">
      <alignment horizontal="right"/>
    </xf>
    <xf numFmtId="5" fontId="8" fillId="0" borderId="0" xfId="0" applyNumberFormat="1" applyFont="1" applyFill="1" applyBorder="1"/>
    <xf numFmtId="0" fontId="5" fillId="2" borderId="117" xfId="0" applyFont="1" applyBorder="1"/>
    <xf numFmtId="5" fontId="3" fillId="8" borderId="18" xfId="0" applyNumberFormat="1" applyFont="1" applyFill="1" applyBorder="1" applyAlignment="1"/>
    <xf numFmtId="0" fontId="16" fillId="0" borderId="15" xfId="0" applyFont="1" applyFill="1" applyBorder="1"/>
    <xf numFmtId="0" fontId="16" fillId="0" borderId="0" xfId="0" applyFont="1" applyFill="1" applyBorder="1"/>
    <xf numFmtId="49" fontId="5" fillId="0" borderId="0" xfId="0" applyNumberFormat="1" applyFont="1" applyFill="1" applyBorder="1" applyAlignment="1">
      <alignment horizontal="center"/>
    </xf>
    <xf numFmtId="5" fontId="5" fillId="0" borderId="14" xfId="0" quotePrefix="1" applyNumberFormat="1" applyFont="1" applyFill="1" applyBorder="1" applyAlignment="1"/>
    <xf numFmtId="17" fontId="6" fillId="2" borderId="4" xfId="0" applyNumberFormat="1" applyFont="1" applyBorder="1" applyAlignment="1">
      <alignment horizontal="center"/>
    </xf>
    <xf numFmtId="5" fontId="3" fillId="8" borderId="0" xfId="0" applyNumberFormat="1" applyFont="1" applyFill="1" applyBorder="1" applyAlignment="1"/>
    <xf numFmtId="0" fontId="37" fillId="9" borderId="39" xfId="15" applyNumberFormat="1" applyFont="1" applyFill="1" applyBorder="1" applyAlignment="1"/>
    <xf numFmtId="0" fontId="5" fillId="11" borderId="0" xfId="0" applyFont="1" applyFill="1" applyBorder="1"/>
    <xf numFmtId="5" fontId="3" fillId="11" borderId="0" xfId="0" applyNumberFormat="1" applyFont="1" applyFill="1" applyBorder="1"/>
    <xf numFmtId="5" fontId="5" fillId="11" borderId="0" xfId="0" applyNumberFormat="1" applyFont="1" applyFill="1" applyBorder="1"/>
    <xf numFmtId="0" fontId="6" fillId="11" borderId="35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68" xfId="0" applyFont="1" applyFill="1" applyBorder="1" applyAlignment="1">
      <alignment horizontal="center"/>
    </xf>
    <xf numFmtId="0" fontId="118" fillId="11" borderId="53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center"/>
    </xf>
    <xf numFmtId="17" fontId="6" fillId="11" borderId="4" xfId="0" applyNumberFormat="1" applyFont="1" applyFill="1" applyBorder="1" applyAlignment="1">
      <alignment horizontal="center"/>
    </xf>
    <xf numFmtId="0" fontId="7" fillId="11" borderId="70" xfId="0" applyFont="1" applyFill="1" applyBorder="1" applyAlignment="1">
      <alignment horizontal="center"/>
    </xf>
    <xf numFmtId="0" fontId="37" fillId="11" borderId="15" xfId="0" applyFont="1" applyFill="1" applyBorder="1"/>
    <xf numFmtId="0" fontId="5" fillId="11" borderId="118" xfId="0" applyFont="1" applyFill="1" applyBorder="1"/>
    <xf numFmtId="0" fontId="6" fillId="11" borderId="15" xfId="0" applyFont="1" applyFill="1" applyBorder="1"/>
    <xf numFmtId="0" fontId="0" fillId="11" borderId="0" xfId="0" applyFill="1" applyBorder="1"/>
    <xf numFmtId="0" fontId="5" fillId="11" borderId="51" xfId="0" applyFont="1" applyFill="1" applyBorder="1"/>
    <xf numFmtId="0" fontId="0" fillId="11" borderId="15" xfId="0" applyFill="1" applyBorder="1"/>
    <xf numFmtId="5" fontId="3" fillId="9" borderId="0" xfId="0" applyNumberFormat="1" applyFont="1" applyFill="1" applyBorder="1" applyAlignment="1"/>
    <xf numFmtId="5" fontId="5" fillId="9" borderId="51" xfId="0" applyNumberFormat="1" applyFont="1" applyFill="1" applyBorder="1" applyAlignment="1"/>
    <xf numFmtId="5" fontId="18" fillId="9" borderId="0" xfId="0" applyNumberFormat="1" applyFont="1" applyFill="1" applyBorder="1" applyAlignment="1"/>
    <xf numFmtId="0" fontId="6" fillId="11" borderId="0" xfId="0" applyFont="1" applyFill="1" applyBorder="1"/>
    <xf numFmtId="0" fontId="5" fillId="11" borderId="15" xfId="0" applyFont="1" applyFill="1" applyBorder="1"/>
    <xf numFmtId="5" fontId="5" fillId="11" borderId="51" xfId="0" applyNumberFormat="1" applyFont="1" applyFill="1" applyBorder="1"/>
    <xf numFmtId="5" fontId="18" fillId="11" borderId="0" xfId="0" applyNumberFormat="1" applyFont="1" applyFill="1" applyBorder="1"/>
    <xf numFmtId="5" fontId="4" fillId="11" borderId="51" xfId="0" applyNumberFormat="1" applyFont="1" applyFill="1" applyBorder="1"/>
    <xf numFmtId="0" fontId="5" fillId="11" borderId="16" xfId="0" applyFont="1" applyFill="1" applyBorder="1"/>
    <xf numFmtId="0" fontId="5" fillId="11" borderId="17" xfId="0" applyFont="1" applyFill="1" applyBorder="1"/>
    <xf numFmtId="0" fontId="5" fillId="11" borderId="50" xfId="0" applyFont="1" applyFill="1" applyBorder="1"/>
    <xf numFmtId="1" fontId="13" fillId="2" borderId="0" xfId="0" applyNumberFormat="1" applyFont="1" applyBorder="1" applyAlignment="1"/>
    <xf numFmtId="5" fontId="15" fillId="8" borderId="0" xfId="0" applyNumberFormat="1" applyFont="1" applyFill="1" applyBorder="1" applyAlignment="1"/>
    <xf numFmtId="5" fontId="4" fillId="0" borderId="0" xfId="0" applyNumberFormat="1" applyFont="1" applyFill="1" applyBorder="1" applyAlignment="1"/>
    <xf numFmtId="5" fontId="119" fillId="8" borderId="0" xfId="0" applyNumberFormat="1" applyFont="1" applyFill="1" applyBorder="1" applyAlignment="1"/>
    <xf numFmtId="17" fontId="13" fillId="0" borderId="58" xfId="17" applyNumberFormat="1" applyFont="1" applyBorder="1" applyAlignment="1">
      <alignment horizontal="center"/>
    </xf>
    <xf numFmtId="355" fontId="3" fillId="8" borderId="18" xfId="0" applyNumberFormat="1" applyFont="1" applyFill="1" applyBorder="1" applyAlignment="1">
      <alignment horizontal="center"/>
    </xf>
    <xf numFmtId="10" fontId="5" fillId="9" borderId="0" xfId="0" applyNumberFormat="1" applyFont="1" applyFill="1" applyBorder="1"/>
    <xf numFmtId="10" fontId="6" fillId="9" borderId="63" xfId="0" applyNumberFormat="1" applyFont="1" applyFill="1" applyBorder="1"/>
    <xf numFmtId="7" fontId="13" fillId="2" borderId="0" xfId="0" applyNumberFormat="1" applyFont="1" applyBorder="1"/>
    <xf numFmtId="9" fontId="6" fillId="0" borderId="0" xfId="19" applyFont="1" applyBorder="1"/>
    <xf numFmtId="10" fontId="6" fillId="9" borderId="65" xfId="0" applyNumberFormat="1" applyFont="1" applyFill="1" applyBorder="1"/>
    <xf numFmtId="5" fontId="5" fillId="2" borderId="0" xfId="0" quotePrefix="1" applyNumberFormat="1" applyFont="1" applyBorder="1"/>
    <xf numFmtId="0" fontId="5" fillId="11" borderId="7" xfId="0" applyFont="1" applyFill="1" applyBorder="1"/>
    <xf numFmtId="10" fontId="36" fillId="8" borderId="0" xfId="0" applyNumberFormat="1" applyFont="1" applyFill="1" applyBorder="1"/>
    <xf numFmtId="0" fontId="36" fillId="0" borderId="15" xfId="0" applyFont="1" applyFill="1" applyBorder="1"/>
    <xf numFmtId="0" fontId="36" fillId="0" borderId="0" xfId="0" applyFont="1" applyFill="1" applyBorder="1"/>
    <xf numFmtId="37" fontId="36" fillId="0" borderId="0" xfId="0" applyNumberFormat="1" applyFont="1" applyFill="1" applyBorder="1"/>
    <xf numFmtId="5" fontId="36" fillId="0" borderId="0" xfId="0" applyNumberFormat="1" applyFont="1" applyFill="1" applyBorder="1"/>
    <xf numFmtId="0" fontId="15" fillId="2" borderId="0" xfId="0" applyFont="1" applyBorder="1"/>
    <xf numFmtId="5" fontId="36" fillId="0" borderId="58" xfId="0" applyNumberFormat="1" applyFont="1" applyFill="1" applyBorder="1"/>
    <xf numFmtId="0" fontId="15" fillId="2" borderId="0" xfId="0" applyFont="1" applyBorder="1" applyAlignment="1">
      <alignment horizontal="center"/>
    </xf>
    <xf numFmtId="5" fontId="15" fillId="2" borderId="0" xfId="0" applyNumberFormat="1" applyFont="1"/>
    <xf numFmtId="0" fontId="120" fillId="2" borderId="0" xfId="0" applyFont="1" applyBorder="1" applyAlignment="1">
      <alignment horizontal="center"/>
    </xf>
    <xf numFmtId="5" fontId="121" fillId="2" borderId="0" xfId="0" applyNumberFormat="1" applyFont="1" applyBorder="1" applyAlignment="1">
      <alignment horizontal="center"/>
    </xf>
    <xf numFmtId="0" fontId="15" fillId="2" borderId="0" xfId="0" applyFont="1"/>
    <xf numFmtId="0" fontId="36" fillId="5" borderId="58" xfId="0" applyFont="1" applyFill="1" applyBorder="1"/>
    <xf numFmtId="0" fontId="5" fillId="5" borderId="56" xfId="0" applyFont="1" applyFill="1" applyBorder="1"/>
    <xf numFmtId="0" fontId="5" fillId="5" borderId="58" xfId="0" applyFont="1" applyFill="1" applyBorder="1"/>
    <xf numFmtId="176" fontId="5" fillId="5" borderId="58" xfId="4" applyNumberFormat="1" applyFont="1" applyFill="1" applyBorder="1"/>
    <xf numFmtId="5" fontId="36" fillId="2" borderId="0" xfId="0" applyNumberFormat="1" applyFont="1" applyBorder="1"/>
    <xf numFmtId="202" fontId="36" fillId="5" borderId="15" xfId="0" applyNumberFormat="1" applyFont="1" applyFill="1" applyBorder="1"/>
    <xf numFmtId="202" fontId="36" fillId="5" borderId="0" xfId="0" applyNumberFormat="1" applyFont="1" applyFill="1" applyBorder="1"/>
    <xf numFmtId="5" fontId="36" fillId="5" borderId="0" xfId="3" applyNumberFormat="1" applyFont="1" applyFill="1" applyBorder="1"/>
    <xf numFmtId="5" fontId="36" fillId="5" borderId="58" xfId="3" applyNumberFormat="1" applyFont="1" applyFill="1" applyBorder="1"/>
    <xf numFmtId="202" fontId="36" fillId="5" borderId="0" xfId="0" applyNumberFormat="1" applyFont="1" applyFill="1"/>
    <xf numFmtId="0" fontId="121" fillId="5" borderId="0" xfId="0" applyFont="1" applyFill="1" applyBorder="1" applyAlignment="1">
      <alignment horizontal="center"/>
    </xf>
    <xf numFmtId="202" fontId="6" fillId="5" borderId="0" xfId="0" applyNumberFormat="1" applyFont="1" applyFill="1" applyBorder="1"/>
    <xf numFmtId="10" fontId="105" fillId="0" borderId="0" xfId="19" applyNumberFormat="1" applyFont="1" applyFill="1" applyBorder="1"/>
    <xf numFmtId="10" fontId="0" fillId="0" borderId="0" xfId="19" applyNumberFormat="1" applyFont="1" applyFill="1" applyBorder="1"/>
    <xf numFmtId="10" fontId="0" fillId="0" borderId="0" xfId="19" applyNumberFormat="1" applyFont="1" applyFill="1"/>
    <xf numFmtId="10" fontId="33" fillId="0" borderId="0" xfId="19" applyNumberFormat="1" applyFont="1" applyFill="1" applyBorder="1"/>
    <xf numFmtId="10" fontId="41" fillId="0" borderId="0" xfId="19" applyNumberFormat="1" applyFont="1" applyFill="1" applyBorder="1"/>
    <xf numFmtId="10" fontId="0" fillId="0" borderId="0" xfId="19" applyNumberFormat="1" applyFont="1" applyBorder="1"/>
    <xf numFmtId="10" fontId="0" fillId="0" borderId="0" xfId="19" applyNumberFormat="1" applyFont="1"/>
    <xf numFmtId="0" fontId="5" fillId="0" borderId="35" xfId="19" applyNumberFormat="1" applyFont="1" applyBorder="1"/>
    <xf numFmtId="0" fontId="5" fillId="0" borderId="14" xfId="19" applyNumberFormat="1" applyFont="1" applyBorder="1"/>
    <xf numFmtId="0" fontId="5" fillId="0" borderId="14" xfId="19" applyNumberFormat="1" applyFont="1" applyBorder="1" applyAlignment="1">
      <alignment horizontal="center"/>
    </xf>
    <xf numFmtId="0" fontId="3" fillId="8" borderId="14" xfId="19" applyNumberFormat="1" applyFont="1" applyFill="1" applyBorder="1"/>
    <xf numFmtId="0" fontId="5" fillId="0" borderId="56" xfId="19" applyNumberFormat="1" applyFont="1" applyBorder="1"/>
    <xf numFmtId="0" fontId="5" fillId="0" borderId="0" xfId="19" applyNumberFormat="1" applyFont="1" applyBorder="1"/>
    <xf numFmtId="0" fontId="4" fillId="0" borderId="0" xfId="19" applyNumberFormat="1" applyFont="1" applyAlignment="1">
      <alignment horizontal="center"/>
    </xf>
    <xf numFmtId="0" fontId="6" fillId="0" borderId="16" xfId="19" applyNumberFormat="1" applyFont="1" applyBorder="1"/>
    <xf numFmtId="0" fontId="5" fillId="0" borderId="17" xfId="19" applyNumberFormat="1" applyFont="1" applyBorder="1"/>
    <xf numFmtId="0" fontId="5" fillId="0" borderId="17" xfId="19" applyNumberFormat="1" applyFont="1" applyBorder="1" applyAlignment="1">
      <alignment horizontal="center"/>
    </xf>
    <xf numFmtId="0" fontId="36" fillId="0" borderId="17" xfId="19" applyNumberFormat="1" applyFont="1" applyBorder="1"/>
    <xf numFmtId="0" fontId="6" fillId="0" borderId="17" xfId="19" applyNumberFormat="1" applyFont="1" applyBorder="1"/>
    <xf numFmtId="0" fontId="6" fillId="0" borderId="57" xfId="19" applyNumberFormat="1" applyFont="1" applyBorder="1" applyAlignment="1">
      <alignment horizontal="right"/>
    </xf>
    <xf numFmtId="0" fontId="46" fillId="8" borderId="0" xfId="19" applyNumberFormat="1" applyFont="1" applyFill="1" applyBorder="1" applyAlignment="1">
      <alignment horizontal="center"/>
    </xf>
    <xf numFmtId="10" fontId="7" fillId="0" borderId="35" xfId="19" applyNumberFormat="1" applyFont="1" applyBorder="1"/>
    <xf numFmtId="10" fontId="5" fillId="0" borderId="15" xfId="19" applyNumberFormat="1" applyFont="1" applyBorder="1"/>
    <xf numFmtId="10" fontId="4" fillId="0" borderId="15" xfId="19" applyNumberFormat="1" applyFont="1" applyBorder="1"/>
    <xf numFmtId="10" fontId="4" fillId="0" borderId="0" xfId="19" applyNumberFormat="1" applyFont="1"/>
    <xf numFmtId="10" fontId="5" fillId="0" borderId="119" xfId="19" applyNumberFormat="1" applyFont="1" applyBorder="1"/>
    <xf numFmtId="10" fontId="5" fillId="0" borderId="120" xfId="19" applyNumberFormat="1" applyFont="1" applyBorder="1"/>
    <xf numFmtId="10" fontId="0" fillId="0" borderId="120" xfId="19" applyNumberFormat="1" applyFont="1" applyBorder="1"/>
    <xf numFmtId="10" fontId="7" fillId="0" borderId="15" xfId="19" applyNumberFormat="1" applyFont="1" applyBorder="1"/>
    <xf numFmtId="10" fontId="5" fillId="0" borderId="0" xfId="19" applyNumberFormat="1" applyFont="1" applyFill="1" applyBorder="1"/>
    <xf numFmtId="10" fontId="8" fillId="0" borderId="0" xfId="19" applyNumberFormat="1" applyFont="1" applyFill="1" applyBorder="1"/>
    <xf numFmtId="10" fontId="6" fillId="0" borderId="119" xfId="19" applyNumberFormat="1" applyFont="1" applyBorder="1"/>
    <xf numFmtId="10" fontId="6" fillId="0" borderId="120" xfId="19" applyNumberFormat="1" applyFont="1" applyBorder="1"/>
    <xf numFmtId="0" fontId="4" fillId="0" borderId="0" xfId="0" applyFont="1" applyFill="1"/>
    <xf numFmtId="0" fontId="0" fillId="0" borderId="0" xfId="0" applyFill="1"/>
    <xf numFmtId="2" fontId="0" fillId="0" borderId="0" xfId="19" applyNumberFormat="1" applyFont="1" applyFill="1"/>
    <xf numFmtId="167" fontId="0" fillId="0" borderId="0" xfId="19" applyNumberFormat="1" applyFont="1" applyFill="1"/>
    <xf numFmtId="0" fontId="0" fillId="0" borderId="17" xfId="0" applyFill="1" applyBorder="1"/>
    <xf numFmtId="0" fontId="6" fillId="0" borderId="17" xfId="0" applyFont="1" applyFill="1" applyBorder="1" applyAlignment="1">
      <alignment horizontal="center"/>
    </xf>
    <xf numFmtId="10" fontId="5" fillId="0" borderId="15" xfId="19" applyNumberFormat="1" applyFont="1" applyFill="1" applyBorder="1"/>
    <xf numFmtId="10" fontId="5" fillId="0" borderId="35" xfId="19" applyNumberFormat="1" applyFont="1" applyFill="1" applyBorder="1"/>
    <xf numFmtId="0" fontId="6" fillId="9" borderId="17" xfId="0" applyFont="1" applyFill="1" applyBorder="1" applyAlignment="1">
      <alignment horizontal="center"/>
    </xf>
    <xf numFmtId="0" fontId="8" fillId="9" borderId="0" xfId="0" applyFont="1" applyFill="1"/>
    <xf numFmtId="186" fontId="5" fillId="0" borderId="0" xfId="3" applyNumberFormat="1" applyFont="1" applyFill="1"/>
    <xf numFmtId="186" fontId="0" fillId="0" borderId="0" xfId="3" applyNumberFormat="1" applyFont="1" applyFill="1"/>
    <xf numFmtId="186" fontId="8" fillId="9" borderId="0" xfId="3" applyNumberFormat="1" applyFont="1" applyFill="1"/>
    <xf numFmtId="186" fontId="4" fillId="0" borderId="0" xfId="3" applyNumberFormat="1" applyFont="1" applyFill="1"/>
    <xf numFmtId="186" fontId="0" fillId="0" borderId="0" xfId="3" applyNumberFormat="1" applyFont="1" applyFill="1" applyAlignment="1">
      <alignment horizontal="right"/>
    </xf>
    <xf numFmtId="167" fontId="5" fillId="0" borderId="0" xfId="19" applyNumberFormat="1" applyFont="1" applyFill="1"/>
    <xf numFmtId="167" fontId="8" fillId="9" borderId="0" xfId="19" applyNumberFormat="1" applyFont="1" applyFill="1"/>
    <xf numFmtId="167" fontId="4" fillId="0" borderId="0" xfId="19" applyNumberFormat="1" applyFont="1" applyFill="1"/>
    <xf numFmtId="0" fontId="0" fillId="0" borderId="0" xfId="19" applyNumberFormat="1" applyFont="1" applyFill="1"/>
    <xf numFmtId="0" fontId="15" fillId="9" borderId="15" xfId="0" applyNumberFormat="1" applyFont="1" applyFill="1" applyBorder="1" applyAlignment="1"/>
    <xf numFmtId="0" fontId="15" fillId="9" borderId="0" xfId="0" applyNumberFormat="1" applyFont="1" applyFill="1" applyBorder="1" applyAlignment="1"/>
    <xf numFmtId="5" fontId="119" fillId="9" borderId="0" xfId="0" applyNumberFormat="1" applyFont="1" applyFill="1" applyBorder="1" applyAlignment="1"/>
    <xf numFmtId="0" fontId="119" fillId="9" borderId="0" xfId="0" applyNumberFormat="1" applyFont="1" applyFill="1" applyBorder="1" applyAlignment="1"/>
    <xf numFmtId="5" fontId="119" fillId="9" borderId="58" xfId="0" applyNumberFormat="1" applyFont="1" applyFill="1" applyBorder="1" applyAlignment="1"/>
    <xf numFmtId="0" fontId="120" fillId="9" borderId="0" xfId="0" applyNumberFormat="1" applyFont="1" applyFill="1" applyAlignment="1">
      <alignment horizontal="center"/>
    </xf>
    <xf numFmtId="0" fontId="15" fillId="9" borderId="6" xfId="0" applyNumberFormat="1" applyFont="1" applyFill="1" applyBorder="1" applyAlignment="1"/>
    <xf numFmtId="0" fontId="36" fillId="9" borderId="0" xfId="0" applyNumberFormat="1" applyFont="1" applyFill="1" applyBorder="1" applyAlignment="1">
      <alignment horizontal="center"/>
    </xf>
    <xf numFmtId="0" fontId="15" fillId="9" borderId="8" xfId="0" applyNumberFormat="1" applyFont="1" applyFill="1" applyBorder="1" applyAlignment="1"/>
    <xf numFmtId="0" fontId="15" fillId="9" borderId="0" xfId="0" applyNumberFormat="1" applyFont="1" applyFill="1" applyAlignment="1"/>
    <xf numFmtId="5" fontId="15" fillId="9" borderId="0" xfId="0" applyNumberFormat="1" applyFont="1" applyFill="1" applyBorder="1"/>
    <xf numFmtId="0" fontId="15" fillId="2" borderId="0" xfId="0" applyNumberFormat="1" applyFont="1" applyBorder="1" applyAlignment="1">
      <alignment horizontal="right"/>
    </xf>
    <xf numFmtId="0" fontId="36" fillId="9" borderId="15" xfId="0" applyFont="1" applyFill="1" applyBorder="1"/>
    <xf numFmtId="0" fontId="15" fillId="9" borderId="0" xfId="0" applyFont="1" applyFill="1" applyBorder="1"/>
    <xf numFmtId="0" fontId="15" fillId="9" borderId="51" xfId="0" applyFont="1" applyFill="1" applyBorder="1"/>
    <xf numFmtId="0" fontId="15" fillId="9" borderId="0" xfId="0" applyFont="1" applyFill="1"/>
    <xf numFmtId="0" fontId="15" fillId="9" borderId="15" xfId="0" applyFont="1" applyFill="1" applyBorder="1"/>
    <xf numFmtId="9" fontId="15" fillId="9" borderId="0" xfId="19" applyFont="1" applyFill="1" applyBorder="1"/>
    <xf numFmtId="5" fontId="3" fillId="9" borderId="51" xfId="0" applyNumberFormat="1" applyFont="1" applyFill="1" applyBorder="1" applyAlignment="1"/>
    <xf numFmtId="10" fontId="4" fillId="0" borderId="0" xfId="0" applyNumberFormat="1" applyFont="1" applyFill="1" applyBorder="1" applyAlignment="1"/>
    <xf numFmtId="0" fontId="5" fillId="12" borderId="15" xfId="0" applyFont="1" applyFill="1" applyBorder="1"/>
    <xf numFmtId="0" fontId="5" fillId="12" borderId="0" xfId="0" applyFont="1" applyFill="1" applyBorder="1"/>
    <xf numFmtId="5" fontId="4" fillId="12" borderId="0" xfId="0" applyNumberFormat="1" applyFont="1" applyFill="1" applyBorder="1"/>
    <xf numFmtId="5" fontId="4" fillId="12" borderId="58" xfId="0" applyNumberFormat="1" applyFont="1" applyFill="1" applyBorder="1"/>
    <xf numFmtId="0" fontId="8" fillId="12" borderId="0" xfId="0" applyFont="1" applyFill="1" applyBorder="1" applyAlignment="1">
      <alignment horizontal="center"/>
    </xf>
    <xf numFmtId="5" fontId="5" fillId="9" borderId="0" xfId="0" applyNumberFormat="1" applyFont="1" applyFill="1" applyBorder="1" applyProtection="1"/>
    <xf numFmtId="0" fontId="5" fillId="12" borderId="0" xfId="0" applyFont="1" applyFill="1"/>
    <xf numFmtId="10" fontId="6" fillId="13" borderId="15" xfId="0" applyNumberFormat="1" applyFont="1" applyFill="1" applyBorder="1" applyAlignment="1"/>
    <xf numFmtId="0" fontId="5" fillId="13" borderId="0" xfId="0" applyFont="1" applyFill="1" applyBorder="1"/>
    <xf numFmtId="38" fontId="5" fillId="13" borderId="0" xfId="0" applyNumberFormat="1" applyFont="1" applyFill="1" applyBorder="1"/>
    <xf numFmtId="5" fontId="5" fillId="13" borderId="0" xfId="0" applyNumberFormat="1" applyFont="1" applyFill="1" applyBorder="1"/>
    <xf numFmtId="5" fontId="5" fillId="13" borderId="58" xfId="0" applyNumberFormat="1" applyFont="1" applyFill="1" applyBorder="1"/>
    <xf numFmtId="0" fontId="5" fillId="13" borderId="0" xfId="0" applyFont="1" applyFill="1"/>
    <xf numFmtId="10" fontId="6" fillId="14" borderId="15" xfId="0" applyNumberFormat="1" applyFont="1" applyFill="1" applyBorder="1" applyAlignment="1"/>
    <xf numFmtId="0" fontId="5" fillId="14" borderId="0" xfId="0" applyFont="1" applyFill="1" applyBorder="1"/>
    <xf numFmtId="38" fontId="5" fillId="14" borderId="0" xfId="0" applyNumberFormat="1" applyFont="1" applyFill="1" applyBorder="1"/>
    <xf numFmtId="5" fontId="16" fillId="14" borderId="0" xfId="0" applyNumberFormat="1" applyFont="1" applyFill="1" applyBorder="1"/>
    <xf numFmtId="5" fontId="5" fillId="14" borderId="58" xfId="0" applyNumberFormat="1" applyFont="1" applyFill="1" applyBorder="1"/>
    <xf numFmtId="0" fontId="5" fillId="14" borderId="0" xfId="0" applyFont="1" applyFill="1"/>
    <xf numFmtId="10" fontId="6" fillId="14" borderId="15" xfId="19" applyNumberFormat="1" applyFont="1" applyFill="1" applyBorder="1" applyAlignment="1"/>
    <xf numFmtId="49" fontId="5" fillId="14" borderId="0" xfId="0" applyNumberFormat="1" applyFont="1" applyFill="1" applyBorder="1" applyAlignment="1">
      <alignment horizontal="center"/>
    </xf>
    <xf numFmtId="5" fontId="5" fillId="14" borderId="0" xfId="0" applyNumberFormat="1" applyFont="1" applyFill="1" applyBorder="1" applyAlignment="1">
      <alignment horizontal="right"/>
    </xf>
    <xf numFmtId="0" fontId="5" fillId="14" borderId="15" xfId="0" applyFont="1" applyFill="1" applyBorder="1" applyAlignment="1"/>
    <xf numFmtId="5" fontId="5" fillId="14" borderId="0" xfId="0" applyNumberFormat="1" applyFont="1" applyFill="1" applyBorder="1"/>
    <xf numFmtId="0" fontId="4" fillId="14" borderId="15" xfId="0" applyFont="1" applyFill="1" applyBorder="1" applyAlignment="1"/>
    <xf numFmtId="0" fontId="5" fillId="14" borderId="0" xfId="0" quotePrefix="1" applyFont="1" applyFill="1" applyBorder="1" applyAlignment="1">
      <alignment horizontal="center"/>
    </xf>
    <xf numFmtId="5" fontId="4" fillId="14" borderId="0" xfId="0" applyNumberFormat="1" applyFont="1" applyFill="1" applyBorder="1"/>
    <xf numFmtId="5" fontId="4" fillId="14" borderId="58" xfId="0" applyNumberFormat="1" applyFont="1" applyFill="1" applyBorder="1"/>
    <xf numFmtId="0" fontId="4" fillId="14" borderId="0" xfId="0" applyFont="1" applyFill="1"/>
    <xf numFmtId="10" fontId="6" fillId="9" borderId="15" xfId="19" applyNumberFormat="1" applyFont="1" applyFill="1" applyBorder="1" applyAlignment="1"/>
    <xf numFmtId="49" fontId="5" fillId="9" borderId="0" xfId="0" applyNumberFormat="1" applyFont="1" applyFill="1" applyBorder="1" applyAlignment="1">
      <alignment horizontal="center"/>
    </xf>
    <xf numFmtId="38" fontId="5" fillId="9" borderId="0" xfId="0" applyNumberFormat="1" applyFont="1" applyFill="1" applyBorder="1"/>
    <xf numFmtId="5" fontId="5" fillId="9" borderId="0" xfId="0" applyNumberFormat="1" applyFont="1" applyFill="1" applyBorder="1" applyAlignment="1">
      <alignment horizontal="right"/>
    </xf>
    <xf numFmtId="0" fontId="5" fillId="9" borderId="0" xfId="0" applyFont="1" applyFill="1"/>
    <xf numFmtId="0" fontId="5" fillId="9" borderId="15" xfId="0" applyFont="1" applyFill="1" applyBorder="1" applyAlignment="1"/>
    <xf numFmtId="10" fontId="5" fillId="14" borderId="0" xfId="19" applyNumberFormat="1" applyFont="1" applyFill="1" applyBorder="1" applyAlignment="1">
      <alignment horizontal="center"/>
    </xf>
    <xf numFmtId="7" fontId="5" fillId="14" borderId="0" xfId="0" applyNumberFormat="1" applyFont="1" applyFill="1"/>
    <xf numFmtId="10" fontId="5" fillId="14" borderId="0" xfId="19" applyNumberFormat="1" applyFont="1" applyFill="1" applyBorder="1"/>
    <xf numFmtId="0" fontId="5" fillId="8" borderId="15" xfId="0" applyFont="1" applyFill="1" applyBorder="1" applyAlignment="1"/>
    <xf numFmtId="0" fontId="6" fillId="8" borderId="0" xfId="0" applyFont="1" applyFill="1" applyBorder="1"/>
    <xf numFmtId="1" fontId="6" fillId="8" borderId="0" xfId="0" applyNumberFormat="1" applyFont="1" applyFill="1" applyBorder="1"/>
    <xf numFmtId="5" fontId="5" fillId="8" borderId="0" xfId="0" applyNumberFormat="1" applyFont="1" applyFill="1" applyBorder="1"/>
    <xf numFmtId="5" fontId="5" fillId="8" borderId="58" xfId="0" applyNumberFormat="1" applyFont="1" applyFill="1" applyBorder="1"/>
    <xf numFmtId="10" fontId="6" fillId="15" borderId="15" xfId="0" applyNumberFormat="1" applyFont="1" applyFill="1" applyBorder="1" applyAlignment="1"/>
    <xf numFmtId="0" fontId="5" fillId="15" borderId="0" xfId="0" applyFont="1" applyFill="1" applyBorder="1"/>
    <xf numFmtId="0" fontId="6" fillId="15" borderId="0" xfId="0" applyFont="1" applyFill="1" applyBorder="1"/>
    <xf numFmtId="1" fontId="6" fillId="15" borderId="0" xfId="0" applyNumberFormat="1" applyFont="1" applyFill="1" applyBorder="1"/>
    <xf numFmtId="5" fontId="5" fillId="15" borderId="0" xfId="0" applyNumberFormat="1" applyFont="1" applyFill="1" applyBorder="1"/>
    <xf numFmtId="5" fontId="5" fillId="15" borderId="58" xfId="0" applyNumberFormat="1" applyFont="1" applyFill="1" applyBorder="1"/>
    <xf numFmtId="0" fontId="5" fillId="15" borderId="0" xfId="0" applyFont="1" applyFill="1"/>
    <xf numFmtId="0" fontId="5" fillId="12" borderId="15" xfId="0" applyFont="1" applyFill="1" applyBorder="1" applyAlignment="1"/>
    <xf numFmtId="0" fontId="6" fillId="12" borderId="0" xfId="0" applyFont="1" applyFill="1" applyBorder="1"/>
    <xf numFmtId="1" fontId="6" fillId="12" borderId="0" xfId="0" applyNumberFormat="1" applyFont="1" applyFill="1" applyBorder="1"/>
    <xf numFmtId="5" fontId="5" fillId="12" borderId="0" xfId="0" applyNumberFormat="1" applyFont="1" applyFill="1" applyBorder="1"/>
    <xf numFmtId="5" fontId="5" fillId="12" borderId="58" xfId="0" applyNumberFormat="1" applyFont="1" applyFill="1" applyBorder="1"/>
    <xf numFmtId="49" fontId="5" fillId="12" borderId="0" xfId="0" applyNumberFormat="1" applyFont="1" applyFill="1" applyBorder="1" applyAlignment="1">
      <alignment horizontal="center"/>
    </xf>
    <xf numFmtId="1" fontId="5" fillId="2" borderId="15" xfId="0" applyNumberFormat="1" applyFont="1" applyBorder="1" applyAlignment="1"/>
    <xf numFmtId="0" fontId="6" fillId="14" borderId="0" xfId="0" applyFont="1" applyFill="1" applyBorder="1"/>
    <xf numFmtId="1" fontId="6" fillId="14" borderId="0" xfId="0" applyNumberFormat="1" applyFont="1" applyFill="1" applyBorder="1"/>
    <xf numFmtId="37" fontId="5" fillId="2" borderId="0" xfId="0" applyNumberFormat="1" applyFont="1" applyAlignment="1"/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Normal_0818_BRpipe" xfId="15"/>
    <cellStyle name="Normal_0914_BRpwr" xfId="16"/>
    <cellStyle name="Normal_0915_BRpwr" xfId="17"/>
    <cellStyle name="Normal_Curves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518160</xdr:colOff>
          <xdr:row>2</xdr:row>
          <xdr:rowOff>45720</xdr:rowOff>
        </xdr:from>
        <xdr:to>
          <xdr:col>2</xdr:col>
          <xdr:colOff>693420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350520</xdr:colOff>
          <xdr:row>2</xdr:row>
          <xdr:rowOff>38100</xdr:rowOff>
        </xdr:from>
        <xdr:to>
          <xdr:col>5</xdr:col>
          <xdr:colOff>624840</xdr:colOff>
          <xdr:row>4</xdr:row>
          <xdr:rowOff>68580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Print Entire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</xdr:colOff>
          <xdr:row>2</xdr:row>
          <xdr:rowOff>53340</xdr:rowOff>
        </xdr:from>
        <xdr:to>
          <xdr:col>4</xdr:col>
          <xdr:colOff>213360</xdr:colOff>
          <xdr:row>4</xdr:row>
          <xdr:rowOff>68580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Commitment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754380</xdr:colOff>
          <xdr:row>2</xdr:row>
          <xdr:rowOff>38100</xdr:rowOff>
        </xdr:from>
        <xdr:to>
          <xdr:col>7</xdr:col>
          <xdr:colOff>769620</xdr:colOff>
          <xdr:row>4</xdr:row>
          <xdr:rowOff>60960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Appendix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urves_04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ons_04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_TBS_0400MyCop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_EPE_0400My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4-30-00"/>
      <sheetName val="Annual Curve Selection"/>
      <sheetName val="Monthly Curve Calc."/>
      <sheetName val="11-17-99 CPI &amp; PPI"/>
      <sheetName val="1-28-2000 WTI"/>
      <sheetName val="012600 cpi-ppi"/>
      <sheetName val="02112000 USD-CPI-IGPM"/>
    </sheetNames>
    <sheetDataSet>
      <sheetData sheetId="0"/>
      <sheetData sheetId="1"/>
      <sheetData sheetId="2">
        <row r="12">
          <cell r="F12">
            <v>0</v>
          </cell>
        </row>
        <row r="22">
          <cell r="B22">
            <v>134.68899999999999</v>
          </cell>
          <cell r="C22">
            <v>159.1</v>
          </cell>
          <cell r="D22">
            <v>133</v>
          </cell>
          <cell r="E22">
            <v>25.92</v>
          </cell>
          <cell r="F22">
            <v>1.0385</v>
          </cell>
        </row>
        <row r="23">
          <cell r="B23">
            <v>136.81399999999999</v>
          </cell>
          <cell r="C23">
            <v>159.1</v>
          </cell>
          <cell r="D23">
            <v>133</v>
          </cell>
          <cell r="E23">
            <v>24.15</v>
          </cell>
          <cell r="F23">
            <v>1.0456000000000001</v>
          </cell>
        </row>
        <row r="24">
          <cell r="B24">
            <v>137.38999999999999</v>
          </cell>
          <cell r="C24">
            <v>159.6</v>
          </cell>
          <cell r="D24">
            <v>132.69999999999999</v>
          </cell>
          <cell r="E24">
            <v>20.3</v>
          </cell>
          <cell r="F24">
            <v>1.0509999999999999</v>
          </cell>
        </row>
        <row r="25">
          <cell r="B25">
            <v>138.99</v>
          </cell>
          <cell r="C25">
            <v>160</v>
          </cell>
          <cell r="D25">
            <v>132.5</v>
          </cell>
          <cell r="E25">
            <v>20.41</v>
          </cell>
          <cell r="F25">
            <v>1.0593999999999999</v>
          </cell>
        </row>
        <row r="26">
          <cell r="B26">
            <v>139.80699999999999</v>
          </cell>
          <cell r="C26">
            <v>160.19999999999999</v>
          </cell>
          <cell r="D26">
            <v>131.9</v>
          </cell>
          <cell r="E26">
            <v>19.747730000000001</v>
          </cell>
          <cell r="F26">
            <v>1.0634999999999999</v>
          </cell>
        </row>
        <row r="27">
          <cell r="B27">
            <v>140.22</v>
          </cell>
          <cell r="C27">
            <v>160.1</v>
          </cell>
          <cell r="D27">
            <v>131.6</v>
          </cell>
          <cell r="E27">
            <v>20.91</v>
          </cell>
          <cell r="F27">
            <v>1.0703</v>
          </cell>
        </row>
        <row r="28">
          <cell r="B28">
            <v>141.20699999999999</v>
          </cell>
          <cell r="C28">
            <v>160.30000000000001</v>
          </cell>
          <cell r="D28">
            <v>131.30000000000001</v>
          </cell>
          <cell r="E28">
            <v>19.277380000000001</v>
          </cell>
          <cell r="F28">
            <v>1.0766</v>
          </cell>
        </row>
        <row r="29">
          <cell r="B29">
            <v>141.33000000000001</v>
          </cell>
          <cell r="C29">
            <v>160.5</v>
          </cell>
          <cell r="D29">
            <v>131</v>
          </cell>
          <cell r="E29">
            <v>19.63409</v>
          </cell>
          <cell r="F29">
            <v>1.0829</v>
          </cell>
        </row>
        <row r="30">
          <cell r="B30">
            <v>141.26</v>
          </cell>
          <cell r="C30">
            <v>160.80000000000001</v>
          </cell>
          <cell r="D30">
            <v>131.30000000000001</v>
          </cell>
          <cell r="E30">
            <v>19.932859999999998</v>
          </cell>
          <cell r="F30">
            <v>1.0912999999999999</v>
          </cell>
        </row>
        <row r="31">
          <cell r="B31">
            <v>142.101</v>
          </cell>
          <cell r="C31">
            <v>161.19999999999999</v>
          </cell>
          <cell r="D31">
            <v>131.69999999999999</v>
          </cell>
          <cell r="E31">
            <v>19.775955000000003</v>
          </cell>
          <cell r="F31">
            <v>1.0960000000000001</v>
          </cell>
        </row>
        <row r="32">
          <cell r="B32">
            <v>142.58699999999999</v>
          </cell>
          <cell r="C32">
            <v>161.6</v>
          </cell>
          <cell r="D32">
            <v>131.80000000000001</v>
          </cell>
          <cell r="E32">
            <v>21.271304999999998</v>
          </cell>
          <cell r="F32">
            <v>1.1027</v>
          </cell>
        </row>
        <row r="33">
          <cell r="B33">
            <v>143.77099999999999</v>
          </cell>
          <cell r="C33">
            <v>161.5</v>
          </cell>
          <cell r="D33">
            <v>131.5</v>
          </cell>
          <cell r="E33">
            <v>20.176945</v>
          </cell>
          <cell r="F33">
            <v>1.1094999999999999</v>
          </cell>
        </row>
        <row r="34">
          <cell r="B34">
            <v>144.76499999999999</v>
          </cell>
          <cell r="C34">
            <v>161.30000000000001</v>
          </cell>
          <cell r="D34">
            <v>131.4</v>
          </cell>
          <cell r="E34">
            <v>18.299775</v>
          </cell>
          <cell r="F34">
            <v>1.1160000000000001</v>
          </cell>
        </row>
        <row r="35">
          <cell r="B35">
            <v>146.03800000000001</v>
          </cell>
          <cell r="C35">
            <v>161.6</v>
          </cell>
          <cell r="D35">
            <v>130.6</v>
          </cell>
          <cell r="E35">
            <v>16.688499999999998</v>
          </cell>
          <cell r="F35">
            <v>1.1234</v>
          </cell>
        </row>
        <row r="36">
          <cell r="B36">
            <v>146.06700000000001</v>
          </cell>
          <cell r="C36">
            <v>161.9</v>
          </cell>
          <cell r="D36">
            <v>130.5</v>
          </cell>
          <cell r="E36">
            <v>16.072895000000003</v>
          </cell>
          <cell r="F36">
            <v>1.1299999999999999</v>
          </cell>
        </row>
        <row r="37">
          <cell r="B37">
            <v>146.40600000000001</v>
          </cell>
          <cell r="C37">
            <v>162.19999999999999</v>
          </cell>
          <cell r="D37">
            <v>130.5</v>
          </cell>
          <cell r="E37">
            <v>15.098635000000002</v>
          </cell>
          <cell r="F37">
            <v>1.137</v>
          </cell>
        </row>
        <row r="38">
          <cell r="B38">
            <v>146.21100000000001</v>
          </cell>
          <cell r="C38">
            <v>162.5</v>
          </cell>
          <cell r="D38">
            <v>130.69999999999999</v>
          </cell>
          <cell r="E38">
            <v>15.31643</v>
          </cell>
          <cell r="F38">
            <v>1.1443000000000001</v>
          </cell>
        </row>
        <row r="39">
          <cell r="B39">
            <v>146.54400000000001</v>
          </cell>
          <cell r="C39">
            <v>162.80000000000001</v>
          </cell>
          <cell r="D39">
            <v>130.6</v>
          </cell>
          <cell r="E39">
            <v>14.92775</v>
          </cell>
          <cell r="F39">
            <v>1.1500999999999999</v>
          </cell>
        </row>
        <row r="40">
          <cell r="B40">
            <v>146.95099999999999</v>
          </cell>
          <cell r="C40">
            <v>163</v>
          </cell>
          <cell r="D40">
            <v>130.4</v>
          </cell>
          <cell r="E40">
            <v>13.686139999999998</v>
          </cell>
          <cell r="F40">
            <v>1.1565000000000001</v>
          </cell>
        </row>
        <row r="41">
          <cell r="B41">
            <v>146.38999999999999</v>
          </cell>
          <cell r="C41">
            <v>163.19999999999999</v>
          </cell>
          <cell r="D41">
            <v>130.69999999999999</v>
          </cell>
          <cell r="E41">
            <v>14.26</v>
          </cell>
          <cell r="F41">
            <v>1.163</v>
          </cell>
        </row>
        <row r="42">
          <cell r="B42">
            <v>146.14400000000001</v>
          </cell>
          <cell r="C42">
            <v>163.4</v>
          </cell>
          <cell r="D42">
            <v>130.30000000000001</v>
          </cell>
          <cell r="E42">
            <v>13.38</v>
          </cell>
          <cell r="F42">
            <v>1.1765000000000001</v>
          </cell>
        </row>
        <row r="43">
          <cell r="B43">
            <v>146.11099999999999</v>
          </cell>
          <cell r="C43">
            <v>163.6</v>
          </cell>
          <cell r="D43">
            <v>130.6</v>
          </cell>
          <cell r="E43">
            <v>16.170000000000002</v>
          </cell>
          <cell r="F43">
            <v>1.1856</v>
          </cell>
        </row>
        <row r="44">
          <cell r="B44">
            <v>146.06299999999999</v>
          </cell>
          <cell r="C44">
            <v>164</v>
          </cell>
          <cell r="D44">
            <v>131</v>
          </cell>
          <cell r="E44">
            <v>14.45</v>
          </cell>
          <cell r="F44">
            <v>1.1928000000000001</v>
          </cell>
        </row>
        <row r="45">
          <cell r="B45">
            <v>145.797</v>
          </cell>
          <cell r="C45">
            <v>164</v>
          </cell>
          <cell r="D45">
            <v>130.69999999999999</v>
          </cell>
          <cell r="E45">
            <v>11.26</v>
          </cell>
          <cell r="F45">
            <v>1.2008000000000001</v>
          </cell>
        </row>
        <row r="46">
          <cell r="B46">
            <v>147.22999999999999</v>
          </cell>
          <cell r="C46">
            <v>163.9</v>
          </cell>
          <cell r="D46">
            <v>131.30000000000001</v>
          </cell>
          <cell r="E46">
            <v>12.09</v>
          </cell>
          <cell r="F46">
            <v>1.2082999999999999</v>
          </cell>
        </row>
        <row r="47">
          <cell r="B47">
            <v>148.91999999999999</v>
          </cell>
          <cell r="C47">
            <v>164.3</v>
          </cell>
          <cell r="D47">
            <v>131.69999999999999</v>
          </cell>
          <cell r="E47">
            <v>12.76</v>
          </cell>
          <cell r="F47">
            <v>2.0499999999999998</v>
          </cell>
        </row>
        <row r="48">
          <cell r="B48">
            <v>155.53</v>
          </cell>
          <cell r="C48">
            <v>164.5</v>
          </cell>
          <cell r="D48">
            <v>131.1</v>
          </cell>
          <cell r="E48">
            <v>12.28</v>
          </cell>
          <cell r="F48">
            <v>2.0350000000000001</v>
          </cell>
        </row>
        <row r="49">
          <cell r="B49">
            <v>158.6</v>
          </cell>
          <cell r="C49">
            <v>165</v>
          </cell>
          <cell r="D49">
            <v>131.5</v>
          </cell>
          <cell r="E49">
            <v>16.760000000000002</v>
          </cell>
          <cell r="F49">
            <v>1.7175</v>
          </cell>
        </row>
        <row r="50">
          <cell r="B50">
            <v>158.65</v>
          </cell>
          <cell r="C50">
            <v>166.2</v>
          </cell>
          <cell r="D50">
            <v>132.19999999999999</v>
          </cell>
          <cell r="E50">
            <v>18.66</v>
          </cell>
          <cell r="F50">
            <v>1.665</v>
          </cell>
        </row>
        <row r="51">
          <cell r="B51">
            <v>158.1</v>
          </cell>
          <cell r="C51">
            <v>166.2</v>
          </cell>
          <cell r="D51">
            <v>132.4</v>
          </cell>
          <cell r="E51">
            <v>16.84</v>
          </cell>
          <cell r="F51">
            <v>1.7210000000000001</v>
          </cell>
        </row>
        <row r="52">
          <cell r="B52">
            <v>159.71</v>
          </cell>
          <cell r="C52">
            <v>166.2</v>
          </cell>
          <cell r="D52">
            <v>132.30000000000001</v>
          </cell>
          <cell r="E52">
            <v>19.29</v>
          </cell>
          <cell r="F52">
            <v>1.7524999999999999</v>
          </cell>
        </row>
        <row r="53">
          <cell r="B53">
            <v>162.25</v>
          </cell>
          <cell r="C53">
            <v>166.7</v>
          </cell>
          <cell r="D53">
            <v>132.6</v>
          </cell>
          <cell r="E53">
            <v>20.53</v>
          </cell>
          <cell r="F53">
            <v>1.8009999999999999</v>
          </cell>
        </row>
        <row r="54">
          <cell r="B54">
            <v>164.61</v>
          </cell>
          <cell r="C54">
            <v>167.1</v>
          </cell>
          <cell r="D54">
            <v>133.4</v>
          </cell>
          <cell r="E54">
            <v>22.11</v>
          </cell>
          <cell r="F54">
            <v>1.919</v>
          </cell>
        </row>
        <row r="55">
          <cell r="B55">
            <v>167.03</v>
          </cell>
          <cell r="C55">
            <v>167.9</v>
          </cell>
          <cell r="D55">
            <v>134.69999999999999</v>
          </cell>
          <cell r="E55">
            <v>24.51</v>
          </cell>
          <cell r="F55">
            <v>1.9375</v>
          </cell>
        </row>
        <row r="56">
          <cell r="B56">
            <v>170.18</v>
          </cell>
          <cell r="C56">
            <v>168.2</v>
          </cell>
          <cell r="D56">
            <v>134.5</v>
          </cell>
          <cell r="E56">
            <v>21.75</v>
          </cell>
          <cell r="F56">
            <v>1.9490000000000001</v>
          </cell>
        </row>
        <row r="57">
          <cell r="B57">
            <v>174.5</v>
          </cell>
          <cell r="C57">
            <v>168.3</v>
          </cell>
          <cell r="D57">
            <v>134.80000000000001</v>
          </cell>
          <cell r="E57">
            <v>24.59</v>
          </cell>
          <cell r="F57">
            <v>1.923</v>
          </cell>
        </row>
        <row r="58">
          <cell r="B58">
            <v>176.65</v>
          </cell>
          <cell r="C58">
            <v>168.3</v>
          </cell>
          <cell r="D58">
            <v>135.19999999999999</v>
          </cell>
          <cell r="E58">
            <v>25.6</v>
          </cell>
          <cell r="F58">
            <v>1.7989999999999999</v>
          </cell>
        </row>
        <row r="59">
          <cell r="B59">
            <v>177.96266761992723</v>
          </cell>
          <cell r="C59">
            <v>168.75941921656877</v>
          </cell>
          <cell r="D59">
            <v>135.6398759862023</v>
          </cell>
          <cell r="E59">
            <v>26.192083333333336</v>
          </cell>
          <cell r="F59">
            <v>1.7947506486897897</v>
          </cell>
        </row>
        <row r="60">
          <cell r="B60">
            <v>179.28508953524309</v>
          </cell>
          <cell r="C60">
            <v>169.22009253899941</v>
          </cell>
          <cell r="D60">
            <v>136.08118311799069</v>
          </cell>
          <cell r="E60">
            <v>26.784166666666671</v>
          </cell>
          <cell r="F60">
            <v>1.7905113346150201</v>
          </cell>
        </row>
        <row r="61">
          <cell r="B61">
            <v>180.61733822909343</v>
          </cell>
          <cell r="C61">
            <v>169.68202339070447</v>
          </cell>
          <cell r="D61">
            <v>136.52392605162683</v>
          </cell>
          <cell r="E61">
            <v>27.376250000000006</v>
          </cell>
          <cell r="F61">
            <v>1.7862820340671086</v>
          </cell>
        </row>
        <row r="62">
          <cell r="B62">
            <v>181.95948672323877</v>
          </cell>
          <cell r="C62">
            <v>170.1452152044416</v>
          </cell>
          <cell r="D62">
            <v>136.96810945852158</v>
          </cell>
          <cell r="E62">
            <v>27.968333333333341</v>
          </cell>
          <cell r="F62">
            <v>1.7820627233934743</v>
          </cell>
        </row>
        <row r="63">
          <cell r="B63">
            <v>183.31160858205661</v>
          </cell>
          <cell r="C63">
            <v>170.60967142233909</v>
          </cell>
          <cell r="D63">
            <v>137.4137380252844</v>
          </cell>
          <cell r="E63">
            <v>28.560416666666676</v>
          </cell>
          <cell r="F63">
            <v>1.7778533789974047</v>
          </cell>
        </row>
        <row r="64">
          <cell r="B64">
            <v>184.67377791657367</v>
          </cell>
          <cell r="C64">
            <v>171.07539549592141</v>
          </cell>
          <cell r="D64">
            <v>137.86081645377271</v>
          </cell>
          <cell r="E64">
            <v>29.152500000000011</v>
          </cell>
          <cell r="F64">
            <v>1.7736539773379247</v>
          </cell>
        </row>
        <row r="65">
          <cell r="B65">
            <v>186.04606938852791</v>
          </cell>
          <cell r="C65">
            <v>171.54239088613488</v>
          </cell>
          <cell r="D65">
            <v>138.30934946114149</v>
          </cell>
          <cell r="E65">
            <v>29.744583333333345</v>
          </cell>
          <cell r="F65">
            <v>1.7694644949296643</v>
          </cell>
        </row>
        <row r="66">
          <cell r="B66">
            <v>187.42855821446085</v>
          </cell>
          <cell r="C66">
            <v>172.01066106337339</v>
          </cell>
          <cell r="D66">
            <v>138.75934177989313</v>
          </cell>
          <cell r="E66">
            <v>30.33666666666668</v>
          </cell>
          <cell r="F66">
            <v>1.7652849083427271</v>
          </cell>
        </row>
        <row r="67">
          <cell r="B67">
            <v>188.82132016984022</v>
          </cell>
          <cell r="C67">
            <v>172.48020950750416</v>
          </cell>
          <cell r="D67">
            <v>139.21079815792726</v>
          </cell>
          <cell r="E67">
            <v>30.928750000000015</v>
          </cell>
          <cell r="F67">
            <v>1.76111519420256</v>
          </cell>
        </row>
        <row r="68">
          <cell r="B68">
            <v>190.22443159321332</v>
          </cell>
          <cell r="C68">
            <v>172.95103970789367</v>
          </cell>
          <cell r="D68">
            <v>139.66372335859094</v>
          </cell>
          <cell r="E68">
            <v>31.52083333333335</v>
          </cell>
          <cell r="F68">
            <v>1.7569553291898219</v>
          </cell>
        </row>
        <row r="69">
          <cell r="B69">
            <v>191.63796939039119</v>
          </cell>
          <cell r="C69">
            <v>173.42315516343351</v>
          </cell>
          <cell r="D69">
            <v>140.11812216072886</v>
          </cell>
          <cell r="E69">
            <v>32.112916666666685</v>
          </cell>
          <cell r="F69">
            <v>1.7528052900402533</v>
          </cell>
        </row>
        <row r="70">
          <cell r="B70">
            <v>193.06201103866388</v>
          </cell>
          <cell r="C70">
            <v>173.89655938256641</v>
          </cell>
          <cell r="D70">
            <v>140.5739993587338</v>
          </cell>
          <cell r="E70">
            <v>26.745000000000001</v>
          </cell>
          <cell r="F70">
            <v>1.8038677232680336</v>
          </cell>
        </row>
        <row r="71">
          <cell r="B71">
            <v>194.45347137228308</v>
          </cell>
          <cell r="C71">
            <v>174.3626262314074</v>
          </cell>
          <cell r="D71">
            <v>140.99652459526345</v>
          </cell>
          <cell r="E71">
            <v>26.422152777777779</v>
          </cell>
          <cell r="F71">
            <v>1.8188212690525873</v>
          </cell>
        </row>
        <row r="72">
          <cell r="B72">
            <v>195.85496041040827</v>
          </cell>
          <cell r="C72">
            <v>174.82994220391342</v>
          </cell>
          <cell r="D72">
            <v>141.42031982180777</v>
          </cell>
          <cell r="E72">
            <v>26.099305555555556</v>
          </cell>
          <cell r="F72">
            <v>1.8338987754405969</v>
          </cell>
        </row>
        <row r="73">
          <cell r="B73">
            <v>197.26655043315523</v>
          </cell>
          <cell r="C73">
            <v>175.29851064790876</v>
          </cell>
          <cell r="D73">
            <v>141.84538885559348</v>
          </cell>
          <cell r="E73">
            <v>25.776458333333334</v>
          </cell>
          <cell r="F73">
            <v>1.849101270029893</v>
          </cell>
        </row>
        <row r="74">
          <cell r="B74">
            <v>198.68831424158597</v>
          </cell>
          <cell r="C74">
            <v>175.76833492019037</v>
          </cell>
          <cell r="D74">
            <v>142.27173552532085</v>
          </cell>
          <cell r="E74">
            <v>25.453611111111112</v>
          </cell>
          <cell r="F74">
            <v>1.8644297889367973</v>
          </cell>
        </row>
        <row r="75">
          <cell r="B75">
            <v>200.12032516146326</v>
          </cell>
          <cell r="C75">
            <v>176.23941838655188</v>
          </cell>
          <cell r="D75">
            <v>142.69936367119809</v>
          </cell>
          <cell r="E75">
            <v>25.13076388888889</v>
          </cell>
          <cell r="F75">
            <v>1.8798853768667387</v>
          </cell>
        </row>
        <row r="76">
          <cell r="B76">
            <v>201.56265704703233</v>
          </cell>
          <cell r="C76">
            <v>176.71176442180774</v>
          </cell>
          <cell r="D76">
            <v>143.12827714497598</v>
          </cell>
          <cell r="E76">
            <v>24.807916666666667</v>
          </cell>
          <cell r="F76">
            <v>1.8954690871854543</v>
          </cell>
        </row>
        <row r="77">
          <cell r="B77">
            <v>203.01538428482988</v>
          </cell>
          <cell r="C77">
            <v>177.18537640981734</v>
          </cell>
          <cell r="D77">
            <v>143.5584798099826</v>
          </cell>
          <cell r="E77">
            <v>24.485069444444445</v>
          </cell>
          <cell r="F77">
            <v>1.9111819819907805</v>
          </cell>
        </row>
        <row r="78">
          <cell r="B78">
            <v>204.47858179752038</v>
          </cell>
          <cell r="C78">
            <v>177.66025774350925</v>
          </cell>
          <cell r="D78">
            <v>143.98997554115803</v>
          </cell>
          <cell r="E78">
            <v>24.162222222222223</v>
          </cell>
          <cell r="F78">
            <v>1.9270251321850405</v>
          </cell>
        </row>
        <row r="79">
          <cell r="B79">
            <v>205.95232504776021</v>
          </cell>
          <cell r="C79">
            <v>178.13641182490562</v>
          </cell>
          <cell r="D79">
            <v>144.42276822508936</v>
          </cell>
          <cell r="E79">
            <v>23.839375</v>
          </cell>
          <cell r="F79">
            <v>1.9429996175480302</v>
          </cell>
        </row>
        <row r="80">
          <cell r="B80">
            <v>207.43669004208951</v>
          </cell>
          <cell r="C80">
            <v>178.61384206514646</v>
          </cell>
          <cell r="D80">
            <v>144.85686176004563</v>
          </cell>
          <cell r="E80">
            <v>23.516527777777778</v>
          </cell>
          <cell r="F80">
            <v>1.95910652681061</v>
          </cell>
        </row>
        <row r="81">
          <cell r="B81">
            <v>208.93175333485209</v>
          </cell>
          <cell r="C81">
            <v>179.09255188451411</v>
          </cell>
          <cell r="D81">
            <v>145.29226005601299</v>
          </cell>
          <cell r="E81">
            <v>23.193680555555556</v>
          </cell>
          <cell r="F81">
            <v>1.9753469577289071</v>
          </cell>
        </row>
        <row r="82">
          <cell r="B82">
            <v>210.4375920321437</v>
          </cell>
          <cell r="C82">
            <v>179.57254471245776</v>
          </cell>
          <cell r="D82">
            <v>145.72896703472983</v>
          </cell>
          <cell r="E82">
            <v>22.870833333333337</v>
          </cell>
          <cell r="F82">
            <v>1.9917220171591306</v>
          </cell>
        </row>
        <row r="83">
          <cell r="B83">
            <v>211.87309067014004</v>
          </cell>
          <cell r="C83">
            <v>180.02195483939127</v>
          </cell>
          <cell r="D83">
            <v>146.09280126420066</v>
          </cell>
          <cell r="E83">
            <v>22.712152777777781</v>
          </cell>
          <cell r="F83">
            <v>2.0024865610216462</v>
          </cell>
        </row>
        <row r="84">
          <cell r="B84">
            <v>213.31838155257233</v>
          </cell>
          <cell r="C84">
            <v>180.47248968983146</v>
          </cell>
          <cell r="D84">
            <v>146.45754386041028</v>
          </cell>
          <cell r="E84">
            <v>22.553472222222226</v>
          </cell>
          <cell r="F84">
            <v>2.0133092833867692</v>
          </cell>
        </row>
        <row r="85">
          <cell r="B85">
            <v>214.77353147717102</v>
          </cell>
          <cell r="C85">
            <v>180.92415207858576</v>
          </cell>
          <cell r="D85">
            <v>146.82319709123254</v>
          </cell>
          <cell r="E85">
            <v>22.39479166666667</v>
          </cell>
          <cell r="F85">
            <v>2.0241904986884602</v>
          </cell>
        </row>
        <row r="86">
          <cell r="B86">
            <v>216.23860769732684</v>
          </cell>
          <cell r="C86">
            <v>181.37694482750612</v>
          </cell>
          <cell r="D86">
            <v>147.1897632302034</v>
          </cell>
          <cell r="E86">
            <v>22.236111111111114</v>
          </cell>
          <cell r="F86">
            <v>2.0351305230600838</v>
          </cell>
        </row>
        <row r="87">
          <cell r="B87">
            <v>217.71367792519908</v>
          </cell>
          <cell r="C87">
            <v>181.83087076550666</v>
          </cell>
          <cell r="D87">
            <v>147.55724455653498</v>
          </cell>
          <cell r="E87">
            <v>22.077430555555559</v>
          </cell>
          <cell r="F87">
            <v>2.0461296743435908</v>
          </cell>
        </row>
        <row r="88">
          <cell r="B88">
            <v>219.19881033484506</v>
          </cell>
          <cell r="C88">
            <v>182.28593272858129</v>
          </cell>
          <cell r="D88">
            <v>147.92564335512984</v>
          </cell>
          <cell r="E88">
            <v>21.918750000000003</v>
          </cell>
          <cell r="F88">
            <v>2.0571882720987551</v>
          </cell>
        </row>
        <row r="89">
          <cell r="B89">
            <v>220.69407356537104</v>
          </cell>
          <cell r="C89">
            <v>182.74213355982153</v>
          </cell>
          <cell r="D89">
            <v>148.29496191659513</v>
          </cell>
          <cell r="E89">
            <v>21.760069444444447</v>
          </cell>
          <cell r="F89">
            <v>2.0683066376124559</v>
          </cell>
        </row>
        <row r="90">
          <cell r="B90">
            <v>222.19953672410441</v>
          </cell>
          <cell r="C90">
            <v>183.19947610943416</v>
          </cell>
          <cell r="D90">
            <v>148.66520253725685</v>
          </cell>
          <cell r="E90">
            <v>21.601388888888891</v>
          </cell>
          <cell r="F90">
            <v>2.0794850939080129</v>
          </cell>
        </row>
        <row r="91">
          <cell r="B91">
            <v>223.71526938978778</v>
          </cell>
          <cell r="C91">
            <v>183.65796323475908</v>
          </cell>
          <cell r="D91">
            <v>149.03636751917409</v>
          </cell>
          <cell r="E91">
            <v>21.442708333333336</v>
          </cell>
          <cell r="F91">
            <v>2.0907239657545715</v>
          </cell>
        </row>
        <row r="92">
          <cell r="B92">
            <v>225.24134161579468</v>
          </cell>
          <cell r="C92">
            <v>184.11759780028717</v>
          </cell>
          <cell r="D92">
            <v>149.40845917015344</v>
          </cell>
          <cell r="E92">
            <v>21.28402777777778</v>
          </cell>
          <cell r="F92">
            <v>2.1020235796765379</v>
          </cell>
        </row>
        <row r="93">
          <cell r="B93">
            <v>226.77782393336727</v>
          </cell>
          <cell r="C93">
            <v>184.57838267767818</v>
          </cell>
          <cell r="D93">
            <v>149.78147980376323</v>
          </cell>
          <cell r="E93">
            <v>21.125347222222224</v>
          </cell>
          <cell r="F93">
            <v>2.1133842639630656</v>
          </cell>
        </row>
        <row r="94">
          <cell r="B94">
            <v>228.32478735487609</v>
          </cell>
          <cell r="C94">
            <v>185.04032074577864</v>
          </cell>
          <cell r="D94">
            <v>150.15543173934796</v>
          </cell>
          <cell r="E94">
            <v>20.966666666666665</v>
          </cell>
          <cell r="F94">
            <v>2.1248063486775925</v>
          </cell>
        </row>
        <row r="95">
          <cell r="B95">
            <v>229.7938359115775</v>
          </cell>
          <cell r="C95">
            <v>185.48840652139788</v>
          </cell>
          <cell r="D95">
            <v>150.50035823592538</v>
          </cell>
          <cell r="E95">
            <v>20.894791666666666</v>
          </cell>
          <cell r="F95">
            <v>2.1308778783404252</v>
          </cell>
        </row>
        <row r="96">
          <cell r="B96">
            <v>231.27233637092579</v>
          </cell>
          <cell r="C96">
            <v>185.93757736248557</v>
          </cell>
          <cell r="D96">
            <v>150.84607707339023</v>
          </cell>
          <cell r="E96">
            <v>20.822916666666668</v>
          </cell>
          <cell r="F96">
            <v>2.1369667571007271</v>
          </cell>
        </row>
        <row r="97">
          <cell r="B97">
            <v>232.76034954674716</v>
          </cell>
          <cell r="C97">
            <v>186.38783589659013</v>
          </cell>
          <cell r="D97">
            <v>151.19259007185232</v>
          </cell>
          <cell r="E97">
            <v>20.751041666666669</v>
          </cell>
          <cell r="F97">
            <v>2.1430730345326912</v>
          </cell>
        </row>
        <row r="98">
          <cell r="B98">
            <v>234.25793664414587</v>
          </cell>
          <cell r="C98">
            <v>186.83918475762275</v>
          </cell>
          <cell r="D98">
            <v>151.5398990556024</v>
          </cell>
          <cell r="E98">
            <v>20.679166666666671</v>
          </cell>
          <cell r="F98">
            <v>2.1491967603521664</v>
          </cell>
        </row>
        <row r="99">
          <cell r="B99">
            <v>235.76515926202157</v>
          </cell>
          <cell r="C99">
            <v>187.29162658587273</v>
          </cell>
          <cell r="D99">
            <v>151.88800585312191</v>
          </cell>
          <cell r="E99">
            <v>20.607291666666672</v>
          </cell>
          <cell r="F99">
            <v>2.1553379844170619</v>
          </cell>
        </row>
        <row r="100">
          <cell r="B100">
            <v>237.28207939560318</v>
          </cell>
          <cell r="C100">
            <v>187.74516402802308</v>
          </cell>
          <cell r="D100">
            <v>152.23691229709252</v>
          </cell>
          <cell r="E100">
            <v>20.535416666666674</v>
          </cell>
          <cell r="F100">
            <v>2.1614967567277539</v>
          </cell>
        </row>
        <row r="101">
          <cell r="B101">
            <v>238.80875943899872</v>
          </cell>
          <cell r="C101">
            <v>188.19979973716582</v>
          </cell>
          <cell r="D101">
            <v>152.58662022440581</v>
          </cell>
          <cell r="E101">
            <v>20.463541666666675</v>
          </cell>
          <cell r="F101">
            <v>2.1676731274274914</v>
          </cell>
        </row>
        <row r="102">
          <cell r="B102">
            <v>240.34526218776179</v>
          </cell>
          <cell r="C102">
            <v>188.65553637281764</v>
          </cell>
          <cell r="D102">
            <v>152.93713147617294</v>
          </cell>
          <cell r="E102">
            <v>20.391666666666676</v>
          </cell>
          <cell r="F102">
            <v>2.1738671468028063</v>
          </cell>
        </row>
        <row r="103">
          <cell r="B103">
            <v>241.89165084147453</v>
          </cell>
          <cell r="C103">
            <v>189.11237660093536</v>
          </cell>
          <cell r="D103">
            <v>153.28844789773433</v>
          </cell>
          <cell r="E103">
            <v>20.319791666666678</v>
          </cell>
          <cell r="F103">
            <v>2.1800788652839209</v>
          </cell>
        </row>
        <row r="104">
          <cell r="B104">
            <v>243.447989006347</v>
          </cell>
          <cell r="C104">
            <v>189.57032309393159</v>
          </cell>
          <cell r="D104">
            <v>153.64057133866942</v>
          </cell>
          <cell r="E104">
            <v>20.247916666666679</v>
          </cell>
          <cell r="F104">
            <v>2.1863083334451598</v>
          </cell>
        </row>
        <row r="105">
          <cell r="B105">
            <v>245.01434069783363</v>
          </cell>
          <cell r="C105">
            <v>190.02937853069034</v>
          </cell>
          <cell r="D105">
            <v>153.99350365280634</v>
          </cell>
          <cell r="E105">
            <v>20.176041666666681</v>
          </cell>
          <cell r="F105">
            <v>2.1925556020053616</v>
          </cell>
        </row>
        <row r="106">
          <cell r="B106">
            <v>246.59077034326614</v>
          </cell>
          <cell r="C106">
            <v>190.4895455965827</v>
          </cell>
          <cell r="D106">
            <v>154.34724669823174</v>
          </cell>
          <cell r="E106">
            <v>20.104166666666668</v>
          </cell>
          <cell r="F106">
            <v>2.1988207218282909</v>
          </cell>
        </row>
        <row r="107">
          <cell r="B107">
            <v>248.17734278450365</v>
          </cell>
          <cell r="C107">
            <v>190.93955289546653</v>
          </cell>
          <cell r="D107">
            <v>154.67873862562061</v>
          </cell>
          <cell r="E107">
            <v>20.072812500000001</v>
          </cell>
          <cell r="F107">
            <v>2.2045030649335842</v>
          </cell>
        </row>
        <row r="108">
          <cell r="B108">
            <v>249.77412328059978</v>
          </cell>
          <cell r="C108">
            <v>191.39062327930031</v>
          </cell>
          <cell r="D108">
            <v>155.01094249896428</v>
          </cell>
          <cell r="E108">
            <v>20.041458333333335</v>
          </cell>
          <cell r="F108">
            <v>2.2102000927391106</v>
          </cell>
        </row>
        <row r="109">
          <cell r="B109">
            <v>251.38117751048688</v>
          </cell>
          <cell r="C109">
            <v>191.84275925948691</v>
          </cell>
          <cell r="D109">
            <v>155.34385984731071</v>
          </cell>
          <cell r="E109">
            <v>20.010104166666668</v>
          </cell>
          <cell r="F109">
            <v>2.2159118431940779</v>
          </cell>
        </row>
        <row r="110">
          <cell r="B110">
            <v>252.99857157567746</v>
          </cell>
          <cell r="C110">
            <v>192.29596335336203</v>
          </cell>
          <cell r="D110">
            <v>155.67749220299174</v>
          </cell>
          <cell r="E110">
            <v>19.978750000000002</v>
          </cell>
          <cell r="F110">
            <v>2.2216383543457656</v>
          </cell>
        </row>
        <row r="111">
          <cell r="B111">
            <v>254.62637200298323</v>
          </cell>
          <cell r="C111">
            <v>192.75023808420826</v>
          </cell>
          <cell r="D111">
            <v>156.01184110163021</v>
          </cell>
          <cell r="E111">
            <v>19.947395833333335</v>
          </cell>
          <cell r="F111">
            <v>2.227379664339777</v>
          </cell>
        </row>
        <row r="112">
          <cell r="B112">
            <v>256.26464574725134</v>
          </cell>
          <cell r="C112">
            <v>193.20558598126917</v>
          </cell>
          <cell r="D112">
            <v>156.34690808214705</v>
          </cell>
          <cell r="E112">
            <v>19.916041666666668</v>
          </cell>
          <cell r="F112">
            <v>2.2331358114202935</v>
          </cell>
        </row>
        <row r="113">
          <cell r="B113">
            <v>257.9134601941185</v>
          </cell>
          <cell r="C113">
            <v>193.66200957976326</v>
          </cell>
          <cell r="D113">
            <v>156.68269468676831</v>
          </cell>
          <cell r="E113">
            <v>19.884687500000002</v>
          </cell>
          <cell r="F113">
            <v>2.2389068339303306</v>
          </cell>
        </row>
        <row r="114">
          <cell r="B114">
            <v>259.5728831627826</v>
          </cell>
          <cell r="C114">
            <v>194.11951142089825</v>
          </cell>
          <cell r="D114">
            <v>157.01920246103231</v>
          </cell>
          <cell r="E114">
            <v>19.853333333333335</v>
          </cell>
          <cell r="F114">
            <v>2.2446927703119925</v>
          </cell>
        </row>
        <row r="115">
          <cell r="B115">
            <v>261.24298290879233</v>
          </cell>
          <cell r="C115">
            <v>194.57809405188507</v>
          </cell>
          <cell r="D115">
            <v>157.35643295379668</v>
          </cell>
          <cell r="E115">
            <v>19.821979166666669</v>
          </cell>
          <cell r="F115">
            <v>2.2504936591067271</v>
          </cell>
        </row>
        <row r="116">
          <cell r="B116">
            <v>262.92382812685463</v>
          </cell>
          <cell r="C116">
            <v>195.03776002595217</v>
          </cell>
          <cell r="D116">
            <v>157.6943877172456</v>
          </cell>
          <cell r="E116">
            <v>19.790625000000002</v>
          </cell>
          <cell r="F116">
            <v>2.2563095389555845</v>
          </cell>
        </row>
        <row r="117">
          <cell r="B117">
            <v>264.61548795366019</v>
          </cell>
          <cell r="C117">
            <v>195.49851190235964</v>
          </cell>
          <cell r="D117">
            <v>158.03306830689681</v>
          </cell>
          <cell r="E117">
            <v>19.759270833333336</v>
          </cell>
          <cell r="F117">
            <v>2.2621404485994736</v>
          </cell>
        </row>
        <row r="118">
          <cell r="B118">
            <v>266.3180319707273</v>
          </cell>
          <cell r="C118">
            <v>195.96035224641349</v>
          </cell>
          <cell r="D118">
            <v>158.37247628160887</v>
          </cell>
          <cell r="E118">
            <v>19.727916666666669</v>
          </cell>
          <cell r="F118">
            <v>2.2679864268794208</v>
          </cell>
        </row>
        <row r="119">
          <cell r="B119">
            <v>267.92790290869908</v>
          </cell>
          <cell r="C119">
            <v>196.41532611484243</v>
          </cell>
          <cell r="D119">
            <v>158.69348113586753</v>
          </cell>
          <cell r="E119">
            <v>19.718263888888892</v>
          </cell>
          <cell r="F119">
            <v>2.2732944230483629</v>
          </cell>
        </row>
        <row r="120">
          <cell r="B120">
            <v>269.54750538613047</v>
          </cell>
          <cell r="C120">
            <v>196.87135632563133</v>
          </cell>
          <cell r="D120">
            <v>159.01513663422091</v>
          </cell>
          <cell r="E120">
            <v>19.708611111111114</v>
          </cell>
          <cell r="F120">
            <v>2.2786148420532601</v>
          </cell>
        </row>
        <row r="121">
          <cell r="B121">
            <v>271.17689822938945</v>
          </cell>
          <cell r="C121">
            <v>197.32844533135884</v>
          </cell>
          <cell r="D121">
            <v>159.33744409545821</v>
          </cell>
          <cell r="E121">
            <v>19.698958333333337</v>
          </cell>
          <cell r="F121">
            <v>2.2839477129685219</v>
          </cell>
        </row>
        <row r="122">
          <cell r="B122">
            <v>272.81614062044468</v>
          </cell>
          <cell r="C122">
            <v>197.78659559029785</v>
          </cell>
          <cell r="D122">
            <v>159.6604048410417</v>
          </cell>
          <cell r="E122">
            <v>19.68930555555556</v>
          </cell>
          <cell r="F122">
            <v>2.289293064936603</v>
          </cell>
        </row>
        <row r="123">
          <cell r="B123">
            <v>274.46529209901507</v>
          </cell>
          <cell r="C123">
            <v>198.24580956642885</v>
          </cell>
          <cell r="D123">
            <v>159.98402019511209</v>
          </cell>
          <cell r="E123">
            <v>19.679652777777783</v>
          </cell>
          <cell r="F123">
            <v>2.2946509271681639</v>
          </cell>
        </row>
        <row r="124">
          <cell r="B124">
            <v>276.12441256473221</v>
          </cell>
          <cell r="C124">
            <v>198.70608972945308</v>
          </cell>
          <cell r="D124">
            <v>160.30829148449402</v>
          </cell>
          <cell r="E124">
            <v>19.670000000000005</v>
          </cell>
          <cell r="F124">
            <v>2.3000213289422287</v>
          </cell>
        </row>
        <row r="125">
          <cell r="B125">
            <v>277.79356227931612</v>
          </cell>
          <cell r="C125">
            <v>199.16743855480584</v>
          </cell>
          <cell r="D125">
            <v>160.63322003870147</v>
          </cell>
          <cell r="E125">
            <v>19.660347222222228</v>
          </cell>
          <cell r="F125">
            <v>2.3054042996063471</v>
          </cell>
        </row>
        <row r="126">
          <cell r="B126">
            <v>279.47280186876412</v>
          </cell>
          <cell r="C126">
            <v>199.62985852366984</v>
          </cell>
          <cell r="D126">
            <v>160.95880718994317</v>
          </cell>
          <cell r="E126">
            <v>19.650694444444451</v>
          </cell>
          <cell r="F126">
            <v>2.3107998685767535</v>
          </cell>
        </row>
        <row r="127">
          <cell r="B127">
            <v>281.16219232555272</v>
          </cell>
          <cell r="C127">
            <v>200.09335212298845</v>
          </cell>
          <cell r="D127">
            <v>161.28505427312814</v>
          </cell>
          <cell r="E127">
            <v>19.641041666666673</v>
          </cell>
          <cell r="F127">
            <v>2.316208065338528</v>
          </cell>
        </row>
        <row r="128">
          <cell r="B128">
            <v>282.86179501085303</v>
          </cell>
          <cell r="C128">
            <v>200.5579218454792</v>
          </cell>
          <cell r="D128">
            <v>161.61196262587112</v>
          </cell>
          <cell r="E128">
            <v>19.631388888888896</v>
          </cell>
          <cell r="F128">
            <v>2.3216289194457573</v>
          </cell>
        </row>
        <row r="129">
          <cell r="B129">
            <v>284.57167165675946</v>
          </cell>
          <cell r="C129">
            <v>201.02357018964713</v>
          </cell>
          <cell r="D129">
            <v>161.93953358849802</v>
          </cell>
          <cell r="E129">
            <v>19.621736111111119</v>
          </cell>
          <cell r="F129">
            <v>2.3270624605216974</v>
          </cell>
        </row>
        <row r="130">
          <cell r="B130">
            <v>286.2918843685319</v>
          </cell>
          <cell r="C130">
            <v>201.49029965979815</v>
          </cell>
          <cell r="D130">
            <v>162.2677685040515</v>
          </cell>
          <cell r="E130">
            <v>19.612083333333334</v>
          </cell>
          <cell r="F130">
            <v>2.3325087182589361</v>
          </cell>
        </row>
        <row r="131">
          <cell r="B131">
            <v>288.02249562685154</v>
          </cell>
          <cell r="C131">
            <v>201.94726564185683</v>
          </cell>
          <cell r="D131">
            <v>162.57803223037317</v>
          </cell>
          <cell r="E131">
            <v>19.609409722222225</v>
          </cell>
          <cell r="F131">
            <v>2.3378826174225127</v>
          </cell>
        </row>
        <row r="132">
          <cell r="B132">
            <v>289.76356829009029</v>
          </cell>
          <cell r="C132">
            <v>202.40526799097196</v>
          </cell>
          <cell r="D132">
            <v>162.88888919576357</v>
          </cell>
          <cell r="E132">
            <v>19.606736111111111</v>
          </cell>
          <cell r="F132">
            <v>2.3432688975868521</v>
          </cell>
        </row>
        <row r="133">
          <cell r="B133">
            <v>291.5151655965937</v>
          </cell>
          <cell r="C133">
            <v>202.86430905755191</v>
          </cell>
          <cell r="D133">
            <v>163.20034053452412</v>
          </cell>
          <cell r="E133">
            <v>19.604062499999998</v>
          </cell>
          <cell r="F133">
            <v>2.3486675872767138</v>
          </cell>
        </row>
        <row r="134">
          <cell r="B134">
            <v>293.27735116697812</v>
          </cell>
          <cell r="C134">
            <v>203.32439119733561</v>
          </cell>
          <cell r="D134">
            <v>163.51238738312512</v>
          </cell>
          <cell r="E134">
            <v>19.601388888888884</v>
          </cell>
          <cell r="F134">
            <v>2.3540787150825753</v>
          </cell>
        </row>
        <row r="135">
          <cell r="B135">
            <v>295.05018900644126</v>
          </cell>
          <cell r="C135">
            <v>203.7855167714047</v>
          </cell>
          <cell r="D135">
            <v>163.82503088020982</v>
          </cell>
          <cell r="E135">
            <v>19.598715277777771</v>
          </cell>
          <cell r="F135">
            <v>2.3595023096607846</v>
          </cell>
        </row>
        <row r="136">
          <cell r="B136">
            <v>296.83374350708715</v>
          </cell>
          <cell r="C136">
            <v>204.24768814619551</v>
          </cell>
          <cell r="D136">
            <v>164.13827216659865</v>
          </cell>
          <cell r="E136">
            <v>19.596041666666657</v>
          </cell>
          <cell r="F136">
            <v>2.3649383997337114</v>
          </cell>
        </row>
        <row r="137">
          <cell r="B137">
            <v>298.62807945026486</v>
          </cell>
          <cell r="C137">
            <v>204.71090769351133</v>
          </cell>
          <cell r="D137">
            <v>164.45211238529333</v>
          </cell>
          <cell r="E137">
            <v>19.593368055555544</v>
          </cell>
          <cell r="F137">
            <v>2.370387014089899</v>
          </cell>
        </row>
        <row r="138">
          <cell r="B138">
            <v>300.43326200892147</v>
          </cell>
          <cell r="C138">
            <v>205.17517779053455</v>
          </cell>
          <cell r="D138">
            <v>164.76655268148102</v>
          </cell>
          <cell r="E138">
            <v>19.590694444444431</v>
          </cell>
          <cell r="F138">
            <v>2.3758481815842174</v>
          </cell>
        </row>
        <row r="139">
          <cell r="B139">
            <v>302.24935674996919</v>
          </cell>
          <cell r="C139">
            <v>205.64050081983879</v>
          </cell>
          <cell r="D139">
            <v>165.08159420253855</v>
          </cell>
          <cell r="E139">
            <v>19.588020833333317</v>
          </cell>
          <cell r="F139">
            <v>2.3813219311380154</v>
          </cell>
        </row>
        <row r="140">
          <cell r="B140">
            <v>304.076429636667</v>
          </cell>
          <cell r="C140">
            <v>206.10687916940122</v>
          </cell>
          <cell r="D140">
            <v>165.39723809803664</v>
          </cell>
          <cell r="E140">
            <v>19.585347222222204</v>
          </cell>
          <cell r="F140">
            <v>2.3868082917392743</v>
          </cell>
        </row>
        <row r="141">
          <cell r="B141">
            <v>305.91454703101641</v>
          </cell>
          <cell r="C141">
            <v>206.57431523261479</v>
          </cell>
          <cell r="D141">
            <v>165.71348551974395</v>
          </cell>
          <cell r="E141">
            <v>19.58267361111109</v>
          </cell>
          <cell r="F141">
            <v>2.3923072924427613</v>
          </cell>
        </row>
        <row r="142">
          <cell r="B142">
            <v>307.76377569617176</v>
          </cell>
          <cell r="C142">
            <v>207.04281140830045</v>
          </cell>
          <cell r="D142">
            <v>166.03033762163147</v>
          </cell>
          <cell r="E142">
            <v>19.579999999999995</v>
          </cell>
          <cell r="F142">
            <v>2.39781896237018</v>
          </cell>
        </row>
        <row r="143">
          <cell r="B143">
            <v>309.62418279886538</v>
          </cell>
          <cell r="C143">
            <v>207.50163896315578</v>
          </cell>
          <cell r="D143">
            <v>166.32745963630512</v>
          </cell>
          <cell r="E143">
            <v>19.604999999999997</v>
          </cell>
          <cell r="F143">
            <v>2.4031820782557931</v>
          </cell>
        </row>
        <row r="144">
          <cell r="B144">
            <v>311.495835911847</v>
          </cell>
          <cell r="C144">
            <v>207.96148332571221</v>
          </cell>
          <cell r="D144">
            <v>166.625113370018</v>
          </cell>
          <cell r="E144">
            <v>19.629999999999995</v>
          </cell>
          <cell r="F144">
            <v>2.4085571896308298</v>
          </cell>
        </row>
        <row r="145">
          <cell r="B145">
            <v>313.37880301633817</v>
          </cell>
          <cell r="C145">
            <v>208.42234674931717</v>
          </cell>
          <cell r="D145">
            <v>166.92329977431569</v>
          </cell>
          <cell r="E145">
            <v>19.654999999999994</v>
          </cell>
          <cell r="F145">
            <v>2.4139443233251718</v>
          </cell>
        </row>
        <row r="146">
          <cell r="B146">
            <v>315.27315250450141</v>
          </cell>
          <cell r="C146">
            <v>208.88423149231176</v>
          </cell>
          <cell r="D146">
            <v>167.2220198024466</v>
          </cell>
          <cell r="E146">
            <v>19.679999999999993</v>
          </cell>
          <cell r="F146">
            <v>2.419343506228711</v>
          </cell>
        </row>
        <row r="147">
          <cell r="B147">
            <v>317.17895318192427</v>
          </cell>
          <cell r="C147">
            <v>209.3471398180418</v>
          </cell>
          <cell r="D147">
            <v>167.52127440936505</v>
          </cell>
          <cell r="E147">
            <v>19.704999999999991</v>
          </cell>
          <cell r="F147">
            <v>2.4247547652914823</v>
          </cell>
        </row>
        <row r="148">
          <cell r="B148">
            <v>319.09627427011861</v>
          </cell>
          <cell r="C148">
            <v>209.81107399486888</v>
          </cell>
          <cell r="D148">
            <v>167.82106455173434</v>
          </cell>
          <cell r="E148">
            <v>19.72999999999999</v>
          </cell>
          <cell r="F148">
            <v>2.4301781275237988</v>
          </cell>
        </row>
        <row r="149">
          <cell r="B149">
            <v>321.02518540903463</v>
          </cell>
          <cell r="C149">
            <v>210.2760362961815</v>
          </cell>
          <cell r="D149">
            <v>168.12139118792973</v>
          </cell>
          <cell r="E149">
            <v>19.754999999999988</v>
          </cell>
          <cell r="F149">
            <v>2.4356136199963871</v>
          </cell>
        </row>
        <row r="150">
          <cell r="B150">
            <v>322.96575665959051</v>
          </cell>
          <cell r="C150">
            <v>210.74202900040626</v>
          </cell>
          <cell r="D150">
            <v>168.42225527804158</v>
          </cell>
          <cell r="E150">
            <v>19.779999999999987</v>
          </cell>
          <cell r="F150">
            <v>2.4410612698405219</v>
          </cell>
        </row>
        <row r="151">
          <cell r="B151">
            <v>324.91805850621682</v>
          </cell>
          <cell r="C151">
            <v>211.20905439101895</v>
          </cell>
          <cell r="D151">
            <v>168.72365778387839</v>
          </cell>
          <cell r="E151">
            <v>19.804999999999986</v>
          </cell>
          <cell r="F151">
            <v>2.4465211042481605</v>
          </cell>
        </row>
        <row r="152">
          <cell r="B152">
            <v>326.88216185941701</v>
          </cell>
          <cell r="C152">
            <v>211.67711475655577</v>
          </cell>
          <cell r="D152">
            <v>169.0255996689699</v>
          </cell>
          <cell r="E152">
            <v>19.829999999999984</v>
          </cell>
          <cell r="F152">
            <v>2.4519931504720804</v>
          </cell>
        </row>
        <row r="153">
          <cell r="B153">
            <v>328.8581380583426</v>
          </cell>
          <cell r="C153">
            <v>212.14621239062456</v>
          </cell>
          <cell r="D153">
            <v>169.3280818985701</v>
          </cell>
          <cell r="E153">
            <v>19.854999999999983</v>
          </cell>
          <cell r="F153">
            <v>2.4574774358260143</v>
          </cell>
        </row>
        <row r="154">
          <cell r="B154">
            <v>330.84605887338461</v>
          </cell>
          <cell r="C154">
            <v>212.61634959191602</v>
          </cell>
          <cell r="D154">
            <v>169.63110543966042</v>
          </cell>
          <cell r="E154">
            <v>19.88</v>
          </cell>
          <cell r="F154">
            <v>2.4629739876847867</v>
          </cell>
        </row>
        <row r="155">
          <cell r="B155">
            <v>332.84599650878027</v>
          </cell>
          <cell r="C155">
            <v>213.07888091182747</v>
          </cell>
          <cell r="D155">
            <v>169.91762554703541</v>
          </cell>
          <cell r="E155">
            <v>19.932083333333331</v>
          </cell>
          <cell r="F155">
            <v>2.4681826378384035</v>
          </cell>
        </row>
        <row r="156">
          <cell r="B156">
            <v>334.85802360523553</v>
          </cell>
          <cell r="C156">
            <v>213.54241843480051</v>
          </cell>
          <cell r="D156">
            <v>170.2046296091174</v>
          </cell>
          <cell r="E156">
            <v>19.984166666666663</v>
          </cell>
          <cell r="F156">
            <v>2.4734023031454724</v>
          </cell>
        </row>
        <row r="157">
          <cell r="B157">
            <v>336.88221324256352</v>
          </cell>
          <cell r="C157">
            <v>214.00696434975629</v>
          </cell>
          <cell r="D157">
            <v>170.49211844334346</v>
          </cell>
          <cell r="E157">
            <v>20.036249999999995</v>
          </cell>
          <cell r="F157">
            <v>2.4786330069006288</v>
          </cell>
        </row>
        <row r="158">
          <cell r="B158">
            <v>338.91863894233899</v>
          </cell>
          <cell r="C158">
            <v>214.47252085037783</v>
          </cell>
          <cell r="D158">
            <v>170.78009286853137</v>
          </cell>
          <cell r="E158">
            <v>20.088333333333328</v>
          </cell>
          <cell r="F158">
            <v>2.4838747724477708</v>
          </cell>
        </row>
        <row r="159">
          <cell r="B159">
            <v>340.96737467056857</v>
          </cell>
          <cell r="C159">
            <v>214.93909013512035</v>
          </cell>
          <cell r="D159">
            <v>171.06855370488196</v>
          </cell>
          <cell r="E159">
            <v>20.14041666666666</v>
          </cell>
          <cell r="F159">
            <v>2.4891276231801638</v>
          </cell>
        </row>
        <row r="160">
          <cell r="B160">
            <v>343.0284948403775</v>
          </cell>
          <cell r="C160">
            <v>215.40667440722163</v>
          </cell>
          <cell r="D160">
            <v>171.35750177398148</v>
          </cell>
          <cell r="E160">
            <v>20.192499999999992</v>
          </cell>
          <cell r="F160">
            <v>2.4943915825405454</v>
          </cell>
        </row>
        <row r="161">
          <cell r="B161">
            <v>345.10207431471224</v>
          </cell>
          <cell r="C161">
            <v>215.87527587471243</v>
          </cell>
          <cell r="D161">
            <v>171.64693789880386</v>
          </cell>
          <cell r="E161">
            <v>20.244583333333324</v>
          </cell>
          <cell r="F161">
            <v>2.4996666740212286</v>
          </cell>
        </row>
        <row r="162">
          <cell r="B162">
            <v>347.18818840905976</v>
          </cell>
          <cell r="C162">
            <v>216.34489675042695</v>
          </cell>
          <cell r="D162">
            <v>171.93686290371309</v>
          </cell>
          <cell r="E162">
            <v>20.296666666666656</v>
          </cell>
          <cell r="F162">
            <v>2.5049529211642083</v>
          </cell>
        </row>
        <row r="163">
          <cell r="B163">
            <v>349.28691289418305</v>
          </cell>
          <cell r="C163">
            <v>216.81553925201325</v>
          </cell>
          <cell r="D163">
            <v>172.22727761446561</v>
          </cell>
          <cell r="E163">
            <v>20.348749999999988</v>
          </cell>
          <cell r="F163">
            <v>2.5102503475612647</v>
          </cell>
        </row>
        <row r="164">
          <cell r="B164">
            <v>351.3983239988732</v>
          </cell>
          <cell r="C164">
            <v>217.28720560194367</v>
          </cell>
          <cell r="D164">
            <v>172.51818285821261</v>
          </cell>
          <cell r="E164">
            <v>20.40083333333332</v>
          </cell>
          <cell r="F164">
            <v>2.5155589768540705</v>
          </cell>
        </row>
        <row r="165">
          <cell r="B165">
            <v>353.52249841271822</v>
          </cell>
          <cell r="C165">
            <v>217.75989802752542</v>
          </cell>
          <cell r="D165">
            <v>172.80957946350242</v>
          </cell>
          <cell r="E165">
            <v>20.452916666666653</v>
          </cell>
          <cell r="F165">
            <v>2.5208788327342946</v>
          </cell>
        </row>
        <row r="166">
          <cell r="B166">
            <v>355.65951328888838</v>
          </cell>
          <cell r="C166">
            <v>218.23361876091104</v>
          </cell>
          <cell r="D166">
            <v>173.10146826028279</v>
          </cell>
          <cell r="E166">
            <v>20.504999999999999</v>
          </cell>
          <cell r="F166">
            <v>2.5262099389437069</v>
          </cell>
        </row>
        <row r="167">
          <cell r="B167">
            <v>357.72612812434687</v>
          </cell>
          <cell r="C167">
            <v>218.70045212737875</v>
          </cell>
          <cell r="D167">
            <v>173.38121940356976</v>
          </cell>
          <cell r="E167">
            <v>20.555</v>
          </cell>
          <cell r="F167">
            <v>2.5314135178011798</v>
          </cell>
        </row>
        <row r="168">
          <cell r="B168">
            <v>359.80475134624959</v>
          </cell>
          <cell r="C168">
            <v>219.16828411813398</v>
          </cell>
          <cell r="D168">
            <v>173.66142265568607</v>
          </cell>
          <cell r="E168">
            <v>20.605</v>
          </cell>
          <cell r="F168">
            <v>2.5366278151791164</v>
          </cell>
        </row>
        <row r="169">
          <cell r="B169">
            <v>361.89545273119086</v>
          </cell>
          <cell r="C169">
            <v>219.63711686937893</v>
          </cell>
          <cell r="D169">
            <v>173.94207874728966</v>
          </cell>
          <cell r="E169">
            <v>20.655000000000001</v>
          </cell>
          <cell r="F169">
            <v>2.5418528531559139</v>
          </cell>
        </row>
        <row r="170">
          <cell r="B170">
            <v>363.99830246121275</v>
          </cell>
          <cell r="C170">
            <v>220.10695252188546</v>
          </cell>
          <cell r="D170">
            <v>174.22318841021925</v>
          </cell>
          <cell r="E170">
            <v>20.705000000000002</v>
          </cell>
          <cell r="F170">
            <v>2.5470886538554471</v>
          </cell>
        </row>
        <row r="171">
          <cell r="B171">
            <v>366.11337112616093</v>
          </cell>
          <cell r="C171">
            <v>220.57779322100484</v>
          </cell>
          <cell r="D171">
            <v>174.50475237749637</v>
          </cell>
          <cell r="E171">
            <v>20.755000000000003</v>
          </cell>
          <cell r="F171">
            <v>2.5523352394471628</v>
          </cell>
        </row>
        <row r="172">
          <cell r="B172">
            <v>368.24072972605438</v>
          </cell>
          <cell r="C172">
            <v>221.04964111667758</v>
          </cell>
          <cell r="D172">
            <v>174.78677138332716</v>
          </cell>
          <cell r="E172">
            <v>20.805000000000003</v>
          </cell>
          <cell r="F172">
            <v>2.5575926321461733</v>
          </cell>
        </row>
        <row r="173">
          <cell r="B173">
            <v>370.38044967346877</v>
          </cell>
          <cell r="C173">
            <v>221.52249836344316</v>
          </cell>
          <cell r="D173">
            <v>175.06924616310431</v>
          </cell>
          <cell r="E173">
            <v>20.855000000000004</v>
          </cell>
          <cell r="F173">
            <v>2.56286085421335</v>
          </cell>
        </row>
        <row r="174">
          <cell r="B174">
            <v>372.53260279593354</v>
          </cell>
          <cell r="C174">
            <v>221.99636712045003</v>
          </cell>
          <cell r="D174">
            <v>175.35217745340901</v>
          </cell>
          <cell r="E174">
            <v>20.905000000000005</v>
          </cell>
          <cell r="F174">
            <v>2.5681399279554182</v>
          </cell>
        </row>
        <row r="175">
          <cell r="B175">
            <v>374.69726133834314</v>
          </cell>
          <cell r="C175">
            <v>222.47124955146529</v>
          </cell>
          <cell r="D175">
            <v>175.6355659920128</v>
          </cell>
          <cell r="E175">
            <v>20.955000000000005</v>
          </cell>
          <cell r="F175">
            <v>2.5734298757250516</v>
          </cell>
        </row>
        <row r="176">
          <cell r="B176">
            <v>376.87449796538232</v>
          </cell>
          <cell r="C176">
            <v>222.94714782488469</v>
          </cell>
          <cell r="D176">
            <v>175.91941251787958</v>
          </cell>
          <cell r="E176">
            <v>21.005000000000006</v>
          </cell>
          <cell r="F176">
            <v>2.5787307199209661</v>
          </cell>
        </row>
        <row r="177">
          <cell r="B177">
            <v>379.06438576396511</v>
          </cell>
          <cell r="C177">
            <v>223.4240641137425</v>
          </cell>
          <cell r="D177">
            <v>176.2037177711675</v>
          </cell>
          <cell r="E177">
            <v>21.055000000000007</v>
          </cell>
          <cell r="F177">
            <v>2.5840424829880164</v>
          </cell>
        </row>
        <row r="178">
          <cell r="B178">
            <v>381.26699824568851</v>
          </cell>
          <cell r="C178">
            <v>223.9020005957214</v>
          </cell>
          <cell r="D178">
            <v>176.48848249323086</v>
          </cell>
          <cell r="E178">
            <v>21.105</v>
          </cell>
          <cell r="F178">
            <v>2.5893651874172878</v>
          </cell>
        </row>
        <row r="179">
          <cell r="B179">
            <v>383.48240934930004</v>
          </cell>
          <cell r="C179">
            <v>224.37366820194069</v>
          </cell>
          <cell r="D179">
            <v>176.7590109963586</v>
          </cell>
          <cell r="E179">
            <v>21.155000000000001</v>
          </cell>
          <cell r="F179">
            <v>2.5944082870946334</v>
          </cell>
        </row>
        <row r="180">
          <cell r="B180">
            <v>385.71069344317976</v>
          </cell>
          <cell r="C180">
            <v>224.84632941397933</v>
          </cell>
          <cell r="D180">
            <v>177.02995417624015</v>
          </cell>
          <cell r="E180">
            <v>21.205000000000002</v>
          </cell>
          <cell r="F180">
            <v>2.5994612088142612</v>
          </cell>
        </row>
        <row r="181">
          <cell r="B181">
            <v>387.95192532783682</v>
          </cell>
          <cell r="C181">
            <v>225.31998632494805</v>
          </cell>
          <cell r="D181">
            <v>177.30131266850839</v>
          </cell>
          <cell r="E181">
            <v>21.255000000000003</v>
          </cell>
          <cell r="F181">
            <v>2.6045239717057789</v>
          </cell>
        </row>
        <row r="182">
          <cell r="B182">
            <v>390.20618023842025</v>
          </cell>
          <cell r="C182">
            <v>225.79464103236685</v>
          </cell>
          <cell r="D182">
            <v>177.57308710977048</v>
          </cell>
          <cell r="E182">
            <v>21.305000000000003</v>
          </cell>
          <cell r="F182">
            <v>2.60959659493605</v>
          </cell>
        </row>
        <row r="183">
          <cell r="B183">
            <v>392.47353384724471</v>
          </cell>
          <cell r="C183">
            <v>226.27029563817439</v>
          </cell>
          <cell r="D183">
            <v>177.84527813760948</v>
          </cell>
          <cell r="E183">
            <v>21.355000000000004</v>
          </cell>
          <cell r="F183">
            <v>2.6146790977092684</v>
          </cell>
        </row>
        <row r="184">
          <cell r="B184">
            <v>394.75406226633049</v>
          </cell>
          <cell r="C184">
            <v>226.74695224873719</v>
          </cell>
          <cell r="D184">
            <v>178.11788639058571</v>
          </cell>
          <cell r="E184">
            <v>21.405000000000005</v>
          </cell>
          <cell r="F184">
            <v>2.6197714992670309</v>
          </cell>
        </row>
        <row r="185">
          <cell r="B185">
            <v>397.04784204995872</v>
          </cell>
          <cell r="C185">
            <v>227.22461297485901</v>
          </cell>
          <cell r="D185">
            <v>178.3909125082383</v>
          </cell>
          <cell r="E185">
            <v>21.455000000000005</v>
          </cell>
          <cell r="F185">
            <v>2.6248738188884091</v>
          </cell>
        </row>
        <row r="186">
          <cell r="B186">
            <v>399.35495019724095</v>
          </cell>
          <cell r="C186">
            <v>227.70327993179018</v>
          </cell>
          <cell r="D186">
            <v>178.66435713108669</v>
          </cell>
          <cell r="E186">
            <v>21.505000000000006</v>
          </cell>
          <cell r="F186">
            <v>2.6299860758900229</v>
          </cell>
        </row>
        <row r="187">
          <cell r="B187">
            <v>401.67546415470406</v>
          </cell>
          <cell r="C187">
            <v>228.18295523923697</v>
          </cell>
          <cell r="D187">
            <v>178.93822090063213</v>
          </cell>
          <cell r="E187">
            <v>21.555000000000007</v>
          </cell>
          <cell r="F187">
            <v>2.6351082896261135</v>
          </cell>
        </row>
        <row r="188">
          <cell r="B188">
            <v>404.00946181889003</v>
          </cell>
          <cell r="C188">
            <v>228.66364102137103</v>
          </cell>
          <cell r="D188">
            <v>179.21250445935922</v>
          </cell>
          <cell r="E188">
            <v>21.605000000000008</v>
          </cell>
          <cell r="F188">
            <v>2.6402404794886176</v>
          </cell>
        </row>
        <row r="189">
          <cell r="B189">
            <v>406.3570215389708</v>
          </cell>
          <cell r="C189">
            <v>229.14533940683867</v>
          </cell>
          <cell r="D189">
            <v>179.48720845073737</v>
          </cell>
          <cell r="E189">
            <v>21.655000000000008</v>
          </cell>
          <cell r="F189">
            <v>2.6453826649072392</v>
          </cell>
        </row>
        <row r="190">
          <cell r="B190">
            <v>408.71822211937825</v>
          </cell>
          <cell r="C190">
            <v>229.62805252877044</v>
          </cell>
          <cell r="D190">
            <v>179.76233351922232</v>
          </cell>
          <cell r="E190">
            <v>21.704999999999998</v>
          </cell>
          <cell r="F190">
            <v>2.6505348653495227</v>
          </cell>
        </row>
        <row r="191">
          <cell r="B191">
            <v>411.09314282244981</v>
          </cell>
          <cell r="C191">
            <v>230.10632842772247</v>
          </cell>
          <cell r="D191">
            <v>180.02099370792212</v>
          </cell>
          <cell r="E191">
            <v>21.754999999999999</v>
          </cell>
          <cell r="F191">
            <v>2.6551333521534075</v>
          </cell>
        </row>
        <row r="192">
          <cell r="B192">
            <v>413.48186337108888</v>
          </cell>
          <cell r="C192">
            <v>230.58560049344507</v>
          </cell>
          <cell r="D192">
            <v>180.28002608300773</v>
          </cell>
          <cell r="E192">
            <v>21.805</v>
          </cell>
          <cell r="F192">
            <v>2.6597398170002005</v>
          </cell>
        </row>
        <row r="193">
          <cell r="B193">
            <v>415.88446395144121</v>
          </cell>
          <cell r="C193">
            <v>231.06587080078299</v>
          </cell>
          <cell r="D193">
            <v>180.53943118001848</v>
          </cell>
          <cell r="E193">
            <v>21.855</v>
          </cell>
          <cell r="F193">
            <v>2.6643542737312305</v>
          </cell>
        </row>
        <row r="194">
          <cell r="B194">
            <v>418.30102521558666</v>
          </cell>
          <cell r="C194">
            <v>231.54714142890248</v>
          </cell>
          <cell r="D194">
            <v>180.79920953526431</v>
          </cell>
          <cell r="E194">
            <v>21.905000000000001</v>
          </cell>
          <cell r="F194">
            <v>2.6689767362118406</v>
          </cell>
        </row>
        <row r="195">
          <cell r="B195">
            <v>420.73162828424648</v>
          </cell>
          <cell r="C195">
            <v>232.02941446130041</v>
          </cell>
          <cell r="D195">
            <v>181.05936168582684</v>
          </cell>
          <cell r="E195">
            <v>21.955000000000002</v>
          </cell>
          <cell r="F195">
            <v>2.6736072183314286</v>
          </cell>
        </row>
        <row r="196">
          <cell r="B196">
            <v>423.17635474950646</v>
          </cell>
          <cell r="C196">
            <v>232.51269198581318</v>
          </cell>
          <cell r="D196">
            <v>181.3198881695605</v>
          </cell>
          <cell r="E196">
            <v>22.005000000000003</v>
          </cell>
          <cell r="F196">
            <v>2.6782457340034895</v>
          </cell>
        </row>
        <row r="197">
          <cell r="B197">
            <v>425.63528667755588</v>
          </cell>
          <cell r="C197">
            <v>232.99697609462581</v>
          </cell>
          <cell r="D197">
            <v>181.58078952509365</v>
          </cell>
          <cell r="E197">
            <v>22.055000000000003</v>
          </cell>
          <cell r="F197">
            <v>2.6828922971656577</v>
          </cell>
        </row>
        <row r="198">
          <cell r="B198">
            <v>428.10850661144241</v>
          </cell>
          <cell r="C198">
            <v>233.48226888428096</v>
          </cell>
          <cell r="D198">
            <v>181.84206629182964</v>
          </cell>
          <cell r="E198">
            <v>22.105000000000004</v>
          </cell>
          <cell r="F198">
            <v>2.6875469217797479</v>
          </cell>
        </row>
        <row r="199">
          <cell r="B199">
            <v>430.59609757384288</v>
          </cell>
          <cell r="C199">
            <v>233.96857245568802</v>
          </cell>
          <cell r="D199">
            <v>182.10371900994801</v>
          </cell>
          <cell r="E199">
            <v>22.155000000000005</v>
          </cell>
          <cell r="F199">
            <v>2.6922096218317977</v>
          </cell>
        </row>
        <row r="200">
          <cell r="B200">
            <v>433.09814306985027</v>
          </cell>
          <cell r="C200">
            <v>234.45588891413226</v>
          </cell>
          <cell r="D200">
            <v>182.36574822040555</v>
          </cell>
          <cell r="E200">
            <v>22.205000000000005</v>
          </cell>
          <cell r="F200">
            <v>2.6968804113321094</v>
          </cell>
        </row>
        <row r="201">
          <cell r="B201">
            <v>435.61472708977681</v>
          </cell>
          <cell r="C201">
            <v>234.94422036928387</v>
          </cell>
          <cell r="D201">
            <v>182.62815446493744</v>
          </cell>
          <cell r="E201">
            <v>22.255000000000006</v>
          </cell>
          <cell r="F201">
            <v>2.7015593043152926</v>
          </cell>
        </row>
        <row r="202">
          <cell r="B202">
            <v>438.14593411197365</v>
          </cell>
          <cell r="C202">
            <v>235.43356893520712</v>
          </cell>
          <cell r="D202">
            <v>182.89093828605837</v>
          </cell>
          <cell r="E202">
            <v>22.304999999999996</v>
          </cell>
          <cell r="F202">
            <v>2.7062463148403069</v>
          </cell>
        </row>
        <row r="203">
          <cell r="B203">
            <v>440.69184910566634</v>
          </cell>
          <cell r="C203">
            <v>235.92010131714585</v>
          </cell>
          <cell r="D203">
            <v>183.1392170857919</v>
          </cell>
          <cell r="E203">
            <v>22.354999999999997</v>
          </cell>
          <cell r="F203">
            <v>2.7107133756643873</v>
          </cell>
        </row>
        <row r="204">
          <cell r="B204">
            <v>443.25255753380742</v>
          </cell>
          <cell r="C204">
            <v>236.40763913666828</v>
          </cell>
          <cell r="D204">
            <v>183.38783292990266</v>
          </cell>
          <cell r="E204">
            <v>22.404999999999998</v>
          </cell>
          <cell r="F204">
            <v>2.7151878100347324</v>
          </cell>
        </row>
        <row r="205">
          <cell r="B205">
            <v>445.82814535594514</v>
          </cell>
          <cell r="C205">
            <v>236.89618447154925</v>
          </cell>
          <cell r="D205">
            <v>183.63678627593643</v>
          </cell>
          <cell r="E205">
            <v>22.454999999999998</v>
          </cell>
          <cell r="F205">
            <v>2.7196696301224734</v>
          </cell>
        </row>
        <row r="206">
          <cell r="B206">
            <v>448.41869903110904</v>
          </cell>
          <cell r="C206">
            <v>237.38573940385737</v>
          </cell>
          <cell r="D206">
            <v>183.88607758206007</v>
          </cell>
          <cell r="E206">
            <v>22.504999999999999</v>
          </cell>
          <cell r="F206">
            <v>2.7241588481188321</v>
          </cell>
        </row>
        <row r="207">
          <cell r="B207">
            <v>451.02430552071235</v>
          </cell>
          <cell r="C207">
            <v>237.87630601996395</v>
          </cell>
          <cell r="D207">
            <v>184.13570730706246</v>
          </cell>
          <cell r="E207">
            <v>22.555</v>
          </cell>
          <cell r="F207">
            <v>2.7286554762351538</v>
          </cell>
        </row>
        <row r="208">
          <cell r="B208">
            <v>453.64505229147107</v>
          </cell>
          <cell r="C208">
            <v>238.36788641055188</v>
          </cell>
          <cell r="D208">
            <v>184.3856759103553</v>
          </cell>
          <cell r="E208">
            <v>22.605</v>
          </cell>
          <cell r="F208">
            <v>2.7331595267029405</v>
          </cell>
        </row>
        <row r="209">
          <cell r="B209">
            <v>456.28102731834008</v>
          </cell>
          <cell r="C209">
            <v>238.86048267062446</v>
          </cell>
          <cell r="D209">
            <v>184.63598385197389</v>
          </cell>
          <cell r="E209">
            <v>22.655000000000001</v>
          </cell>
          <cell r="F209">
            <v>2.7376710117738834</v>
          </cell>
        </row>
        <row r="210">
          <cell r="B210">
            <v>458.93231908746645</v>
          </cell>
          <cell r="C210">
            <v>239.35409689951445</v>
          </cell>
          <cell r="D210">
            <v>184.88663159257811</v>
          </cell>
          <cell r="E210">
            <v>22.705000000000002</v>
          </cell>
          <cell r="F210">
            <v>2.7421899437198975</v>
          </cell>
        </row>
        <row r="211">
          <cell r="B211">
            <v>461.59901659915977</v>
          </cell>
          <cell r="C211">
            <v>239.84873120089293</v>
          </cell>
          <cell r="D211">
            <v>185.13761959345317</v>
          </cell>
          <cell r="E211">
            <v>22.755000000000003</v>
          </cell>
          <cell r="F211">
            <v>2.7467163348331547</v>
          </cell>
        </row>
        <row r="212">
          <cell r="B212">
            <v>464.28120937087965</v>
          </cell>
          <cell r="C212">
            <v>240.34438768277832</v>
          </cell>
          <cell r="D212">
            <v>185.38894831651047</v>
          </cell>
          <cell r="E212">
            <v>22.805000000000003</v>
          </cell>
          <cell r="F212">
            <v>2.7512501974261161</v>
          </cell>
        </row>
        <row r="213">
          <cell r="B213">
            <v>466.97898744024093</v>
          </cell>
          <cell r="C213">
            <v>240.84106845754533</v>
          </cell>
          <cell r="D213">
            <v>185.64061822428846</v>
          </cell>
          <cell r="E213">
            <v>22.855000000000004</v>
          </cell>
          <cell r="F213">
            <v>2.7557915438315672</v>
          </cell>
        </row>
        <row r="214">
          <cell r="B214">
            <v>469.69244136803593</v>
          </cell>
          <cell r="C214">
            <v>241.33877564193398</v>
          </cell>
          <cell r="D214">
            <v>185.89262977995355</v>
          </cell>
          <cell r="E214">
            <v>22.905000000000001</v>
          </cell>
          <cell r="F214">
            <v>2.7603403864026497</v>
          </cell>
        </row>
        <row r="215">
          <cell r="B215">
            <v>472.34815071889614</v>
          </cell>
          <cell r="C215">
            <v>241.83890384444527</v>
          </cell>
          <cell r="D215">
            <v>186.13455181948905</v>
          </cell>
          <cell r="E215">
            <v>22.955000000000009</v>
          </cell>
          <cell r="F215">
            <v>2.7649282340797861</v>
          </cell>
        </row>
        <row r="216">
          <cell r="B216">
            <v>475.0188758365328</v>
          </cell>
          <cell r="C216">
            <v>242.34006846648046</v>
          </cell>
          <cell r="D216">
            <v>186.37678869815122</v>
          </cell>
          <cell r="E216">
            <v>23.005000000000017</v>
          </cell>
          <cell r="F216">
            <v>2.7695237070289402</v>
          </cell>
        </row>
        <row r="217">
          <cell r="B217">
            <v>477.70470162227434</v>
          </cell>
          <cell r="C217">
            <v>242.8422716558197</v>
          </cell>
          <cell r="D217">
            <v>186.61934082567402</v>
          </cell>
          <cell r="E217">
            <v>23.055000000000025</v>
          </cell>
          <cell r="F217">
            <v>2.7741268179237619</v>
          </cell>
        </row>
        <row r="218">
          <cell r="B218">
            <v>480.40571345749373</v>
          </cell>
          <cell r="C218">
            <v>243.34551556469401</v>
          </cell>
          <cell r="D218">
            <v>186.86220861232462</v>
          </cell>
          <cell r="E218">
            <v>23.105000000000032</v>
          </cell>
          <cell r="F218">
            <v>2.7787375794589648</v>
          </cell>
        </row>
        <row r="219">
          <cell r="B219">
            <v>483.12199720632253</v>
          </cell>
          <cell r="C219">
            <v>243.84980234979449</v>
          </cell>
          <cell r="D219">
            <v>187.10539246890417</v>
          </cell>
          <cell r="E219">
            <v>23.15500000000004</v>
          </cell>
          <cell r="F219">
            <v>2.7833560043503622</v>
          </cell>
        </row>
        <row r="220">
          <cell r="B220">
            <v>485.85363921838069</v>
          </cell>
          <cell r="C220">
            <v>244.35513417228157</v>
          </cell>
          <cell r="D220">
            <v>187.34889280674838</v>
          </cell>
          <cell r="E220">
            <v>23.205000000000048</v>
          </cell>
          <cell r="F220">
            <v>2.7879821053349021</v>
          </cell>
        </row>
        <row r="221">
          <cell r="B221">
            <v>488.60072633152134</v>
          </cell>
          <cell r="C221">
            <v>244.86151319779427</v>
          </cell>
          <cell r="D221">
            <v>187.59271003772832</v>
          </cell>
          <cell r="E221">
            <v>23.255000000000056</v>
          </cell>
          <cell r="F221">
            <v>2.7926158951707012</v>
          </cell>
        </row>
        <row r="222">
          <cell r="B222">
            <v>491.36334587459157</v>
          </cell>
          <cell r="C222">
            <v>245.36894159645948</v>
          </cell>
          <cell r="D222">
            <v>187.83684457425105</v>
          </cell>
          <cell r="E222">
            <v>23.305000000000064</v>
          </cell>
          <cell r="F222">
            <v>2.7972573866370816</v>
          </cell>
        </row>
        <row r="223">
          <cell r="B223">
            <v>494.14158567020843</v>
          </cell>
          <cell r="C223">
            <v>245.87742154290126</v>
          </cell>
          <cell r="D223">
            <v>188.08129682926034</v>
          </cell>
          <cell r="E223">
            <v>23.355000000000071</v>
          </cell>
          <cell r="F223">
            <v>2.8019065925346047</v>
          </cell>
        </row>
        <row r="224">
          <cell r="B224">
            <v>496.93553403755078</v>
          </cell>
          <cell r="C224">
            <v>246.38695521625019</v>
          </cell>
          <cell r="D224">
            <v>188.32606721623736</v>
          </cell>
          <cell r="E224">
            <v>23.405000000000079</v>
          </cell>
          <cell r="F224">
            <v>2.8065635256851085</v>
          </cell>
        </row>
        <row r="225">
          <cell r="B225">
            <v>499.74527979516699</v>
          </cell>
          <cell r="C225">
            <v>246.89754480015262</v>
          </cell>
          <cell r="D225">
            <v>188.57115614920144</v>
          </cell>
          <cell r="E225">
            <v>23.455000000000087</v>
          </cell>
          <cell r="F225">
            <v>2.8112281989317403</v>
          </cell>
        </row>
        <row r="226">
          <cell r="B226">
            <v>502.57091226379839</v>
          </cell>
          <cell r="C226">
            <v>247.40919248278013</v>
          </cell>
          <cell r="D226">
            <v>188.81656404271064</v>
          </cell>
          <cell r="E226">
            <v>23.505000000000098</v>
          </cell>
          <cell r="F226">
            <v>2.8159006251389909</v>
          </cell>
        </row>
        <row r="227">
          <cell r="B227">
            <v>505.41252126921881</v>
          </cell>
          <cell r="C227">
            <v>247.92903681111099</v>
          </cell>
          <cell r="D227">
            <v>189.06041707083759</v>
          </cell>
          <cell r="E227">
            <v>23.555000000000099</v>
          </cell>
          <cell r="F227">
            <v>2.8205502274907825</v>
          </cell>
        </row>
        <row r="228">
          <cell r="B228">
            <v>508.27019714509004</v>
          </cell>
          <cell r="C228">
            <v>248.44997341141035</v>
          </cell>
          <cell r="D228">
            <v>189.30458503054709</v>
          </cell>
          <cell r="E228">
            <v>23.6050000000001</v>
          </cell>
          <cell r="F228">
            <v>2.8252075072449077</v>
          </cell>
        </row>
        <row r="229">
          <cell r="B229">
            <v>511.1440307358335</v>
          </cell>
          <cell r="C229">
            <v>248.9720045787077</v>
          </cell>
          <cell r="D229">
            <v>189.54906832856733</v>
          </cell>
          <cell r="E229">
            <v>23.655000000000101</v>
          </cell>
          <cell r="F229">
            <v>2.8298724770782577</v>
          </cell>
        </row>
        <row r="230">
          <cell r="B230">
            <v>514.03411339951822</v>
          </cell>
          <cell r="C230">
            <v>249.49513261285469</v>
          </cell>
          <cell r="D230">
            <v>189.79386737215182</v>
          </cell>
          <cell r="E230">
            <v>23.705000000000101</v>
          </cell>
          <cell r="F230">
            <v>2.8345451496886573</v>
          </cell>
        </row>
        <row r="231">
          <cell r="B231">
            <v>516.94053701076507</v>
          </cell>
          <cell r="C231">
            <v>250.01935981853532</v>
          </cell>
          <cell r="D231">
            <v>190.03898256907996</v>
          </cell>
          <cell r="E231">
            <v>23.755000000000102</v>
          </cell>
          <cell r="F231">
            <v>2.8392255377948965</v>
          </cell>
        </row>
        <row r="232">
          <cell r="B232">
            <v>519.86339396366725</v>
          </cell>
          <cell r="C232">
            <v>250.54468850527613</v>
          </cell>
          <cell r="D232">
            <v>190.28441432765783</v>
          </cell>
          <cell r="E232">
            <v>23.805000000000103</v>
          </cell>
          <cell r="F232">
            <v>2.8439136541367671</v>
          </cell>
        </row>
        <row r="233">
          <cell r="B233">
            <v>522.80277717472779</v>
          </cell>
          <cell r="C233">
            <v>251.07112098745625</v>
          </cell>
          <cell r="D233">
            <v>190.53016305671883</v>
          </cell>
          <cell r="E233">
            <v>23.855000000000103</v>
          </cell>
          <cell r="F233">
            <v>2.8486095114750971</v>
          </cell>
        </row>
        <row r="234">
          <cell r="B234">
            <v>525.75878008581299</v>
          </cell>
          <cell r="C234">
            <v>251.59865958431774</v>
          </cell>
          <cell r="D234">
            <v>190.77622916562436</v>
          </cell>
          <cell r="E234">
            <v>23.905000000000104</v>
          </cell>
          <cell r="F234">
            <v>2.8533131225917847</v>
          </cell>
        </row>
        <row r="235">
          <cell r="B235">
            <v>528.731496667123</v>
          </cell>
          <cell r="C235">
            <v>252.12730661997571</v>
          </cell>
          <cell r="D235">
            <v>191.0226130642645</v>
          </cell>
          <cell r="E235">
            <v>23.955000000000105</v>
          </cell>
          <cell r="F235">
            <v>2.8580245002898335</v>
          </cell>
        </row>
        <row r="236">
          <cell r="B236">
            <v>531.72102142017934</v>
          </cell>
          <cell r="C236">
            <v>252.65706442342861</v>
          </cell>
          <cell r="D236">
            <v>191.26931516305868</v>
          </cell>
          <cell r="E236">
            <v>24.005000000000106</v>
          </cell>
          <cell r="F236">
            <v>2.8627436573933873</v>
          </cell>
        </row>
        <row r="237">
          <cell r="B237">
            <v>534.72744938082872</v>
          </cell>
          <cell r="C237">
            <v>253.18793532856844</v>
          </cell>
          <cell r="D237">
            <v>191.5163358729564</v>
          </cell>
          <cell r="E237">
            <v>24.055000000000106</v>
          </cell>
          <cell r="F237">
            <v>2.8674706067477653</v>
          </cell>
        </row>
        <row r="238">
          <cell r="B238">
            <v>537.75087612226434</v>
          </cell>
          <cell r="C238">
            <v>253.71992167419106</v>
          </cell>
          <cell r="D238">
            <v>191.7636756054379</v>
          </cell>
          <cell r="E238">
            <v>24.105000000000103</v>
          </cell>
          <cell r="F238">
            <v>2.8722053612194949</v>
          </cell>
        </row>
        <row r="239">
          <cell r="B239">
            <v>540.74926199610366</v>
          </cell>
          <cell r="C239">
            <v>254.26128855244508</v>
          </cell>
          <cell r="D239">
            <v>192.01704490382375</v>
          </cell>
          <cell r="E239">
            <v>24.155000000000104</v>
          </cell>
          <cell r="F239">
            <v>2.8769423701861823</v>
          </cell>
        </row>
        <row r="240">
          <cell r="B240">
            <v>543.76436623944755</v>
          </cell>
          <cell r="C240">
            <v>254.80381055519598</v>
          </cell>
          <cell r="D240">
            <v>192.27074896843246</v>
          </cell>
          <cell r="E240">
            <v>24.205000000000105</v>
          </cell>
          <cell r="F240">
            <v>2.8816871917049434</v>
          </cell>
        </row>
        <row r="241">
          <cell r="B241">
            <v>546.79628207041094</v>
          </cell>
          <cell r="C241">
            <v>255.34749014715422</v>
          </cell>
          <cell r="D241">
            <v>192.5247882415766</v>
          </cell>
          <cell r="E241">
            <v>24.255000000000106</v>
          </cell>
          <cell r="F241">
            <v>2.8864398386606953</v>
          </cell>
        </row>
        <row r="242">
          <cell r="B242">
            <v>549.84510322687333</v>
          </cell>
          <cell r="C242">
            <v>255.89232979828924</v>
          </cell>
          <cell r="D242">
            <v>192.77916316615313</v>
          </cell>
          <cell r="E242">
            <v>24.305000000000106</v>
          </cell>
          <cell r="F242">
            <v>2.8912003239596067</v>
          </cell>
        </row>
        <row r="243">
          <cell r="B243">
            <v>552.910923969377</v>
          </cell>
          <cell r="C243">
            <v>256.43833198384067</v>
          </cell>
          <cell r="D243">
            <v>193.03387418564421</v>
          </cell>
          <cell r="E243">
            <v>24.355000000000107</v>
          </cell>
          <cell r="F243">
            <v>2.8959686605291308</v>
          </cell>
        </row>
        <row r="244">
          <cell r="B244">
            <v>555.99383908404116</v>
          </cell>
          <cell r="C244">
            <v>256.98549918432968</v>
          </cell>
          <cell r="D244">
            <v>193.28892174411794</v>
          </cell>
          <cell r="E244">
            <v>24.405000000000108</v>
          </cell>
          <cell r="F244">
            <v>2.9007448613180422</v>
          </cell>
        </row>
        <row r="245">
          <cell r="B245">
            <v>559.09394388549242</v>
          </cell>
          <cell r="C245">
            <v>257.53383388557017</v>
          </cell>
          <cell r="D245">
            <v>193.54430628622919</v>
          </cell>
          <cell r="E245">
            <v>24.455000000000108</v>
          </cell>
          <cell r="F245">
            <v>2.9055289392964712</v>
          </cell>
        </row>
        <row r="246">
          <cell r="B246">
            <v>562.21133421981187</v>
          </cell>
          <cell r="C246">
            <v>258.08333857868001</v>
          </cell>
          <cell r="D246">
            <v>193.80002825722028</v>
          </cell>
          <cell r="E246">
            <v>24.505000000000109</v>
          </cell>
          <cell r="F246">
            <v>2.9103209074559393</v>
          </cell>
        </row>
        <row r="247">
          <cell r="B247">
            <v>565.34610646749809</v>
          </cell>
          <cell r="C247">
            <v>258.63401576009244</v>
          </cell>
          <cell r="D247">
            <v>194.05608810292182</v>
          </cell>
          <cell r="E247">
            <v>24.55500000000011</v>
          </cell>
          <cell r="F247">
            <v>2.9151207788093942</v>
          </cell>
        </row>
        <row r="248">
          <cell r="B248">
            <v>568.4983575464471</v>
          </cell>
          <cell r="C248">
            <v>259.18586793156737</v>
          </cell>
          <cell r="D248">
            <v>194.31248626975349</v>
          </cell>
          <cell r="E248">
            <v>24.605000000000111</v>
          </cell>
          <cell r="F248">
            <v>2.9199285663912451</v>
          </cell>
        </row>
        <row r="249">
          <cell r="B249">
            <v>571.66818491494882</v>
          </cell>
          <cell r="C249">
            <v>259.73889760020279</v>
          </cell>
          <cell r="D249">
            <v>194.56922320472484</v>
          </cell>
          <cell r="E249">
            <v>24.655000000000111</v>
          </cell>
          <cell r="F249">
            <v>2.9247442832573989</v>
          </cell>
        </row>
        <row r="250">
          <cell r="B250">
            <v>574.85568657469992</v>
          </cell>
          <cell r="C250">
            <v>260.29310727844609</v>
          </cell>
          <cell r="D250">
            <v>194.82629935543594</v>
          </cell>
          <cell r="E250">
            <v>24.705000000000108</v>
          </cell>
          <cell r="F250">
            <v>2.9295679424852956</v>
          </cell>
        </row>
        <row r="251">
          <cell r="B251">
            <v>578.06096107383416</v>
          </cell>
          <cell r="C251">
            <v>260.85926756007507</v>
          </cell>
          <cell r="D251">
            <v>195.09431269035287</v>
          </cell>
          <cell r="E251">
            <v>24.735902777777884</v>
          </cell>
          <cell r="F251">
            <v>2.9344084151188023</v>
          </cell>
        </row>
        <row r="252">
          <cell r="B252">
            <v>581.28410750996875</v>
          </cell>
          <cell r="C252">
            <v>261.42665928985053</v>
          </cell>
          <cell r="D252">
            <v>195.36269471855161</v>
          </cell>
          <cell r="E252">
            <v>24.76680555555566</v>
          </cell>
          <cell r="F252">
            <v>2.939256885578533</v>
          </cell>
        </row>
        <row r="253">
          <cell r="B253">
            <v>584.52522553326867</v>
          </cell>
          <cell r="C253">
            <v>261.99528514627991</v>
          </cell>
          <cell r="D253">
            <v>195.6314459472261</v>
          </cell>
          <cell r="E253">
            <v>24.797708333333436</v>
          </cell>
          <cell r="F253">
            <v>2.9441133670791526</v>
          </cell>
        </row>
        <row r="254">
          <cell r="B254">
            <v>587.78441534952697</v>
          </cell>
          <cell r="C254">
            <v>262.56514781369663</v>
          </cell>
          <cell r="D254">
            <v>195.90056688426799</v>
          </cell>
          <cell r="E254">
            <v>24.828611111111211</v>
          </cell>
          <cell r="F254">
            <v>2.948977872857161</v>
          </cell>
        </row>
        <row r="255">
          <cell r="B255">
            <v>591.06177772326339</v>
          </cell>
          <cell r="C255">
            <v>263.13624998227283</v>
          </cell>
          <cell r="D255">
            <v>196.1700580382676</v>
          </cell>
          <cell r="E255">
            <v>24.859513888888987</v>
          </cell>
          <cell r="F255">
            <v>2.9538504161709276</v>
          </cell>
        </row>
        <row r="256">
          <cell r="B256">
            <v>594.3574139808394</v>
          </cell>
          <cell r="C256">
            <v>263.70859434803197</v>
          </cell>
          <cell r="D256">
            <v>196.43991991851493</v>
          </cell>
          <cell r="E256">
            <v>24.890416666666763</v>
          </cell>
          <cell r="F256">
            <v>2.9587310103007285</v>
          </cell>
        </row>
        <row r="257">
          <cell r="B257">
            <v>597.6714260135908</v>
          </cell>
          <cell r="C257">
            <v>264.28218361286162</v>
          </cell>
          <cell r="D257">
            <v>196.71015303500053</v>
          </cell>
          <cell r="E257">
            <v>24.921319444444539</v>
          </cell>
          <cell r="F257">
            <v>2.9636196685487834</v>
          </cell>
        </row>
        <row r="258">
          <cell r="B258">
            <v>601.00391628097827</v>
          </cell>
          <cell r="C258">
            <v>264.85702048452612</v>
          </cell>
          <cell r="D258">
            <v>196.98075789841658</v>
          </cell>
          <cell r="E258">
            <v>24.952222222222314</v>
          </cell>
          <cell r="F258">
            <v>2.9685164042392902</v>
          </cell>
        </row>
        <row r="259">
          <cell r="B259">
            <v>604.35498781375486</v>
          </cell>
          <cell r="C259">
            <v>265.43310767667953</v>
          </cell>
          <cell r="D259">
            <v>197.25173502015775</v>
          </cell>
          <cell r="E259">
            <v>24.98312500000009</v>
          </cell>
          <cell r="F259">
            <v>2.9734212307184622</v>
          </cell>
        </row>
        <row r="260">
          <cell r="B260">
            <v>607.7247442171514</v>
          </cell>
          <cell r="C260">
            <v>266.01044790887835</v>
          </cell>
          <cell r="D260">
            <v>197.52308491232225</v>
          </cell>
          <cell r="E260">
            <v>25.014027777777866</v>
          </cell>
          <cell r="F260">
            <v>2.9783341613545646</v>
          </cell>
        </row>
        <row r="261">
          <cell r="B261">
            <v>611.11328967407974</v>
          </cell>
          <cell r="C261">
            <v>266.58904390659427</v>
          </cell>
          <cell r="D261">
            <v>197.79480808771271</v>
          </cell>
          <cell r="E261">
            <v>25.044930555555641</v>
          </cell>
          <cell r="F261">
            <v>2.9832552095379512</v>
          </cell>
        </row>
        <row r="262">
          <cell r="B262">
            <v>614.52072894835374</v>
          </cell>
          <cell r="C262">
            <v>267.16889840122712</v>
          </cell>
          <cell r="D262">
            <v>198.06690505983727</v>
          </cell>
          <cell r="E262">
            <v>25.075833333333435</v>
          </cell>
          <cell r="F262">
            <v>2.9881843886810961</v>
          </cell>
        </row>
        <row r="263">
          <cell r="B263">
            <v>617.89897497520235</v>
          </cell>
          <cell r="C263">
            <v>267.76069984545796</v>
          </cell>
          <cell r="D263">
            <v>198.35061804266573</v>
          </cell>
          <cell r="E263">
            <v>25.076180555555656</v>
          </cell>
          <cell r="F263">
            <v>2.9931091016997291</v>
          </cell>
        </row>
        <row r="264">
          <cell r="B264">
            <v>621.29579246055562</v>
          </cell>
          <cell r="C264">
            <v>268.35381217936003</v>
          </cell>
          <cell r="D264">
            <v>198.63473741876115</v>
          </cell>
          <cell r="E264">
            <v>25.076527777777876</v>
          </cell>
          <cell r="F264">
            <v>2.9980419309505488</v>
          </cell>
        </row>
        <row r="265">
          <cell r="B265">
            <v>624.71128349853825</v>
          </cell>
          <cell r="C265">
            <v>268.94823830666354</v>
          </cell>
          <cell r="D265">
            <v>198.91926377024524</v>
          </cell>
          <cell r="E265">
            <v>25.076875000000097</v>
          </cell>
          <cell r="F265">
            <v>3.0029828898096089</v>
          </cell>
        </row>
        <row r="266">
          <cell r="B266">
            <v>628.1455507445238</v>
          </cell>
          <cell r="C266">
            <v>269.54398113753075</v>
          </cell>
          <cell r="D266">
            <v>199.20419768007358</v>
          </cell>
          <cell r="E266">
            <v>25.077222222222318</v>
          </cell>
          <cell r="F266">
            <v>3.0079319916750076</v>
          </cell>
        </row>
        <row r="267">
          <cell r="B267">
            <v>631.59869741822001</v>
          </cell>
          <cell r="C267">
            <v>270.14104358857008</v>
          </cell>
          <cell r="D267">
            <v>199.48953973203672</v>
          </cell>
          <cell r="E267">
            <v>25.077569444444539</v>
          </cell>
          <cell r="F267">
            <v>3.012889249966924</v>
          </cell>
        </row>
        <row r="268">
          <cell r="B268">
            <v>635.07082730677132</v>
          </cell>
          <cell r="C268">
            <v>270.73942858285056</v>
          </cell>
          <cell r="D268">
            <v>199.77529051076147</v>
          </cell>
          <cell r="E268">
            <v>25.077916666666759</v>
          </cell>
          <cell r="F268">
            <v>3.0178546781276538</v>
          </cell>
        </row>
        <row r="269">
          <cell r="B269">
            <v>638.56204476787821</v>
          </cell>
          <cell r="C269">
            <v>271.33913904991601</v>
          </cell>
          <cell r="D269">
            <v>200.06145060171207</v>
          </cell>
          <cell r="E269">
            <v>25.07826388888898</v>
          </cell>
          <cell r="F269">
            <v>3.0228282896216476</v>
          </cell>
        </row>
        <row r="270">
          <cell r="B270">
            <v>642.07245473293369</v>
          </cell>
          <cell r="C270">
            <v>271.94017792579945</v>
          </cell>
          <cell r="D270">
            <v>200.34802059119139</v>
          </cell>
          <cell r="E270">
            <v>25.078611111111201</v>
          </cell>
          <cell r="F270">
            <v>3.0278100979355456</v>
          </cell>
        </row>
        <row r="271">
          <cell r="B271">
            <v>645.60216271017725</v>
          </cell>
          <cell r="C271">
            <v>272.54254815303744</v>
          </cell>
          <cell r="D271">
            <v>200.63500106634208</v>
          </cell>
          <cell r="E271">
            <v>25.078958333333421</v>
          </cell>
          <cell r="F271">
            <v>3.0328001165782146</v>
          </cell>
        </row>
        <row r="272">
          <cell r="B272">
            <v>649.15127478786576</v>
          </cell>
          <cell r="C272">
            <v>273.1462526806846</v>
          </cell>
          <cell r="D272">
            <v>200.92239261514791</v>
          </cell>
          <cell r="E272">
            <v>25.079305555555642</v>
          </cell>
          <cell r="F272">
            <v>3.0377983590807851</v>
          </cell>
        </row>
        <row r="273">
          <cell r="B273">
            <v>652.7198976374624</v>
          </cell>
          <cell r="C273">
            <v>273.75129446432777</v>
          </cell>
          <cell r="D273">
            <v>201.21019582643478</v>
          </cell>
          <cell r="E273">
            <v>25.079652777777863</v>
          </cell>
          <cell r="F273">
            <v>3.042804838996688</v>
          </cell>
        </row>
        <row r="274">
          <cell r="B274">
            <v>656.30813851684229</v>
          </cell>
          <cell r="C274">
            <v>274.35767646610088</v>
          </cell>
          <cell r="D274">
            <v>201.49841128987208</v>
          </cell>
          <cell r="E274">
            <v>25.080000000000101</v>
          </cell>
          <cell r="F274">
            <v>3.0478195699016921</v>
          </cell>
        </row>
        <row r="275">
          <cell r="B275">
            <v>659.91610527351668</v>
          </cell>
          <cell r="C275">
            <v>274.97311717065253</v>
          </cell>
          <cell r="D275">
            <v>201.79963849532729</v>
          </cell>
          <cell r="E275">
            <v>25.080000000000101</v>
          </cell>
          <cell r="F275">
            <v>3.0528509811596467</v>
          </cell>
        </row>
        <row r="276">
          <cell r="B276">
            <v>663.54390634787399</v>
          </cell>
          <cell r="C276">
            <v>275.58993843530254</v>
          </cell>
          <cell r="D276">
            <v>202.10131601614094</v>
          </cell>
          <cell r="E276">
            <v>25.080000000000101</v>
          </cell>
          <cell r="F276">
            <v>3.057890698388039</v>
          </cell>
        </row>
        <row r="277">
          <cell r="B277">
            <v>667.19165077643947</v>
          </cell>
          <cell r="C277">
            <v>276.20814335693126</v>
          </cell>
          <cell r="D277">
            <v>202.40344452550562</v>
          </cell>
          <cell r="E277">
            <v>25.080000000000101</v>
          </cell>
          <cell r="F277">
            <v>3.0629387352985575</v>
          </cell>
        </row>
        <row r="278">
          <cell r="B278">
            <v>670.85944819515203</v>
          </cell>
          <cell r="C278">
            <v>276.8277350393659</v>
          </cell>
          <cell r="D278">
            <v>202.70602469762031</v>
          </cell>
          <cell r="E278">
            <v>25.080000000000101</v>
          </cell>
          <cell r="F278">
            <v>3.0679951056255268</v>
          </cell>
        </row>
        <row r="279">
          <cell r="B279">
            <v>674.54740884265959</v>
          </cell>
          <cell r="C279">
            <v>277.44871659339623</v>
          </cell>
          <cell r="D279">
            <v>203.00905720769185</v>
          </cell>
          <cell r="E279">
            <v>25.080000000000101</v>
          </cell>
          <cell r="F279">
            <v>3.0730598231259436</v>
          </cell>
        </row>
        <row r="280">
          <cell r="B280">
            <v>678.25564356363236</v>
          </cell>
          <cell r="C280">
            <v>278.07109113679007</v>
          </cell>
          <cell r="D280">
            <v>203.3125427319365</v>
          </cell>
          <cell r="E280">
            <v>25.080000000000101</v>
          </cell>
          <cell r="F280">
            <v>3.078132901579516</v>
          </cell>
        </row>
        <row r="281">
          <cell r="B281">
            <v>681.98426381209447</v>
          </cell>
          <cell r="C281">
            <v>278.69486179430913</v>
          </cell>
          <cell r="D281">
            <v>203.61648194758138</v>
          </cell>
          <cell r="E281">
            <v>25.080000000000101</v>
          </cell>
          <cell r="F281">
            <v>3.0832143547886992</v>
          </cell>
        </row>
        <row r="282">
          <cell r="B282">
            <v>685.73338165477367</v>
          </cell>
          <cell r="C282">
            <v>279.32003169772463</v>
          </cell>
          <cell r="D282">
            <v>203.92087553286606</v>
          </cell>
          <cell r="E282">
            <v>25.080000000000101</v>
          </cell>
          <cell r="F282">
            <v>3.0883041965787341</v>
          </cell>
        </row>
        <row r="283">
          <cell r="B283">
            <v>689.50310977446975</v>
          </cell>
          <cell r="C283">
            <v>279.94660398583289</v>
          </cell>
          <cell r="D283">
            <v>204.22572416704401</v>
          </cell>
          <cell r="E283">
            <v>25.080000000000101</v>
          </cell>
          <cell r="F283">
            <v>3.0934024407976843</v>
          </cell>
        </row>
        <row r="284">
          <cell r="B284">
            <v>693.29356147344106</v>
          </cell>
          <cell r="C284">
            <v>280.57458180447128</v>
          </cell>
          <cell r="D284">
            <v>204.53102853038416</v>
          </cell>
          <cell r="E284">
            <v>25.080000000000101</v>
          </cell>
          <cell r="F284">
            <v>3.0985091013164747</v>
          </cell>
        </row>
        <row r="285">
          <cell r="B285">
            <v>697.1048506768102</v>
          </cell>
          <cell r="C285">
            <v>281.20396830653391</v>
          </cell>
          <cell r="D285">
            <v>204.83678930417238</v>
          </cell>
          <cell r="E285">
            <v>25.080000000000101</v>
          </cell>
          <cell r="F285">
            <v>3.1036241920289283</v>
          </cell>
        </row>
        <row r="286">
          <cell r="B286">
            <v>700.93709193598795</v>
          </cell>
          <cell r="C286">
            <v>281.83476665198742</v>
          </cell>
          <cell r="D286">
            <v>205.14300717071302</v>
          </cell>
          <cell r="E286">
            <v>25.080000000000101</v>
          </cell>
          <cell r="F286">
            <v>3.1087477268518051</v>
          </cell>
        </row>
        <row r="287">
          <cell r="B287">
            <v>704.79040043211614</v>
          </cell>
          <cell r="C287">
            <v>282.48005636909801</v>
          </cell>
          <cell r="D287">
            <v>205.46481165790806</v>
          </cell>
          <cell r="E287">
            <v>25.080000000000101</v>
          </cell>
          <cell r="F287">
            <v>3.1138921883315391</v>
          </cell>
        </row>
        <row r="288">
          <cell r="B288">
            <v>708.66489197952978</v>
          </cell>
          <cell r="C288">
            <v>283.12682354345759</v>
          </cell>
          <cell r="D288">
            <v>205.78712095454995</v>
          </cell>
          <cell r="E288">
            <v>25.080000000000101</v>
          </cell>
          <cell r="F288">
            <v>3.1190451630411142</v>
          </cell>
        </row>
        <row r="289">
          <cell r="B289">
            <v>712.56068302923768</v>
          </cell>
          <cell r="C289">
            <v>283.77507155785662</v>
          </cell>
          <cell r="D289">
            <v>206.10993585252507</v>
          </cell>
          <cell r="E289">
            <v>25.080000000000101</v>
          </cell>
          <cell r="F289">
            <v>3.1242066650685127</v>
          </cell>
        </row>
        <row r="290">
          <cell r="B290">
            <v>716.47789067242263</v>
          </cell>
          <cell r="C290">
            <v>284.42480380283092</v>
          </cell>
          <cell r="D290">
            <v>206.43325714496194</v>
          </cell>
          <cell r="E290">
            <v>25.080000000000101</v>
          </cell>
          <cell r="F290">
            <v>3.1293767085250299</v>
          </cell>
        </row>
        <row r="291">
          <cell r="B291">
            <v>720.41663264396061</v>
          </cell>
          <cell r="C291">
            <v>285.07602367667914</v>
          </cell>
          <cell r="D291">
            <v>206.75708562623331</v>
          </cell>
          <cell r="E291">
            <v>25.080000000000101</v>
          </cell>
          <cell r="F291">
            <v>3.1345553075453139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RAC_ASSUMP"/>
      <sheetName val="RAC_RATIOS"/>
      <sheetName val="Summary WO-TBS"/>
      <sheetName val="Summary W-TBS"/>
      <sheetName val="Enron Summary W-TBS"/>
      <sheetName val="Shell &amp; Transredes"/>
      <sheetName val="Fin Stmts WO-TBS"/>
      <sheetName val="Current Finance"/>
      <sheetName val="IDC"/>
      <sheetName val="Senior Debt Split"/>
      <sheetName val="Default Payment"/>
      <sheetName val="Consolidated Project Cost"/>
      <sheetName val="Funded Project Cost"/>
    </sheetNames>
    <definedNames>
      <definedName name="GasMat_Disc" refersTo="='RAC_ASSUMP'!$C$6"/>
    </definedNames>
    <sheetDataSet>
      <sheetData sheetId="0" refreshError="1"/>
      <sheetData sheetId="1">
        <row r="6">
          <cell r="C6">
            <v>0.19</v>
          </cell>
        </row>
        <row r="15">
          <cell r="C15">
            <v>36770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Cashflow"/>
      <sheetName val="Returns"/>
      <sheetName val="EINC"/>
      <sheetName val="Ref1"/>
      <sheetName val="MMBTU"/>
      <sheetName val="EPE Revenues"/>
      <sheetName val="SCG Commodity"/>
      <sheetName val="Transportation"/>
      <sheetName val="XNPV"/>
      <sheetName val="Escalation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R35">
            <v>127260</v>
          </cell>
        </row>
        <row r="36">
          <cell r="R36">
            <v>709020</v>
          </cell>
        </row>
        <row r="37">
          <cell r="R37">
            <v>1483488</v>
          </cell>
        </row>
        <row r="38">
          <cell r="R38">
            <v>2344492.7999999998</v>
          </cell>
        </row>
        <row r="39">
          <cell r="R39">
            <v>2367541</v>
          </cell>
        </row>
        <row r="40">
          <cell r="R40">
            <v>2092866.048</v>
          </cell>
        </row>
        <row r="41">
          <cell r="R41">
            <v>2025354.24</v>
          </cell>
        </row>
        <row r="42">
          <cell r="R42">
            <v>2092866.048</v>
          </cell>
        </row>
        <row r="43">
          <cell r="R43">
            <v>2025354.24</v>
          </cell>
        </row>
        <row r="44">
          <cell r="R44">
            <v>2092866.048</v>
          </cell>
        </row>
        <row r="45">
          <cell r="R45">
            <v>2092866.048</v>
          </cell>
        </row>
        <row r="46">
          <cell r="R46">
            <v>1890330.6240000003</v>
          </cell>
        </row>
        <row r="47">
          <cell r="R47">
            <v>2092866.048</v>
          </cell>
        </row>
        <row r="48">
          <cell r="R48">
            <v>2025354.24</v>
          </cell>
        </row>
        <row r="49">
          <cell r="R49">
            <v>2092866.048</v>
          </cell>
        </row>
        <row r="50">
          <cell r="R50">
            <v>2025354.24</v>
          </cell>
        </row>
        <row r="51">
          <cell r="R51">
            <v>2092866.048</v>
          </cell>
        </row>
        <row r="52">
          <cell r="R52">
            <v>2092866.048</v>
          </cell>
        </row>
        <row r="53">
          <cell r="R53">
            <v>2025354.24</v>
          </cell>
        </row>
        <row r="54">
          <cell r="R54">
            <v>2092866.048</v>
          </cell>
        </row>
        <row r="55">
          <cell r="R55">
            <v>2025354.24</v>
          </cell>
        </row>
        <row r="56">
          <cell r="R56">
            <v>2092866.048</v>
          </cell>
        </row>
        <row r="57">
          <cell r="R57">
            <v>2092866.048</v>
          </cell>
        </row>
        <row r="58">
          <cell r="R58">
            <v>1890330.6240000003</v>
          </cell>
        </row>
        <row r="59">
          <cell r="R59">
            <v>2092866.048</v>
          </cell>
        </row>
        <row r="60">
          <cell r="R60">
            <v>2025354.24</v>
          </cell>
        </row>
        <row r="61">
          <cell r="R61">
            <v>2092866.048</v>
          </cell>
        </row>
        <row r="62">
          <cell r="R62">
            <v>2025354.24</v>
          </cell>
        </row>
        <row r="63">
          <cell r="R63">
            <v>2092866.048</v>
          </cell>
        </row>
        <row r="64">
          <cell r="R64">
            <v>2092866.048</v>
          </cell>
        </row>
        <row r="65">
          <cell r="R65">
            <v>2025354.24</v>
          </cell>
        </row>
        <row r="66">
          <cell r="R66">
            <v>2092866.048</v>
          </cell>
        </row>
        <row r="67">
          <cell r="R67">
            <v>2025354.24</v>
          </cell>
        </row>
        <row r="68">
          <cell r="R68">
            <v>2092866.048</v>
          </cell>
        </row>
        <row r="69">
          <cell r="R69">
            <v>2092866.048</v>
          </cell>
        </row>
        <row r="70">
          <cell r="R70">
            <v>1957842.432</v>
          </cell>
        </row>
        <row r="71">
          <cell r="R71">
            <v>2092866.048</v>
          </cell>
        </row>
        <row r="72">
          <cell r="R72">
            <v>2025354.24</v>
          </cell>
        </row>
        <row r="73">
          <cell r="R73">
            <v>2092866.048</v>
          </cell>
        </row>
        <row r="74">
          <cell r="R74">
            <v>2025354.24</v>
          </cell>
        </row>
        <row r="75">
          <cell r="R75">
            <v>2092866.048</v>
          </cell>
        </row>
        <row r="76">
          <cell r="R76">
            <v>2092866.048</v>
          </cell>
        </row>
        <row r="77">
          <cell r="R77">
            <v>2025354.24</v>
          </cell>
        </row>
        <row r="78">
          <cell r="R78">
            <v>2092866.048</v>
          </cell>
        </row>
        <row r="79">
          <cell r="R79">
            <v>2025354.24</v>
          </cell>
        </row>
        <row r="80">
          <cell r="R80">
            <v>2092866.048</v>
          </cell>
        </row>
        <row r="81">
          <cell r="R81">
            <v>2092866.048</v>
          </cell>
        </row>
        <row r="82">
          <cell r="R82">
            <v>1890330.6240000003</v>
          </cell>
        </row>
        <row r="83">
          <cell r="R83">
            <v>2092866.048</v>
          </cell>
        </row>
        <row r="84">
          <cell r="R84">
            <v>2025354.24</v>
          </cell>
        </row>
        <row r="85">
          <cell r="R85">
            <v>2092866.048</v>
          </cell>
        </row>
        <row r="86">
          <cell r="R86">
            <v>2025354.24</v>
          </cell>
        </row>
        <row r="87">
          <cell r="R87">
            <v>2092866.048</v>
          </cell>
        </row>
        <row r="88">
          <cell r="R88">
            <v>2092866.048</v>
          </cell>
        </row>
        <row r="89">
          <cell r="R89">
            <v>2025354.24</v>
          </cell>
        </row>
        <row r="90">
          <cell r="R90">
            <v>2092866.048</v>
          </cell>
        </row>
        <row r="91">
          <cell r="R91">
            <v>2025354.24</v>
          </cell>
        </row>
        <row r="92">
          <cell r="R92">
            <v>2092866.048</v>
          </cell>
        </row>
        <row r="93">
          <cell r="R93">
            <v>2092866.048</v>
          </cell>
        </row>
        <row r="94">
          <cell r="R94">
            <v>1890330.6240000003</v>
          </cell>
        </row>
        <row r="95">
          <cell r="R95">
            <v>2092866.048</v>
          </cell>
        </row>
        <row r="96">
          <cell r="R96">
            <v>2025354.24</v>
          </cell>
        </row>
        <row r="97">
          <cell r="R97">
            <v>2092866.048</v>
          </cell>
        </row>
        <row r="98">
          <cell r="R98">
            <v>2025354.24</v>
          </cell>
        </row>
        <row r="99">
          <cell r="R99">
            <v>2092866.048</v>
          </cell>
        </row>
        <row r="100">
          <cell r="R100">
            <v>2092866.048</v>
          </cell>
        </row>
        <row r="101">
          <cell r="R101">
            <v>2025354.24</v>
          </cell>
        </row>
        <row r="102">
          <cell r="R102">
            <v>2092866.048</v>
          </cell>
        </row>
        <row r="103">
          <cell r="R103">
            <v>2025354.24</v>
          </cell>
        </row>
        <row r="104">
          <cell r="R104">
            <v>2092866.048</v>
          </cell>
        </row>
        <row r="105">
          <cell r="R105">
            <v>2092866.048</v>
          </cell>
        </row>
        <row r="106">
          <cell r="R106">
            <v>1890330.6240000003</v>
          </cell>
        </row>
        <row r="107">
          <cell r="R107">
            <v>2092866.048</v>
          </cell>
        </row>
        <row r="108">
          <cell r="R108">
            <v>2025354.24</v>
          </cell>
        </row>
        <row r="109">
          <cell r="R109">
            <v>2092866.048</v>
          </cell>
        </row>
        <row r="110">
          <cell r="R110">
            <v>2025354.24</v>
          </cell>
        </row>
        <row r="111">
          <cell r="R111">
            <v>2092866.048</v>
          </cell>
        </row>
        <row r="112">
          <cell r="R112">
            <v>2092866.048</v>
          </cell>
        </row>
        <row r="113">
          <cell r="R113">
            <v>2025354.24</v>
          </cell>
        </row>
        <row r="114">
          <cell r="R114">
            <v>2092866.048</v>
          </cell>
        </row>
        <row r="115">
          <cell r="R115">
            <v>2025354.24</v>
          </cell>
        </row>
        <row r="116">
          <cell r="R116">
            <v>2092866.048</v>
          </cell>
        </row>
        <row r="117">
          <cell r="R117">
            <v>2092866.048</v>
          </cell>
        </row>
        <row r="118">
          <cell r="R118">
            <v>1957842.432</v>
          </cell>
        </row>
        <row r="119">
          <cell r="R119">
            <v>2092866.048</v>
          </cell>
        </row>
        <row r="120">
          <cell r="R120">
            <v>2025354.24</v>
          </cell>
        </row>
        <row r="121">
          <cell r="R121">
            <v>2092866.048</v>
          </cell>
        </row>
        <row r="122">
          <cell r="R122">
            <v>2025354.24</v>
          </cell>
        </row>
        <row r="123">
          <cell r="R123">
            <v>2092866.048</v>
          </cell>
        </row>
        <row r="124">
          <cell r="R124">
            <v>2092866.048</v>
          </cell>
        </row>
        <row r="125">
          <cell r="R125">
            <v>2025354.24</v>
          </cell>
        </row>
        <row r="126">
          <cell r="R126">
            <v>2092866.048</v>
          </cell>
        </row>
        <row r="127">
          <cell r="R127">
            <v>2025354.24</v>
          </cell>
        </row>
        <row r="128">
          <cell r="R128">
            <v>2092866.048</v>
          </cell>
        </row>
        <row r="129">
          <cell r="R129">
            <v>2092866.048</v>
          </cell>
        </row>
        <row r="130">
          <cell r="R130">
            <v>1890330.6240000003</v>
          </cell>
        </row>
        <row r="131">
          <cell r="R131">
            <v>2092866.048</v>
          </cell>
        </row>
        <row r="132">
          <cell r="R132">
            <v>2025354.24</v>
          </cell>
        </row>
        <row r="133">
          <cell r="R133">
            <v>2092866.048</v>
          </cell>
        </row>
        <row r="134">
          <cell r="R134">
            <v>2025354.24</v>
          </cell>
        </row>
        <row r="135">
          <cell r="R135">
            <v>2092866.048</v>
          </cell>
        </row>
        <row r="136">
          <cell r="R136">
            <v>2092866.048</v>
          </cell>
        </row>
        <row r="137">
          <cell r="R137">
            <v>2025354.24</v>
          </cell>
        </row>
        <row r="138">
          <cell r="R138">
            <v>2092866.048</v>
          </cell>
        </row>
        <row r="139">
          <cell r="R139">
            <v>2025354.24</v>
          </cell>
        </row>
        <row r="140">
          <cell r="R140">
            <v>2092866.048</v>
          </cell>
        </row>
        <row r="141">
          <cell r="R141">
            <v>2092866.048</v>
          </cell>
        </row>
        <row r="142">
          <cell r="R142">
            <v>1890330.6240000003</v>
          </cell>
        </row>
        <row r="143">
          <cell r="R143">
            <v>2092866.048</v>
          </cell>
        </row>
        <row r="144">
          <cell r="R144">
            <v>2025354.24</v>
          </cell>
        </row>
        <row r="145">
          <cell r="R145">
            <v>2092866.048</v>
          </cell>
        </row>
        <row r="146">
          <cell r="R146">
            <v>2025354.24</v>
          </cell>
        </row>
        <row r="147">
          <cell r="R147">
            <v>2092866.048</v>
          </cell>
        </row>
        <row r="148">
          <cell r="R148">
            <v>2092866.048</v>
          </cell>
        </row>
        <row r="149">
          <cell r="R149">
            <v>2025354.24</v>
          </cell>
        </row>
        <row r="150">
          <cell r="R150">
            <v>2092866.048</v>
          </cell>
        </row>
        <row r="151">
          <cell r="R151">
            <v>2025354.24</v>
          </cell>
        </row>
        <row r="152">
          <cell r="R152">
            <v>2092866.048</v>
          </cell>
        </row>
        <row r="153">
          <cell r="R153">
            <v>2092866.048</v>
          </cell>
        </row>
        <row r="154">
          <cell r="R154">
            <v>1890330.6240000003</v>
          </cell>
        </row>
        <row r="155">
          <cell r="R155">
            <v>2092866.048</v>
          </cell>
        </row>
        <row r="156">
          <cell r="R156">
            <v>2025354.24</v>
          </cell>
        </row>
        <row r="157">
          <cell r="R157">
            <v>2092866.048</v>
          </cell>
        </row>
        <row r="158">
          <cell r="R158">
            <v>2025354.24</v>
          </cell>
        </row>
        <row r="159">
          <cell r="R159">
            <v>2092866.048</v>
          </cell>
        </row>
        <row r="160">
          <cell r="R160">
            <v>2092866.048</v>
          </cell>
        </row>
        <row r="161">
          <cell r="R161">
            <v>2025354.24</v>
          </cell>
        </row>
        <row r="162">
          <cell r="R162">
            <v>2092866.048</v>
          </cell>
        </row>
        <row r="163">
          <cell r="R163">
            <v>2025354.24</v>
          </cell>
        </row>
        <row r="164">
          <cell r="R164">
            <v>2092866.048</v>
          </cell>
        </row>
        <row r="165">
          <cell r="R165">
            <v>2092866.048</v>
          </cell>
        </row>
        <row r="166">
          <cell r="R166">
            <v>1957842.432</v>
          </cell>
        </row>
        <row r="167">
          <cell r="R167">
            <v>2092866.048</v>
          </cell>
        </row>
        <row r="168">
          <cell r="R168">
            <v>2025354.24</v>
          </cell>
        </row>
        <row r="169">
          <cell r="R169">
            <v>2092866.048</v>
          </cell>
        </row>
        <row r="170">
          <cell r="R170">
            <v>2025354.24</v>
          </cell>
        </row>
        <row r="171">
          <cell r="R171">
            <v>2092866.048</v>
          </cell>
        </row>
        <row r="172">
          <cell r="R172">
            <v>2092866.048</v>
          </cell>
        </row>
        <row r="173">
          <cell r="R173">
            <v>2025354.24</v>
          </cell>
        </row>
        <row r="174">
          <cell r="R174">
            <v>2092866.048</v>
          </cell>
        </row>
        <row r="175">
          <cell r="R175">
            <v>2025354.24</v>
          </cell>
        </row>
        <row r="176">
          <cell r="R176">
            <v>2092866.048</v>
          </cell>
        </row>
        <row r="177">
          <cell r="R177">
            <v>2092866.048</v>
          </cell>
        </row>
        <row r="178">
          <cell r="R178">
            <v>1890330.6240000003</v>
          </cell>
        </row>
        <row r="179">
          <cell r="R179">
            <v>2092866.048</v>
          </cell>
        </row>
        <row r="180">
          <cell r="R180">
            <v>2025354.24</v>
          </cell>
        </row>
        <row r="181">
          <cell r="R181">
            <v>2092866.048</v>
          </cell>
        </row>
        <row r="182">
          <cell r="R182">
            <v>2025354.24</v>
          </cell>
        </row>
        <row r="183">
          <cell r="R183">
            <v>2092866.048</v>
          </cell>
        </row>
        <row r="184">
          <cell r="R184">
            <v>2092866.048</v>
          </cell>
        </row>
        <row r="185">
          <cell r="R185">
            <v>2025354.24</v>
          </cell>
        </row>
        <row r="186">
          <cell r="R186">
            <v>2092866.048</v>
          </cell>
        </row>
        <row r="187">
          <cell r="R187">
            <v>2025354.24</v>
          </cell>
        </row>
        <row r="188">
          <cell r="R188">
            <v>2092866.048</v>
          </cell>
        </row>
        <row r="189">
          <cell r="R189">
            <v>2092866.048</v>
          </cell>
        </row>
        <row r="190">
          <cell r="R190">
            <v>1890330.6240000003</v>
          </cell>
        </row>
        <row r="191">
          <cell r="R191">
            <v>2092866.048</v>
          </cell>
        </row>
        <row r="192">
          <cell r="R192">
            <v>2025354.24</v>
          </cell>
        </row>
        <row r="193">
          <cell r="R193">
            <v>2092866.048</v>
          </cell>
        </row>
        <row r="194">
          <cell r="R194">
            <v>2025354.24</v>
          </cell>
        </row>
        <row r="195">
          <cell r="R195">
            <v>2092866.048</v>
          </cell>
        </row>
        <row r="196">
          <cell r="R196">
            <v>2092866.048</v>
          </cell>
        </row>
        <row r="197">
          <cell r="R197">
            <v>2025354.24</v>
          </cell>
        </row>
        <row r="198">
          <cell r="R198">
            <v>2092866.048</v>
          </cell>
        </row>
        <row r="199">
          <cell r="R199">
            <v>2025354.24</v>
          </cell>
        </row>
        <row r="200">
          <cell r="R200">
            <v>2092866.048</v>
          </cell>
        </row>
        <row r="201">
          <cell r="R201">
            <v>2092866.048</v>
          </cell>
        </row>
        <row r="202">
          <cell r="R202">
            <v>1890330.6240000003</v>
          </cell>
        </row>
        <row r="203">
          <cell r="R203">
            <v>2092866.048</v>
          </cell>
        </row>
        <row r="204">
          <cell r="R204">
            <v>2025354.24</v>
          </cell>
        </row>
        <row r="205">
          <cell r="R205">
            <v>2092866.048</v>
          </cell>
        </row>
        <row r="206">
          <cell r="R206">
            <v>2025354.24</v>
          </cell>
        </row>
        <row r="207">
          <cell r="R207">
            <v>2092866.048</v>
          </cell>
        </row>
        <row r="208">
          <cell r="R208">
            <v>2092866.048</v>
          </cell>
        </row>
        <row r="209">
          <cell r="R209">
            <v>2025354.24</v>
          </cell>
        </row>
        <row r="210">
          <cell r="R210">
            <v>2092866.048</v>
          </cell>
        </row>
        <row r="211">
          <cell r="R211">
            <v>2025354.24</v>
          </cell>
        </row>
        <row r="212">
          <cell r="R212">
            <v>2092866.048</v>
          </cell>
        </row>
        <row r="213">
          <cell r="R213">
            <v>2092866.048</v>
          </cell>
        </row>
        <row r="214">
          <cell r="R214">
            <v>1957842.432</v>
          </cell>
        </row>
        <row r="215">
          <cell r="R215">
            <v>2092866.048</v>
          </cell>
        </row>
        <row r="216">
          <cell r="R216">
            <v>2025354.24</v>
          </cell>
        </row>
        <row r="217">
          <cell r="R217">
            <v>2092866.048</v>
          </cell>
        </row>
        <row r="218">
          <cell r="R218">
            <v>2025354.24</v>
          </cell>
        </row>
        <row r="219">
          <cell r="R219">
            <v>2092866.048</v>
          </cell>
        </row>
        <row r="220">
          <cell r="R220">
            <v>2092866.048</v>
          </cell>
        </row>
        <row r="221">
          <cell r="R221">
            <v>2025354.24</v>
          </cell>
        </row>
        <row r="222">
          <cell r="R222">
            <v>2092866.048</v>
          </cell>
        </row>
        <row r="223">
          <cell r="R223">
            <v>2025354.24</v>
          </cell>
        </row>
        <row r="224">
          <cell r="R224">
            <v>2092866.048</v>
          </cell>
        </row>
        <row r="225">
          <cell r="R225">
            <v>2092866.048</v>
          </cell>
        </row>
        <row r="226">
          <cell r="R226">
            <v>1890330.6240000003</v>
          </cell>
        </row>
        <row r="227">
          <cell r="R227">
            <v>2092866.048</v>
          </cell>
        </row>
        <row r="228">
          <cell r="R228">
            <v>2025354.24</v>
          </cell>
        </row>
        <row r="229">
          <cell r="R229">
            <v>2092866.048</v>
          </cell>
        </row>
        <row r="230">
          <cell r="R230">
            <v>2025354.24</v>
          </cell>
        </row>
        <row r="231">
          <cell r="R231">
            <v>2092866.048</v>
          </cell>
        </row>
        <row r="232">
          <cell r="R232">
            <v>2092866.048</v>
          </cell>
        </row>
        <row r="233">
          <cell r="R233">
            <v>2025354.24</v>
          </cell>
        </row>
        <row r="234">
          <cell r="R234">
            <v>2092866.048</v>
          </cell>
        </row>
        <row r="235">
          <cell r="R235">
            <v>2025354.24</v>
          </cell>
        </row>
        <row r="236">
          <cell r="R236">
            <v>2092866.048</v>
          </cell>
        </row>
        <row r="237">
          <cell r="R237">
            <v>2092866.048</v>
          </cell>
        </row>
        <row r="238">
          <cell r="R238">
            <v>1890330.6240000003</v>
          </cell>
        </row>
        <row r="239">
          <cell r="R239">
            <v>2092866.048</v>
          </cell>
        </row>
        <row r="240">
          <cell r="R240">
            <v>2025354.24</v>
          </cell>
        </row>
        <row r="241">
          <cell r="R241">
            <v>2092866.048</v>
          </cell>
        </row>
        <row r="242">
          <cell r="R242">
            <v>2025354.24</v>
          </cell>
        </row>
        <row r="243">
          <cell r="R243">
            <v>2092866.048</v>
          </cell>
        </row>
        <row r="244">
          <cell r="R244">
            <v>2092866.048</v>
          </cell>
        </row>
        <row r="245">
          <cell r="R245">
            <v>2025354.24</v>
          </cell>
        </row>
        <row r="246">
          <cell r="R246">
            <v>2092866.048</v>
          </cell>
        </row>
        <row r="247">
          <cell r="R247">
            <v>2025354.24</v>
          </cell>
        </row>
        <row r="248">
          <cell r="R248">
            <v>2092866.048</v>
          </cell>
        </row>
        <row r="249">
          <cell r="R249">
            <v>2092866.048</v>
          </cell>
        </row>
        <row r="250">
          <cell r="R250">
            <v>1890330.6240000003</v>
          </cell>
        </row>
        <row r="251">
          <cell r="R251">
            <v>2092866.048</v>
          </cell>
        </row>
        <row r="252">
          <cell r="R252">
            <v>2025354.24</v>
          </cell>
        </row>
        <row r="253">
          <cell r="R253">
            <v>0</v>
          </cell>
        </row>
        <row r="254">
          <cell r="R254">
            <v>0</v>
          </cell>
        </row>
        <row r="255">
          <cell r="R255">
            <v>0</v>
          </cell>
        </row>
        <row r="256">
          <cell r="R256">
            <v>0</v>
          </cell>
        </row>
        <row r="257">
          <cell r="R257">
            <v>0</v>
          </cell>
        </row>
        <row r="258">
          <cell r="R258">
            <v>0</v>
          </cell>
        </row>
        <row r="259">
          <cell r="R259">
            <v>0</v>
          </cell>
        </row>
        <row r="260">
          <cell r="R260">
            <v>0</v>
          </cell>
        </row>
        <row r="261">
          <cell r="R261">
            <v>0</v>
          </cell>
        </row>
        <row r="262">
          <cell r="R262">
            <v>0</v>
          </cell>
        </row>
        <row r="263">
          <cell r="R263">
            <v>0</v>
          </cell>
        </row>
        <row r="264">
          <cell r="R264">
            <v>0</v>
          </cell>
        </row>
        <row r="265">
          <cell r="R265">
            <v>0</v>
          </cell>
        </row>
        <row r="266">
          <cell r="R266">
            <v>0</v>
          </cell>
        </row>
        <row r="268">
          <cell r="R268">
            <v>444643341.25599962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RAROC"/>
      <sheetName val="Tariff"/>
      <sheetName val="Rev_Exp"/>
      <sheetName val="CF"/>
      <sheetName val="Project &amp; Investor Returns"/>
      <sheetName val="Enron Returns"/>
      <sheetName val="Shell &amp; Trans Returns"/>
      <sheetName val="100% Partner Cash Flow"/>
      <sheetName val="EINC"/>
      <sheetName val="PLRisk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CommonSized"/>
      <sheetName val="BS_IS"/>
      <sheetName val="Ref1"/>
      <sheetName val="Ref2"/>
      <sheetName val="Ref3"/>
      <sheetName val="Ref4"/>
      <sheetName val="Ref5"/>
      <sheetName val="RAC_LDs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definedNames>
      <definedName name="Guar_Fee_Table" refersTo="='RAROC'!$A$107:$D$113"/>
    </definedNames>
    <sheetDataSet>
      <sheetData sheetId="0" refreshError="1"/>
      <sheetData sheetId="1">
        <row r="16">
          <cell r="E16">
            <v>37104</v>
          </cell>
        </row>
      </sheetData>
      <sheetData sheetId="2">
        <row r="34">
          <cell r="C34">
            <v>-2801.4201620875474</v>
          </cell>
          <cell r="D34">
            <v>-22887.898678844675</v>
          </cell>
          <cell r="E34">
            <v>3345.0575398684814</v>
          </cell>
          <cell r="F34">
            <v>-376.98075746863543</v>
          </cell>
          <cell r="G34">
            <v>-1357.4192123876762</v>
          </cell>
          <cell r="H34">
            <v>-1853.1945611811796</v>
          </cell>
          <cell r="I34">
            <v>-1174.9275475677123</v>
          </cell>
          <cell r="J34">
            <v>-1214.5625545605519</v>
          </cell>
          <cell r="K34">
            <v>-1106.0829790039927</v>
          </cell>
          <cell r="L34">
            <v>-774.21297729990317</v>
          </cell>
          <cell r="M34">
            <v>754.90476793333016</v>
          </cell>
          <cell r="N34">
            <v>2279.3668615631186</v>
          </cell>
          <cell r="O34">
            <v>2744.3851880749835</v>
          </cell>
          <cell r="P34">
            <v>2749.1695449171111</v>
          </cell>
          <cell r="Q34">
            <v>2763.4972932942192</v>
          </cell>
          <cell r="R34">
            <v>2750.9553188438331</v>
          </cell>
          <cell r="S34">
            <v>3494.5592433878828</v>
          </cell>
          <cell r="T34">
            <v>4943.4190229528995</v>
          </cell>
          <cell r="U34">
            <v>7708.3808470559152</v>
          </cell>
          <cell r="V34">
            <v>7997.0231945978339</v>
          </cell>
          <cell r="W34">
            <v>8120.0102851163911</v>
          </cell>
          <cell r="X34">
            <v>98381.242392974178</v>
          </cell>
        </row>
        <row r="50">
          <cell r="J50">
            <v>36892</v>
          </cell>
        </row>
        <row r="51">
          <cell r="J51">
            <v>36951</v>
          </cell>
        </row>
        <row r="52">
          <cell r="J52">
            <v>37104</v>
          </cell>
        </row>
        <row r="78">
          <cell r="D78">
            <v>1</v>
          </cell>
        </row>
        <row r="83"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1.2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</row>
        <row r="103">
          <cell r="B103">
            <v>1</v>
          </cell>
        </row>
        <row r="107">
          <cell r="A107">
            <v>2001</v>
          </cell>
          <cell r="B107">
            <v>0.04</v>
          </cell>
          <cell r="C107">
            <v>0.04</v>
          </cell>
          <cell r="D107">
            <v>0.04</v>
          </cell>
        </row>
        <row r="108">
          <cell r="A108">
            <v>2002</v>
          </cell>
          <cell r="B108">
            <v>0.04</v>
          </cell>
          <cell r="C108">
            <v>0.04</v>
          </cell>
          <cell r="D108">
            <v>0.04</v>
          </cell>
        </row>
        <row r="109">
          <cell r="A109">
            <v>2003</v>
          </cell>
          <cell r="B109">
            <v>0.04</v>
          </cell>
          <cell r="C109">
            <v>0.04</v>
          </cell>
          <cell r="D109">
            <v>0.04</v>
          </cell>
        </row>
        <row r="110">
          <cell r="A110">
            <v>2004</v>
          </cell>
          <cell r="B110">
            <v>0</v>
          </cell>
          <cell r="C110">
            <v>0.04</v>
          </cell>
          <cell r="D110">
            <v>0.04</v>
          </cell>
        </row>
        <row r="111">
          <cell r="A111">
            <v>2005</v>
          </cell>
          <cell r="B111">
            <v>0</v>
          </cell>
          <cell r="C111">
            <v>0.04</v>
          </cell>
          <cell r="D111">
            <v>0.04</v>
          </cell>
        </row>
        <row r="112">
          <cell r="A112">
            <v>2006</v>
          </cell>
          <cell r="B112">
            <v>0</v>
          </cell>
          <cell r="C112">
            <v>0</v>
          </cell>
          <cell r="D112">
            <v>0.04</v>
          </cell>
        </row>
        <row r="113">
          <cell r="A113">
            <v>2007</v>
          </cell>
          <cell r="B113">
            <v>0</v>
          </cell>
          <cell r="C113">
            <v>0</v>
          </cell>
          <cell r="D113">
            <v>0.04</v>
          </cell>
        </row>
        <row r="119">
          <cell r="C119">
            <v>10499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07">
          <cell r="A107">
            <v>39142</v>
          </cell>
        </row>
        <row r="108">
          <cell r="A108">
            <v>39173</v>
          </cell>
        </row>
        <row r="109">
          <cell r="A109">
            <v>39203</v>
          </cell>
        </row>
        <row r="110">
          <cell r="A110">
            <v>39234</v>
          </cell>
        </row>
        <row r="111">
          <cell r="A111">
            <v>39264</v>
          </cell>
        </row>
        <row r="112">
          <cell r="A112">
            <v>39295</v>
          </cell>
        </row>
        <row r="113">
          <cell r="A113">
            <v>39326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27"/>
  <sheetViews>
    <sheetView workbookViewId="0">
      <selection activeCell="A3" sqref="A3"/>
    </sheetView>
  </sheetViews>
  <sheetFormatPr defaultColWidth="9.109375" defaultRowHeight="13.2"/>
  <cols>
    <col min="1" max="1" width="9.109375" style="5"/>
    <col min="2" max="2" width="50.6640625" style="5" customWidth="1"/>
    <col min="3" max="3" width="12.6640625" style="5" customWidth="1"/>
    <col min="4" max="16384" width="9.109375" style="5"/>
  </cols>
  <sheetData>
    <row r="1" spans="2:3" ht="15.6">
      <c r="B1" s="989"/>
      <c r="C1" s="4"/>
    </row>
    <row r="2" spans="2:3" ht="17.399999999999999">
      <c r="B2" s="990" t="s">
        <v>682</v>
      </c>
      <c r="C2" s="4"/>
    </row>
    <row r="3" spans="2:3" ht="15.6">
      <c r="B3" s="991" t="str">
        <f>CONCATENATE(Assm!$E$7," KM PIPELINE SPUR FOR CUIABA POWER PLANT (BRAZIL)")</f>
        <v>257 KM PIPELINE SPUR FOR CUIABA POWER PLANT (BRAZIL)</v>
      </c>
      <c r="C3" s="4"/>
    </row>
    <row r="4" spans="2:3" ht="13.8">
      <c r="B4" s="992" t="s">
        <v>126</v>
      </c>
      <c r="C4" s="4"/>
    </row>
    <row r="6" spans="2:3" s="135" customFormat="1" ht="13.8">
      <c r="B6" s="993" t="s">
        <v>276</v>
      </c>
      <c r="C6" s="134"/>
    </row>
    <row r="7" spans="2:3" s="135" customFormat="1" ht="13.8">
      <c r="B7" s="993"/>
      <c r="C7" s="134"/>
    </row>
    <row r="8" spans="2:3" ht="15.6">
      <c r="B8" s="994" t="s">
        <v>277</v>
      </c>
      <c r="C8" s="4"/>
    </row>
    <row r="10" spans="2:3">
      <c r="C10" s="995" t="s">
        <v>275</v>
      </c>
    </row>
    <row r="11" spans="2:3">
      <c r="B11" s="5" t="s">
        <v>85</v>
      </c>
      <c r="C11" s="996">
        <v>1</v>
      </c>
    </row>
    <row r="12" spans="2:3">
      <c r="B12" s="5" t="s">
        <v>86</v>
      </c>
      <c r="C12" s="996" t="s">
        <v>508</v>
      </c>
    </row>
    <row r="13" spans="2:3">
      <c r="B13" s="5" t="s">
        <v>494</v>
      </c>
      <c r="C13" s="996" t="s">
        <v>509</v>
      </c>
    </row>
    <row r="14" spans="2:3">
      <c r="B14" s="5" t="s">
        <v>87</v>
      </c>
      <c r="C14" s="996" t="s">
        <v>510</v>
      </c>
    </row>
    <row r="15" spans="2:3">
      <c r="B15" s="5" t="s">
        <v>656</v>
      </c>
      <c r="C15" s="996" t="s">
        <v>652</v>
      </c>
    </row>
    <row r="16" spans="2:3">
      <c r="B16" s="5" t="s">
        <v>454</v>
      </c>
      <c r="C16" s="996" t="s">
        <v>653</v>
      </c>
    </row>
    <row r="17" spans="2:3">
      <c r="B17" s="5" t="s">
        <v>752</v>
      </c>
      <c r="C17" s="996" t="s">
        <v>654</v>
      </c>
    </row>
    <row r="18" spans="2:3">
      <c r="B18" s="5" t="s">
        <v>88</v>
      </c>
      <c r="C18" s="996" t="s">
        <v>655</v>
      </c>
    </row>
    <row r="19" spans="2:3">
      <c r="B19" s="5" t="s">
        <v>89</v>
      </c>
      <c r="C19" s="996" t="s">
        <v>511</v>
      </c>
    </row>
    <row r="20" spans="2:3">
      <c r="B20" s="5" t="s">
        <v>458</v>
      </c>
      <c r="C20" s="996" t="s">
        <v>496</v>
      </c>
    </row>
    <row r="21" spans="2:3">
      <c r="B21" s="5" t="s">
        <v>513</v>
      </c>
      <c r="C21" s="996" t="s">
        <v>455</v>
      </c>
    </row>
    <row r="22" spans="2:3">
      <c r="B22" s="5" t="s">
        <v>679</v>
      </c>
      <c r="C22" s="996" t="s">
        <v>456</v>
      </c>
    </row>
    <row r="23" spans="2:3">
      <c r="B23" s="5" t="s">
        <v>90</v>
      </c>
      <c r="C23" s="996" t="s">
        <v>457</v>
      </c>
    </row>
    <row r="24" spans="2:3">
      <c r="B24" s="5" t="s">
        <v>680</v>
      </c>
      <c r="C24" s="996" t="s">
        <v>584</v>
      </c>
    </row>
    <row r="25" spans="2:3">
      <c r="B25" s="5" t="s">
        <v>91</v>
      </c>
      <c r="C25" s="996" t="s">
        <v>1077</v>
      </c>
    </row>
    <row r="27" spans="2:3">
      <c r="B27" s="5" t="s">
        <v>807</v>
      </c>
    </row>
  </sheetData>
  <printOptions horizontalCentered="1"/>
  <pageMargins left="0.25" right="0.25" top="1.25" bottom="0.75" header="0.25" footer="0.25"/>
  <pageSetup orientation="landscape" horizontalDpi="4294967292" verticalDpi="200" r:id="rId1"/>
  <headerFooter alignWithMargins="0">
    <oddHeader>&amp;C&amp;"Arial,Bold Italic"Confidential</oddHeader>
    <oddFooter>&amp;L&amp;"Arial,Italic"Structurer: GLG
Directory: dev_fin/cemat/newexcel/(model date)
Filename: &amp;F
Tabname: &amp;A&amp;R&amp;"Arial,Italic"Date: &amp;D
Time: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Q88"/>
  <sheetViews>
    <sheetView showGridLines="0" zoomScale="75" workbookViewId="0">
      <pane xSplit="4" ySplit="7" topLeftCell="S54" activePane="bottomRight" state="frozen"/>
      <selection pane="topRight" activeCell="E1" sqref="E1"/>
      <selection pane="bottomLeft" activeCell="A8" sqref="A8"/>
      <selection pane="bottomRight" activeCell="Y60" sqref="Y60"/>
    </sheetView>
  </sheetViews>
  <sheetFormatPr defaultColWidth="9.109375" defaultRowHeight="13.2"/>
  <cols>
    <col min="1" max="1" width="20.6640625" style="8" customWidth="1"/>
    <col min="2" max="2" width="9.6640625" style="5" customWidth="1"/>
    <col min="3" max="3" width="2.6640625" style="5" customWidth="1"/>
    <col min="4" max="40" width="9.6640625" style="5" customWidth="1"/>
    <col min="41" max="41" width="10.6640625" style="8" customWidth="1"/>
    <col min="42" max="42" width="9.109375" style="5"/>
    <col min="43" max="43" width="10" style="5" bestFit="1" customWidth="1"/>
    <col min="44" max="16384" width="9.109375" style="5"/>
  </cols>
  <sheetData>
    <row r="1" spans="1:42" s="242" customFormat="1" ht="15.6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79"/>
      <c r="AA1" s="279"/>
      <c r="AB1" s="24"/>
      <c r="AO1" s="24"/>
    </row>
    <row r="2" spans="1:42" s="242" customFormat="1" ht="15.6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79"/>
      <c r="AA2" s="279"/>
      <c r="AB2" s="24"/>
      <c r="AO2" s="24"/>
    </row>
    <row r="3" spans="1:42" s="242" customFormat="1" ht="1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79"/>
      <c r="AA3" s="279"/>
      <c r="AB3" s="24"/>
      <c r="AO3" s="24"/>
    </row>
    <row r="4" spans="1:42" s="242" customFormat="1" ht="15">
      <c r="A4" s="818" t="s">
        <v>1003</v>
      </c>
      <c r="B4" s="818"/>
      <c r="C4" s="864"/>
      <c r="D4" s="865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79"/>
      <c r="AA4" s="279"/>
      <c r="AB4" s="24"/>
      <c r="AO4" s="24"/>
    </row>
    <row r="5" spans="1:42" s="242" customFormat="1" ht="13.8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  <c r="AO5" s="24"/>
      <c r="AP5" s="242" t="s">
        <v>951</v>
      </c>
    </row>
    <row r="6" spans="1:42" s="8" customFormat="1">
      <c r="A6" s="400" t="s">
        <v>221</v>
      </c>
      <c r="B6" s="74"/>
      <c r="C6" s="74"/>
      <c r="D6" s="74"/>
      <c r="E6" s="876">
        <v>1</v>
      </c>
      <c r="F6" s="152">
        <f t="shared" ref="F6:O6" si="0">E6+1</f>
        <v>2</v>
      </c>
      <c r="G6" s="152">
        <f t="shared" si="0"/>
        <v>3</v>
      </c>
      <c r="H6" s="152">
        <f t="shared" si="0"/>
        <v>4</v>
      </c>
      <c r="I6" s="152">
        <f t="shared" si="0"/>
        <v>5</v>
      </c>
      <c r="J6" s="152">
        <f t="shared" si="0"/>
        <v>6</v>
      </c>
      <c r="K6" s="152">
        <f t="shared" si="0"/>
        <v>7</v>
      </c>
      <c r="L6" s="152">
        <f t="shared" si="0"/>
        <v>8</v>
      </c>
      <c r="M6" s="152">
        <f t="shared" si="0"/>
        <v>9</v>
      </c>
      <c r="N6" s="152">
        <f t="shared" si="0"/>
        <v>10</v>
      </c>
      <c r="O6" s="152">
        <f t="shared" si="0"/>
        <v>11</v>
      </c>
      <c r="P6" s="152">
        <f t="shared" ref="P6:Y6" si="1">O6+1</f>
        <v>12</v>
      </c>
      <c r="Q6" s="152">
        <f t="shared" si="1"/>
        <v>13</v>
      </c>
      <c r="R6" s="152">
        <f t="shared" si="1"/>
        <v>14</v>
      </c>
      <c r="S6" s="152">
        <f t="shared" si="1"/>
        <v>15</v>
      </c>
      <c r="T6" s="152">
        <f t="shared" si="1"/>
        <v>16</v>
      </c>
      <c r="U6" s="152">
        <f t="shared" si="1"/>
        <v>17</v>
      </c>
      <c r="V6" s="152">
        <f t="shared" si="1"/>
        <v>18</v>
      </c>
      <c r="W6" s="152">
        <f t="shared" si="1"/>
        <v>19</v>
      </c>
      <c r="X6" s="152">
        <f t="shared" si="1"/>
        <v>20</v>
      </c>
      <c r="Y6" s="152">
        <f t="shared" si="1"/>
        <v>21</v>
      </c>
      <c r="Z6" s="152">
        <f t="shared" ref="Z6:AN6" si="2">Y6+1</f>
        <v>22</v>
      </c>
      <c r="AA6" s="152">
        <f t="shared" si="2"/>
        <v>23</v>
      </c>
      <c r="AB6" s="152">
        <f t="shared" si="2"/>
        <v>24</v>
      </c>
      <c r="AC6" s="152">
        <f t="shared" si="2"/>
        <v>25</v>
      </c>
      <c r="AD6" s="152">
        <f t="shared" si="2"/>
        <v>26</v>
      </c>
      <c r="AE6" s="152">
        <f t="shared" si="2"/>
        <v>27</v>
      </c>
      <c r="AF6" s="152">
        <f t="shared" si="2"/>
        <v>28</v>
      </c>
      <c r="AG6" s="152">
        <f t="shared" si="2"/>
        <v>29</v>
      </c>
      <c r="AH6" s="152">
        <f t="shared" si="2"/>
        <v>30</v>
      </c>
      <c r="AI6" s="152">
        <f t="shared" si="2"/>
        <v>31</v>
      </c>
      <c r="AJ6" s="152">
        <f t="shared" si="2"/>
        <v>32</v>
      </c>
      <c r="AK6" s="152">
        <f t="shared" si="2"/>
        <v>33</v>
      </c>
      <c r="AL6" s="152">
        <f t="shared" si="2"/>
        <v>34</v>
      </c>
      <c r="AM6" s="152">
        <f t="shared" si="2"/>
        <v>35</v>
      </c>
      <c r="AN6" s="152">
        <f t="shared" si="2"/>
        <v>36</v>
      </c>
      <c r="AO6" s="540"/>
      <c r="AP6" s="1047" t="s">
        <v>956</v>
      </c>
    </row>
    <row r="7" spans="1:42" s="8" customFormat="1" ht="13.8" thickBot="1">
      <c r="A7" s="76" t="s">
        <v>222</v>
      </c>
      <c r="B7" s="303"/>
      <c r="C7" s="303"/>
      <c r="D7" s="303"/>
      <c r="E7" s="304">
        <f>Startconst</f>
        <v>35886</v>
      </c>
      <c r="F7" s="305">
        <f t="shared" ref="F7:AN7" si="3">EDATE(E$7,1)</f>
        <v>35916</v>
      </c>
      <c r="G7" s="305">
        <f t="shared" si="3"/>
        <v>35947</v>
      </c>
      <c r="H7" s="305">
        <f t="shared" si="3"/>
        <v>35977</v>
      </c>
      <c r="I7" s="305">
        <f t="shared" si="3"/>
        <v>36008</v>
      </c>
      <c r="J7" s="305">
        <f t="shared" si="3"/>
        <v>36039</v>
      </c>
      <c r="K7" s="305">
        <f t="shared" si="3"/>
        <v>36069</v>
      </c>
      <c r="L7" s="305">
        <f t="shared" si="3"/>
        <v>36100</v>
      </c>
      <c r="M7" s="305">
        <f t="shared" si="3"/>
        <v>36130</v>
      </c>
      <c r="N7" s="305">
        <f t="shared" si="3"/>
        <v>36161</v>
      </c>
      <c r="O7" s="305">
        <f t="shared" si="3"/>
        <v>36192</v>
      </c>
      <c r="P7" s="305">
        <f t="shared" si="3"/>
        <v>36220</v>
      </c>
      <c r="Q7" s="305">
        <f t="shared" si="3"/>
        <v>36251</v>
      </c>
      <c r="R7" s="305">
        <f t="shared" si="3"/>
        <v>36281</v>
      </c>
      <c r="S7" s="305">
        <f t="shared" si="3"/>
        <v>36312</v>
      </c>
      <c r="T7" s="305">
        <f t="shared" si="3"/>
        <v>36342</v>
      </c>
      <c r="U7" s="305">
        <f t="shared" si="3"/>
        <v>36373</v>
      </c>
      <c r="V7" s="305">
        <f t="shared" si="3"/>
        <v>36404</v>
      </c>
      <c r="W7" s="305">
        <f t="shared" si="3"/>
        <v>36434</v>
      </c>
      <c r="X7" s="305">
        <f t="shared" si="3"/>
        <v>36465</v>
      </c>
      <c r="Y7" s="305">
        <f t="shared" si="3"/>
        <v>36495</v>
      </c>
      <c r="Z7" s="305">
        <f t="shared" si="3"/>
        <v>36526</v>
      </c>
      <c r="AA7" s="305">
        <f t="shared" si="3"/>
        <v>36557</v>
      </c>
      <c r="AB7" s="305">
        <f t="shared" si="3"/>
        <v>36586</v>
      </c>
      <c r="AC7" s="305">
        <f t="shared" si="3"/>
        <v>36617</v>
      </c>
      <c r="AD7" s="305">
        <f t="shared" si="3"/>
        <v>36647</v>
      </c>
      <c r="AE7" s="305">
        <f t="shared" si="3"/>
        <v>36678</v>
      </c>
      <c r="AF7" s="305">
        <f t="shared" si="3"/>
        <v>36708</v>
      </c>
      <c r="AG7" s="305">
        <f t="shared" si="3"/>
        <v>36739</v>
      </c>
      <c r="AH7" s="305">
        <f t="shared" si="3"/>
        <v>36770</v>
      </c>
      <c r="AI7" s="305">
        <f t="shared" si="3"/>
        <v>36800</v>
      </c>
      <c r="AJ7" s="305">
        <f t="shared" si="3"/>
        <v>36831</v>
      </c>
      <c r="AK7" s="305">
        <f t="shared" si="3"/>
        <v>36861</v>
      </c>
      <c r="AL7" s="305">
        <f t="shared" si="3"/>
        <v>36892</v>
      </c>
      <c r="AM7" s="305">
        <f t="shared" si="3"/>
        <v>36923</v>
      </c>
      <c r="AN7" s="305">
        <f t="shared" si="3"/>
        <v>36951</v>
      </c>
      <c r="AO7" s="417" t="s">
        <v>186</v>
      </c>
      <c r="AP7" s="875">
        <v>1</v>
      </c>
    </row>
    <row r="8" spans="1:42">
      <c r="A8" s="40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419"/>
      <c r="AP8" s="21">
        <f t="shared" ref="AP8:AP75" si="4">AP7+1</f>
        <v>2</v>
      </c>
    </row>
    <row r="9" spans="1:42" s="8" customFormat="1">
      <c r="A9" s="464"/>
      <c r="B9" s="298" t="s">
        <v>969</v>
      </c>
      <c r="C9" s="298"/>
      <c r="D9" s="531" t="s">
        <v>220</v>
      </c>
      <c r="AO9" s="419"/>
      <c r="AP9" s="21">
        <f t="shared" si="4"/>
        <v>3</v>
      </c>
    </row>
    <row r="10" spans="1:42">
      <c r="A10" s="490" t="s">
        <v>223</v>
      </c>
      <c r="B10" s="299">
        <f ca="1">Est_Cost-Est_IDC-Est_Whtax</f>
        <v>118570.09172610656</v>
      </c>
      <c r="C10" s="300"/>
      <c r="D10" s="532">
        <f ca="1">Est_Cost</f>
        <v>126558.00464369243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419"/>
      <c r="AP10" s="21">
        <f t="shared" si="4"/>
        <v>4</v>
      </c>
    </row>
    <row r="11" spans="1:42">
      <c r="A11" s="490" t="s">
        <v>970</v>
      </c>
      <c r="B11" s="300"/>
      <c r="C11" s="300"/>
      <c r="D11" s="533">
        <f>Int_BL</f>
        <v>0.06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419"/>
      <c r="AP11" s="21">
        <f t="shared" si="4"/>
        <v>5</v>
      </c>
    </row>
    <row r="12" spans="1:42">
      <c r="A12" s="491" t="s">
        <v>224</v>
      </c>
      <c r="B12" s="483"/>
      <c r="C12" s="483"/>
      <c r="D12" s="534">
        <f ca="1">Assm!X73</f>
        <v>0.110125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419"/>
      <c r="AP12" s="21">
        <f t="shared" si="4"/>
        <v>6</v>
      </c>
    </row>
    <row r="13" spans="1:42">
      <c r="A13" s="490" t="s">
        <v>13</v>
      </c>
      <c r="B13" s="274"/>
      <c r="C13" s="274"/>
      <c r="D13" s="1163">
        <f>Assm!X59</f>
        <v>0.13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419"/>
      <c r="AP13" s="21">
        <f t="shared" si="4"/>
        <v>7</v>
      </c>
    </row>
    <row r="14" spans="1:42">
      <c r="A14" s="137" t="s">
        <v>128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419"/>
      <c r="AP14" s="21">
        <f t="shared" si="4"/>
        <v>8</v>
      </c>
    </row>
    <row r="15" spans="1:42">
      <c r="A15" s="144" t="s">
        <v>225</v>
      </c>
      <c r="B15" s="8"/>
      <c r="C15" s="8"/>
      <c r="D15" s="8"/>
      <c r="E15" s="2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419"/>
      <c r="AP15" s="21">
        <f t="shared" si="4"/>
        <v>9</v>
      </c>
    </row>
    <row r="16" spans="1:42">
      <c r="A16" s="137" t="s">
        <v>198</v>
      </c>
      <c r="B16" s="8"/>
      <c r="C16" s="8"/>
      <c r="D16" s="8"/>
      <c r="E16" s="825">
        <v>0</v>
      </c>
      <c r="F16" s="53">
        <f t="shared" ref="F16:AN16" ca="1" si="5">E20</f>
        <v>0</v>
      </c>
      <c r="G16" s="53">
        <f t="shared" ca="1" si="5"/>
        <v>260.86956521739131</v>
      </c>
      <c r="H16" s="53">
        <f t="shared" ca="1" si="5"/>
        <v>629.92747360114231</v>
      </c>
      <c r="I16" s="53">
        <f t="shared" ca="1" si="5"/>
        <v>629.92747360114231</v>
      </c>
      <c r="J16" s="53">
        <f t="shared" ca="1" si="5"/>
        <v>629.92747360114231</v>
      </c>
      <c r="K16" s="53">
        <f t="shared" ca="1" si="5"/>
        <v>629.92747360114231</v>
      </c>
      <c r="L16" s="53">
        <f t="shared" ca="1" si="5"/>
        <v>629.92747360114231</v>
      </c>
      <c r="M16" s="53">
        <f t="shared" ca="1" si="5"/>
        <v>3306.3252506304452</v>
      </c>
      <c r="N16" s="53">
        <f t="shared" ca="1" si="5"/>
        <v>6637.9700856495137</v>
      </c>
      <c r="O16" s="53">
        <f t="shared" ca="1" si="5"/>
        <v>9081.6172937713418</v>
      </c>
      <c r="P16" s="53">
        <f t="shared" ca="1" si="5"/>
        <v>13393.984108959254</v>
      </c>
      <c r="Q16" s="53">
        <f t="shared" ca="1" si="5"/>
        <v>13393.984108959254</v>
      </c>
      <c r="R16" s="53">
        <f t="shared" ca="1" si="5"/>
        <v>17608.590043677355</v>
      </c>
      <c r="S16" s="53">
        <f t="shared" ca="1" si="5"/>
        <v>17608.590043677355</v>
      </c>
      <c r="T16" s="53">
        <f t="shared" ca="1" si="5"/>
        <v>25342.272606846032</v>
      </c>
      <c r="U16" s="53">
        <f t="shared" ca="1" si="5"/>
        <v>37718.241343809248</v>
      </c>
      <c r="V16" s="53">
        <f t="shared" ca="1" si="5"/>
        <v>38897.718812346262</v>
      </c>
      <c r="W16" s="53">
        <f t="shared" ca="1" si="5"/>
        <v>40938.02445376596</v>
      </c>
      <c r="X16" s="53">
        <f t="shared" ca="1" si="5"/>
        <v>46642.212137936986</v>
      </c>
      <c r="Y16" s="53">
        <f t="shared" ca="1" si="5"/>
        <v>52889.915299146225</v>
      </c>
      <c r="Z16" s="53">
        <f t="shared" ca="1" si="5"/>
        <v>56348.730931963917</v>
      </c>
      <c r="AA16" s="53">
        <f t="shared" ca="1" si="5"/>
        <v>62248.01320683345</v>
      </c>
      <c r="AB16" s="53">
        <f t="shared" ca="1" si="5"/>
        <v>66966.534858086947</v>
      </c>
      <c r="AC16" s="53">
        <f t="shared" ca="1" si="5"/>
        <v>67459.730570929212</v>
      </c>
      <c r="AD16" s="53">
        <f t="shared" ca="1" si="5"/>
        <v>72648.496900000944</v>
      </c>
      <c r="AE16" s="53">
        <f t="shared" ca="1" si="5"/>
        <v>78154.456875309843</v>
      </c>
      <c r="AF16" s="53">
        <f t="shared" ca="1" si="5"/>
        <v>83692.804850473505</v>
      </c>
      <c r="AG16" s="53">
        <f t="shared" ca="1" si="5"/>
        <v>96866.477652043817</v>
      </c>
      <c r="AH16" s="53">
        <f t="shared" ca="1" si="5"/>
        <v>102514.89633765885</v>
      </c>
      <c r="AI16" s="53">
        <f t="shared" ca="1" si="5"/>
        <v>109656.98046779371</v>
      </c>
      <c r="AJ16" s="53">
        <f t="shared" ca="1" si="5"/>
        <v>114605.08039003199</v>
      </c>
      <c r="AK16" s="53">
        <f t="shared" ca="1" si="5"/>
        <v>119600.85368420051</v>
      </c>
      <c r="AL16" s="53">
        <f t="shared" ca="1" si="5"/>
        <v>124644.75966810348</v>
      </c>
      <c r="AM16" s="53">
        <f t="shared" ca="1" si="5"/>
        <v>125596.79587259919</v>
      </c>
      <c r="AN16" s="53">
        <f t="shared" ca="1" si="5"/>
        <v>126558.00464369245</v>
      </c>
      <c r="AO16" s="423">
        <f>E16</f>
        <v>0</v>
      </c>
      <c r="AP16" s="21">
        <f t="shared" si="4"/>
        <v>10</v>
      </c>
    </row>
    <row r="17" spans="1:43">
      <c r="A17" s="137" t="s">
        <v>226</v>
      </c>
      <c r="B17" s="8"/>
      <c r="C17" s="8"/>
      <c r="D17" s="8"/>
      <c r="E17" s="53">
        <f ca="1">Drawdown!E48</f>
        <v>0</v>
      </c>
      <c r="F17" s="53">
        <f ca="1">Drawdown!F48</f>
        <v>260.86956521739131</v>
      </c>
      <c r="G17" s="53">
        <f ca="1">Drawdown!G48</f>
        <v>369.05790838375106</v>
      </c>
      <c r="H17" s="53">
        <f ca="1">Drawdown!H48</f>
        <v>0</v>
      </c>
      <c r="I17" s="53">
        <f ca="1">Drawdown!I48</f>
        <v>0</v>
      </c>
      <c r="J17" s="53">
        <f ca="1">Drawdown!J48</f>
        <v>0</v>
      </c>
      <c r="K17" s="53">
        <f ca="1">Drawdown!K48</f>
        <v>0</v>
      </c>
      <c r="L17" s="53">
        <f ca="1">Drawdown!L48</f>
        <v>2676.3977770293027</v>
      </c>
      <c r="M17" s="53">
        <f ca="1">Drawdown!M48</f>
        <v>3331.6448350190685</v>
      </c>
      <c r="N17" s="53">
        <f ca="1">Drawdown!N48</f>
        <v>2443.6472081218271</v>
      </c>
      <c r="O17" s="53">
        <f ca="1">Drawdown!O48</f>
        <v>4312.3668151879119</v>
      </c>
      <c r="P17" s="53">
        <f ca="1">Drawdown!P48</f>
        <v>0</v>
      </c>
      <c r="Q17" s="53">
        <f ca="1">Drawdown!Q48</f>
        <v>4214.6059347181008</v>
      </c>
      <c r="R17" s="53">
        <f ca="1">Drawdown!R48</f>
        <v>0</v>
      </c>
      <c r="S17" s="53">
        <f ca="1">Drawdown!S48</f>
        <v>7733.682563168677</v>
      </c>
      <c r="T17" s="53">
        <f ca="1">Drawdown!T48</f>
        <v>12350.784782369146</v>
      </c>
      <c r="U17" s="53">
        <f ca="1">Drawdown!U48</f>
        <v>1125.6506811420222</v>
      </c>
      <c r="V17" s="53">
        <f ca="1">Drawdown!V48</f>
        <v>1977.0366748166261</v>
      </c>
      <c r="W17" s="53">
        <f ca="1">Drawdown!W48</f>
        <v>5618.2075934459799</v>
      </c>
      <c r="X17" s="53">
        <f ca="1">Drawdown!X48</f>
        <v>6126.6735372132935</v>
      </c>
      <c r="Y17" s="53">
        <f ca="1">Drawdown!Y48</f>
        <v>3309.3211443231276</v>
      </c>
      <c r="Z17" s="53">
        <f ca="1">Drawdown!Z48</f>
        <v>5722.3446840063825</v>
      </c>
      <c r="AA17" s="53">
        <f ca="1">Drawdown!AA48</f>
        <v>4510.4468054750359</v>
      </c>
      <c r="AB17" s="53">
        <f ca="1">Drawdown!AB48</f>
        <v>269.83723843008784</v>
      </c>
      <c r="AC17" s="53">
        <f ca="1">Drawdown!AC48</f>
        <v>4948.7452093753336</v>
      </c>
      <c r="AD17" s="53">
        <f ca="1">Drawdown!AD48</f>
        <v>5234.5760218753339</v>
      </c>
      <c r="AE17" s="53">
        <f ca="1">Drawdown!AE48</f>
        <v>5234.5760218753339</v>
      </c>
      <c r="AF17" s="53">
        <f ca="1">Drawdown!AF48</f>
        <v>12815.026887059892</v>
      </c>
      <c r="AG17" s="53">
        <f ca="1">Drawdown!AG48</f>
        <v>5234.5760218753339</v>
      </c>
      <c r="AH17" s="53">
        <f ca="1">Drawdown!AH48</f>
        <v>6379.0866579458516</v>
      </c>
      <c r="AI17" s="53">
        <f ca="1">Drawdown!AI48</f>
        <v>4125.16658587027</v>
      </c>
      <c r="AJ17" s="53">
        <f ca="1">Drawdown!AJ48</f>
        <v>4123.5442124313813</v>
      </c>
      <c r="AK17" s="53">
        <f ca="1">Drawdown!AK48</f>
        <v>4121.9062079394471</v>
      </c>
      <c r="AL17" s="53">
        <f ca="1">Drawdown!AL48</f>
        <v>0.31215179064843596</v>
      </c>
      <c r="AM17" s="53">
        <f ca="1">Drawdown!AM48</f>
        <v>-2.4632148173016807E-15</v>
      </c>
      <c r="AN17" s="53">
        <f ca="1">Drawdown!AN48</f>
        <v>-2.462415149922976E-15</v>
      </c>
      <c r="AO17" s="423">
        <f ca="1">SUM(E17:AN17)</f>
        <v>118570.09172610656</v>
      </c>
      <c r="AP17" s="21">
        <f t="shared" si="4"/>
        <v>11</v>
      </c>
      <c r="AQ17" s="67"/>
    </row>
    <row r="18" spans="1:43">
      <c r="A18" s="137" t="s">
        <v>89</v>
      </c>
      <c r="B18" s="8"/>
      <c r="C18" s="8"/>
      <c r="D18" s="8"/>
      <c r="E18" s="53">
        <f t="shared" ref="E18:AN18" ca="1" si="6">E51</f>
        <v>0</v>
      </c>
      <c r="F18" s="53">
        <f t="shared" ca="1" si="6"/>
        <v>0</v>
      </c>
      <c r="G18" s="53">
        <f t="shared" ca="1" si="6"/>
        <v>0</v>
      </c>
      <c r="H18" s="53">
        <f t="shared" ca="1" si="6"/>
        <v>0</v>
      </c>
      <c r="I18" s="53">
        <f t="shared" ca="1" si="6"/>
        <v>0</v>
      </c>
      <c r="J18" s="53">
        <f t="shared" ca="1" si="6"/>
        <v>0</v>
      </c>
      <c r="K18" s="53">
        <f t="shared" ca="1" si="6"/>
        <v>0</v>
      </c>
      <c r="L18" s="53">
        <f t="shared" ca="1" si="6"/>
        <v>0</v>
      </c>
      <c r="M18" s="53">
        <f t="shared" ca="1" si="6"/>
        <v>0</v>
      </c>
      <c r="N18" s="53">
        <f t="shared" ca="1" si="6"/>
        <v>0</v>
      </c>
      <c r="O18" s="53">
        <f t="shared" ca="1" si="6"/>
        <v>0</v>
      </c>
      <c r="P18" s="53">
        <f t="shared" ca="1" si="6"/>
        <v>0</v>
      </c>
      <c r="Q18" s="53">
        <f t="shared" ca="1" si="6"/>
        <v>0</v>
      </c>
      <c r="R18" s="53">
        <f t="shared" ca="1" si="6"/>
        <v>0</v>
      </c>
      <c r="S18" s="53">
        <f t="shared" ca="1" si="6"/>
        <v>0</v>
      </c>
      <c r="T18" s="53">
        <f t="shared" ca="1" si="6"/>
        <v>21.406361404958677</v>
      </c>
      <c r="U18" s="53">
        <f t="shared" ca="1" si="6"/>
        <v>45.752769285742765</v>
      </c>
      <c r="V18" s="53">
        <f t="shared" ca="1" si="6"/>
        <v>53.77862161261433</v>
      </c>
      <c r="W18" s="53">
        <f t="shared" ca="1" si="6"/>
        <v>73.083077116286219</v>
      </c>
      <c r="X18" s="53">
        <f t="shared" ca="1" si="6"/>
        <v>102.87518039655963</v>
      </c>
      <c r="Y18" s="53">
        <f t="shared" ca="1" si="6"/>
        <v>127.07031522038045</v>
      </c>
      <c r="Z18" s="53">
        <f t="shared" ca="1" si="6"/>
        <v>150.39695223367704</v>
      </c>
      <c r="AA18" s="53">
        <f t="shared" ca="1" si="6"/>
        <v>176.86361891169631</v>
      </c>
      <c r="AB18" s="53">
        <f t="shared" ca="1" si="6"/>
        <v>189.85470325035146</v>
      </c>
      <c r="AC18" s="53">
        <f t="shared" ca="1" si="6"/>
        <v>204.01795174192591</v>
      </c>
      <c r="AD18" s="53">
        <f t="shared" ca="1" si="6"/>
        <v>230.67636041853447</v>
      </c>
      <c r="AE18" s="53">
        <f t="shared" ca="1" si="6"/>
        <v>258.20616029507897</v>
      </c>
      <c r="AF18" s="53">
        <f t="shared" ca="1" si="6"/>
        <v>304.84902733385871</v>
      </c>
      <c r="AG18" s="53">
        <f t="shared" ca="1" si="6"/>
        <v>351.76626417874894</v>
      </c>
      <c r="AH18" s="53">
        <f t="shared" ca="1" si="6"/>
        <v>730.70326765515904</v>
      </c>
      <c r="AI18" s="53">
        <f t="shared" ca="1" si="6"/>
        <v>788.10231994780543</v>
      </c>
      <c r="AJ18" s="53">
        <f t="shared" ca="1" si="6"/>
        <v>835.31160115208479</v>
      </c>
      <c r="AK18" s="53">
        <f t="shared" ca="1" si="6"/>
        <v>882.97572879374059</v>
      </c>
      <c r="AL18" s="53">
        <f t="shared" ca="1" si="6"/>
        <v>911.44191241218005</v>
      </c>
      <c r="AM18" s="53">
        <f t="shared" ca="1" si="6"/>
        <v>920.52518591130593</v>
      </c>
      <c r="AN18" s="53">
        <f t="shared" ca="1" si="6"/>
        <v>0</v>
      </c>
      <c r="AO18" s="423">
        <f ca="1">SUM(E18:AN18)</f>
        <v>7359.6573792726895</v>
      </c>
      <c r="AP18" s="21">
        <f t="shared" si="4"/>
        <v>12</v>
      </c>
    </row>
    <row r="19" spans="1:43">
      <c r="A19" s="137" t="s">
        <v>808</v>
      </c>
      <c r="B19" s="8"/>
      <c r="C19" s="8"/>
      <c r="D19" s="8"/>
      <c r="E19" s="228">
        <f ca="1">E53</f>
        <v>0</v>
      </c>
      <c r="F19" s="228">
        <f t="shared" ref="F19:AN19" ca="1" si="7">F53</f>
        <v>0</v>
      </c>
      <c r="G19" s="228">
        <f t="shared" ca="1" si="7"/>
        <v>0</v>
      </c>
      <c r="H19" s="228">
        <f t="shared" ca="1" si="7"/>
        <v>0</v>
      </c>
      <c r="I19" s="228">
        <f t="shared" ca="1" si="7"/>
        <v>0</v>
      </c>
      <c r="J19" s="228">
        <f t="shared" ca="1" si="7"/>
        <v>0</v>
      </c>
      <c r="K19" s="228">
        <f t="shared" ca="1" si="7"/>
        <v>0</v>
      </c>
      <c r="L19" s="228">
        <f t="shared" ca="1" si="7"/>
        <v>0</v>
      </c>
      <c r="M19" s="228">
        <f t="shared" ca="1" si="7"/>
        <v>0</v>
      </c>
      <c r="N19" s="228">
        <f t="shared" ca="1" si="7"/>
        <v>0</v>
      </c>
      <c r="O19" s="228">
        <f t="shared" ca="1" si="7"/>
        <v>0</v>
      </c>
      <c r="P19" s="228">
        <f t="shared" ca="1" si="7"/>
        <v>0</v>
      </c>
      <c r="Q19" s="228">
        <f t="shared" ca="1" si="7"/>
        <v>0</v>
      </c>
      <c r="R19" s="228">
        <f t="shared" ca="1" si="7"/>
        <v>0</v>
      </c>
      <c r="S19" s="228">
        <f t="shared" ca="1" si="7"/>
        <v>0</v>
      </c>
      <c r="T19" s="228">
        <f t="shared" ca="1" si="7"/>
        <v>3.7775931891103549</v>
      </c>
      <c r="U19" s="228">
        <f t="shared" ca="1" si="7"/>
        <v>8.0740181092487244</v>
      </c>
      <c r="V19" s="228">
        <f t="shared" ca="1" si="7"/>
        <v>9.4903449904613524</v>
      </c>
      <c r="W19" s="228">
        <f t="shared" ca="1" si="7"/>
        <v>12.897013608756392</v>
      </c>
      <c r="X19" s="228">
        <f t="shared" ca="1" si="7"/>
        <v>18.154443599392877</v>
      </c>
      <c r="Y19" s="228">
        <f t="shared" ca="1" si="7"/>
        <v>22.424173274184788</v>
      </c>
      <c r="Z19" s="228">
        <f t="shared" ca="1" si="7"/>
        <v>26.540638629472422</v>
      </c>
      <c r="AA19" s="228">
        <f t="shared" ca="1" si="7"/>
        <v>31.211226866769938</v>
      </c>
      <c r="AB19" s="228">
        <f t="shared" ca="1" si="7"/>
        <v>33.503771161826734</v>
      </c>
      <c r="AC19" s="228">
        <f t="shared" ca="1" si="7"/>
        <v>36.003167954457517</v>
      </c>
      <c r="AD19" s="228">
        <f t="shared" ca="1" si="7"/>
        <v>40.707593015035499</v>
      </c>
      <c r="AE19" s="228">
        <f t="shared" ca="1" si="7"/>
        <v>45.565792993249232</v>
      </c>
      <c r="AF19" s="228">
        <f t="shared" ca="1" si="7"/>
        <v>53.796887176563303</v>
      </c>
      <c r="AG19" s="228">
        <f t="shared" ca="1" si="7"/>
        <v>62.0763995609557</v>
      </c>
      <c r="AH19" s="228">
        <f t="shared" ca="1" si="7"/>
        <v>32.294204533841565</v>
      </c>
      <c r="AI19" s="228">
        <f t="shared" ca="1" si="7"/>
        <v>34.831016420198388</v>
      </c>
      <c r="AJ19" s="228">
        <f t="shared" ca="1" si="7"/>
        <v>36.917480585055721</v>
      </c>
      <c r="AK19" s="228">
        <f t="shared" ca="1" si="7"/>
        <v>39.024047169773922</v>
      </c>
      <c r="AL19" s="228">
        <f t="shared" ca="1" si="7"/>
        <v>40.282140292885032</v>
      </c>
      <c r="AM19" s="228">
        <f t="shared" ca="1" si="7"/>
        <v>40.68358518194227</v>
      </c>
      <c r="AN19" s="228">
        <f t="shared" ca="1" si="7"/>
        <v>0</v>
      </c>
      <c r="AO19" s="424">
        <f ca="1">SUM(E19:AN19)</f>
        <v>628.25553831318177</v>
      </c>
      <c r="AP19" s="21">
        <f t="shared" si="4"/>
        <v>13</v>
      </c>
    </row>
    <row r="20" spans="1:43">
      <c r="A20" s="137" t="s">
        <v>204</v>
      </c>
      <c r="B20" s="8"/>
      <c r="C20" s="8"/>
      <c r="D20" s="8"/>
      <c r="E20" s="53">
        <f ca="1">SUM(E16:E19)</f>
        <v>0</v>
      </c>
      <c r="F20" s="53">
        <f t="shared" ref="F20:AN20" ca="1" si="8">SUM(F16:F19)</f>
        <v>260.86956521739131</v>
      </c>
      <c r="G20" s="53">
        <f t="shared" ca="1" si="8"/>
        <v>629.92747360114231</v>
      </c>
      <c r="H20" s="53">
        <f t="shared" ca="1" si="8"/>
        <v>629.92747360114231</v>
      </c>
      <c r="I20" s="53">
        <f t="shared" ca="1" si="8"/>
        <v>629.92747360114231</v>
      </c>
      <c r="J20" s="53">
        <f t="shared" ca="1" si="8"/>
        <v>629.92747360114231</v>
      </c>
      <c r="K20" s="53">
        <f t="shared" ca="1" si="8"/>
        <v>629.92747360114231</v>
      </c>
      <c r="L20" s="53">
        <f t="shared" ca="1" si="8"/>
        <v>3306.3252506304452</v>
      </c>
      <c r="M20" s="53">
        <f t="shared" ca="1" si="8"/>
        <v>6637.9700856495137</v>
      </c>
      <c r="N20" s="53">
        <f t="shared" ca="1" si="8"/>
        <v>9081.6172937713418</v>
      </c>
      <c r="O20" s="53">
        <f t="shared" ca="1" si="8"/>
        <v>13393.984108959254</v>
      </c>
      <c r="P20" s="53">
        <f t="shared" ca="1" si="8"/>
        <v>13393.984108959254</v>
      </c>
      <c r="Q20" s="53">
        <f t="shared" ca="1" si="8"/>
        <v>17608.590043677355</v>
      </c>
      <c r="R20" s="53">
        <f t="shared" ca="1" si="8"/>
        <v>17608.590043677355</v>
      </c>
      <c r="S20" s="53">
        <f t="shared" ca="1" si="8"/>
        <v>25342.272606846032</v>
      </c>
      <c r="T20" s="53">
        <f t="shared" ca="1" si="8"/>
        <v>37718.241343809248</v>
      </c>
      <c r="U20" s="53">
        <f t="shared" ca="1" si="8"/>
        <v>38897.718812346262</v>
      </c>
      <c r="V20" s="53">
        <f t="shared" ca="1" si="8"/>
        <v>40938.02445376596</v>
      </c>
      <c r="W20" s="53">
        <f t="shared" ca="1" si="8"/>
        <v>46642.212137936986</v>
      </c>
      <c r="X20" s="53">
        <f t="shared" ca="1" si="8"/>
        <v>52889.915299146225</v>
      </c>
      <c r="Y20" s="53">
        <f t="shared" ca="1" si="8"/>
        <v>56348.730931963917</v>
      </c>
      <c r="Z20" s="53">
        <f t="shared" ca="1" si="8"/>
        <v>62248.01320683345</v>
      </c>
      <c r="AA20" s="53">
        <f t="shared" ca="1" si="8"/>
        <v>66966.534858086947</v>
      </c>
      <c r="AB20" s="53">
        <f t="shared" ca="1" si="8"/>
        <v>67459.730570929212</v>
      </c>
      <c r="AC20" s="53">
        <f t="shared" ca="1" si="8"/>
        <v>72648.496900000944</v>
      </c>
      <c r="AD20" s="53">
        <f t="shared" ca="1" si="8"/>
        <v>78154.456875309843</v>
      </c>
      <c r="AE20" s="53">
        <f t="shared" ca="1" si="8"/>
        <v>83692.804850473505</v>
      </c>
      <c r="AF20" s="53">
        <f t="shared" ca="1" si="8"/>
        <v>96866.477652043817</v>
      </c>
      <c r="AG20" s="53">
        <f t="shared" ca="1" si="8"/>
        <v>102514.89633765885</v>
      </c>
      <c r="AH20" s="53">
        <f t="shared" ca="1" si="8"/>
        <v>109656.98046779371</v>
      </c>
      <c r="AI20" s="53">
        <f t="shared" ca="1" si="8"/>
        <v>114605.08039003199</v>
      </c>
      <c r="AJ20" s="53">
        <f t="shared" ca="1" si="8"/>
        <v>119600.85368420051</v>
      </c>
      <c r="AK20" s="53">
        <f t="shared" ca="1" si="8"/>
        <v>124644.75966810348</v>
      </c>
      <c r="AL20" s="53">
        <f t="shared" ca="1" si="8"/>
        <v>125596.79587259919</v>
      </c>
      <c r="AM20" s="53">
        <f t="shared" ca="1" si="8"/>
        <v>126558.00464369245</v>
      </c>
      <c r="AN20" s="53">
        <f t="shared" ca="1" si="8"/>
        <v>126558.00464369245</v>
      </c>
      <c r="AO20" s="423">
        <f ca="1">SUM(AO16:AO19)</f>
        <v>126558.00464369243</v>
      </c>
      <c r="AP20" s="21">
        <f t="shared" si="4"/>
        <v>14</v>
      </c>
    </row>
    <row r="21" spans="1:43">
      <c r="A21" s="137" t="s">
        <v>452</v>
      </c>
      <c r="B21" s="8"/>
      <c r="C21" s="8"/>
      <c r="D21" s="8"/>
      <c r="E21" s="39">
        <f ca="1">SUM($E$17:E17)/$B$10</f>
        <v>0</v>
      </c>
      <c r="F21" s="39">
        <f ca="1">SUM($E$17:F17)/$B$10</f>
        <v>2.2001295724725623E-3</v>
      </c>
      <c r="G21" s="39">
        <f ca="1">SUM($E$17:G17)/$B$10</f>
        <v>5.3127012422007425E-3</v>
      </c>
      <c r="H21" s="39">
        <f ca="1">SUM($E$17:H17)/$B$10</f>
        <v>5.3127012422007425E-3</v>
      </c>
      <c r="I21" s="39">
        <f ca="1">SUM($E$17:I17)/$B$10</f>
        <v>5.3127012422007425E-3</v>
      </c>
      <c r="J21" s="39">
        <f ca="1">SUM($E$17:J17)/$B$10</f>
        <v>5.3127012422007425E-3</v>
      </c>
      <c r="K21" s="39">
        <f ca="1">SUM($E$17:K17)/$B$10</f>
        <v>5.3127012422007425E-3</v>
      </c>
      <c r="L21" s="39">
        <f ca="1">SUM($E$17:L17)/$B$10</f>
        <v>2.7884985180478394E-2</v>
      </c>
      <c r="M21" s="39">
        <f ca="1">SUM($E$17:M17)/$B$10</f>
        <v>5.5983511432065265E-2</v>
      </c>
      <c r="N21" s="39">
        <f ca="1">SUM($E$17:N17)/$B$10</f>
        <v>7.659281663330085E-2</v>
      </c>
      <c r="O21" s="39">
        <f ca="1">SUM($E$17:O17)/$B$10</f>
        <v>0.11296258537017045</v>
      </c>
      <c r="P21" s="39">
        <f ca="1">SUM($E$17:P17)/$B$10</f>
        <v>0.11296258537017045</v>
      </c>
      <c r="Q21" s="39">
        <f ca="1">SUM($E$17:Q17)/$B$10</f>
        <v>0.1485078554577885</v>
      </c>
      <c r="R21" s="39">
        <f ca="1">SUM($E$17:R17)/$B$10</f>
        <v>0.1485078554577885</v>
      </c>
      <c r="S21" s="39">
        <f ca="1">SUM($E$17:S17)/$B$10</f>
        <v>0.21373241968460258</v>
      </c>
      <c r="T21" s="39">
        <f ca="1">SUM($E$17:T17)/$B$10</f>
        <v>0.31789683924918466</v>
      </c>
      <c r="U21" s="39">
        <f ca="1">SUM($E$17:U17)/$B$10</f>
        <v>0.3273903857646267</v>
      </c>
      <c r="V21" s="39">
        <f ca="1">SUM($E$17:V17)/$B$10</f>
        <v>0.34406437703877973</v>
      </c>
      <c r="W21" s="39">
        <f ca="1">SUM($E$17:W17)/$B$10</f>
        <v>0.39144738494286296</v>
      </c>
      <c r="X21" s="39">
        <f ca="1">SUM($E$17:X17)/$B$10</f>
        <v>0.44311870819161042</v>
      </c>
      <c r="Y21" s="39">
        <f ca="1">SUM($E$17:Y17)/$B$10</f>
        <v>0.4710289602302743</v>
      </c>
      <c r="Z21" s="39">
        <f ca="1">SUM($E$17:Z17)/$B$10</f>
        <v>0.51929024265573476</v>
      </c>
      <c r="AA21" s="39">
        <f ca="1">SUM($E$17:AA17)/$B$10</f>
        <v>0.55733058436259653</v>
      </c>
      <c r="AB21" s="39">
        <f ca="1">SUM($E$17:AB17)/$B$10</f>
        <v>0.55960634576668988</v>
      </c>
      <c r="AC21" s="39">
        <f ca="1">SUM($E$17:AC17)/$B$10</f>
        <v>0.60134322171350785</v>
      </c>
      <c r="AD21" s="39">
        <f ca="1">SUM($E$17:AD17)/$B$10</f>
        <v>0.64549074614966206</v>
      </c>
      <c r="AE21" s="39">
        <f ca="1">SUM($E$17:AE17)/$B$10</f>
        <v>0.68963827058581617</v>
      </c>
      <c r="AF21" s="39">
        <f ca="1">SUM($E$17:AF17)/$B$10</f>
        <v>0.79771802915311352</v>
      </c>
      <c r="AG21" s="39">
        <f ca="1">SUM($E$17:AG17)/$B$10</f>
        <v>0.84186555358926762</v>
      </c>
      <c r="AH21" s="39">
        <f ca="1">SUM($E$17:AH17)/$B$10</f>
        <v>0.89566568619506304</v>
      </c>
      <c r="AI21" s="39">
        <f ca="1">SUM($E$17:AI17)/$B$10</f>
        <v>0.93045664001670036</v>
      </c>
      <c r="AJ21" s="39">
        <f ca="1">SUM($E$17:AJ17)/$B$10</f>
        <v>0.96523391101651246</v>
      </c>
      <c r="AK21" s="39">
        <f ca="1">SUM($E$17:AK17)/$B$10</f>
        <v>0.99999736736485478</v>
      </c>
      <c r="AL21" s="39">
        <f ca="1">SUM($E$17:AL17)/$B$10</f>
        <v>1</v>
      </c>
      <c r="AM21" s="39">
        <f ca="1">SUM($E$17:AM17)/$B$10</f>
        <v>1</v>
      </c>
      <c r="AN21" s="39">
        <f ca="1">SUM($E$17:AN17)/$B$10</f>
        <v>1</v>
      </c>
      <c r="AO21" s="419"/>
      <c r="AP21" s="21">
        <f t="shared" si="4"/>
        <v>15</v>
      </c>
    </row>
    <row r="22" spans="1:43">
      <c r="A22" s="137" t="s">
        <v>453</v>
      </c>
      <c r="B22" s="8"/>
      <c r="C22" s="8"/>
      <c r="D22" s="8"/>
      <c r="E22" s="39">
        <f ca="1">E20/$D$10</f>
        <v>0</v>
      </c>
      <c r="F22" s="39">
        <f t="shared" ref="F22:U22" ca="1" si="9">F20/$D$10</f>
        <v>2.0612648401958896E-3</v>
      </c>
      <c r="G22" s="39">
        <f t="shared" ca="1" si="9"/>
        <v>4.9773815206285927E-3</v>
      </c>
      <c r="H22" s="39">
        <f t="shared" ca="1" si="9"/>
        <v>4.9773815206285927E-3</v>
      </c>
      <c r="I22" s="39">
        <f t="shared" ca="1" si="9"/>
        <v>4.9773815206285927E-3</v>
      </c>
      <c r="J22" s="39">
        <f t="shared" ca="1" si="9"/>
        <v>4.9773815206285927E-3</v>
      </c>
      <c r="K22" s="39">
        <f t="shared" ca="1" si="9"/>
        <v>4.9773815206285927E-3</v>
      </c>
      <c r="L22" s="39">
        <f t="shared" ca="1" si="9"/>
        <v>2.6124979292609526E-2</v>
      </c>
      <c r="M22" s="39">
        <f t="shared" ca="1" si="9"/>
        <v>5.2450021666648847E-2</v>
      </c>
      <c r="N22" s="39">
        <f t="shared" ca="1" si="9"/>
        <v>7.1758537275768933E-2</v>
      </c>
      <c r="O22" s="39">
        <f t="shared" ca="1" si="9"/>
        <v>0.10583276930343735</v>
      </c>
      <c r="P22" s="39">
        <f t="shared" ca="1" si="9"/>
        <v>0.10583276930343735</v>
      </c>
      <c r="Q22" s="39">
        <f t="shared" ca="1" si="9"/>
        <v>0.13913454224607955</v>
      </c>
      <c r="R22" s="39">
        <f t="shared" ca="1" si="9"/>
        <v>0.13913454224607955</v>
      </c>
      <c r="S22" s="39">
        <f t="shared" ca="1" si="9"/>
        <v>0.20024235273141275</v>
      </c>
      <c r="T22" s="39">
        <f t="shared" ca="1" si="9"/>
        <v>0.29803125807806502</v>
      </c>
      <c r="U22" s="39">
        <f t="shared" ca="1" si="9"/>
        <v>0.30735091724824298</v>
      </c>
      <c r="V22" s="39">
        <f t="shared" ref="V22:AK22" ca="1" si="10">V20/$D$10</f>
        <v>0.32347242332890463</v>
      </c>
      <c r="W22" s="39">
        <f t="shared" ca="1" si="10"/>
        <v>0.36854414913740191</v>
      </c>
      <c r="X22" s="39">
        <f t="shared" ca="1" si="10"/>
        <v>0.41791047076043025</v>
      </c>
      <c r="Y22" s="39">
        <f t="shared" ca="1" si="10"/>
        <v>0.44524035512891047</v>
      </c>
      <c r="Z22" s="39">
        <f t="shared" ca="1" si="10"/>
        <v>0.49185362381529812</v>
      </c>
      <c r="AA22" s="39">
        <f t="shared" ca="1" si="10"/>
        <v>0.52913709446212032</v>
      </c>
      <c r="AB22" s="39">
        <f t="shared" ca="1" si="10"/>
        <v>0.53303408789395257</v>
      </c>
      <c r="AC22" s="39">
        <f t="shared" ca="1" si="10"/>
        <v>0.57403320402003266</v>
      </c>
      <c r="AD22" s="39">
        <f t="shared" ca="1" si="10"/>
        <v>0.61753863056978131</v>
      </c>
      <c r="AE22" s="39">
        <f t="shared" ca="1" si="10"/>
        <v>0.66129997139335195</v>
      </c>
      <c r="AF22" s="39">
        <f t="shared" ca="1" si="10"/>
        <v>0.76539194754815199</v>
      </c>
      <c r="AG22" s="39">
        <f t="shared" ca="1" si="10"/>
        <v>0.81002301376571306</v>
      </c>
      <c r="AH22" s="39">
        <f t="shared" ca="1" si="10"/>
        <v>0.86645630022785713</v>
      </c>
      <c r="AI22" s="39">
        <f t="shared" ca="1" si="10"/>
        <v>0.90555378707721934</v>
      </c>
      <c r="AJ22" s="39">
        <f t="shared" ca="1" si="10"/>
        <v>0.94502796580051285</v>
      </c>
      <c r="AK22" s="39">
        <f t="shared" ca="1" si="10"/>
        <v>0.98488246570435867</v>
      </c>
      <c r="AL22" s="39">
        <f ca="1">AL20/$D$10</f>
        <v>0.99240499426488749</v>
      </c>
      <c r="AM22" s="39">
        <f ca="1">AM20/$D$10</f>
        <v>1.0000000000000002</v>
      </c>
      <c r="AN22" s="39">
        <f ca="1">AN20/$D$10</f>
        <v>1.0000000000000002</v>
      </c>
      <c r="AO22" s="419"/>
      <c r="AP22" s="21">
        <f t="shared" si="4"/>
        <v>16</v>
      </c>
    </row>
    <row r="23" spans="1:43">
      <c r="A23" s="13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419"/>
      <c r="AP23" s="21">
        <f t="shared" si="4"/>
        <v>17</v>
      </c>
    </row>
    <row r="24" spans="1:43">
      <c r="A24" s="144" t="s">
        <v>873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419"/>
      <c r="AP24" s="21">
        <f t="shared" si="4"/>
        <v>18</v>
      </c>
    </row>
    <row r="25" spans="1:43">
      <c r="A25" s="137" t="s">
        <v>198</v>
      </c>
      <c r="B25" s="8"/>
      <c r="C25" s="8"/>
      <c r="D25" s="8"/>
      <c r="E25" s="825">
        <v>0</v>
      </c>
      <c r="F25" s="53">
        <f t="shared" ref="F25:AN25" ca="1" si="11">E30</f>
        <v>0</v>
      </c>
      <c r="G25" s="53">
        <f t="shared" ca="1" si="11"/>
        <v>0</v>
      </c>
      <c r="H25" s="53">
        <f t="shared" ca="1" si="11"/>
        <v>0</v>
      </c>
      <c r="I25" s="53">
        <f t="shared" ca="1" si="11"/>
        <v>0</v>
      </c>
      <c r="J25" s="53">
        <f t="shared" ca="1" si="11"/>
        <v>0</v>
      </c>
      <c r="K25" s="53">
        <f t="shared" ca="1" si="11"/>
        <v>0</v>
      </c>
      <c r="L25" s="53">
        <f t="shared" ca="1" si="11"/>
        <v>0</v>
      </c>
      <c r="M25" s="53">
        <f t="shared" ca="1" si="11"/>
        <v>0</v>
      </c>
      <c r="N25" s="53">
        <f t="shared" ca="1" si="11"/>
        <v>0</v>
      </c>
      <c r="O25" s="53">
        <f t="shared" ca="1" si="11"/>
        <v>0</v>
      </c>
      <c r="P25" s="53">
        <f t="shared" ca="1" si="11"/>
        <v>0</v>
      </c>
      <c r="Q25" s="53">
        <f t="shared" ca="1" si="11"/>
        <v>0</v>
      </c>
      <c r="R25" s="53">
        <f t="shared" ca="1" si="11"/>
        <v>0</v>
      </c>
      <c r="S25" s="53">
        <f t="shared" ca="1" si="11"/>
        <v>0</v>
      </c>
      <c r="T25" s="53">
        <f t="shared" ca="1" si="11"/>
        <v>0</v>
      </c>
      <c r="U25" s="53">
        <f t="shared" ca="1" si="11"/>
        <v>8587.7285165775411</v>
      </c>
      <c r="V25" s="53">
        <f t="shared" ca="1" si="11"/>
        <v>9767.2059851145532</v>
      </c>
      <c r="W25" s="53">
        <f t="shared" ca="1" si="11"/>
        <v>11807.511626534257</v>
      </c>
      <c r="X25" s="53">
        <f t="shared" ca="1" si="11"/>
        <v>17511.69931070528</v>
      </c>
      <c r="Y25" s="53">
        <f t="shared" ca="1" si="11"/>
        <v>23759.402471914527</v>
      </c>
      <c r="Z25" s="53">
        <f t="shared" ca="1" si="11"/>
        <v>27218.218104732216</v>
      </c>
      <c r="AA25" s="53">
        <f t="shared" ca="1" si="11"/>
        <v>33117.500379601748</v>
      </c>
      <c r="AB25" s="53">
        <f t="shared" ca="1" si="11"/>
        <v>37836.022030855253</v>
      </c>
      <c r="AC25" s="53">
        <f t="shared" ca="1" si="11"/>
        <v>38329.217743697518</v>
      </c>
      <c r="AD25" s="53">
        <f t="shared" ca="1" si="11"/>
        <v>43517.984072769228</v>
      </c>
      <c r="AE25" s="53">
        <f t="shared" ca="1" si="11"/>
        <v>49023.944048078134</v>
      </c>
      <c r="AF25" s="53">
        <f t="shared" ca="1" si="11"/>
        <v>54562.292023241796</v>
      </c>
      <c r="AG25" s="53">
        <f t="shared" ca="1" si="11"/>
        <v>67735.964824812108</v>
      </c>
      <c r="AH25" s="53">
        <f t="shared" ca="1" si="11"/>
        <v>73384.383510427142</v>
      </c>
      <c r="AI25" s="53">
        <f t="shared" ca="1" si="11"/>
        <v>0</v>
      </c>
      <c r="AJ25" s="53">
        <f t="shared" ca="1" si="11"/>
        <v>0</v>
      </c>
      <c r="AK25" s="53">
        <f t="shared" ca="1" si="11"/>
        <v>0</v>
      </c>
      <c r="AL25" s="53">
        <f t="shared" ca="1" si="11"/>
        <v>0</v>
      </c>
      <c r="AM25" s="53">
        <f t="shared" ca="1" si="11"/>
        <v>0</v>
      </c>
      <c r="AN25" s="53">
        <f t="shared" ca="1" si="11"/>
        <v>0</v>
      </c>
      <c r="AO25" s="423">
        <f>E25</f>
        <v>0</v>
      </c>
      <c r="AP25" s="21">
        <f t="shared" si="4"/>
        <v>19</v>
      </c>
    </row>
    <row r="26" spans="1:43">
      <c r="A26" s="137" t="s">
        <v>971</v>
      </c>
      <c r="B26" s="8"/>
      <c r="C26" s="8"/>
      <c r="D26" s="8"/>
      <c r="E26" s="53">
        <f ca="1">IF(E$7=Fin_Close,-E25,0)</f>
        <v>0</v>
      </c>
      <c r="F26" s="53">
        <f t="shared" ref="F26:AN26" ca="1" si="12">IF(F$7=Fin_Close,-F25,0)</f>
        <v>0</v>
      </c>
      <c r="G26" s="53">
        <f t="shared" ca="1" si="12"/>
        <v>0</v>
      </c>
      <c r="H26" s="53">
        <f t="shared" ca="1" si="12"/>
        <v>0</v>
      </c>
      <c r="I26" s="53">
        <f t="shared" ca="1" si="12"/>
        <v>0</v>
      </c>
      <c r="J26" s="53">
        <f t="shared" ca="1" si="12"/>
        <v>0</v>
      </c>
      <c r="K26" s="53">
        <f t="shared" ca="1" si="12"/>
        <v>0</v>
      </c>
      <c r="L26" s="53">
        <f t="shared" ca="1" si="12"/>
        <v>0</v>
      </c>
      <c r="M26" s="53">
        <f t="shared" ca="1" si="12"/>
        <v>0</v>
      </c>
      <c r="N26" s="53">
        <f t="shared" ca="1" si="12"/>
        <v>0</v>
      </c>
      <c r="O26" s="53">
        <f t="shared" ca="1" si="12"/>
        <v>0</v>
      </c>
      <c r="P26" s="53">
        <f t="shared" ca="1" si="12"/>
        <v>0</v>
      </c>
      <c r="Q26" s="53">
        <f t="shared" ca="1" si="12"/>
        <v>0</v>
      </c>
      <c r="R26" s="53">
        <f t="shared" ca="1" si="12"/>
        <v>0</v>
      </c>
      <c r="S26" s="53">
        <f t="shared" ca="1" si="12"/>
        <v>0</v>
      </c>
      <c r="T26" s="53">
        <f t="shared" ca="1" si="12"/>
        <v>0</v>
      </c>
      <c r="U26" s="53">
        <f t="shared" ca="1" si="12"/>
        <v>0</v>
      </c>
      <c r="V26" s="53">
        <f t="shared" ca="1" si="12"/>
        <v>0</v>
      </c>
      <c r="W26" s="53">
        <f t="shared" ca="1" si="12"/>
        <v>0</v>
      </c>
      <c r="X26" s="53">
        <f t="shared" ca="1" si="12"/>
        <v>0</v>
      </c>
      <c r="Y26" s="53">
        <f t="shared" ca="1" si="12"/>
        <v>0</v>
      </c>
      <c r="Z26" s="53">
        <f t="shared" ca="1" si="12"/>
        <v>0</v>
      </c>
      <c r="AA26" s="53">
        <f t="shared" ca="1" si="12"/>
        <v>0</v>
      </c>
      <c r="AB26" s="53">
        <f t="shared" ca="1" si="12"/>
        <v>0</v>
      </c>
      <c r="AC26" s="53">
        <f t="shared" ca="1" si="12"/>
        <v>0</v>
      </c>
      <c r="AD26" s="53">
        <f t="shared" ca="1" si="12"/>
        <v>0</v>
      </c>
      <c r="AE26" s="53">
        <f t="shared" ca="1" si="12"/>
        <v>0</v>
      </c>
      <c r="AF26" s="53">
        <f t="shared" ca="1" si="12"/>
        <v>0</v>
      </c>
      <c r="AG26" s="53">
        <f t="shared" ca="1" si="12"/>
        <v>0</v>
      </c>
      <c r="AH26" s="53">
        <f t="shared" ca="1" si="12"/>
        <v>-73384.383510427142</v>
      </c>
      <c r="AI26" s="53">
        <f t="shared" ca="1" si="12"/>
        <v>0</v>
      </c>
      <c r="AJ26" s="53">
        <f t="shared" ca="1" si="12"/>
        <v>0</v>
      </c>
      <c r="AK26" s="53">
        <f t="shared" ca="1" si="12"/>
        <v>0</v>
      </c>
      <c r="AL26" s="53">
        <f t="shared" ca="1" si="12"/>
        <v>0</v>
      </c>
      <c r="AM26" s="53">
        <f t="shared" ca="1" si="12"/>
        <v>0</v>
      </c>
      <c r="AN26" s="53">
        <f t="shared" ca="1" si="12"/>
        <v>0</v>
      </c>
      <c r="AO26" s="423">
        <f ca="1">SUM(E26:AN26)</f>
        <v>-73384.383510427142</v>
      </c>
      <c r="AP26" s="21">
        <f t="shared" si="4"/>
        <v>20</v>
      </c>
    </row>
    <row r="27" spans="1:43">
      <c r="A27" s="137" t="s">
        <v>226</v>
      </c>
      <c r="B27" s="8"/>
      <c r="C27" s="8"/>
      <c r="D27" s="8"/>
      <c r="E27" s="53">
        <f t="shared" ref="E27:AN27" ca="1" si="13">IF(E$7&lt;Fin_Close,E17-E64,0)</f>
        <v>0</v>
      </c>
      <c r="F27" s="53">
        <f t="shared" ca="1" si="13"/>
        <v>0</v>
      </c>
      <c r="G27" s="53">
        <f t="shared" ca="1" si="13"/>
        <v>0</v>
      </c>
      <c r="H27" s="53">
        <f t="shared" ca="1" si="13"/>
        <v>0</v>
      </c>
      <c r="I27" s="53">
        <f t="shared" ca="1" si="13"/>
        <v>0</v>
      </c>
      <c r="J27" s="53">
        <f t="shared" ca="1" si="13"/>
        <v>0</v>
      </c>
      <c r="K27" s="53">
        <f t="shared" ca="1" si="13"/>
        <v>0</v>
      </c>
      <c r="L27" s="53">
        <f t="shared" ca="1" si="13"/>
        <v>0</v>
      </c>
      <c r="M27" s="53">
        <f t="shared" ca="1" si="13"/>
        <v>0</v>
      </c>
      <c r="N27" s="53">
        <f t="shared" ca="1" si="13"/>
        <v>0</v>
      </c>
      <c r="O27" s="53">
        <f t="shared" ca="1" si="13"/>
        <v>0</v>
      </c>
      <c r="P27" s="53">
        <f t="shared" ca="1" si="13"/>
        <v>0</v>
      </c>
      <c r="Q27" s="53">
        <f t="shared" ca="1" si="13"/>
        <v>0</v>
      </c>
      <c r="R27" s="53">
        <f t="shared" ca="1" si="13"/>
        <v>0</v>
      </c>
      <c r="S27" s="53">
        <f t="shared" ca="1" si="13"/>
        <v>0</v>
      </c>
      <c r="T27" s="53">
        <f t="shared" ca="1" si="13"/>
        <v>8562.5445619834718</v>
      </c>
      <c r="U27" s="53">
        <f t="shared" ca="1" si="13"/>
        <v>1125.6506811420222</v>
      </c>
      <c r="V27" s="53">
        <f t="shared" ca="1" si="13"/>
        <v>1977.0366748166261</v>
      </c>
      <c r="W27" s="53">
        <f t="shared" ca="1" si="13"/>
        <v>5618.2075934459799</v>
      </c>
      <c r="X27" s="53">
        <f t="shared" ca="1" si="13"/>
        <v>6126.6735372132935</v>
      </c>
      <c r="Y27" s="53">
        <f t="shared" ca="1" si="13"/>
        <v>3309.3211443231276</v>
      </c>
      <c r="Z27" s="53">
        <f t="shared" ca="1" si="13"/>
        <v>5722.3446840063825</v>
      </c>
      <c r="AA27" s="53">
        <f t="shared" ca="1" si="13"/>
        <v>4510.4468054750359</v>
      </c>
      <c r="AB27" s="53">
        <f t="shared" ca="1" si="13"/>
        <v>269.83723843008784</v>
      </c>
      <c r="AC27" s="53">
        <f t="shared" ca="1" si="13"/>
        <v>4948.7452093753336</v>
      </c>
      <c r="AD27" s="53">
        <f t="shared" ca="1" si="13"/>
        <v>5234.5760218753339</v>
      </c>
      <c r="AE27" s="53">
        <f t="shared" ca="1" si="13"/>
        <v>5234.5760218753339</v>
      </c>
      <c r="AF27" s="53">
        <f t="shared" ca="1" si="13"/>
        <v>12815.026887059892</v>
      </c>
      <c r="AG27" s="53">
        <f t="shared" ca="1" si="13"/>
        <v>5234.5760218753339</v>
      </c>
      <c r="AH27" s="53">
        <f t="shared" ca="1" si="13"/>
        <v>0</v>
      </c>
      <c r="AI27" s="53">
        <f t="shared" ca="1" si="13"/>
        <v>0</v>
      </c>
      <c r="AJ27" s="53">
        <f t="shared" ca="1" si="13"/>
        <v>0</v>
      </c>
      <c r="AK27" s="53">
        <f t="shared" ca="1" si="13"/>
        <v>0</v>
      </c>
      <c r="AL27" s="53">
        <f t="shared" ca="1" si="13"/>
        <v>0</v>
      </c>
      <c r="AM27" s="53">
        <f t="shared" ca="1" si="13"/>
        <v>0</v>
      </c>
      <c r="AN27" s="53">
        <f t="shared" ca="1" si="13"/>
        <v>0</v>
      </c>
      <c r="AO27" s="423">
        <f ca="1">SUM(E27:AN27)</f>
        <v>70689.56308289725</v>
      </c>
      <c r="AP27" s="21">
        <f t="shared" si="4"/>
        <v>21</v>
      </c>
    </row>
    <row r="28" spans="1:43">
      <c r="A28" s="137" t="s">
        <v>972</v>
      </c>
      <c r="B28" s="8"/>
      <c r="C28" s="8"/>
      <c r="D28" s="8"/>
      <c r="E28" s="53">
        <f t="shared" ref="E28:AN28" ca="1" si="14">IF(E$7&lt;Fin_Close,E18-E65,0)</f>
        <v>0</v>
      </c>
      <c r="F28" s="53">
        <f t="shared" ca="1" si="14"/>
        <v>0</v>
      </c>
      <c r="G28" s="53">
        <f t="shared" ca="1" si="14"/>
        <v>0</v>
      </c>
      <c r="H28" s="53">
        <f t="shared" ca="1" si="14"/>
        <v>0</v>
      </c>
      <c r="I28" s="53">
        <f t="shared" ca="1" si="14"/>
        <v>0</v>
      </c>
      <c r="J28" s="53">
        <f t="shared" ca="1" si="14"/>
        <v>0</v>
      </c>
      <c r="K28" s="53">
        <f t="shared" ca="1" si="14"/>
        <v>0</v>
      </c>
      <c r="L28" s="53">
        <f t="shared" ca="1" si="14"/>
        <v>0</v>
      </c>
      <c r="M28" s="53">
        <f t="shared" ca="1" si="14"/>
        <v>0</v>
      </c>
      <c r="N28" s="53">
        <f t="shared" ca="1" si="14"/>
        <v>0</v>
      </c>
      <c r="O28" s="53">
        <f t="shared" ca="1" si="14"/>
        <v>0</v>
      </c>
      <c r="P28" s="53">
        <f t="shared" ca="1" si="14"/>
        <v>0</v>
      </c>
      <c r="Q28" s="53">
        <f t="shared" ca="1" si="14"/>
        <v>0</v>
      </c>
      <c r="R28" s="53">
        <f t="shared" ca="1" si="14"/>
        <v>0</v>
      </c>
      <c r="S28" s="53">
        <f t="shared" ca="1" si="14"/>
        <v>0</v>
      </c>
      <c r="T28" s="53">
        <f t="shared" ca="1" si="14"/>
        <v>21.406361404958677</v>
      </c>
      <c r="U28" s="53">
        <f t="shared" ca="1" si="14"/>
        <v>45.752769285742765</v>
      </c>
      <c r="V28" s="53">
        <f t="shared" ca="1" si="14"/>
        <v>53.77862161261433</v>
      </c>
      <c r="W28" s="53">
        <f t="shared" ca="1" si="14"/>
        <v>73.083077116286219</v>
      </c>
      <c r="X28" s="53">
        <f t="shared" ca="1" si="14"/>
        <v>102.87518039655963</v>
      </c>
      <c r="Y28" s="53">
        <f t="shared" ca="1" si="14"/>
        <v>127.07031522038045</v>
      </c>
      <c r="Z28" s="53">
        <f t="shared" ca="1" si="14"/>
        <v>150.39695223367704</v>
      </c>
      <c r="AA28" s="53">
        <f t="shared" ca="1" si="14"/>
        <v>176.86361891169631</v>
      </c>
      <c r="AB28" s="53">
        <f t="shared" ca="1" si="14"/>
        <v>189.85470325035146</v>
      </c>
      <c r="AC28" s="53">
        <f t="shared" ca="1" si="14"/>
        <v>204.01795174192591</v>
      </c>
      <c r="AD28" s="53">
        <f t="shared" ca="1" si="14"/>
        <v>230.67636041853447</v>
      </c>
      <c r="AE28" s="53">
        <f t="shared" ca="1" si="14"/>
        <v>258.20616029507897</v>
      </c>
      <c r="AF28" s="53">
        <f t="shared" ca="1" si="14"/>
        <v>304.84902733385871</v>
      </c>
      <c r="AG28" s="53">
        <f t="shared" ca="1" si="14"/>
        <v>351.76626417874894</v>
      </c>
      <c r="AH28" s="53">
        <f t="shared" ca="1" si="14"/>
        <v>0</v>
      </c>
      <c r="AI28" s="53">
        <f t="shared" ca="1" si="14"/>
        <v>0</v>
      </c>
      <c r="AJ28" s="53">
        <f t="shared" ca="1" si="14"/>
        <v>0</v>
      </c>
      <c r="AK28" s="53">
        <f t="shared" ca="1" si="14"/>
        <v>0</v>
      </c>
      <c r="AL28" s="53">
        <f t="shared" ca="1" si="14"/>
        <v>0</v>
      </c>
      <c r="AM28" s="53">
        <f t="shared" ca="1" si="14"/>
        <v>0</v>
      </c>
      <c r="AN28" s="53">
        <f t="shared" ca="1" si="14"/>
        <v>0</v>
      </c>
      <c r="AO28" s="423">
        <f ca="1">SUM(E28:AN28)</f>
        <v>2290.5973634004135</v>
      </c>
      <c r="AP28" s="21">
        <f t="shared" si="4"/>
        <v>22</v>
      </c>
      <c r="AQ28" s="30"/>
    </row>
    <row r="29" spans="1:43">
      <c r="A29" s="137" t="s">
        <v>973</v>
      </c>
      <c r="B29" s="8"/>
      <c r="C29" s="8"/>
      <c r="D29" s="8"/>
      <c r="E29" s="228">
        <f t="shared" ref="E29:AN29" ca="1" si="15">IF(E$7&lt;Fin_Close,E19-E66,0)</f>
        <v>0</v>
      </c>
      <c r="F29" s="228">
        <f t="shared" ca="1" si="15"/>
        <v>0</v>
      </c>
      <c r="G29" s="228">
        <f t="shared" ca="1" si="15"/>
        <v>0</v>
      </c>
      <c r="H29" s="228">
        <f t="shared" ca="1" si="15"/>
        <v>0</v>
      </c>
      <c r="I29" s="228">
        <f t="shared" ca="1" si="15"/>
        <v>0</v>
      </c>
      <c r="J29" s="228">
        <f t="shared" ca="1" si="15"/>
        <v>0</v>
      </c>
      <c r="K29" s="228">
        <f t="shared" ca="1" si="15"/>
        <v>0</v>
      </c>
      <c r="L29" s="228">
        <f t="shared" ca="1" si="15"/>
        <v>0</v>
      </c>
      <c r="M29" s="228">
        <f t="shared" ca="1" si="15"/>
        <v>0</v>
      </c>
      <c r="N29" s="228">
        <f t="shared" ca="1" si="15"/>
        <v>0</v>
      </c>
      <c r="O29" s="228">
        <f t="shared" ca="1" si="15"/>
        <v>0</v>
      </c>
      <c r="P29" s="228">
        <f t="shared" ca="1" si="15"/>
        <v>0</v>
      </c>
      <c r="Q29" s="228">
        <f t="shared" ca="1" si="15"/>
        <v>0</v>
      </c>
      <c r="R29" s="228">
        <f t="shared" ca="1" si="15"/>
        <v>0</v>
      </c>
      <c r="S29" s="228">
        <f t="shared" ca="1" si="15"/>
        <v>0</v>
      </c>
      <c r="T29" s="228">
        <f t="shared" ca="1" si="15"/>
        <v>3.7775931891103549</v>
      </c>
      <c r="U29" s="228">
        <f t="shared" ca="1" si="15"/>
        <v>8.0740181092487244</v>
      </c>
      <c r="V29" s="228">
        <f t="shared" ca="1" si="15"/>
        <v>9.4903449904613524</v>
      </c>
      <c r="W29" s="228">
        <f t="shared" ca="1" si="15"/>
        <v>12.897013608756392</v>
      </c>
      <c r="X29" s="228">
        <f t="shared" ca="1" si="15"/>
        <v>18.154443599392877</v>
      </c>
      <c r="Y29" s="228">
        <f t="shared" ca="1" si="15"/>
        <v>22.424173274184788</v>
      </c>
      <c r="Z29" s="228">
        <f t="shared" ca="1" si="15"/>
        <v>26.540638629472422</v>
      </c>
      <c r="AA29" s="228">
        <f t="shared" ca="1" si="15"/>
        <v>31.211226866769938</v>
      </c>
      <c r="AB29" s="228">
        <f t="shared" ca="1" si="15"/>
        <v>33.503771161826734</v>
      </c>
      <c r="AC29" s="228">
        <f t="shared" ca="1" si="15"/>
        <v>36.003167954457517</v>
      </c>
      <c r="AD29" s="228">
        <f t="shared" ca="1" si="15"/>
        <v>40.707593015035499</v>
      </c>
      <c r="AE29" s="228">
        <f t="shared" ca="1" si="15"/>
        <v>45.565792993249232</v>
      </c>
      <c r="AF29" s="228">
        <f t="shared" ca="1" si="15"/>
        <v>53.796887176563303</v>
      </c>
      <c r="AG29" s="228">
        <f t="shared" ca="1" si="15"/>
        <v>62.0763995609557</v>
      </c>
      <c r="AH29" s="228">
        <f t="shared" ca="1" si="15"/>
        <v>0</v>
      </c>
      <c r="AI29" s="228">
        <f t="shared" ca="1" si="15"/>
        <v>0</v>
      </c>
      <c r="AJ29" s="228">
        <f t="shared" ca="1" si="15"/>
        <v>0</v>
      </c>
      <c r="AK29" s="228">
        <f t="shared" ca="1" si="15"/>
        <v>0</v>
      </c>
      <c r="AL29" s="228">
        <f t="shared" ca="1" si="15"/>
        <v>0</v>
      </c>
      <c r="AM29" s="228">
        <f t="shared" ca="1" si="15"/>
        <v>0</v>
      </c>
      <c r="AN29" s="228">
        <f t="shared" ca="1" si="15"/>
        <v>0</v>
      </c>
      <c r="AO29" s="424">
        <f ca="1">SUM(E29:AN29)</f>
        <v>404.22306412948484</v>
      </c>
      <c r="AP29" s="21">
        <f t="shared" si="4"/>
        <v>23</v>
      </c>
      <c r="AQ29" s="30"/>
    </row>
    <row r="30" spans="1:43">
      <c r="A30" s="137" t="s">
        <v>204</v>
      </c>
      <c r="B30" s="8"/>
      <c r="C30" s="8"/>
      <c r="D30" s="8"/>
      <c r="E30" s="53">
        <f t="shared" ref="E30:AO30" ca="1" si="16">SUM(E25:E29)</f>
        <v>0</v>
      </c>
      <c r="F30" s="53">
        <f t="shared" ca="1" si="16"/>
        <v>0</v>
      </c>
      <c r="G30" s="53">
        <f t="shared" ca="1" si="16"/>
        <v>0</v>
      </c>
      <c r="H30" s="53">
        <f t="shared" ca="1" si="16"/>
        <v>0</v>
      </c>
      <c r="I30" s="53">
        <f t="shared" ca="1" si="16"/>
        <v>0</v>
      </c>
      <c r="J30" s="53">
        <f t="shared" ca="1" si="16"/>
        <v>0</v>
      </c>
      <c r="K30" s="53">
        <f t="shared" ca="1" si="16"/>
        <v>0</v>
      </c>
      <c r="L30" s="53">
        <f t="shared" ca="1" si="16"/>
        <v>0</v>
      </c>
      <c r="M30" s="53">
        <f t="shared" ca="1" si="16"/>
        <v>0</v>
      </c>
      <c r="N30" s="53">
        <f t="shared" ca="1" si="16"/>
        <v>0</v>
      </c>
      <c r="O30" s="53">
        <f t="shared" ca="1" si="16"/>
        <v>0</v>
      </c>
      <c r="P30" s="53">
        <f t="shared" ca="1" si="16"/>
        <v>0</v>
      </c>
      <c r="Q30" s="53">
        <f t="shared" ca="1" si="16"/>
        <v>0</v>
      </c>
      <c r="R30" s="53">
        <f t="shared" ca="1" si="16"/>
        <v>0</v>
      </c>
      <c r="S30" s="53">
        <f t="shared" ca="1" si="16"/>
        <v>0</v>
      </c>
      <c r="T30" s="53">
        <f t="shared" ca="1" si="16"/>
        <v>8587.7285165775411</v>
      </c>
      <c r="U30" s="53">
        <f t="shared" ca="1" si="16"/>
        <v>9767.2059851145532</v>
      </c>
      <c r="V30" s="53">
        <f t="shared" ca="1" si="16"/>
        <v>11807.511626534257</v>
      </c>
      <c r="W30" s="53">
        <f t="shared" ca="1" si="16"/>
        <v>17511.69931070528</v>
      </c>
      <c r="X30" s="53">
        <f t="shared" ca="1" si="16"/>
        <v>23759.402471914527</v>
      </c>
      <c r="Y30" s="53">
        <f t="shared" ca="1" si="16"/>
        <v>27218.218104732216</v>
      </c>
      <c r="Z30" s="53">
        <f t="shared" ca="1" si="16"/>
        <v>33117.500379601748</v>
      </c>
      <c r="AA30" s="53">
        <f t="shared" ca="1" si="16"/>
        <v>37836.022030855253</v>
      </c>
      <c r="AB30" s="53">
        <f t="shared" ca="1" si="16"/>
        <v>38329.217743697518</v>
      </c>
      <c r="AC30" s="53">
        <f t="shared" ca="1" si="16"/>
        <v>43517.984072769228</v>
      </c>
      <c r="AD30" s="53">
        <f t="shared" ca="1" si="16"/>
        <v>49023.944048078134</v>
      </c>
      <c r="AE30" s="53">
        <f t="shared" ca="1" si="16"/>
        <v>54562.292023241796</v>
      </c>
      <c r="AF30" s="53">
        <f t="shared" ca="1" si="16"/>
        <v>67735.964824812108</v>
      </c>
      <c r="AG30" s="53">
        <f t="shared" ca="1" si="16"/>
        <v>73384.383510427142</v>
      </c>
      <c r="AH30" s="53">
        <f t="shared" ca="1" si="16"/>
        <v>0</v>
      </c>
      <c r="AI30" s="53">
        <f t="shared" ca="1" si="16"/>
        <v>0</v>
      </c>
      <c r="AJ30" s="53">
        <f t="shared" ca="1" si="16"/>
        <v>0</v>
      </c>
      <c r="AK30" s="53">
        <f t="shared" ca="1" si="16"/>
        <v>0</v>
      </c>
      <c r="AL30" s="53">
        <f t="shared" ca="1" si="16"/>
        <v>0</v>
      </c>
      <c r="AM30" s="53">
        <f t="shared" ca="1" si="16"/>
        <v>0</v>
      </c>
      <c r="AN30" s="53">
        <f t="shared" ca="1" si="16"/>
        <v>0</v>
      </c>
      <c r="AO30" s="423">
        <f t="shared" ca="1" si="16"/>
        <v>6.1959326558280736E-12</v>
      </c>
      <c r="AP30" s="21">
        <f t="shared" si="4"/>
        <v>24</v>
      </c>
    </row>
    <row r="31" spans="1:43">
      <c r="A31" s="137"/>
      <c r="B31" s="8"/>
      <c r="C31" s="8"/>
      <c r="D31" s="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419"/>
      <c r="AP31" s="21">
        <f t="shared" si="4"/>
        <v>25</v>
      </c>
    </row>
    <row r="32" spans="1:43">
      <c r="A32" s="144" t="s">
        <v>296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419"/>
      <c r="AP32" s="21">
        <f t="shared" si="4"/>
        <v>26</v>
      </c>
    </row>
    <row r="33" spans="1:43">
      <c r="A33" s="137" t="s">
        <v>198</v>
      </c>
      <c r="B33" s="8"/>
      <c r="C33" s="8"/>
      <c r="D33" s="8"/>
      <c r="E33" s="825">
        <v>0</v>
      </c>
      <c r="F33" s="53">
        <f t="shared" ref="F33:AN33" ca="1" si="17">E38</f>
        <v>0</v>
      </c>
      <c r="G33" s="53">
        <f t="shared" ca="1" si="17"/>
        <v>0</v>
      </c>
      <c r="H33" s="53">
        <f t="shared" ca="1" si="17"/>
        <v>0</v>
      </c>
      <c r="I33" s="53">
        <f t="shared" ca="1" si="17"/>
        <v>0</v>
      </c>
      <c r="J33" s="53">
        <f t="shared" ca="1" si="17"/>
        <v>0</v>
      </c>
      <c r="K33" s="53">
        <f t="shared" ca="1" si="17"/>
        <v>0</v>
      </c>
      <c r="L33" s="53">
        <f t="shared" ca="1" si="17"/>
        <v>0</v>
      </c>
      <c r="M33" s="53">
        <f t="shared" ca="1" si="17"/>
        <v>0</v>
      </c>
      <c r="N33" s="53">
        <f t="shared" ca="1" si="17"/>
        <v>0</v>
      </c>
      <c r="O33" s="53">
        <f t="shared" ca="1" si="17"/>
        <v>0</v>
      </c>
      <c r="P33" s="53">
        <f t="shared" ca="1" si="17"/>
        <v>0</v>
      </c>
      <c r="Q33" s="53">
        <f t="shared" ca="1" si="17"/>
        <v>0</v>
      </c>
      <c r="R33" s="53">
        <f t="shared" ca="1" si="17"/>
        <v>0</v>
      </c>
      <c r="S33" s="53">
        <f t="shared" ca="1" si="17"/>
        <v>0</v>
      </c>
      <c r="T33" s="53">
        <f t="shared" ca="1" si="17"/>
        <v>0</v>
      </c>
      <c r="U33" s="53">
        <f t="shared" ca="1" si="17"/>
        <v>0</v>
      </c>
      <c r="V33" s="53">
        <f t="shared" ca="1" si="17"/>
        <v>0</v>
      </c>
      <c r="W33" s="53">
        <f t="shared" ca="1" si="17"/>
        <v>0</v>
      </c>
      <c r="X33" s="53">
        <f t="shared" ca="1" si="17"/>
        <v>0</v>
      </c>
      <c r="Y33" s="53">
        <f t="shared" ca="1" si="17"/>
        <v>0</v>
      </c>
      <c r="Z33" s="53">
        <f t="shared" ca="1" si="17"/>
        <v>0</v>
      </c>
      <c r="AA33" s="53">
        <f t="shared" ca="1" si="17"/>
        <v>0</v>
      </c>
      <c r="AB33" s="53">
        <f t="shared" ca="1" si="17"/>
        <v>0</v>
      </c>
      <c r="AC33" s="53">
        <f t="shared" ca="1" si="17"/>
        <v>0</v>
      </c>
      <c r="AD33" s="53">
        <f t="shared" ca="1" si="17"/>
        <v>0</v>
      </c>
      <c r="AE33" s="53">
        <f t="shared" ca="1" si="17"/>
        <v>0</v>
      </c>
      <c r="AF33" s="53">
        <f t="shared" ca="1" si="17"/>
        <v>0</v>
      </c>
      <c r="AG33" s="53">
        <f t="shared" ca="1" si="17"/>
        <v>0</v>
      </c>
      <c r="AH33" s="53">
        <f t="shared" ca="1" si="17"/>
        <v>0</v>
      </c>
      <c r="AI33" s="53">
        <f t="shared" ca="1" si="17"/>
        <v>62762.176520729488</v>
      </c>
      <c r="AJ33" s="53">
        <f t="shared" ca="1" si="17"/>
        <v>66618.716238178822</v>
      </c>
      <c r="AK33" s="53">
        <f t="shared" ca="1" si="17"/>
        <v>70512.412491511248</v>
      </c>
      <c r="AL33" s="53">
        <f t="shared" ca="1" si="17"/>
        <v>74443.62327215432</v>
      </c>
      <c r="AM33" s="53">
        <f t="shared" ca="1" si="17"/>
        <v>75185.638488659213</v>
      </c>
      <c r="AN33" s="53">
        <f t="shared" ca="1" si="17"/>
        <v>75934.80278621547</v>
      </c>
      <c r="AO33" s="423">
        <f>E33</f>
        <v>0</v>
      </c>
      <c r="AP33" s="21">
        <f t="shared" si="4"/>
        <v>27</v>
      </c>
    </row>
    <row r="34" spans="1:43">
      <c r="A34" s="137" t="s">
        <v>809</v>
      </c>
      <c r="B34" s="8"/>
      <c r="C34" s="8"/>
      <c r="D34" s="8"/>
      <c r="E34" s="53">
        <f ca="1">IF(E$7=Fin_Close,-E26*Debt_Perc/SUM(Debt_Perc,Subdebt_Perc),0)</f>
        <v>0</v>
      </c>
      <c r="F34" s="53">
        <f t="shared" ref="F34:AN34" ca="1" si="18">IF(F$7=Fin_Close,-F26*Debt_Perc/SUM(Debt_Perc,Subdebt_Perc),0)</f>
        <v>0</v>
      </c>
      <c r="G34" s="53">
        <f t="shared" ca="1" si="18"/>
        <v>0</v>
      </c>
      <c r="H34" s="53">
        <f t="shared" ca="1" si="18"/>
        <v>0</v>
      </c>
      <c r="I34" s="53">
        <f t="shared" ca="1" si="18"/>
        <v>0</v>
      </c>
      <c r="J34" s="53">
        <f t="shared" ca="1" si="18"/>
        <v>0</v>
      </c>
      <c r="K34" s="53">
        <f t="shared" ca="1" si="18"/>
        <v>0</v>
      </c>
      <c r="L34" s="53">
        <f t="shared" ca="1" si="18"/>
        <v>0</v>
      </c>
      <c r="M34" s="53">
        <f t="shared" ca="1" si="18"/>
        <v>0</v>
      </c>
      <c r="N34" s="53">
        <f t="shared" ca="1" si="18"/>
        <v>0</v>
      </c>
      <c r="O34" s="53">
        <f t="shared" ca="1" si="18"/>
        <v>0</v>
      </c>
      <c r="P34" s="53">
        <f t="shared" ca="1" si="18"/>
        <v>0</v>
      </c>
      <c r="Q34" s="53">
        <f t="shared" ca="1" si="18"/>
        <v>0</v>
      </c>
      <c r="R34" s="53">
        <f t="shared" ca="1" si="18"/>
        <v>0</v>
      </c>
      <c r="S34" s="53">
        <f t="shared" ca="1" si="18"/>
        <v>0</v>
      </c>
      <c r="T34" s="53">
        <f t="shared" ca="1" si="18"/>
        <v>0</v>
      </c>
      <c r="U34" s="53">
        <f t="shared" ca="1" si="18"/>
        <v>0</v>
      </c>
      <c r="V34" s="53">
        <f t="shared" ca="1" si="18"/>
        <v>0</v>
      </c>
      <c r="W34" s="53">
        <f t="shared" ca="1" si="18"/>
        <v>0</v>
      </c>
      <c r="X34" s="53">
        <f t="shared" ca="1" si="18"/>
        <v>0</v>
      </c>
      <c r="Y34" s="53">
        <f t="shared" ca="1" si="18"/>
        <v>0</v>
      </c>
      <c r="Z34" s="53">
        <f t="shared" ca="1" si="18"/>
        <v>0</v>
      </c>
      <c r="AA34" s="53">
        <f t="shared" ca="1" si="18"/>
        <v>0</v>
      </c>
      <c r="AB34" s="53">
        <f t="shared" ca="1" si="18"/>
        <v>0</v>
      </c>
      <c r="AC34" s="53">
        <f t="shared" ca="1" si="18"/>
        <v>0</v>
      </c>
      <c r="AD34" s="53">
        <f t="shared" ca="1" si="18"/>
        <v>0</v>
      </c>
      <c r="AE34" s="53">
        <f t="shared" ca="1" si="18"/>
        <v>0</v>
      </c>
      <c r="AF34" s="53">
        <f t="shared" ca="1" si="18"/>
        <v>0</v>
      </c>
      <c r="AG34" s="53">
        <f t="shared" ca="1" si="18"/>
        <v>0</v>
      </c>
      <c r="AH34" s="53">
        <f t="shared" ca="1" si="18"/>
        <v>57195.649662724914</v>
      </c>
      <c r="AI34" s="53">
        <f t="shared" ca="1" si="18"/>
        <v>0</v>
      </c>
      <c r="AJ34" s="53">
        <f t="shared" ca="1" si="18"/>
        <v>0</v>
      </c>
      <c r="AK34" s="53">
        <f t="shared" ca="1" si="18"/>
        <v>0</v>
      </c>
      <c r="AL34" s="53">
        <f t="shared" ca="1" si="18"/>
        <v>0</v>
      </c>
      <c r="AM34" s="53">
        <f t="shared" ca="1" si="18"/>
        <v>0</v>
      </c>
      <c r="AN34" s="53">
        <f t="shared" ca="1" si="18"/>
        <v>0</v>
      </c>
      <c r="AO34" s="423">
        <f ca="1">SUM(E34:AN34)</f>
        <v>57195.649662724914</v>
      </c>
      <c r="AP34" s="21">
        <f t="shared" si="4"/>
        <v>28</v>
      </c>
    </row>
    <row r="35" spans="1:43">
      <c r="A35" s="137" t="s">
        <v>226</v>
      </c>
      <c r="B35" s="8"/>
      <c r="C35" s="8"/>
      <c r="D35" s="8"/>
      <c r="E35" s="53">
        <f ca="1">IF(E$7&lt;Fin_Close,0,E17*Debt_Perc/SUM(Debt_Perc,Subdebt_Perc))</f>
        <v>0</v>
      </c>
      <c r="F35" s="53">
        <f t="shared" ref="F35:AN35" ca="1" si="19">IF(F$7&lt;Fin_Close,0,F17*Debt_Perc/SUM(Debt_Perc,Subdebt_Perc))</f>
        <v>0</v>
      </c>
      <c r="G35" s="53">
        <f t="shared" ca="1" si="19"/>
        <v>0</v>
      </c>
      <c r="H35" s="53">
        <f t="shared" ca="1" si="19"/>
        <v>0</v>
      </c>
      <c r="I35" s="53">
        <f t="shared" ca="1" si="19"/>
        <v>0</v>
      </c>
      <c r="J35" s="53">
        <f t="shared" ca="1" si="19"/>
        <v>0</v>
      </c>
      <c r="K35" s="53">
        <f t="shared" ca="1" si="19"/>
        <v>0</v>
      </c>
      <c r="L35" s="53">
        <f t="shared" ca="1" si="19"/>
        <v>0</v>
      </c>
      <c r="M35" s="53">
        <f t="shared" ca="1" si="19"/>
        <v>0</v>
      </c>
      <c r="N35" s="53">
        <f t="shared" ca="1" si="19"/>
        <v>0</v>
      </c>
      <c r="O35" s="53">
        <f t="shared" ca="1" si="19"/>
        <v>0</v>
      </c>
      <c r="P35" s="53">
        <f t="shared" ca="1" si="19"/>
        <v>0</v>
      </c>
      <c r="Q35" s="53">
        <f t="shared" ca="1" si="19"/>
        <v>0</v>
      </c>
      <c r="R35" s="53">
        <f t="shared" ca="1" si="19"/>
        <v>0</v>
      </c>
      <c r="S35" s="53">
        <f t="shared" ca="1" si="19"/>
        <v>0</v>
      </c>
      <c r="T35" s="53">
        <f t="shared" ca="1" si="19"/>
        <v>0</v>
      </c>
      <c r="U35" s="53">
        <f t="shared" ca="1" si="19"/>
        <v>0</v>
      </c>
      <c r="V35" s="53">
        <f t="shared" ca="1" si="19"/>
        <v>0</v>
      </c>
      <c r="W35" s="53">
        <f t="shared" ca="1" si="19"/>
        <v>0</v>
      </c>
      <c r="X35" s="53">
        <f t="shared" ca="1" si="19"/>
        <v>0</v>
      </c>
      <c r="Y35" s="53">
        <f t="shared" ca="1" si="19"/>
        <v>0</v>
      </c>
      <c r="Z35" s="53">
        <f t="shared" ca="1" si="19"/>
        <v>0</v>
      </c>
      <c r="AA35" s="53">
        <f t="shared" ca="1" si="19"/>
        <v>0</v>
      </c>
      <c r="AB35" s="53">
        <f t="shared" ca="1" si="19"/>
        <v>0</v>
      </c>
      <c r="AC35" s="53">
        <f t="shared" ca="1" si="19"/>
        <v>0</v>
      </c>
      <c r="AD35" s="53">
        <f t="shared" ca="1" si="19"/>
        <v>0</v>
      </c>
      <c r="AE35" s="53">
        <f t="shared" ca="1" si="19"/>
        <v>0</v>
      </c>
      <c r="AF35" s="53">
        <f t="shared" ca="1" si="19"/>
        <v>0</v>
      </c>
      <c r="AG35" s="53">
        <f t="shared" ca="1" si="19"/>
        <v>0</v>
      </c>
      <c r="AH35" s="53">
        <f t="shared" ca="1" si="19"/>
        <v>4971.8480717929788</v>
      </c>
      <c r="AI35" s="53">
        <f t="shared" ca="1" si="19"/>
        <v>3215.1470320969611</v>
      </c>
      <c r="AJ35" s="53">
        <f t="shared" ca="1" si="19"/>
        <v>3213.8825573082668</v>
      </c>
      <c r="AK35" s="53">
        <f t="shared" ca="1" si="19"/>
        <v>3212.6058997064038</v>
      </c>
      <c r="AL35" s="53">
        <f t="shared" ca="1" si="19"/>
        <v>0.24329051503148991</v>
      </c>
      <c r="AM35" s="53">
        <f t="shared" ca="1" si="19"/>
        <v>-1.9198249681337393E-15</v>
      </c>
      <c r="AN35" s="53">
        <f t="shared" ca="1" si="19"/>
        <v>-1.9192017088917697E-15</v>
      </c>
      <c r="AO35" s="423">
        <f ca="1">SUM(E35:AN35)</f>
        <v>14613.72685141964</v>
      </c>
      <c r="AP35" s="21">
        <f t="shared" si="4"/>
        <v>29</v>
      </c>
    </row>
    <row r="36" spans="1:43">
      <c r="A36" s="137" t="s">
        <v>972</v>
      </c>
      <c r="B36" s="8"/>
      <c r="C36" s="8"/>
      <c r="D36" s="8"/>
      <c r="E36" s="53">
        <f ca="1">IF(E$7&lt;Fin_Close,0,E18*Debt_Perc/SUM(Debt_Perc,Subdebt_Perc))</f>
        <v>0</v>
      </c>
      <c r="F36" s="53">
        <f t="shared" ref="F36:AN36" ca="1" si="20">IF(F$7&lt;Fin_Close,0,F18*Debt_Perc/SUM(Debt_Perc,Subdebt_Perc))</f>
        <v>0</v>
      </c>
      <c r="G36" s="53">
        <f t="shared" ca="1" si="20"/>
        <v>0</v>
      </c>
      <c r="H36" s="53">
        <f t="shared" ca="1" si="20"/>
        <v>0</v>
      </c>
      <c r="I36" s="53">
        <f t="shared" ca="1" si="20"/>
        <v>0</v>
      </c>
      <c r="J36" s="53">
        <f t="shared" ca="1" si="20"/>
        <v>0</v>
      </c>
      <c r="K36" s="53">
        <f t="shared" ca="1" si="20"/>
        <v>0</v>
      </c>
      <c r="L36" s="53">
        <f t="shared" ca="1" si="20"/>
        <v>0</v>
      </c>
      <c r="M36" s="53">
        <f t="shared" ca="1" si="20"/>
        <v>0</v>
      </c>
      <c r="N36" s="53">
        <f t="shared" ca="1" si="20"/>
        <v>0</v>
      </c>
      <c r="O36" s="53">
        <f t="shared" ca="1" si="20"/>
        <v>0</v>
      </c>
      <c r="P36" s="53">
        <f t="shared" ca="1" si="20"/>
        <v>0</v>
      </c>
      <c r="Q36" s="53">
        <f t="shared" ca="1" si="20"/>
        <v>0</v>
      </c>
      <c r="R36" s="53">
        <f t="shared" ca="1" si="20"/>
        <v>0</v>
      </c>
      <c r="S36" s="53">
        <f t="shared" ca="1" si="20"/>
        <v>0</v>
      </c>
      <c r="T36" s="53">
        <f t="shared" ca="1" si="20"/>
        <v>0</v>
      </c>
      <c r="U36" s="53">
        <f t="shared" ca="1" si="20"/>
        <v>0</v>
      </c>
      <c r="V36" s="53">
        <f t="shared" ca="1" si="20"/>
        <v>0</v>
      </c>
      <c r="W36" s="53">
        <f t="shared" ca="1" si="20"/>
        <v>0</v>
      </c>
      <c r="X36" s="53">
        <f t="shared" ca="1" si="20"/>
        <v>0</v>
      </c>
      <c r="Y36" s="53">
        <f t="shared" ca="1" si="20"/>
        <v>0</v>
      </c>
      <c r="Z36" s="53">
        <f t="shared" ca="1" si="20"/>
        <v>0</v>
      </c>
      <c r="AA36" s="53">
        <f t="shared" ca="1" si="20"/>
        <v>0</v>
      </c>
      <c r="AB36" s="53">
        <f t="shared" ca="1" si="20"/>
        <v>0</v>
      </c>
      <c r="AC36" s="53">
        <f t="shared" ca="1" si="20"/>
        <v>0</v>
      </c>
      <c r="AD36" s="53">
        <f t="shared" ca="1" si="20"/>
        <v>0</v>
      </c>
      <c r="AE36" s="53">
        <f t="shared" ca="1" si="20"/>
        <v>0</v>
      </c>
      <c r="AF36" s="53">
        <f t="shared" ca="1" si="20"/>
        <v>0</v>
      </c>
      <c r="AG36" s="53">
        <f t="shared" ca="1" si="20"/>
        <v>0</v>
      </c>
      <c r="AH36" s="53">
        <f t="shared" ca="1" si="20"/>
        <v>569.50874429945225</v>
      </c>
      <c r="AI36" s="53">
        <f t="shared" ca="1" si="20"/>
        <v>614.24545705573166</v>
      </c>
      <c r="AJ36" s="53">
        <f t="shared" ca="1" si="20"/>
        <v>651.04028150506917</v>
      </c>
      <c r="AK36" s="53">
        <f t="shared" ca="1" si="20"/>
        <v>688.18961240711576</v>
      </c>
      <c r="AL36" s="53">
        <f t="shared" ca="1" si="20"/>
        <v>710.37610206051352</v>
      </c>
      <c r="AM36" s="53">
        <f t="shared" ca="1" si="20"/>
        <v>717.45558823992519</v>
      </c>
      <c r="AN36" s="53">
        <f t="shared" ca="1" si="20"/>
        <v>0</v>
      </c>
      <c r="AO36" s="423">
        <f ca="1">SUM(E36:AN36)</f>
        <v>3950.8157855678073</v>
      </c>
      <c r="AP36" s="21">
        <f t="shared" si="4"/>
        <v>30</v>
      </c>
      <c r="AQ36" s="30"/>
    </row>
    <row r="37" spans="1:43">
      <c r="A37" s="137" t="s">
        <v>973</v>
      </c>
      <c r="B37" s="8"/>
      <c r="C37" s="8"/>
      <c r="D37" s="8"/>
      <c r="E37" s="228">
        <f ca="1">IF(E$7&lt;Fin_Close,0,E19*Debt_Perc/SUM(Debt_Perc,Subdebt_Perc))</f>
        <v>0</v>
      </c>
      <c r="F37" s="228">
        <f t="shared" ref="F37:AN37" ca="1" si="21">IF(F$7&lt;Fin_Close,0,F19*Debt_Perc/SUM(Debt_Perc,Subdebt_Perc))</f>
        <v>0</v>
      </c>
      <c r="G37" s="228">
        <f t="shared" ca="1" si="21"/>
        <v>0</v>
      </c>
      <c r="H37" s="228">
        <f t="shared" ca="1" si="21"/>
        <v>0</v>
      </c>
      <c r="I37" s="228">
        <f t="shared" ca="1" si="21"/>
        <v>0</v>
      </c>
      <c r="J37" s="228">
        <f t="shared" ca="1" si="21"/>
        <v>0</v>
      </c>
      <c r="K37" s="228">
        <f t="shared" ca="1" si="21"/>
        <v>0</v>
      </c>
      <c r="L37" s="228">
        <f t="shared" ca="1" si="21"/>
        <v>0</v>
      </c>
      <c r="M37" s="228">
        <f t="shared" ca="1" si="21"/>
        <v>0</v>
      </c>
      <c r="N37" s="228">
        <f t="shared" ca="1" si="21"/>
        <v>0</v>
      </c>
      <c r="O37" s="228">
        <f t="shared" ca="1" si="21"/>
        <v>0</v>
      </c>
      <c r="P37" s="228">
        <f t="shared" ca="1" si="21"/>
        <v>0</v>
      </c>
      <c r="Q37" s="228">
        <f t="shared" ca="1" si="21"/>
        <v>0</v>
      </c>
      <c r="R37" s="228">
        <f t="shared" ca="1" si="21"/>
        <v>0</v>
      </c>
      <c r="S37" s="228">
        <f t="shared" ca="1" si="21"/>
        <v>0</v>
      </c>
      <c r="T37" s="228">
        <f t="shared" ca="1" si="21"/>
        <v>0</v>
      </c>
      <c r="U37" s="228">
        <f t="shared" ca="1" si="21"/>
        <v>0</v>
      </c>
      <c r="V37" s="228">
        <f t="shared" ca="1" si="21"/>
        <v>0</v>
      </c>
      <c r="W37" s="228">
        <f t="shared" ca="1" si="21"/>
        <v>0</v>
      </c>
      <c r="X37" s="228">
        <f t="shared" ca="1" si="21"/>
        <v>0</v>
      </c>
      <c r="Y37" s="228">
        <f t="shared" ca="1" si="21"/>
        <v>0</v>
      </c>
      <c r="Z37" s="228">
        <f t="shared" ca="1" si="21"/>
        <v>0</v>
      </c>
      <c r="AA37" s="228">
        <f t="shared" ca="1" si="21"/>
        <v>0</v>
      </c>
      <c r="AB37" s="228">
        <f t="shared" ca="1" si="21"/>
        <v>0</v>
      </c>
      <c r="AC37" s="228">
        <f t="shared" ca="1" si="21"/>
        <v>0</v>
      </c>
      <c r="AD37" s="228">
        <f t="shared" ca="1" si="21"/>
        <v>0</v>
      </c>
      <c r="AE37" s="228">
        <f t="shared" ca="1" si="21"/>
        <v>0</v>
      </c>
      <c r="AF37" s="228">
        <f t="shared" ca="1" si="21"/>
        <v>0</v>
      </c>
      <c r="AG37" s="228">
        <f t="shared" ca="1" si="21"/>
        <v>0</v>
      </c>
      <c r="AH37" s="228">
        <f t="shared" ca="1" si="21"/>
        <v>25.170041912139698</v>
      </c>
      <c r="AI37" s="228">
        <f t="shared" ca="1" si="21"/>
        <v>27.147228296647306</v>
      </c>
      <c r="AJ37" s="228">
        <f t="shared" ca="1" si="21"/>
        <v>28.773414519088671</v>
      </c>
      <c r="AK37" s="228">
        <f t="shared" ca="1" si="21"/>
        <v>30.415268529535258</v>
      </c>
      <c r="AL37" s="228">
        <f t="shared" ca="1" si="21"/>
        <v>31.395823929340754</v>
      </c>
      <c r="AM37" s="228">
        <f t="shared" ca="1" si="21"/>
        <v>31.708709316327024</v>
      </c>
      <c r="AN37" s="228">
        <f t="shared" ca="1" si="21"/>
        <v>0</v>
      </c>
      <c r="AO37" s="424">
        <f ca="1">SUM(E37:AN37)</f>
        <v>174.61048650307873</v>
      </c>
      <c r="AP37" s="21">
        <f t="shared" si="4"/>
        <v>31</v>
      </c>
      <c r="AQ37" s="30"/>
    </row>
    <row r="38" spans="1:43">
      <c r="A38" s="137" t="s">
        <v>204</v>
      </c>
      <c r="B38" s="8"/>
      <c r="C38" s="8"/>
      <c r="D38" s="8"/>
      <c r="E38" s="53">
        <f ca="1">SUM(E33:E37)</f>
        <v>0</v>
      </c>
      <c r="F38" s="53">
        <f t="shared" ref="F38:AN38" ca="1" si="22">SUM(F33:F37)</f>
        <v>0</v>
      </c>
      <c r="G38" s="53">
        <f t="shared" ca="1" si="22"/>
        <v>0</v>
      </c>
      <c r="H38" s="53">
        <f t="shared" ca="1" si="22"/>
        <v>0</v>
      </c>
      <c r="I38" s="53">
        <f t="shared" ca="1" si="22"/>
        <v>0</v>
      </c>
      <c r="J38" s="53">
        <f t="shared" ca="1" si="22"/>
        <v>0</v>
      </c>
      <c r="K38" s="53">
        <f t="shared" ca="1" si="22"/>
        <v>0</v>
      </c>
      <c r="L38" s="53">
        <f t="shared" ca="1" si="22"/>
        <v>0</v>
      </c>
      <c r="M38" s="53">
        <f t="shared" ca="1" si="22"/>
        <v>0</v>
      </c>
      <c r="N38" s="53">
        <f t="shared" ca="1" si="22"/>
        <v>0</v>
      </c>
      <c r="O38" s="53">
        <f t="shared" ca="1" si="22"/>
        <v>0</v>
      </c>
      <c r="P38" s="53">
        <f t="shared" ca="1" si="22"/>
        <v>0</v>
      </c>
      <c r="Q38" s="53">
        <f t="shared" ca="1" si="22"/>
        <v>0</v>
      </c>
      <c r="R38" s="53">
        <f t="shared" ca="1" si="22"/>
        <v>0</v>
      </c>
      <c r="S38" s="53">
        <f t="shared" ca="1" si="22"/>
        <v>0</v>
      </c>
      <c r="T38" s="53">
        <f t="shared" ca="1" si="22"/>
        <v>0</v>
      </c>
      <c r="U38" s="53">
        <f t="shared" ca="1" si="22"/>
        <v>0</v>
      </c>
      <c r="V38" s="53">
        <f t="shared" ca="1" si="22"/>
        <v>0</v>
      </c>
      <c r="W38" s="53">
        <f t="shared" ca="1" si="22"/>
        <v>0</v>
      </c>
      <c r="X38" s="53">
        <f t="shared" ca="1" si="22"/>
        <v>0</v>
      </c>
      <c r="Y38" s="53">
        <f t="shared" ca="1" si="22"/>
        <v>0</v>
      </c>
      <c r="Z38" s="53">
        <f t="shared" ca="1" si="22"/>
        <v>0</v>
      </c>
      <c r="AA38" s="53">
        <f t="shared" ca="1" si="22"/>
        <v>0</v>
      </c>
      <c r="AB38" s="53">
        <f t="shared" ca="1" si="22"/>
        <v>0</v>
      </c>
      <c r="AC38" s="53">
        <f t="shared" ca="1" si="22"/>
        <v>0</v>
      </c>
      <c r="AD38" s="53">
        <f t="shared" ca="1" si="22"/>
        <v>0</v>
      </c>
      <c r="AE38" s="53">
        <f t="shared" ca="1" si="22"/>
        <v>0</v>
      </c>
      <c r="AF38" s="53">
        <f t="shared" ca="1" si="22"/>
        <v>0</v>
      </c>
      <c r="AG38" s="53">
        <f t="shared" ca="1" si="22"/>
        <v>0</v>
      </c>
      <c r="AH38" s="53">
        <f t="shared" ca="1" si="22"/>
        <v>62762.176520729488</v>
      </c>
      <c r="AI38" s="53">
        <f t="shared" ca="1" si="22"/>
        <v>66618.716238178822</v>
      </c>
      <c r="AJ38" s="53">
        <f t="shared" ca="1" si="22"/>
        <v>70512.412491511248</v>
      </c>
      <c r="AK38" s="53">
        <f t="shared" ca="1" si="22"/>
        <v>74443.62327215432</v>
      </c>
      <c r="AL38" s="53">
        <f t="shared" ca="1" si="22"/>
        <v>75185.638488659213</v>
      </c>
      <c r="AM38" s="53">
        <f t="shared" ca="1" si="22"/>
        <v>75934.80278621547</v>
      </c>
      <c r="AN38" s="53">
        <f t="shared" ca="1" si="22"/>
        <v>75934.80278621547</v>
      </c>
      <c r="AO38" s="423">
        <f ca="1">SUM(AO33:AO37)</f>
        <v>75934.802786215441</v>
      </c>
      <c r="AP38" s="21">
        <f t="shared" si="4"/>
        <v>32</v>
      </c>
    </row>
    <row r="39" spans="1:43">
      <c r="A39" s="137"/>
      <c r="B39" s="8"/>
      <c r="C39" s="8"/>
      <c r="D39" s="8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423"/>
      <c r="AP39" s="21">
        <f t="shared" si="4"/>
        <v>33</v>
      </c>
    </row>
    <row r="40" spans="1:43">
      <c r="A40" s="144" t="s">
        <v>9</v>
      </c>
      <c r="B40" s="8"/>
      <c r="C40" s="8"/>
      <c r="D40" s="8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423"/>
      <c r="AP40" s="21">
        <f t="shared" si="4"/>
        <v>34</v>
      </c>
    </row>
    <row r="41" spans="1:43">
      <c r="A41" s="137" t="s">
        <v>198</v>
      </c>
      <c r="B41" s="8"/>
      <c r="C41" s="8"/>
      <c r="D41" s="8"/>
      <c r="E41" s="825">
        <v>0</v>
      </c>
      <c r="F41" s="53">
        <f t="shared" ref="F41:AN41" ca="1" si="23">E46</f>
        <v>0</v>
      </c>
      <c r="G41" s="53">
        <f t="shared" ca="1" si="23"/>
        <v>0</v>
      </c>
      <c r="H41" s="53">
        <f t="shared" ca="1" si="23"/>
        <v>0</v>
      </c>
      <c r="I41" s="53">
        <f t="shared" ca="1" si="23"/>
        <v>0</v>
      </c>
      <c r="J41" s="53">
        <f t="shared" ca="1" si="23"/>
        <v>0</v>
      </c>
      <c r="K41" s="53">
        <f t="shared" ca="1" si="23"/>
        <v>0</v>
      </c>
      <c r="L41" s="53">
        <f t="shared" ca="1" si="23"/>
        <v>0</v>
      </c>
      <c r="M41" s="53">
        <f t="shared" ca="1" si="23"/>
        <v>0</v>
      </c>
      <c r="N41" s="53">
        <f t="shared" ca="1" si="23"/>
        <v>0</v>
      </c>
      <c r="O41" s="53">
        <f t="shared" ca="1" si="23"/>
        <v>0</v>
      </c>
      <c r="P41" s="53">
        <f t="shared" ca="1" si="23"/>
        <v>0</v>
      </c>
      <c r="Q41" s="53">
        <f t="shared" ca="1" si="23"/>
        <v>0</v>
      </c>
      <c r="R41" s="53">
        <f t="shared" ca="1" si="23"/>
        <v>0</v>
      </c>
      <c r="S41" s="53">
        <f t="shared" ca="1" si="23"/>
        <v>0</v>
      </c>
      <c r="T41" s="53">
        <f t="shared" ca="1" si="23"/>
        <v>0</v>
      </c>
      <c r="U41" s="53">
        <f t="shared" ca="1" si="23"/>
        <v>0</v>
      </c>
      <c r="V41" s="53">
        <f t="shared" ca="1" si="23"/>
        <v>0</v>
      </c>
      <c r="W41" s="53">
        <f t="shared" ca="1" si="23"/>
        <v>0</v>
      </c>
      <c r="X41" s="53">
        <f t="shared" ca="1" si="23"/>
        <v>0</v>
      </c>
      <c r="Y41" s="53">
        <f t="shared" ca="1" si="23"/>
        <v>0</v>
      </c>
      <c r="Z41" s="53">
        <f t="shared" ca="1" si="23"/>
        <v>0</v>
      </c>
      <c r="AA41" s="53">
        <f t="shared" ca="1" si="23"/>
        <v>0</v>
      </c>
      <c r="AB41" s="53">
        <f t="shared" ca="1" si="23"/>
        <v>0</v>
      </c>
      <c r="AC41" s="53">
        <f t="shared" ca="1" si="23"/>
        <v>0</v>
      </c>
      <c r="AD41" s="53">
        <f t="shared" ca="1" si="23"/>
        <v>0</v>
      </c>
      <c r="AE41" s="53">
        <f t="shared" ca="1" si="23"/>
        <v>0</v>
      </c>
      <c r="AF41" s="53">
        <f t="shared" ca="1" si="23"/>
        <v>0</v>
      </c>
      <c r="AG41" s="53">
        <f t="shared" ca="1" si="23"/>
        <v>0</v>
      </c>
      <c r="AH41" s="53">
        <f t="shared" ca="1" si="23"/>
        <v>0</v>
      </c>
      <c r="AI41" s="53">
        <f t="shared" ca="1" si="23"/>
        <v>17764.291119832502</v>
      </c>
      <c r="AJ41" s="53">
        <f t="shared" ca="1" si="23"/>
        <v>18855.851324621435</v>
      </c>
      <c r="AK41" s="53">
        <f t="shared" ca="1" si="23"/>
        <v>19957.92836545753</v>
      </c>
      <c r="AL41" s="53">
        <f t="shared" ca="1" si="23"/>
        <v>21070.623568717438</v>
      </c>
      <c r="AM41" s="53">
        <f t="shared" ca="1" si="23"/>
        <v>21280.644556708263</v>
      </c>
      <c r="AN41" s="53">
        <f t="shared" ca="1" si="23"/>
        <v>21492.689030245259</v>
      </c>
      <c r="AO41" s="423">
        <f>E41</f>
        <v>0</v>
      </c>
      <c r="AP41" s="21">
        <f t="shared" si="4"/>
        <v>35</v>
      </c>
    </row>
    <row r="42" spans="1:43">
      <c r="A42" s="137" t="s">
        <v>11</v>
      </c>
      <c r="B42" s="8"/>
      <c r="C42" s="8"/>
      <c r="D42" s="8"/>
      <c r="E42" s="53">
        <f ca="1">IF(E$7=Fin_Close,-E26*Subdebt_Perc/SUM(Debt_Perc,Subdebt_Perc),0)</f>
        <v>0</v>
      </c>
      <c r="F42" s="53">
        <f t="shared" ref="F42:AN42" ca="1" si="24">IF(F$7=Fin_Close,-F26*Subdebt_Perc/SUM(Debt_Perc,Subdebt_Perc),0)</f>
        <v>0</v>
      </c>
      <c r="G42" s="53">
        <f t="shared" ca="1" si="24"/>
        <v>0</v>
      </c>
      <c r="H42" s="53">
        <f t="shared" ca="1" si="24"/>
        <v>0</v>
      </c>
      <c r="I42" s="53">
        <f t="shared" ca="1" si="24"/>
        <v>0</v>
      </c>
      <c r="J42" s="53">
        <f t="shared" ca="1" si="24"/>
        <v>0</v>
      </c>
      <c r="K42" s="53">
        <f t="shared" ca="1" si="24"/>
        <v>0</v>
      </c>
      <c r="L42" s="53">
        <f t="shared" ca="1" si="24"/>
        <v>0</v>
      </c>
      <c r="M42" s="53">
        <f t="shared" ca="1" si="24"/>
        <v>0</v>
      </c>
      <c r="N42" s="53">
        <f t="shared" ca="1" si="24"/>
        <v>0</v>
      </c>
      <c r="O42" s="53">
        <f t="shared" ca="1" si="24"/>
        <v>0</v>
      </c>
      <c r="P42" s="53">
        <f t="shared" ca="1" si="24"/>
        <v>0</v>
      </c>
      <c r="Q42" s="53">
        <f t="shared" ca="1" si="24"/>
        <v>0</v>
      </c>
      <c r="R42" s="53">
        <f t="shared" ca="1" si="24"/>
        <v>0</v>
      </c>
      <c r="S42" s="53">
        <f t="shared" ca="1" si="24"/>
        <v>0</v>
      </c>
      <c r="T42" s="53">
        <f t="shared" ca="1" si="24"/>
        <v>0</v>
      </c>
      <c r="U42" s="53">
        <f t="shared" ca="1" si="24"/>
        <v>0</v>
      </c>
      <c r="V42" s="53">
        <f t="shared" ca="1" si="24"/>
        <v>0</v>
      </c>
      <c r="W42" s="53">
        <f t="shared" ca="1" si="24"/>
        <v>0</v>
      </c>
      <c r="X42" s="53">
        <f t="shared" ca="1" si="24"/>
        <v>0</v>
      </c>
      <c r="Y42" s="53">
        <f t="shared" ca="1" si="24"/>
        <v>0</v>
      </c>
      <c r="Z42" s="53">
        <f t="shared" ca="1" si="24"/>
        <v>0</v>
      </c>
      <c r="AA42" s="53">
        <f t="shared" ca="1" si="24"/>
        <v>0</v>
      </c>
      <c r="AB42" s="53">
        <f t="shared" ca="1" si="24"/>
        <v>0</v>
      </c>
      <c r="AC42" s="53">
        <f t="shared" ca="1" si="24"/>
        <v>0</v>
      </c>
      <c r="AD42" s="53">
        <f t="shared" ca="1" si="24"/>
        <v>0</v>
      </c>
      <c r="AE42" s="53">
        <f t="shared" ca="1" si="24"/>
        <v>0</v>
      </c>
      <c r="AF42" s="53">
        <f t="shared" ca="1" si="24"/>
        <v>0</v>
      </c>
      <c r="AG42" s="53">
        <f t="shared" ca="1" si="24"/>
        <v>0</v>
      </c>
      <c r="AH42" s="53">
        <f t="shared" ca="1" si="24"/>
        <v>16188.733847702224</v>
      </c>
      <c r="AI42" s="53">
        <f t="shared" ca="1" si="24"/>
        <v>0</v>
      </c>
      <c r="AJ42" s="53">
        <f t="shared" ca="1" si="24"/>
        <v>0</v>
      </c>
      <c r="AK42" s="53">
        <f t="shared" ca="1" si="24"/>
        <v>0</v>
      </c>
      <c r="AL42" s="53">
        <f t="shared" ca="1" si="24"/>
        <v>0</v>
      </c>
      <c r="AM42" s="53">
        <f t="shared" ca="1" si="24"/>
        <v>0</v>
      </c>
      <c r="AN42" s="53">
        <f t="shared" ca="1" si="24"/>
        <v>0</v>
      </c>
      <c r="AO42" s="423">
        <f ca="1">SUM(E42:AN42)</f>
        <v>16188.733847702224</v>
      </c>
      <c r="AP42" s="21">
        <f t="shared" si="4"/>
        <v>36</v>
      </c>
    </row>
    <row r="43" spans="1:43">
      <c r="A43" s="137" t="s">
        <v>226</v>
      </c>
      <c r="B43" s="8"/>
      <c r="C43" s="8"/>
      <c r="D43" s="8"/>
      <c r="E43" s="53">
        <f t="shared" ref="E43:W43" ca="1" si="25">IF(E$7&lt;Fin_Close,0,-E17*Subdebt_Perc/SUM(Debt_Perc,Subdebt_Perc))</f>
        <v>0</v>
      </c>
      <c r="F43" s="53">
        <f t="shared" ca="1" si="25"/>
        <v>0</v>
      </c>
      <c r="G43" s="53">
        <f t="shared" ca="1" si="25"/>
        <v>0</v>
      </c>
      <c r="H43" s="53">
        <f t="shared" ca="1" si="25"/>
        <v>0</v>
      </c>
      <c r="I43" s="53">
        <f t="shared" ca="1" si="25"/>
        <v>0</v>
      </c>
      <c r="J43" s="53">
        <f t="shared" ca="1" si="25"/>
        <v>0</v>
      </c>
      <c r="K43" s="53">
        <f t="shared" ca="1" si="25"/>
        <v>0</v>
      </c>
      <c r="L43" s="53">
        <f t="shared" ca="1" si="25"/>
        <v>0</v>
      </c>
      <c r="M43" s="53">
        <f t="shared" ca="1" si="25"/>
        <v>0</v>
      </c>
      <c r="N43" s="53">
        <f t="shared" ca="1" si="25"/>
        <v>0</v>
      </c>
      <c r="O43" s="53">
        <f t="shared" ca="1" si="25"/>
        <v>0</v>
      </c>
      <c r="P43" s="53">
        <f t="shared" ca="1" si="25"/>
        <v>0</v>
      </c>
      <c r="Q43" s="53">
        <f t="shared" ca="1" si="25"/>
        <v>0</v>
      </c>
      <c r="R43" s="53">
        <f t="shared" ca="1" si="25"/>
        <v>0</v>
      </c>
      <c r="S43" s="53">
        <f t="shared" ca="1" si="25"/>
        <v>0</v>
      </c>
      <c r="T43" s="53">
        <f t="shared" ca="1" si="25"/>
        <v>0</v>
      </c>
      <c r="U43" s="53">
        <f t="shared" ca="1" si="25"/>
        <v>0</v>
      </c>
      <c r="V43" s="53">
        <f t="shared" ca="1" si="25"/>
        <v>0</v>
      </c>
      <c r="W43" s="53">
        <f t="shared" ca="1" si="25"/>
        <v>0</v>
      </c>
      <c r="X43" s="53">
        <f ca="1">IF(X$7&lt;Fin_Close,0,X17*Subdebt_Perc/SUM(Debt_Perc,Subdebt_Perc))</f>
        <v>0</v>
      </c>
      <c r="Y43" s="53">
        <f t="shared" ref="Y43:AN43" ca="1" si="26">IF(Y$7&lt;Fin_Close,0,Y17*Subdebt_Perc/SUM(Debt_Perc,Subdebt_Perc))</f>
        <v>0</v>
      </c>
      <c r="Z43" s="53">
        <f t="shared" ca="1" si="26"/>
        <v>0</v>
      </c>
      <c r="AA43" s="53">
        <f t="shared" ca="1" si="26"/>
        <v>0</v>
      </c>
      <c r="AB43" s="53">
        <f t="shared" ca="1" si="26"/>
        <v>0</v>
      </c>
      <c r="AC43" s="53">
        <f t="shared" ca="1" si="26"/>
        <v>0</v>
      </c>
      <c r="AD43" s="53">
        <f t="shared" ca="1" si="26"/>
        <v>0</v>
      </c>
      <c r="AE43" s="53">
        <f t="shared" ca="1" si="26"/>
        <v>0</v>
      </c>
      <c r="AF43" s="53">
        <f t="shared" ca="1" si="26"/>
        <v>0</v>
      </c>
      <c r="AG43" s="53">
        <f t="shared" ca="1" si="26"/>
        <v>0</v>
      </c>
      <c r="AH43" s="53">
        <f t="shared" ca="1" si="26"/>
        <v>1407.2385861528728</v>
      </c>
      <c r="AI43" s="53">
        <f t="shared" ca="1" si="26"/>
        <v>910.01955377330864</v>
      </c>
      <c r="AJ43" s="53">
        <f t="shared" ca="1" si="26"/>
        <v>909.66165512311409</v>
      </c>
      <c r="AK43" s="53">
        <f t="shared" ca="1" si="26"/>
        <v>909.30030823304321</v>
      </c>
      <c r="AL43" s="53">
        <f t="shared" ca="1" si="26"/>
        <v>6.8861275616946049E-2</v>
      </c>
      <c r="AM43" s="53">
        <f t="shared" ca="1" si="26"/>
        <v>-5.4338984916794134E-16</v>
      </c>
      <c r="AN43" s="53">
        <f t="shared" ca="1" si="26"/>
        <v>-5.4321344103120615E-16</v>
      </c>
      <c r="AO43" s="423">
        <f ca="1">SUM(E43:AN43)</f>
        <v>4136.2889645579553</v>
      </c>
      <c r="AP43" s="21">
        <f t="shared" si="4"/>
        <v>37</v>
      </c>
    </row>
    <row r="44" spans="1:43">
      <c r="A44" s="137" t="s">
        <v>972</v>
      </c>
      <c r="B44" s="8"/>
      <c r="C44" s="8"/>
      <c r="D44" s="8"/>
      <c r="E44" s="53">
        <f t="shared" ref="E44:T45" ca="1" si="27">IF(E$7&lt;Fin_Close,0,-E18*Subdebt_Perc/SUM(Debt_Perc,Subdebt_Perc))</f>
        <v>0</v>
      </c>
      <c r="F44" s="53">
        <f t="shared" ca="1" si="27"/>
        <v>0</v>
      </c>
      <c r="G44" s="53">
        <f t="shared" ca="1" si="27"/>
        <v>0</v>
      </c>
      <c r="H44" s="53">
        <f t="shared" ca="1" si="27"/>
        <v>0</v>
      </c>
      <c r="I44" s="53">
        <f t="shared" ca="1" si="27"/>
        <v>0</v>
      </c>
      <c r="J44" s="53">
        <f t="shared" ca="1" si="27"/>
        <v>0</v>
      </c>
      <c r="K44" s="53">
        <f t="shared" ca="1" si="27"/>
        <v>0</v>
      </c>
      <c r="L44" s="53">
        <f t="shared" ca="1" si="27"/>
        <v>0</v>
      </c>
      <c r="M44" s="53">
        <f t="shared" ca="1" si="27"/>
        <v>0</v>
      </c>
      <c r="N44" s="53">
        <f t="shared" ca="1" si="27"/>
        <v>0</v>
      </c>
      <c r="O44" s="53">
        <f t="shared" ca="1" si="27"/>
        <v>0</v>
      </c>
      <c r="P44" s="53">
        <f t="shared" ca="1" si="27"/>
        <v>0</v>
      </c>
      <c r="Q44" s="53">
        <f t="shared" ca="1" si="27"/>
        <v>0</v>
      </c>
      <c r="R44" s="53">
        <f t="shared" ca="1" si="27"/>
        <v>0</v>
      </c>
      <c r="S44" s="53">
        <f t="shared" ca="1" si="27"/>
        <v>0</v>
      </c>
      <c r="T44" s="53">
        <f t="shared" ca="1" si="27"/>
        <v>0</v>
      </c>
      <c r="U44" s="53">
        <f t="shared" ref="U44:W45" ca="1" si="28">IF(U$7&lt;Fin_Close,0,-U18*Subdebt_Perc/SUM(Debt_Perc,Subdebt_Perc))</f>
        <v>0</v>
      </c>
      <c r="V44" s="53">
        <f t="shared" ca="1" si="28"/>
        <v>0</v>
      </c>
      <c r="W44" s="53">
        <f t="shared" ca="1" si="28"/>
        <v>0</v>
      </c>
      <c r="X44" s="53">
        <f ca="1">IF(X$7&lt;Fin_Close,0,X18*Subdebt_Perc/SUM(Debt_Perc,Subdebt_Perc))</f>
        <v>0</v>
      </c>
      <c r="Y44" s="53">
        <f t="shared" ref="Y44:AN44" ca="1" si="29">IF(Y$7&lt;Fin_Close,0,Y18*Subdebt_Perc/SUM(Debt_Perc,Subdebt_Perc))</f>
        <v>0</v>
      </c>
      <c r="Z44" s="53">
        <f t="shared" ca="1" si="29"/>
        <v>0</v>
      </c>
      <c r="AA44" s="53">
        <f t="shared" ca="1" si="29"/>
        <v>0</v>
      </c>
      <c r="AB44" s="53">
        <f t="shared" ca="1" si="29"/>
        <v>0</v>
      </c>
      <c r="AC44" s="53">
        <f t="shared" ca="1" si="29"/>
        <v>0</v>
      </c>
      <c r="AD44" s="53">
        <f t="shared" ca="1" si="29"/>
        <v>0</v>
      </c>
      <c r="AE44" s="53">
        <f t="shared" ca="1" si="29"/>
        <v>0</v>
      </c>
      <c r="AF44" s="53">
        <f t="shared" ca="1" si="29"/>
        <v>0</v>
      </c>
      <c r="AG44" s="53">
        <f t="shared" ca="1" si="29"/>
        <v>0</v>
      </c>
      <c r="AH44" s="53">
        <f t="shared" ca="1" si="29"/>
        <v>161.19452335570679</v>
      </c>
      <c r="AI44" s="53">
        <f t="shared" ca="1" si="29"/>
        <v>173.85686289207371</v>
      </c>
      <c r="AJ44" s="53">
        <f t="shared" ca="1" si="29"/>
        <v>184.27131964701553</v>
      </c>
      <c r="AK44" s="53">
        <f t="shared" ca="1" si="29"/>
        <v>194.78611638662477</v>
      </c>
      <c r="AL44" s="53">
        <f t="shared" ca="1" si="29"/>
        <v>201.06581035166647</v>
      </c>
      <c r="AM44" s="53">
        <f t="shared" ca="1" si="29"/>
        <v>203.06959767138065</v>
      </c>
      <c r="AN44" s="53">
        <f t="shared" ca="1" si="29"/>
        <v>0</v>
      </c>
      <c r="AO44" s="423">
        <f ca="1">SUM(E44:AN44)</f>
        <v>1118.2442303044679</v>
      </c>
      <c r="AP44" s="21">
        <f t="shared" si="4"/>
        <v>38</v>
      </c>
    </row>
    <row r="45" spans="1:43">
      <c r="A45" s="137" t="s">
        <v>973</v>
      </c>
      <c r="B45" s="8"/>
      <c r="C45" s="8"/>
      <c r="D45" s="8"/>
      <c r="E45" s="228">
        <f t="shared" ca="1" si="27"/>
        <v>0</v>
      </c>
      <c r="F45" s="228">
        <f t="shared" ref="F45:T45" ca="1" si="30">IF(F$7&lt;Fin_Close,0,-F19*Subdebt_Perc/SUM(Debt_Perc,Subdebt_Perc))</f>
        <v>0</v>
      </c>
      <c r="G45" s="228">
        <f t="shared" ca="1" si="30"/>
        <v>0</v>
      </c>
      <c r="H45" s="228">
        <f t="shared" ca="1" si="30"/>
        <v>0</v>
      </c>
      <c r="I45" s="228">
        <f t="shared" ca="1" si="30"/>
        <v>0</v>
      </c>
      <c r="J45" s="228">
        <f t="shared" ca="1" si="30"/>
        <v>0</v>
      </c>
      <c r="K45" s="228">
        <f t="shared" ca="1" si="30"/>
        <v>0</v>
      </c>
      <c r="L45" s="228">
        <f t="shared" ca="1" si="30"/>
        <v>0</v>
      </c>
      <c r="M45" s="228">
        <f t="shared" ca="1" si="30"/>
        <v>0</v>
      </c>
      <c r="N45" s="228">
        <f t="shared" ca="1" si="30"/>
        <v>0</v>
      </c>
      <c r="O45" s="228">
        <f t="shared" ca="1" si="30"/>
        <v>0</v>
      </c>
      <c r="P45" s="228">
        <f t="shared" ca="1" si="30"/>
        <v>0</v>
      </c>
      <c r="Q45" s="228">
        <f t="shared" ca="1" si="30"/>
        <v>0</v>
      </c>
      <c r="R45" s="228">
        <f t="shared" ca="1" si="30"/>
        <v>0</v>
      </c>
      <c r="S45" s="228">
        <f t="shared" ca="1" si="30"/>
        <v>0</v>
      </c>
      <c r="T45" s="228">
        <f t="shared" ca="1" si="30"/>
        <v>0</v>
      </c>
      <c r="U45" s="228">
        <f t="shared" ca="1" si="28"/>
        <v>0</v>
      </c>
      <c r="V45" s="228">
        <f t="shared" ca="1" si="28"/>
        <v>0</v>
      </c>
      <c r="W45" s="228">
        <f t="shared" ca="1" si="28"/>
        <v>0</v>
      </c>
      <c r="X45" s="228">
        <f ca="1">IF(X$7&lt;Fin_Close,0,X19*Subdebt_Perc/SUM(Debt_Perc,Subdebt_Perc))</f>
        <v>0</v>
      </c>
      <c r="Y45" s="228">
        <f t="shared" ref="Y45:AN45" ca="1" si="31">IF(Y$7&lt;Fin_Close,0,Y19*Subdebt_Perc/SUM(Debt_Perc,Subdebt_Perc))</f>
        <v>0</v>
      </c>
      <c r="Z45" s="228">
        <f t="shared" ca="1" si="31"/>
        <v>0</v>
      </c>
      <c r="AA45" s="228">
        <f t="shared" ca="1" si="31"/>
        <v>0</v>
      </c>
      <c r="AB45" s="228">
        <f t="shared" ca="1" si="31"/>
        <v>0</v>
      </c>
      <c r="AC45" s="228">
        <f t="shared" ca="1" si="31"/>
        <v>0</v>
      </c>
      <c r="AD45" s="228">
        <f t="shared" ca="1" si="31"/>
        <v>0</v>
      </c>
      <c r="AE45" s="228">
        <f t="shared" ca="1" si="31"/>
        <v>0</v>
      </c>
      <c r="AF45" s="228">
        <f t="shared" ca="1" si="31"/>
        <v>0</v>
      </c>
      <c r="AG45" s="228">
        <f t="shared" ca="1" si="31"/>
        <v>0</v>
      </c>
      <c r="AH45" s="228">
        <f t="shared" ca="1" si="31"/>
        <v>7.1241626217018634</v>
      </c>
      <c r="AI45" s="228">
        <f t="shared" ca="1" si="31"/>
        <v>7.6837881235510768</v>
      </c>
      <c r="AJ45" s="228">
        <f t="shared" ca="1" si="31"/>
        <v>8.1440660659670456</v>
      </c>
      <c r="AK45" s="228">
        <f t="shared" ca="1" si="31"/>
        <v>8.6087786402386595</v>
      </c>
      <c r="AL45" s="228">
        <f t="shared" ca="1" si="31"/>
        <v>8.8863163635442763</v>
      </c>
      <c r="AM45" s="228">
        <f t="shared" ca="1" si="31"/>
        <v>8.974875865615239</v>
      </c>
      <c r="AN45" s="228">
        <f t="shared" ca="1" si="31"/>
        <v>0</v>
      </c>
      <c r="AO45" s="424">
        <f ca="1">SUM(E45:AN45)</f>
        <v>49.421987680618159</v>
      </c>
      <c r="AP45" s="21">
        <f t="shared" si="4"/>
        <v>39</v>
      </c>
    </row>
    <row r="46" spans="1:43">
      <c r="A46" s="137" t="s">
        <v>204</v>
      </c>
      <c r="B46" s="8"/>
      <c r="C46" s="8"/>
      <c r="D46" s="8"/>
      <c r="E46" s="53">
        <f t="shared" ref="E46:AO46" ca="1" si="32">SUM(E41:E45)</f>
        <v>0</v>
      </c>
      <c r="F46" s="53">
        <f t="shared" ca="1" si="32"/>
        <v>0</v>
      </c>
      <c r="G46" s="53">
        <f t="shared" ca="1" si="32"/>
        <v>0</v>
      </c>
      <c r="H46" s="53">
        <f t="shared" ca="1" si="32"/>
        <v>0</v>
      </c>
      <c r="I46" s="53">
        <f t="shared" ca="1" si="32"/>
        <v>0</v>
      </c>
      <c r="J46" s="53">
        <f t="shared" ca="1" si="32"/>
        <v>0</v>
      </c>
      <c r="K46" s="53">
        <f t="shared" ca="1" si="32"/>
        <v>0</v>
      </c>
      <c r="L46" s="53">
        <f t="shared" ca="1" si="32"/>
        <v>0</v>
      </c>
      <c r="M46" s="53">
        <f t="shared" ca="1" si="32"/>
        <v>0</v>
      </c>
      <c r="N46" s="53">
        <f t="shared" ca="1" si="32"/>
        <v>0</v>
      </c>
      <c r="O46" s="53">
        <f t="shared" ca="1" si="32"/>
        <v>0</v>
      </c>
      <c r="P46" s="53">
        <f t="shared" ca="1" si="32"/>
        <v>0</v>
      </c>
      <c r="Q46" s="53">
        <f t="shared" ca="1" si="32"/>
        <v>0</v>
      </c>
      <c r="R46" s="53">
        <f t="shared" ca="1" si="32"/>
        <v>0</v>
      </c>
      <c r="S46" s="53">
        <f t="shared" ca="1" si="32"/>
        <v>0</v>
      </c>
      <c r="T46" s="53">
        <f t="shared" ca="1" si="32"/>
        <v>0</v>
      </c>
      <c r="U46" s="53">
        <f t="shared" ca="1" si="32"/>
        <v>0</v>
      </c>
      <c r="V46" s="53">
        <f t="shared" ca="1" si="32"/>
        <v>0</v>
      </c>
      <c r="W46" s="53">
        <f t="shared" ca="1" si="32"/>
        <v>0</v>
      </c>
      <c r="X46" s="53">
        <f t="shared" ca="1" si="32"/>
        <v>0</v>
      </c>
      <c r="Y46" s="53">
        <f t="shared" ca="1" si="32"/>
        <v>0</v>
      </c>
      <c r="Z46" s="53">
        <f t="shared" ca="1" si="32"/>
        <v>0</v>
      </c>
      <c r="AA46" s="53">
        <f t="shared" ca="1" si="32"/>
        <v>0</v>
      </c>
      <c r="AB46" s="53">
        <f t="shared" ca="1" si="32"/>
        <v>0</v>
      </c>
      <c r="AC46" s="53">
        <f t="shared" ca="1" si="32"/>
        <v>0</v>
      </c>
      <c r="AD46" s="53">
        <f t="shared" ca="1" si="32"/>
        <v>0</v>
      </c>
      <c r="AE46" s="53">
        <f t="shared" ca="1" si="32"/>
        <v>0</v>
      </c>
      <c r="AF46" s="53">
        <f t="shared" ca="1" si="32"/>
        <v>0</v>
      </c>
      <c r="AG46" s="53">
        <f t="shared" ca="1" si="32"/>
        <v>0</v>
      </c>
      <c r="AH46" s="53">
        <f t="shared" ca="1" si="32"/>
        <v>17764.291119832502</v>
      </c>
      <c r="AI46" s="53">
        <f t="shared" ca="1" si="32"/>
        <v>18855.851324621435</v>
      </c>
      <c r="AJ46" s="53">
        <f t="shared" ca="1" si="32"/>
        <v>19957.92836545753</v>
      </c>
      <c r="AK46" s="53">
        <f t="shared" ca="1" si="32"/>
        <v>21070.623568717438</v>
      </c>
      <c r="AL46" s="53">
        <f t="shared" ca="1" si="32"/>
        <v>21280.644556708263</v>
      </c>
      <c r="AM46" s="53">
        <f t="shared" ca="1" si="32"/>
        <v>21492.689030245259</v>
      </c>
      <c r="AN46" s="53">
        <f t="shared" ca="1" si="32"/>
        <v>21492.689030245259</v>
      </c>
      <c r="AO46" s="423">
        <f t="shared" ca="1" si="32"/>
        <v>21492.689030245263</v>
      </c>
      <c r="AP46" s="21">
        <f t="shared" si="4"/>
        <v>40</v>
      </c>
    </row>
    <row r="47" spans="1:43">
      <c r="A47" s="137"/>
      <c r="B47" s="8"/>
      <c r="C47" s="8"/>
      <c r="D47" s="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419"/>
      <c r="AP47" s="21">
        <f t="shared" si="4"/>
        <v>41</v>
      </c>
    </row>
    <row r="48" spans="1:43">
      <c r="A48" s="407" t="s">
        <v>927</v>
      </c>
      <c r="B48" s="20"/>
      <c r="C48" s="20"/>
      <c r="D48" s="20"/>
      <c r="E48" s="276">
        <f ca="1">IF(E$7&lt;Startops1,(SUM(E25:E26)+E27/2)*$D$11/12,0)</f>
        <v>0</v>
      </c>
      <c r="F48" s="276">
        <f t="shared" ref="F48:AN48" ca="1" si="33">IF(F$7&lt;Startops1,(SUM(F25:F26)+F27/2)*$D$11/12,0)</f>
        <v>0</v>
      </c>
      <c r="G48" s="276">
        <f t="shared" ca="1" si="33"/>
        <v>0</v>
      </c>
      <c r="H48" s="276">
        <f t="shared" ca="1" si="33"/>
        <v>0</v>
      </c>
      <c r="I48" s="276">
        <f t="shared" ca="1" si="33"/>
        <v>0</v>
      </c>
      <c r="J48" s="276">
        <f t="shared" ca="1" si="33"/>
        <v>0</v>
      </c>
      <c r="K48" s="276">
        <f t="shared" ca="1" si="33"/>
        <v>0</v>
      </c>
      <c r="L48" s="276">
        <f t="shared" ca="1" si="33"/>
        <v>0</v>
      </c>
      <c r="M48" s="276">
        <f t="shared" ca="1" si="33"/>
        <v>0</v>
      </c>
      <c r="N48" s="276">
        <f t="shared" ca="1" si="33"/>
        <v>0</v>
      </c>
      <c r="O48" s="276">
        <f t="shared" ca="1" si="33"/>
        <v>0</v>
      </c>
      <c r="P48" s="276">
        <f t="shared" ca="1" si="33"/>
        <v>0</v>
      </c>
      <c r="Q48" s="276">
        <f t="shared" ca="1" si="33"/>
        <v>0</v>
      </c>
      <c r="R48" s="276">
        <f t="shared" ca="1" si="33"/>
        <v>0</v>
      </c>
      <c r="S48" s="276">
        <f t="shared" ca="1" si="33"/>
        <v>0</v>
      </c>
      <c r="T48" s="276">
        <f t="shared" ca="1" si="33"/>
        <v>21.406361404958677</v>
      </c>
      <c r="U48" s="276">
        <f t="shared" ca="1" si="33"/>
        <v>45.752769285742765</v>
      </c>
      <c r="V48" s="276">
        <f t="shared" ca="1" si="33"/>
        <v>53.77862161261433</v>
      </c>
      <c r="W48" s="276">
        <f t="shared" ca="1" si="33"/>
        <v>73.083077116286219</v>
      </c>
      <c r="X48" s="276">
        <f t="shared" ca="1" si="33"/>
        <v>102.87518039655963</v>
      </c>
      <c r="Y48" s="276">
        <f t="shared" ca="1" si="33"/>
        <v>127.07031522038045</v>
      </c>
      <c r="Z48" s="276">
        <f t="shared" ca="1" si="33"/>
        <v>150.39695223367704</v>
      </c>
      <c r="AA48" s="276">
        <f t="shared" ca="1" si="33"/>
        <v>176.86361891169631</v>
      </c>
      <c r="AB48" s="276">
        <f t="shared" ca="1" si="33"/>
        <v>189.85470325035146</v>
      </c>
      <c r="AC48" s="276">
        <f t="shared" ca="1" si="33"/>
        <v>204.01795174192591</v>
      </c>
      <c r="AD48" s="276">
        <f t="shared" ca="1" si="33"/>
        <v>230.67636041853447</v>
      </c>
      <c r="AE48" s="276">
        <f t="shared" ca="1" si="33"/>
        <v>258.20616029507897</v>
      </c>
      <c r="AF48" s="276">
        <f t="shared" ca="1" si="33"/>
        <v>304.84902733385871</v>
      </c>
      <c r="AG48" s="276">
        <f t="shared" ca="1" si="33"/>
        <v>351.76626417874894</v>
      </c>
      <c r="AH48" s="276">
        <f t="shared" ca="1" si="33"/>
        <v>0</v>
      </c>
      <c r="AI48" s="276">
        <f t="shared" ca="1" si="33"/>
        <v>0</v>
      </c>
      <c r="AJ48" s="276">
        <f t="shared" ca="1" si="33"/>
        <v>0</v>
      </c>
      <c r="AK48" s="276">
        <f t="shared" ca="1" si="33"/>
        <v>0</v>
      </c>
      <c r="AL48" s="276">
        <f t="shared" ca="1" si="33"/>
        <v>0</v>
      </c>
      <c r="AM48" s="276">
        <f t="shared" ca="1" si="33"/>
        <v>0</v>
      </c>
      <c r="AN48" s="276">
        <f t="shared" ca="1" si="33"/>
        <v>0</v>
      </c>
      <c r="AO48" s="541">
        <f ca="1">SUM(E48:AN48)</f>
        <v>2290.5973634004135</v>
      </c>
      <c r="AP48" s="21">
        <f t="shared" si="4"/>
        <v>42</v>
      </c>
    </row>
    <row r="49" spans="1:43">
      <c r="A49" s="407" t="s">
        <v>810</v>
      </c>
      <c r="B49" s="20"/>
      <c r="C49" s="20"/>
      <c r="D49" s="20"/>
      <c r="E49" s="276">
        <f ca="1">IF(E$7&lt;Startops1,(SUM(E33:E34)+E35/2)*$D$12/12,0)</f>
        <v>0</v>
      </c>
      <c r="F49" s="276">
        <f t="shared" ref="F49:AN49" ca="1" si="34">IF(F$7&lt;Startops1,(SUM(F33:F34)+F35/2)*$D$12/12,0)</f>
        <v>0</v>
      </c>
      <c r="G49" s="276">
        <f t="shared" ca="1" si="34"/>
        <v>0</v>
      </c>
      <c r="H49" s="276">
        <f t="shared" ca="1" si="34"/>
        <v>0</v>
      </c>
      <c r="I49" s="276">
        <f t="shared" ca="1" si="34"/>
        <v>0</v>
      </c>
      <c r="J49" s="276">
        <f t="shared" ca="1" si="34"/>
        <v>0</v>
      </c>
      <c r="K49" s="276">
        <f t="shared" ca="1" si="34"/>
        <v>0</v>
      </c>
      <c r="L49" s="276">
        <f t="shared" ca="1" si="34"/>
        <v>0</v>
      </c>
      <c r="M49" s="276">
        <f t="shared" ca="1" si="34"/>
        <v>0</v>
      </c>
      <c r="N49" s="276">
        <f t="shared" ca="1" si="34"/>
        <v>0</v>
      </c>
      <c r="O49" s="276">
        <f t="shared" ca="1" si="34"/>
        <v>0</v>
      </c>
      <c r="P49" s="276">
        <f t="shared" ca="1" si="34"/>
        <v>0</v>
      </c>
      <c r="Q49" s="276">
        <f t="shared" ca="1" si="34"/>
        <v>0</v>
      </c>
      <c r="R49" s="276">
        <f t="shared" ca="1" si="34"/>
        <v>0</v>
      </c>
      <c r="S49" s="276">
        <f t="shared" ca="1" si="34"/>
        <v>0</v>
      </c>
      <c r="T49" s="276">
        <f t="shared" ca="1" si="34"/>
        <v>0</v>
      </c>
      <c r="U49" s="276">
        <f t="shared" ca="1" si="34"/>
        <v>0</v>
      </c>
      <c r="V49" s="276">
        <f t="shared" ca="1" si="34"/>
        <v>0</v>
      </c>
      <c r="W49" s="276">
        <f t="shared" ca="1" si="34"/>
        <v>0</v>
      </c>
      <c r="X49" s="276">
        <f t="shared" ca="1" si="34"/>
        <v>0</v>
      </c>
      <c r="Y49" s="276">
        <f t="shared" ca="1" si="34"/>
        <v>0</v>
      </c>
      <c r="Z49" s="276">
        <f t="shared" ca="1" si="34"/>
        <v>0</v>
      </c>
      <c r="AA49" s="276">
        <f t="shared" ca="1" si="34"/>
        <v>0</v>
      </c>
      <c r="AB49" s="276">
        <f t="shared" ca="1" si="34"/>
        <v>0</v>
      </c>
      <c r="AC49" s="276">
        <f t="shared" ca="1" si="34"/>
        <v>0</v>
      </c>
      <c r="AD49" s="276">
        <f t="shared" ca="1" si="34"/>
        <v>0</v>
      </c>
      <c r="AE49" s="276">
        <f t="shared" ca="1" si="34"/>
        <v>0</v>
      </c>
      <c r="AF49" s="276">
        <f t="shared" ca="1" si="34"/>
        <v>0</v>
      </c>
      <c r="AG49" s="276">
        <f t="shared" ca="1" si="34"/>
        <v>0</v>
      </c>
      <c r="AH49" s="276">
        <f t="shared" ca="1" si="34"/>
        <v>547.70277529672353</v>
      </c>
      <c r="AI49" s="276">
        <f t="shared" ca="1" si="34"/>
        <v>590.72656023334787</v>
      </c>
      <c r="AJ49" s="276">
        <f t="shared" ca="1" si="34"/>
        <v>626.11254450343574</v>
      </c>
      <c r="AK49" s="276">
        <f t="shared" ca="1" si="34"/>
        <v>661.83946149835504</v>
      </c>
      <c r="AL49" s="276">
        <f t="shared" ca="1" si="34"/>
        <v>683.17645075249823</v>
      </c>
      <c r="AM49" s="276">
        <f t="shared" ca="1" si="34"/>
        <v>689.9848698802997</v>
      </c>
      <c r="AN49" s="276">
        <f t="shared" ca="1" si="34"/>
        <v>0</v>
      </c>
      <c r="AO49" s="541">
        <f ca="1">SUM(E49:AN49)</f>
        <v>3799.5426621646602</v>
      </c>
      <c r="AP49" s="21">
        <f t="shared" si="4"/>
        <v>43</v>
      </c>
    </row>
    <row r="50" spans="1:43">
      <c r="A50" s="407" t="s">
        <v>12</v>
      </c>
      <c r="B50" s="20"/>
      <c r="C50" s="20"/>
      <c r="D50" s="20"/>
      <c r="E50" s="753">
        <f ca="1">IF(E$7&lt;Startops1,(SUM(E41:E42)+E43/2)*$D$13/12,0)</f>
        <v>0</v>
      </c>
      <c r="F50" s="753">
        <f t="shared" ref="F50:AN50" ca="1" si="35">IF(F$7&lt;Startops1,(SUM(F41:F42)+F43/2)*$D$13/12,0)</f>
        <v>0</v>
      </c>
      <c r="G50" s="753">
        <f t="shared" ca="1" si="35"/>
        <v>0</v>
      </c>
      <c r="H50" s="753">
        <f t="shared" ca="1" si="35"/>
        <v>0</v>
      </c>
      <c r="I50" s="753">
        <f t="shared" ca="1" si="35"/>
        <v>0</v>
      </c>
      <c r="J50" s="753">
        <f t="shared" ca="1" si="35"/>
        <v>0</v>
      </c>
      <c r="K50" s="753">
        <f t="shared" ca="1" si="35"/>
        <v>0</v>
      </c>
      <c r="L50" s="753">
        <f t="shared" ca="1" si="35"/>
        <v>0</v>
      </c>
      <c r="M50" s="753">
        <f t="shared" ca="1" si="35"/>
        <v>0</v>
      </c>
      <c r="N50" s="753">
        <f t="shared" ca="1" si="35"/>
        <v>0</v>
      </c>
      <c r="O50" s="753">
        <f t="shared" ca="1" si="35"/>
        <v>0</v>
      </c>
      <c r="P50" s="753">
        <f t="shared" ca="1" si="35"/>
        <v>0</v>
      </c>
      <c r="Q50" s="753">
        <f t="shared" ca="1" si="35"/>
        <v>0</v>
      </c>
      <c r="R50" s="753">
        <f t="shared" ca="1" si="35"/>
        <v>0</v>
      </c>
      <c r="S50" s="753">
        <f t="shared" ca="1" si="35"/>
        <v>0</v>
      </c>
      <c r="T50" s="753">
        <f t="shared" ca="1" si="35"/>
        <v>0</v>
      </c>
      <c r="U50" s="753">
        <f t="shared" ca="1" si="35"/>
        <v>0</v>
      </c>
      <c r="V50" s="753">
        <f t="shared" ca="1" si="35"/>
        <v>0</v>
      </c>
      <c r="W50" s="753">
        <f t="shared" ca="1" si="35"/>
        <v>0</v>
      </c>
      <c r="X50" s="753">
        <f t="shared" ca="1" si="35"/>
        <v>0</v>
      </c>
      <c r="Y50" s="753">
        <f t="shared" ca="1" si="35"/>
        <v>0</v>
      </c>
      <c r="Z50" s="753">
        <f t="shared" ca="1" si="35"/>
        <v>0</v>
      </c>
      <c r="AA50" s="753">
        <f t="shared" ca="1" si="35"/>
        <v>0</v>
      </c>
      <c r="AB50" s="753">
        <f t="shared" ca="1" si="35"/>
        <v>0</v>
      </c>
      <c r="AC50" s="753">
        <f t="shared" ca="1" si="35"/>
        <v>0</v>
      </c>
      <c r="AD50" s="753">
        <f t="shared" ca="1" si="35"/>
        <v>0</v>
      </c>
      <c r="AE50" s="753">
        <f t="shared" ca="1" si="35"/>
        <v>0</v>
      </c>
      <c r="AF50" s="753">
        <f t="shared" ca="1" si="35"/>
        <v>0</v>
      </c>
      <c r="AG50" s="753">
        <f t="shared" ca="1" si="35"/>
        <v>0</v>
      </c>
      <c r="AH50" s="753">
        <f t="shared" ca="1" si="35"/>
        <v>183.00049235843551</v>
      </c>
      <c r="AI50" s="753">
        <f t="shared" ca="1" si="35"/>
        <v>197.37575971445753</v>
      </c>
      <c r="AJ50" s="753">
        <f t="shared" ca="1" si="35"/>
        <v>209.19905664864908</v>
      </c>
      <c r="AK50" s="753">
        <f t="shared" ca="1" si="35"/>
        <v>221.13626729538555</v>
      </c>
      <c r="AL50" s="753">
        <f t="shared" ca="1" si="35"/>
        <v>228.26546165968185</v>
      </c>
      <c r="AM50" s="753">
        <f t="shared" ca="1" si="35"/>
        <v>230.5403160310062</v>
      </c>
      <c r="AN50" s="753">
        <f t="shared" ca="1" si="35"/>
        <v>0</v>
      </c>
      <c r="AO50" s="754"/>
      <c r="AP50" s="21">
        <f t="shared" si="4"/>
        <v>44</v>
      </c>
    </row>
    <row r="51" spans="1:43">
      <c r="A51" s="75" t="s">
        <v>811</v>
      </c>
      <c r="B51" s="32"/>
      <c r="C51" s="32"/>
      <c r="D51" s="32"/>
      <c r="E51" s="234">
        <f ca="1">SUM(E48:E50)</f>
        <v>0</v>
      </c>
      <c r="F51" s="234">
        <f t="shared" ref="F51:AN51" ca="1" si="36">SUM(F48:F50)</f>
        <v>0</v>
      </c>
      <c r="G51" s="234">
        <f t="shared" ca="1" si="36"/>
        <v>0</v>
      </c>
      <c r="H51" s="234">
        <f t="shared" ca="1" si="36"/>
        <v>0</v>
      </c>
      <c r="I51" s="234">
        <f t="shared" ca="1" si="36"/>
        <v>0</v>
      </c>
      <c r="J51" s="234">
        <f t="shared" ca="1" si="36"/>
        <v>0</v>
      </c>
      <c r="K51" s="234">
        <f t="shared" ca="1" si="36"/>
        <v>0</v>
      </c>
      <c r="L51" s="234">
        <f t="shared" ca="1" si="36"/>
        <v>0</v>
      </c>
      <c r="M51" s="234">
        <f t="shared" ca="1" si="36"/>
        <v>0</v>
      </c>
      <c r="N51" s="234">
        <f t="shared" ca="1" si="36"/>
        <v>0</v>
      </c>
      <c r="O51" s="234">
        <f t="shared" ca="1" si="36"/>
        <v>0</v>
      </c>
      <c r="P51" s="234">
        <f t="shared" ca="1" si="36"/>
        <v>0</v>
      </c>
      <c r="Q51" s="234">
        <f t="shared" ca="1" si="36"/>
        <v>0</v>
      </c>
      <c r="R51" s="234">
        <f t="shared" ca="1" si="36"/>
        <v>0</v>
      </c>
      <c r="S51" s="234">
        <f t="shared" ca="1" si="36"/>
        <v>0</v>
      </c>
      <c r="T51" s="234">
        <f t="shared" ca="1" si="36"/>
        <v>21.406361404958677</v>
      </c>
      <c r="U51" s="234">
        <f t="shared" ca="1" si="36"/>
        <v>45.752769285742765</v>
      </c>
      <c r="V51" s="234">
        <f t="shared" ca="1" si="36"/>
        <v>53.77862161261433</v>
      </c>
      <c r="W51" s="234">
        <f t="shared" ca="1" si="36"/>
        <v>73.083077116286219</v>
      </c>
      <c r="X51" s="234">
        <f t="shared" ca="1" si="36"/>
        <v>102.87518039655963</v>
      </c>
      <c r="Y51" s="234">
        <f t="shared" ca="1" si="36"/>
        <v>127.07031522038045</v>
      </c>
      <c r="Z51" s="234">
        <f t="shared" ca="1" si="36"/>
        <v>150.39695223367704</v>
      </c>
      <c r="AA51" s="234">
        <f t="shared" ca="1" si="36"/>
        <v>176.86361891169631</v>
      </c>
      <c r="AB51" s="234">
        <f t="shared" ca="1" si="36"/>
        <v>189.85470325035146</v>
      </c>
      <c r="AC51" s="234">
        <f t="shared" ca="1" si="36"/>
        <v>204.01795174192591</v>
      </c>
      <c r="AD51" s="234">
        <f t="shared" ca="1" si="36"/>
        <v>230.67636041853447</v>
      </c>
      <c r="AE51" s="234">
        <f t="shared" ca="1" si="36"/>
        <v>258.20616029507897</v>
      </c>
      <c r="AF51" s="234">
        <f t="shared" ca="1" si="36"/>
        <v>304.84902733385871</v>
      </c>
      <c r="AG51" s="234">
        <f t="shared" ca="1" si="36"/>
        <v>351.76626417874894</v>
      </c>
      <c r="AH51" s="234">
        <f t="shared" ca="1" si="36"/>
        <v>730.70326765515904</v>
      </c>
      <c r="AI51" s="234">
        <f t="shared" ca="1" si="36"/>
        <v>788.10231994780543</v>
      </c>
      <c r="AJ51" s="234">
        <f t="shared" ca="1" si="36"/>
        <v>835.31160115208479</v>
      </c>
      <c r="AK51" s="234">
        <f t="shared" ca="1" si="36"/>
        <v>882.97572879374059</v>
      </c>
      <c r="AL51" s="234">
        <f t="shared" ca="1" si="36"/>
        <v>911.44191241218005</v>
      </c>
      <c r="AM51" s="234">
        <f t="shared" ca="1" si="36"/>
        <v>920.52518591130593</v>
      </c>
      <c r="AN51" s="234">
        <f t="shared" ca="1" si="36"/>
        <v>0</v>
      </c>
      <c r="AO51" s="425">
        <f ca="1">SUM(E51:AN51)</f>
        <v>7359.6573792726895</v>
      </c>
      <c r="AP51" s="21">
        <f t="shared" si="4"/>
        <v>45</v>
      </c>
    </row>
    <row r="52" spans="1:43">
      <c r="A52" s="407" t="s">
        <v>375</v>
      </c>
      <c r="B52" s="20"/>
      <c r="C52" s="20"/>
      <c r="D52" s="20"/>
      <c r="E52" s="276">
        <f ca="1">SUM($E51:E51)</f>
        <v>0</v>
      </c>
      <c r="F52" s="276">
        <f ca="1">SUM($E51:F51)</f>
        <v>0</v>
      </c>
      <c r="G52" s="276">
        <f ca="1">SUM($E51:G51)</f>
        <v>0</v>
      </c>
      <c r="H52" s="276">
        <f ca="1">SUM($E51:H51)</f>
        <v>0</v>
      </c>
      <c r="I52" s="276">
        <f ca="1">SUM($E51:I51)</f>
        <v>0</v>
      </c>
      <c r="J52" s="276">
        <f ca="1">SUM($E51:J51)</f>
        <v>0</v>
      </c>
      <c r="K52" s="276">
        <f ca="1">SUM($E51:K51)</f>
        <v>0</v>
      </c>
      <c r="L52" s="276">
        <f ca="1">SUM($E51:L51)</f>
        <v>0</v>
      </c>
      <c r="M52" s="276">
        <f ca="1">SUM($E51:M51)</f>
        <v>0</v>
      </c>
      <c r="N52" s="276">
        <f ca="1">SUM($E51:N51)</f>
        <v>0</v>
      </c>
      <c r="O52" s="276">
        <f ca="1">SUM($E51:O51)</f>
        <v>0</v>
      </c>
      <c r="P52" s="276">
        <f ca="1">SUM($E51:P51)</f>
        <v>0</v>
      </c>
      <c r="Q52" s="276">
        <f ca="1">SUM($E51:Q51)</f>
        <v>0</v>
      </c>
      <c r="R52" s="276">
        <f ca="1">SUM($E51:R51)</f>
        <v>0</v>
      </c>
      <c r="S52" s="276">
        <f ca="1">SUM($E51:S51)</f>
        <v>0</v>
      </c>
      <c r="T52" s="276">
        <f ca="1">SUM($E51:T51)</f>
        <v>21.406361404958677</v>
      </c>
      <c r="U52" s="276">
        <f ca="1">SUM($E51:U51)</f>
        <v>67.159130690701446</v>
      </c>
      <c r="V52" s="276">
        <f ca="1">SUM($E51:V51)</f>
        <v>120.93775230331578</v>
      </c>
      <c r="W52" s="276">
        <f ca="1">SUM($E51:W51)</f>
        <v>194.02082941960199</v>
      </c>
      <c r="X52" s="276">
        <f ca="1">SUM($E51:X51)</f>
        <v>296.89600981616161</v>
      </c>
      <c r="Y52" s="276">
        <f ca="1">SUM($E51:Y51)</f>
        <v>423.96632503654206</v>
      </c>
      <c r="Z52" s="276">
        <f ca="1">SUM($E51:Z51)</f>
        <v>574.3632772702191</v>
      </c>
      <c r="AA52" s="276">
        <f ca="1">SUM($E51:AA51)</f>
        <v>751.22689618191544</v>
      </c>
      <c r="AB52" s="276">
        <f ca="1">SUM($E51:AB51)</f>
        <v>941.0815994322669</v>
      </c>
      <c r="AC52" s="276">
        <f ca="1">SUM($E51:AC51)</f>
        <v>1145.0995511741928</v>
      </c>
      <c r="AD52" s="276">
        <f ca="1">SUM($E51:AD51)</f>
        <v>1375.7759115927272</v>
      </c>
      <c r="AE52" s="276">
        <f ca="1">SUM($E51:AE51)</f>
        <v>1633.9820718878061</v>
      </c>
      <c r="AF52" s="276">
        <f ca="1">SUM($E51:AF51)</f>
        <v>1938.8310992216648</v>
      </c>
      <c r="AG52" s="276">
        <f ca="1">SUM($E51:AG51)</f>
        <v>2290.5973634004135</v>
      </c>
      <c r="AH52" s="276">
        <f ca="1">SUM($E51:AH51)</f>
        <v>3021.3006310555725</v>
      </c>
      <c r="AI52" s="276">
        <f ca="1">SUM($E51:AI51)</f>
        <v>3809.4029510033779</v>
      </c>
      <c r="AJ52" s="276">
        <f ca="1">SUM($E51:AJ51)</f>
        <v>4644.714552155463</v>
      </c>
      <c r="AK52" s="276">
        <f ca="1">SUM($E51:AK51)</f>
        <v>5527.690280949204</v>
      </c>
      <c r="AL52" s="276">
        <f ca="1">SUM($E51:AL51)</f>
        <v>6439.1321933613835</v>
      </c>
      <c r="AM52" s="276">
        <f ca="1">SUM($E51:AM51)</f>
        <v>7359.6573792726895</v>
      </c>
      <c r="AN52" s="276">
        <f ca="1">SUM($E51:AN51)</f>
        <v>7359.6573792726895</v>
      </c>
      <c r="AO52" s="423"/>
      <c r="AP52" s="21">
        <f t="shared" si="4"/>
        <v>46</v>
      </c>
    </row>
    <row r="53" spans="1:43">
      <c r="A53" s="75" t="s">
        <v>808</v>
      </c>
      <c r="B53" s="18">
        <f>(Wh_Int/(1-Wh_Int))</f>
        <v>0.17647058823529413</v>
      </c>
      <c r="C53" s="8"/>
      <c r="D53" s="8"/>
      <c r="E53" s="234">
        <f ca="1">SUM(E48,E50)*$B53</f>
        <v>0</v>
      </c>
      <c r="F53" s="234">
        <f t="shared" ref="F53:AN53" ca="1" si="37">SUM(F48,F50)*$B53</f>
        <v>0</v>
      </c>
      <c r="G53" s="234">
        <f t="shared" ca="1" si="37"/>
        <v>0</v>
      </c>
      <c r="H53" s="234">
        <f t="shared" ca="1" si="37"/>
        <v>0</v>
      </c>
      <c r="I53" s="234">
        <f t="shared" ca="1" si="37"/>
        <v>0</v>
      </c>
      <c r="J53" s="234">
        <f t="shared" ca="1" si="37"/>
        <v>0</v>
      </c>
      <c r="K53" s="234">
        <f t="shared" ca="1" si="37"/>
        <v>0</v>
      </c>
      <c r="L53" s="234">
        <f t="shared" ca="1" si="37"/>
        <v>0</v>
      </c>
      <c r="M53" s="234">
        <f t="shared" ca="1" si="37"/>
        <v>0</v>
      </c>
      <c r="N53" s="234">
        <f t="shared" ca="1" si="37"/>
        <v>0</v>
      </c>
      <c r="O53" s="234">
        <f t="shared" ca="1" si="37"/>
        <v>0</v>
      </c>
      <c r="P53" s="234">
        <f t="shared" ca="1" si="37"/>
        <v>0</v>
      </c>
      <c r="Q53" s="234">
        <f t="shared" ca="1" si="37"/>
        <v>0</v>
      </c>
      <c r="R53" s="234">
        <f t="shared" ca="1" si="37"/>
        <v>0</v>
      </c>
      <c r="S53" s="234">
        <f t="shared" ca="1" si="37"/>
        <v>0</v>
      </c>
      <c r="T53" s="234">
        <f t="shared" ca="1" si="37"/>
        <v>3.7775931891103549</v>
      </c>
      <c r="U53" s="234">
        <f t="shared" ca="1" si="37"/>
        <v>8.0740181092487244</v>
      </c>
      <c r="V53" s="234">
        <f t="shared" ca="1" si="37"/>
        <v>9.4903449904613524</v>
      </c>
      <c r="W53" s="234">
        <f t="shared" ca="1" si="37"/>
        <v>12.897013608756392</v>
      </c>
      <c r="X53" s="234">
        <f t="shared" ca="1" si="37"/>
        <v>18.154443599392877</v>
      </c>
      <c r="Y53" s="234">
        <f t="shared" ca="1" si="37"/>
        <v>22.424173274184788</v>
      </c>
      <c r="Z53" s="234">
        <f t="shared" ca="1" si="37"/>
        <v>26.540638629472422</v>
      </c>
      <c r="AA53" s="234">
        <f t="shared" ca="1" si="37"/>
        <v>31.211226866769938</v>
      </c>
      <c r="AB53" s="234">
        <f t="shared" ca="1" si="37"/>
        <v>33.503771161826734</v>
      </c>
      <c r="AC53" s="234">
        <f t="shared" ca="1" si="37"/>
        <v>36.003167954457517</v>
      </c>
      <c r="AD53" s="234">
        <f t="shared" ca="1" si="37"/>
        <v>40.707593015035499</v>
      </c>
      <c r="AE53" s="234">
        <f t="shared" ca="1" si="37"/>
        <v>45.565792993249232</v>
      </c>
      <c r="AF53" s="234">
        <f t="shared" ca="1" si="37"/>
        <v>53.796887176563303</v>
      </c>
      <c r="AG53" s="234">
        <f t="shared" ca="1" si="37"/>
        <v>62.0763995609557</v>
      </c>
      <c r="AH53" s="234">
        <f t="shared" ca="1" si="37"/>
        <v>32.294204533841565</v>
      </c>
      <c r="AI53" s="234">
        <f t="shared" ca="1" si="37"/>
        <v>34.831016420198388</v>
      </c>
      <c r="AJ53" s="234">
        <f t="shared" ca="1" si="37"/>
        <v>36.917480585055721</v>
      </c>
      <c r="AK53" s="234">
        <f t="shared" ca="1" si="37"/>
        <v>39.024047169773922</v>
      </c>
      <c r="AL53" s="234">
        <f t="shared" ca="1" si="37"/>
        <v>40.282140292885032</v>
      </c>
      <c r="AM53" s="234">
        <f t="shared" ca="1" si="37"/>
        <v>40.68358518194227</v>
      </c>
      <c r="AN53" s="234">
        <f t="shared" ca="1" si="37"/>
        <v>0</v>
      </c>
      <c r="AO53" s="425">
        <f ca="1">SUM(E53:AN53)</f>
        <v>628.25553831318177</v>
      </c>
      <c r="AP53" s="21">
        <f t="shared" si="4"/>
        <v>47</v>
      </c>
    </row>
    <row r="54" spans="1:43">
      <c r="A54" s="407" t="s">
        <v>613</v>
      </c>
      <c r="B54" s="20"/>
      <c r="C54" s="20"/>
      <c r="D54" s="20"/>
      <c r="E54" s="276">
        <f ca="1">SUM($E53:E53)</f>
        <v>0</v>
      </c>
      <c r="F54" s="276">
        <f ca="1">SUM($E53:F53)</f>
        <v>0</v>
      </c>
      <c r="G54" s="276">
        <f ca="1">SUM($E53:G53)</f>
        <v>0</v>
      </c>
      <c r="H54" s="276">
        <f ca="1">SUM($E53:H53)</f>
        <v>0</v>
      </c>
      <c r="I54" s="276">
        <f ca="1">SUM($E53:I53)</f>
        <v>0</v>
      </c>
      <c r="J54" s="276">
        <f ca="1">SUM($E53:J53)</f>
        <v>0</v>
      </c>
      <c r="K54" s="276">
        <f ca="1">SUM($E53:K53)</f>
        <v>0</v>
      </c>
      <c r="L54" s="276">
        <f ca="1">SUM($E53:L53)</f>
        <v>0</v>
      </c>
      <c r="M54" s="276">
        <f ca="1">SUM($E53:M53)</f>
        <v>0</v>
      </c>
      <c r="N54" s="276">
        <f ca="1">SUM($E53:N53)</f>
        <v>0</v>
      </c>
      <c r="O54" s="276">
        <f ca="1">SUM($E53:O53)</f>
        <v>0</v>
      </c>
      <c r="P54" s="276">
        <f ca="1">SUM($E53:P53)</f>
        <v>0</v>
      </c>
      <c r="Q54" s="276">
        <f ca="1">SUM($E53:Q53)</f>
        <v>0</v>
      </c>
      <c r="R54" s="276">
        <f ca="1">SUM($E53:R53)</f>
        <v>0</v>
      </c>
      <c r="S54" s="276">
        <f ca="1">SUM($E53:S53)</f>
        <v>0</v>
      </c>
      <c r="T54" s="276">
        <f ca="1">SUM($E53:T53)</f>
        <v>3.7775931891103549</v>
      </c>
      <c r="U54" s="276">
        <f ca="1">SUM($E53:U53)</f>
        <v>11.85161129835908</v>
      </c>
      <c r="V54" s="276">
        <f ca="1">SUM($E53:V53)</f>
        <v>21.341956288820434</v>
      </c>
      <c r="W54" s="276">
        <f ca="1">SUM($E53:W53)</f>
        <v>34.238969897576823</v>
      </c>
      <c r="X54" s="276">
        <f ca="1">SUM($E53:X53)</f>
        <v>52.3934134969697</v>
      </c>
      <c r="Y54" s="276">
        <f ca="1">SUM($E53:Y53)</f>
        <v>74.817586771154481</v>
      </c>
      <c r="Z54" s="276">
        <f ca="1">SUM($E53:Z53)</f>
        <v>101.35822540062691</v>
      </c>
      <c r="AA54" s="276">
        <f ca="1">SUM($E53:AA53)</f>
        <v>132.56945226739685</v>
      </c>
      <c r="AB54" s="276">
        <f ca="1">SUM($E53:AB53)</f>
        <v>166.07322342922359</v>
      </c>
      <c r="AC54" s="276">
        <f ca="1">SUM($E53:AC53)</f>
        <v>202.07639138368111</v>
      </c>
      <c r="AD54" s="276">
        <f ca="1">SUM($E53:AD53)</f>
        <v>242.7839843987166</v>
      </c>
      <c r="AE54" s="276">
        <f ca="1">SUM($E53:AE53)</f>
        <v>288.34977739196586</v>
      </c>
      <c r="AF54" s="276">
        <f ca="1">SUM($E53:AF53)</f>
        <v>342.14666456852916</v>
      </c>
      <c r="AG54" s="276">
        <f ca="1">SUM($E53:AG53)</f>
        <v>404.22306412948484</v>
      </c>
      <c r="AH54" s="276">
        <f ca="1">SUM($E53:AH53)</f>
        <v>436.51726866332638</v>
      </c>
      <c r="AI54" s="276">
        <f ca="1">SUM($E53:AI53)</f>
        <v>471.34828508352479</v>
      </c>
      <c r="AJ54" s="276">
        <f ca="1">SUM($E53:AJ53)</f>
        <v>508.26576566858051</v>
      </c>
      <c r="AK54" s="276">
        <f ca="1">SUM($E53:AK53)</f>
        <v>547.28981283835446</v>
      </c>
      <c r="AL54" s="276">
        <f ca="1">SUM($E53:AL53)</f>
        <v>587.57195313123952</v>
      </c>
      <c r="AM54" s="276">
        <f ca="1">SUM($E53:AM53)</f>
        <v>628.25553831318177</v>
      </c>
      <c r="AN54" s="276">
        <f ca="1">SUM($E53:AN53)</f>
        <v>628.25553831318177</v>
      </c>
      <c r="AO54" s="423"/>
      <c r="AP54" s="21">
        <f t="shared" si="4"/>
        <v>48</v>
      </c>
    </row>
    <row r="55" spans="1:43">
      <c r="A55" s="407"/>
      <c r="B55" s="20"/>
      <c r="C55" s="20"/>
      <c r="D55" s="20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419"/>
      <c r="AP55" s="21">
        <f t="shared" si="4"/>
        <v>49</v>
      </c>
    </row>
    <row r="56" spans="1:43">
      <c r="A56" s="407" t="s">
        <v>601</v>
      </c>
      <c r="B56" s="20"/>
      <c r="C56" s="20"/>
      <c r="D56" s="20"/>
      <c r="E56" s="276">
        <f>IF(E$7&lt;Startops1,0,E51)</f>
        <v>0</v>
      </c>
      <c r="F56" s="276">
        <f t="shared" ref="F56:AN56" si="38">IF(F$7&lt;Startops1,0,F51)</f>
        <v>0</v>
      </c>
      <c r="G56" s="276">
        <f t="shared" si="38"/>
        <v>0</v>
      </c>
      <c r="H56" s="276">
        <f t="shared" si="38"/>
        <v>0</v>
      </c>
      <c r="I56" s="276">
        <f t="shared" si="38"/>
        <v>0</v>
      </c>
      <c r="J56" s="276">
        <f t="shared" si="38"/>
        <v>0</v>
      </c>
      <c r="K56" s="276">
        <f t="shared" si="38"/>
        <v>0</v>
      </c>
      <c r="L56" s="276">
        <f t="shared" si="38"/>
        <v>0</v>
      </c>
      <c r="M56" s="276">
        <f t="shared" si="38"/>
        <v>0</v>
      </c>
      <c r="N56" s="276">
        <f t="shared" si="38"/>
        <v>0</v>
      </c>
      <c r="O56" s="276">
        <f t="shared" si="38"/>
        <v>0</v>
      </c>
      <c r="P56" s="276">
        <f t="shared" si="38"/>
        <v>0</v>
      </c>
      <c r="Q56" s="276">
        <f t="shared" si="38"/>
        <v>0</v>
      </c>
      <c r="R56" s="276">
        <f t="shared" si="38"/>
        <v>0</v>
      </c>
      <c r="S56" s="276">
        <f t="shared" si="38"/>
        <v>0</v>
      </c>
      <c r="T56" s="276">
        <f t="shared" si="38"/>
        <v>0</v>
      </c>
      <c r="U56" s="276">
        <f t="shared" si="38"/>
        <v>0</v>
      </c>
      <c r="V56" s="276">
        <f t="shared" si="38"/>
        <v>0</v>
      </c>
      <c r="W56" s="276">
        <f t="shared" si="38"/>
        <v>0</v>
      </c>
      <c r="X56" s="276">
        <f t="shared" si="38"/>
        <v>0</v>
      </c>
      <c r="Y56" s="276">
        <f t="shared" si="38"/>
        <v>0</v>
      </c>
      <c r="Z56" s="276">
        <f t="shared" si="38"/>
        <v>0</v>
      </c>
      <c r="AA56" s="276">
        <f t="shared" si="38"/>
        <v>0</v>
      </c>
      <c r="AB56" s="276">
        <f t="shared" si="38"/>
        <v>0</v>
      </c>
      <c r="AC56" s="276">
        <f t="shared" si="38"/>
        <v>0</v>
      </c>
      <c r="AD56" s="276">
        <f t="shared" si="38"/>
        <v>0</v>
      </c>
      <c r="AE56" s="276">
        <f t="shared" si="38"/>
        <v>0</v>
      </c>
      <c r="AF56" s="276">
        <f t="shared" si="38"/>
        <v>0</v>
      </c>
      <c r="AG56" s="276">
        <f t="shared" si="38"/>
        <v>0</v>
      </c>
      <c r="AH56" s="276">
        <f t="shared" si="38"/>
        <v>0</v>
      </c>
      <c r="AI56" s="276">
        <f t="shared" si="38"/>
        <v>0</v>
      </c>
      <c r="AJ56" s="276">
        <f t="shared" si="38"/>
        <v>0</v>
      </c>
      <c r="AK56" s="276">
        <f t="shared" si="38"/>
        <v>0</v>
      </c>
      <c r="AL56" s="276">
        <f t="shared" si="38"/>
        <v>0</v>
      </c>
      <c r="AM56" s="276">
        <f t="shared" si="38"/>
        <v>0</v>
      </c>
      <c r="AN56" s="276">
        <f t="shared" ca="1" si="38"/>
        <v>0</v>
      </c>
      <c r="AO56" s="541">
        <f ca="1">SUM(E56:AN56)</f>
        <v>0</v>
      </c>
      <c r="AP56" s="21">
        <f t="shared" si="4"/>
        <v>50</v>
      </c>
    </row>
    <row r="57" spans="1:43">
      <c r="A57" s="407" t="s">
        <v>602</v>
      </c>
      <c r="B57" s="20"/>
      <c r="C57" s="20"/>
      <c r="D57" s="20"/>
      <c r="E57" s="276">
        <f>SUM($E56:E56)</f>
        <v>0</v>
      </c>
      <c r="F57" s="276">
        <f>SUM($E56:F56)</f>
        <v>0</v>
      </c>
      <c r="G57" s="276">
        <f>SUM($E56:G56)</f>
        <v>0</v>
      </c>
      <c r="H57" s="276">
        <f>SUM($E56:H56)</f>
        <v>0</v>
      </c>
      <c r="I57" s="276">
        <f>SUM($E56:I56)</f>
        <v>0</v>
      </c>
      <c r="J57" s="276">
        <f>SUM($E56:J56)</f>
        <v>0</v>
      </c>
      <c r="K57" s="276">
        <f>SUM($E56:K56)</f>
        <v>0</v>
      </c>
      <c r="L57" s="276">
        <f>SUM($E56:L56)</f>
        <v>0</v>
      </c>
      <c r="M57" s="276">
        <f>SUM($E56:M56)</f>
        <v>0</v>
      </c>
      <c r="N57" s="276">
        <f>SUM($E56:N56)</f>
        <v>0</v>
      </c>
      <c r="O57" s="276">
        <f>SUM($E56:O56)</f>
        <v>0</v>
      </c>
      <c r="P57" s="276">
        <f>SUM($E56:P56)</f>
        <v>0</v>
      </c>
      <c r="Q57" s="276">
        <f>SUM($E56:Q56)</f>
        <v>0</v>
      </c>
      <c r="R57" s="276">
        <f>SUM($E56:R56)</f>
        <v>0</v>
      </c>
      <c r="S57" s="276">
        <f>SUM($E56:S56)</f>
        <v>0</v>
      </c>
      <c r="T57" s="276">
        <f>SUM($E56:T56)</f>
        <v>0</v>
      </c>
      <c r="U57" s="276">
        <f>SUM($E56:U56)</f>
        <v>0</v>
      </c>
      <c r="V57" s="276">
        <f>SUM($E56:V56)</f>
        <v>0</v>
      </c>
      <c r="W57" s="276">
        <f>SUM($E56:W56)</f>
        <v>0</v>
      </c>
      <c r="X57" s="276">
        <f>SUM($E56:X56)</f>
        <v>0</v>
      </c>
      <c r="Y57" s="276">
        <f>SUM($E56:Y56)</f>
        <v>0</v>
      </c>
      <c r="Z57" s="276">
        <f>SUM($E56:Z56)</f>
        <v>0</v>
      </c>
      <c r="AA57" s="276">
        <f>SUM($E56:AA56)</f>
        <v>0</v>
      </c>
      <c r="AB57" s="276">
        <f>SUM($E56:AB56)</f>
        <v>0</v>
      </c>
      <c r="AC57" s="276">
        <f>SUM($E56:AC56)</f>
        <v>0</v>
      </c>
      <c r="AD57" s="276">
        <f>SUM($E56:AD56)</f>
        <v>0</v>
      </c>
      <c r="AE57" s="276">
        <f>SUM($E56:AE56)</f>
        <v>0</v>
      </c>
      <c r="AF57" s="276">
        <f>SUM($E56:AF56)</f>
        <v>0</v>
      </c>
      <c r="AG57" s="276">
        <f>SUM($E56:AG56)</f>
        <v>0</v>
      </c>
      <c r="AH57" s="276">
        <f>SUM($E56:AH56)</f>
        <v>0</v>
      </c>
      <c r="AI57" s="276">
        <f>SUM($E56:AI56)</f>
        <v>0</v>
      </c>
      <c r="AJ57" s="276">
        <f>SUM($E56:AJ56)</f>
        <v>0</v>
      </c>
      <c r="AK57" s="276">
        <f>SUM($E56:AK56)</f>
        <v>0</v>
      </c>
      <c r="AL57" s="276">
        <f>SUM($E56:AL56)</f>
        <v>0</v>
      </c>
      <c r="AM57" s="276">
        <f>SUM($E56:AM56)</f>
        <v>0</v>
      </c>
      <c r="AN57" s="276">
        <f ca="1">SUM($E56:AN56)</f>
        <v>0</v>
      </c>
      <c r="AO57" s="423"/>
      <c r="AP57" s="21">
        <f t="shared" si="4"/>
        <v>51</v>
      </c>
    </row>
    <row r="58" spans="1:43">
      <c r="A58" s="407"/>
      <c r="B58" s="20"/>
      <c r="C58" s="20"/>
      <c r="D58" s="20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419"/>
      <c r="AP58" s="21">
        <f t="shared" si="4"/>
        <v>52</v>
      </c>
    </row>
    <row r="59" spans="1:43">
      <c r="A59" s="144" t="s">
        <v>227</v>
      </c>
      <c r="B59" s="8"/>
      <c r="C59" s="8"/>
      <c r="D59" s="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419"/>
      <c r="AP59" s="21">
        <f t="shared" si="4"/>
        <v>53</v>
      </c>
    </row>
    <row r="60" spans="1:43">
      <c r="A60" s="490" t="s">
        <v>1115</v>
      </c>
      <c r="B60" s="490"/>
      <c r="C60" s="1130"/>
      <c r="D60" s="1130"/>
      <c r="E60" s="1132">
        <f>Drawdown!E76</f>
        <v>0</v>
      </c>
      <c r="F60" s="1132">
        <f>Drawdown!F76</f>
        <v>260.86956521739131</v>
      </c>
      <c r="G60" s="1132">
        <f>Drawdown!G76</f>
        <v>369.05790838375106</v>
      </c>
      <c r="H60" s="1132">
        <f>Drawdown!H76</f>
        <v>0</v>
      </c>
      <c r="I60" s="1132">
        <f>Drawdown!I76</f>
        <v>0</v>
      </c>
      <c r="J60" s="1132">
        <f>Drawdown!J76</f>
        <v>0</v>
      </c>
      <c r="K60" s="1132">
        <f>Drawdown!K76</f>
        <v>0</v>
      </c>
      <c r="L60" s="1132">
        <f>Drawdown!L76</f>
        <v>2676.3977770293027</v>
      </c>
      <c r="M60" s="1132">
        <f>Drawdown!M76</f>
        <v>3331.6448350190685</v>
      </c>
      <c r="N60" s="1132">
        <f>Drawdown!N76</f>
        <v>2443.6472081218271</v>
      </c>
      <c r="O60" s="1132">
        <f>Drawdown!O76</f>
        <v>4312.3668151879119</v>
      </c>
      <c r="P60" s="1132">
        <f>Drawdown!P76</f>
        <v>0</v>
      </c>
      <c r="Q60" s="1132">
        <f>Drawdown!Q76</f>
        <v>4214.6059347181008</v>
      </c>
      <c r="R60" s="1132">
        <f>Drawdown!R76</f>
        <v>0</v>
      </c>
      <c r="S60" s="1132">
        <f>Drawdown!S76</f>
        <v>7733.682563168677</v>
      </c>
      <c r="T60" s="1132">
        <f>Drawdown!T76</f>
        <v>3788.240220385675</v>
      </c>
      <c r="U60" s="1132">
        <f>Drawdown!U76</f>
        <v>0</v>
      </c>
      <c r="V60" s="1132">
        <f>Drawdown!V76</f>
        <v>0</v>
      </c>
      <c r="W60" s="1132">
        <f>Drawdown!W76</f>
        <v>0</v>
      </c>
      <c r="X60" s="1132">
        <f>Drawdown!X76</f>
        <v>0</v>
      </c>
      <c r="Y60" s="1131">
        <v>0</v>
      </c>
      <c r="Z60" s="1131">
        <v>0</v>
      </c>
      <c r="AA60" s="1131">
        <v>0</v>
      </c>
      <c r="AB60" s="1131">
        <v>0</v>
      </c>
      <c r="AC60" s="1131">
        <v>0</v>
      </c>
      <c r="AD60" s="1131">
        <v>0</v>
      </c>
      <c r="AE60" s="1131">
        <v>0</v>
      </c>
      <c r="AF60" s="1131">
        <v>0</v>
      </c>
      <c r="AG60" s="1131">
        <v>0</v>
      </c>
      <c r="AH60" s="1131">
        <v>0</v>
      </c>
      <c r="AI60" s="1131">
        <v>0</v>
      </c>
      <c r="AJ60" s="1131">
        <v>0</v>
      </c>
      <c r="AK60" s="1131">
        <v>0</v>
      </c>
      <c r="AL60" s="1131">
        <v>0</v>
      </c>
      <c r="AM60" s="1131">
        <v>0</v>
      </c>
      <c r="AN60" s="1131">
        <v>0</v>
      </c>
      <c r="AO60" s="423">
        <f>SUM(E60:AN60)</f>
        <v>29130.512827231709</v>
      </c>
      <c r="AP60" s="21">
        <f t="shared" si="4"/>
        <v>54</v>
      </c>
      <c r="AQ60" s="66">
        <f ca="1">AO38+AO60</f>
        <v>105065.31561344715</v>
      </c>
    </row>
    <row r="61" spans="1:43">
      <c r="A61" s="490" t="s">
        <v>1116</v>
      </c>
      <c r="B61" s="490"/>
      <c r="C61" s="1130"/>
      <c r="D61" s="1130"/>
      <c r="E61" s="1132">
        <f>SUM($E60:E60)</f>
        <v>0</v>
      </c>
      <c r="F61" s="1132">
        <f>SUM($E60:F60)</f>
        <v>260.86956521739131</v>
      </c>
      <c r="G61" s="1132">
        <f>SUM($E60:G60)</f>
        <v>629.92747360114231</v>
      </c>
      <c r="H61" s="1132">
        <f>SUM($E60:H60)</f>
        <v>629.92747360114231</v>
      </c>
      <c r="I61" s="1132">
        <f>SUM($E60:I60)</f>
        <v>629.92747360114231</v>
      </c>
      <c r="J61" s="1132">
        <f>SUM($E60:J60)</f>
        <v>629.92747360114231</v>
      </c>
      <c r="K61" s="1132">
        <f>SUM($E60:K60)</f>
        <v>629.92747360114231</v>
      </c>
      <c r="L61" s="1132">
        <f>SUM($E60:L60)</f>
        <v>3306.3252506304452</v>
      </c>
      <c r="M61" s="1132">
        <f>SUM($E60:M60)</f>
        <v>6637.9700856495137</v>
      </c>
      <c r="N61" s="1132">
        <f>SUM($E60:N60)</f>
        <v>9081.6172937713418</v>
      </c>
      <c r="O61" s="1132">
        <f>SUM($E60:O60)</f>
        <v>13393.984108959254</v>
      </c>
      <c r="P61" s="1132">
        <f>SUM($E60:P60)</f>
        <v>13393.984108959254</v>
      </c>
      <c r="Q61" s="1132">
        <f>SUM($E60:Q60)</f>
        <v>17608.590043677355</v>
      </c>
      <c r="R61" s="1132">
        <f>SUM($E60:R60)</f>
        <v>17608.590043677355</v>
      </c>
      <c r="S61" s="1132">
        <f>SUM($E60:S60)</f>
        <v>25342.272606846032</v>
      </c>
      <c r="T61" s="1132">
        <f>SUM($E60:T60)</f>
        <v>29130.512827231709</v>
      </c>
      <c r="U61" s="1132">
        <f>SUM($E60:U60)</f>
        <v>29130.512827231709</v>
      </c>
      <c r="V61" s="1132">
        <f>SUM($E60:V60)</f>
        <v>29130.512827231709</v>
      </c>
      <c r="W61" s="1132">
        <f>SUM($E60:W60)</f>
        <v>29130.512827231709</v>
      </c>
      <c r="X61" s="1132">
        <f>SUM($E60:X60)</f>
        <v>29130.512827231709</v>
      </c>
      <c r="Y61" s="1132">
        <f>SUM($E60:Y60)</f>
        <v>29130.512827231709</v>
      </c>
      <c r="Z61" s="1132">
        <f>SUM($E60:Z60)</f>
        <v>29130.512827231709</v>
      </c>
      <c r="AA61" s="1132">
        <f>SUM($E60:AA60)</f>
        <v>29130.512827231709</v>
      </c>
      <c r="AB61" s="1132">
        <f>SUM($E60:AB60)</f>
        <v>29130.512827231709</v>
      </c>
      <c r="AC61" s="1132">
        <f>SUM($E60:AC60)</f>
        <v>29130.512827231709</v>
      </c>
      <c r="AD61" s="1132">
        <f>SUM($E60:AD60)</f>
        <v>29130.512827231709</v>
      </c>
      <c r="AE61" s="1132">
        <f>SUM($E60:AE60)</f>
        <v>29130.512827231709</v>
      </c>
      <c r="AF61" s="1132">
        <f>SUM($E60:AF60)</f>
        <v>29130.512827231709</v>
      </c>
      <c r="AG61" s="1132">
        <f>SUM($E60:AG60)</f>
        <v>29130.512827231709</v>
      </c>
      <c r="AH61" s="1132">
        <f>SUM($E60:AH60)</f>
        <v>29130.512827231709</v>
      </c>
      <c r="AI61" s="1132">
        <f>SUM($E60:AI60)</f>
        <v>29130.512827231709</v>
      </c>
      <c r="AJ61" s="1132">
        <f>SUM($E60:AJ60)</f>
        <v>29130.512827231709</v>
      </c>
      <c r="AK61" s="1132">
        <f>SUM($E60:AK60)</f>
        <v>29130.512827231709</v>
      </c>
      <c r="AL61" s="1132">
        <f>SUM($E60:AL60)</f>
        <v>29130.512827231709</v>
      </c>
      <c r="AM61" s="1132">
        <f>SUM($E60:AM60)</f>
        <v>29130.512827231709</v>
      </c>
      <c r="AN61" s="1132">
        <f>SUM($E60:AN60)</f>
        <v>29130.512827231709</v>
      </c>
      <c r="AO61" s="419"/>
      <c r="AP61" s="21">
        <f t="shared" si="4"/>
        <v>55</v>
      </c>
    </row>
    <row r="62" spans="1:43">
      <c r="A62" s="144"/>
      <c r="B62" s="8"/>
      <c r="C62" s="8"/>
      <c r="D62" s="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419"/>
      <c r="AP62" s="21">
        <f t="shared" si="4"/>
        <v>56</v>
      </c>
    </row>
    <row r="63" spans="1:43">
      <c r="A63" s="137" t="s">
        <v>198</v>
      </c>
      <c r="B63" s="8"/>
      <c r="C63" s="8"/>
      <c r="D63" s="8"/>
      <c r="E63" s="825">
        <v>0</v>
      </c>
      <c r="F63" s="53">
        <f ca="1">E67</f>
        <v>0</v>
      </c>
      <c r="G63" s="53">
        <f t="shared" ref="G63:AN63" ca="1" si="39">F67</f>
        <v>260.86956521739131</v>
      </c>
      <c r="H63" s="53">
        <f t="shared" ca="1" si="39"/>
        <v>629.92747360114231</v>
      </c>
      <c r="I63" s="53">
        <f t="shared" ca="1" si="39"/>
        <v>629.92747360114231</v>
      </c>
      <c r="J63" s="53">
        <f t="shared" ca="1" si="39"/>
        <v>629.92747360114231</v>
      </c>
      <c r="K63" s="53">
        <f t="shared" ca="1" si="39"/>
        <v>629.92747360114231</v>
      </c>
      <c r="L63" s="53">
        <f t="shared" ca="1" si="39"/>
        <v>629.92747360114231</v>
      </c>
      <c r="M63" s="53">
        <f t="shared" ca="1" si="39"/>
        <v>3306.3252506304452</v>
      </c>
      <c r="N63" s="53">
        <f t="shared" ca="1" si="39"/>
        <v>6637.9700856495137</v>
      </c>
      <c r="O63" s="53">
        <f t="shared" ca="1" si="39"/>
        <v>9081.6172937713418</v>
      </c>
      <c r="P63" s="53">
        <f t="shared" ca="1" si="39"/>
        <v>13393.984108959254</v>
      </c>
      <c r="Q63" s="53">
        <f t="shared" ca="1" si="39"/>
        <v>13393.984108959254</v>
      </c>
      <c r="R63" s="53">
        <f t="shared" ca="1" si="39"/>
        <v>17608.590043677355</v>
      </c>
      <c r="S63" s="53">
        <f t="shared" ca="1" si="39"/>
        <v>17608.590043677355</v>
      </c>
      <c r="T63" s="53">
        <f t="shared" ca="1" si="39"/>
        <v>25342.272606846032</v>
      </c>
      <c r="U63" s="53">
        <f t="shared" ca="1" si="39"/>
        <v>29130.512827231709</v>
      </c>
      <c r="V63" s="53">
        <f t="shared" ca="1" si="39"/>
        <v>29130.512827231709</v>
      </c>
      <c r="W63" s="53">
        <f t="shared" ca="1" si="39"/>
        <v>29130.512827231709</v>
      </c>
      <c r="X63" s="53">
        <f t="shared" ca="1" si="39"/>
        <v>29130.512827231709</v>
      </c>
      <c r="Y63" s="53">
        <f t="shared" ca="1" si="39"/>
        <v>29130.512827231709</v>
      </c>
      <c r="Z63" s="53">
        <f t="shared" ca="1" si="39"/>
        <v>29130.512827231709</v>
      </c>
      <c r="AA63" s="53">
        <f t="shared" ca="1" si="39"/>
        <v>29130.512827231709</v>
      </c>
      <c r="AB63" s="53">
        <f t="shared" ca="1" si="39"/>
        <v>29130.512827231709</v>
      </c>
      <c r="AC63" s="53">
        <f t="shared" ca="1" si="39"/>
        <v>29130.512827231709</v>
      </c>
      <c r="AD63" s="53">
        <f t="shared" ca="1" si="39"/>
        <v>29130.512827231709</v>
      </c>
      <c r="AE63" s="53">
        <f t="shared" ca="1" si="39"/>
        <v>29130.512827231709</v>
      </c>
      <c r="AF63" s="53">
        <f t="shared" ca="1" si="39"/>
        <v>29130.512827231709</v>
      </c>
      <c r="AG63" s="53">
        <f t="shared" ca="1" si="39"/>
        <v>29130.512827231709</v>
      </c>
      <c r="AH63" s="53">
        <f t="shared" ca="1" si="39"/>
        <v>29130.512827231709</v>
      </c>
      <c r="AI63" s="53">
        <f t="shared" ca="1" si="39"/>
        <v>29130.512827231709</v>
      </c>
      <c r="AJ63" s="53">
        <f t="shared" ca="1" si="39"/>
        <v>29130.512827231709</v>
      </c>
      <c r="AK63" s="53">
        <f t="shared" ca="1" si="39"/>
        <v>29130.512827231709</v>
      </c>
      <c r="AL63" s="53">
        <f t="shared" ca="1" si="39"/>
        <v>29130.512827231709</v>
      </c>
      <c r="AM63" s="53">
        <f t="shared" ca="1" si="39"/>
        <v>29130.512827231709</v>
      </c>
      <c r="AN63" s="53">
        <f t="shared" ca="1" si="39"/>
        <v>29130.512827231709</v>
      </c>
      <c r="AO63" s="423">
        <f>E63</f>
        <v>0</v>
      </c>
      <c r="AP63" s="21">
        <f t="shared" si="4"/>
        <v>57</v>
      </c>
    </row>
    <row r="64" spans="1:43">
      <c r="A64" s="137" t="s">
        <v>226</v>
      </c>
      <c r="B64" s="8"/>
      <c r="C64" s="8"/>
      <c r="D64" s="8"/>
      <c r="E64" s="53">
        <f t="shared" ref="E64:AN64" ca="1" si="40">IF(SUM(E63,E17)&gt;Est_Cost*Equity_Perc,Est_Cost*Equity_Perc-E63,E17)*0+E60</f>
        <v>0</v>
      </c>
      <c r="F64" s="53">
        <f t="shared" ca="1" si="40"/>
        <v>260.86956521739131</v>
      </c>
      <c r="G64" s="53">
        <f t="shared" ca="1" si="40"/>
        <v>369.05790838375106</v>
      </c>
      <c r="H64" s="53">
        <f t="shared" ca="1" si="40"/>
        <v>0</v>
      </c>
      <c r="I64" s="53">
        <f t="shared" ca="1" si="40"/>
        <v>0</v>
      </c>
      <c r="J64" s="53">
        <f t="shared" ca="1" si="40"/>
        <v>0</v>
      </c>
      <c r="K64" s="53">
        <f t="shared" ca="1" si="40"/>
        <v>0</v>
      </c>
      <c r="L64" s="53">
        <f t="shared" ca="1" si="40"/>
        <v>2676.3977770293027</v>
      </c>
      <c r="M64" s="53">
        <f t="shared" ca="1" si="40"/>
        <v>3331.6448350190685</v>
      </c>
      <c r="N64" s="53">
        <f t="shared" ca="1" si="40"/>
        <v>2443.6472081218271</v>
      </c>
      <c r="O64" s="53">
        <f t="shared" ca="1" si="40"/>
        <v>4312.3668151879119</v>
      </c>
      <c r="P64" s="53">
        <f t="shared" ca="1" si="40"/>
        <v>0</v>
      </c>
      <c r="Q64" s="53">
        <f t="shared" ca="1" si="40"/>
        <v>4214.6059347181008</v>
      </c>
      <c r="R64" s="53">
        <f t="shared" ca="1" si="40"/>
        <v>0</v>
      </c>
      <c r="S64" s="53">
        <f t="shared" ca="1" si="40"/>
        <v>7733.682563168677</v>
      </c>
      <c r="T64" s="53">
        <f t="shared" ca="1" si="40"/>
        <v>3788.240220385675</v>
      </c>
      <c r="U64" s="53">
        <f t="shared" ca="1" si="40"/>
        <v>0</v>
      </c>
      <c r="V64" s="53">
        <f t="shared" ca="1" si="40"/>
        <v>0</v>
      </c>
      <c r="W64" s="53">
        <f t="shared" ca="1" si="40"/>
        <v>0</v>
      </c>
      <c r="X64" s="53">
        <f t="shared" ca="1" si="40"/>
        <v>0</v>
      </c>
      <c r="Y64" s="53">
        <f t="shared" ca="1" si="40"/>
        <v>0</v>
      </c>
      <c r="Z64" s="53">
        <f t="shared" ca="1" si="40"/>
        <v>0</v>
      </c>
      <c r="AA64" s="53">
        <f t="shared" ca="1" si="40"/>
        <v>0</v>
      </c>
      <c r="AB64" s="53">
        <f t="shared" ca="1" si="40"/>
        <v>0</v>
      </c>
      <c r="AC64" s="53">
        <f t="shared" ca="1" si="40"/>
        <v>0</v>
      </c>
      <c r="AD64" s="53">
        <f t="shared" ca="1" si="40"/>
        <v>0</v>
      </c>
      <c r="AE64" s="53">
        <f t="shared" ca="1" si="40"/>
        <v>0</v>
      </c>
      <c r="AF64" s="53">
        <f t="shared" ca="1" si="40"/>
        <v>0</v>
      </c>
      <c r="AG64" s="53">
        <f t="shared" ca="1" si="40"/>
        <v>0</v>
      </c>
      <c r="AH64" s="53">
        <f t="shared" ca="1" si="40"/>
        <v>0</v>
      </c>
      <c r="AI64" s="53">
        <f t="shared" ca="1" si="40"/>
        <v>0</v>
      </c>
      <c r="AJ64" s="53">
        <f t="shared" ca="1" si="40"/>
        <v>0</v>
      </c>
      <c r="AK64" s="53">
        <f t="shared" ca="1" si="40"/>
        <v>0</v>
      </c>
      <c r="AL64" s="53">
        <f t="shared" ca="1" si="40"/>
        <v>0</v>
      </c>
      <c r="AM64" s="53">
        <f t="shared" ca="1" si="40"/>
        <v>0</v>
      </c>
      <c r="AN64" s="53">
        <f t="shared" ca="1" si="40"/>
        <v>0</v>
      </c>
      <c r="AO64" s="423">
        <f ca="1">SUM(E64:AN64)</f>
        <v>29130.512827231709</v>
      </c>
      <c r="AP64" s="21">
        <f t="shared" si="4"/>
        <v>58</v>
      </c>
    </row>
    <row r="65" spans="1:42">
      <c r="A65" s="137" t="s">
        <v>972</v>
      </c>
      <c r="B65" s="8"/>
      <c r="C65" s="8"/>
      <c r="D65" s="8"/>
      <c r="E65" s="825">
        <v>0</v>
      </c>
      <c r="F65" s="825">
        <v>0</v>
      </c>
      <c r="G65" s="825">
        <v>0</v>
      </c>
      <c r="H65" s="825">
        <v>0</v>
      </c>
      <c r="I65" s="825">
        <v>0</v>
      </c>
      <c r="J65" s="825">
        <v>0</v>
      </c>
      <c r="K65" s="825">
        <v>0</v>
      </c>
      <c r="L65" s="825">
        <v>0</v>
      </c>
      <c r="M65" s="825">
        <v>0</v>
      </c>
      <c r="N65" s="825">
        <v>0</v>
      </c>
      <c r="O65" s="825">
        <v>0</v>
      </c>
      <c r="P65" s="825">
        <v>0</v>
      </c>
      <c r="Q65" s="825">
        <v>0</v>
      </c>
      <c r="R65" s="825">
        <v>0</v>
      </c>
      <c r="S65" s="825">
        <v>0</v>
      </c>
      <c r="T65" s="825">
        <v>0</v>
      </c>
      <c r="U65" s="825">
        <v>0</v>
      </c>
      <c r="V65" s="825">
        <v>0</v>
      </c>
      <c r="W65" s="825">
        <v>0</v>
      </c>
      <c r="X65" s="825">
        <v>0</v>
      </c>
      <c r="Y65" s="825">
        <v>0</v>
      </c>
      <c r="Z65" s="825">
        <v>0</v>
      </c>
      <c r="AA65" s="825">
        <v>0</v>
      </c>
      <c r="AB65" s="825">
        <v>0</v>
      </c>
      <c r="AC65" s="825">
        <v>0</v>
      </c>
      <c r="AD65" s="825">
        <v>0</v>
      </c>
      <c r="AE65" s="825">
        <v>0</v>
      </c>
      <c r="AF65" s="825">
        <v>0</v>
      </c>
      <c r="AG65" s="825">
        <v>0</v>
      </c>
      <c r="AH65" s="825">
        <v>0</v>
      </c>
      <c r="AI65" s="825">
        <v>0</v>
      </c>
      <c r="AJ65" s="825">
        <v>0</v>
      </c>
      <c r="AK65" s="825">
        <v>0</v>
      </c>
      <c r="AL65" s="825">
        <v>0</v>
      </c>
      <c r="AM65" s="825">
        <v>0</v>
      </c>
      <c r="AN65" s="825">
        <v>0</v>
      </c>
      <c r="AO65" s="423">
        <f>SUM(E65:AN65)</f>
        <v>0</v>
      </c>
      <c r="AP65" s="21">
        <f t="shared" si="4"/>
        <v>59</v>
      </c>
    </row>
    <row r="66" spans="1:42">
      <c r="A66" s="137" t="s">
        <v>973</v>
      </c>
      <c r="B66" s="8"/>
      <c r="C66" s="8"/>
      <c r="D66" s="8"/>
      <c r="E66" s="870">
        <v>0</v>
      </c>
      <c r="F66" s="870">
        <v>0</v>
      </c>
      <c r="G66" s="870">
        <v>0</v>
      </c>
      <c r="H66" s="870">
        <v>0</v>
      </c>
      <c r="I66" s="870">
        <v>0</v>
      </c>
      <c r="J66" s="870">
        <v>0</v>
      </c>
      <c r="K66" s="870">
        <v>0</v>
      </c>
      <c r="L66" s="870">
        <v>0</v>
      </c>
      <c r="M66" s="870">
        <v>0</v>
      </c>
      <c r="N66" s="870">
        <v>0</v>
      </c>
      <c r="O66" s="870">
        <v>0</v>
      </c>
      <c r="P66" s="870">
        <v>0</v>
      </c>
      <c r="Q66" s="870">
        <v>0</v>
      </c>
      <c r="R66" s="870">
        <v>0</v>
      </c>
      <c r="S66" s="870">
        <v>0</v>
      </c>
      <c r="T66" s="870">
        <v>0</v>
      </c>
      <c r="U66" s="870">
        <v>0</v>
      </c>
      <c r="V66" s="870">
        <v>0</v>
      </c>
      <c r="W66" s="870">
        <v>0</v>
      </c>
      <c r="X66" s="870">
        <v>0</v>
      </c>
      <c r="Y66" s="870">
        <v>0</v>
      </c>
      <c r="Z66" s="870">
        <v>0</v>
      </c>
      <c r="AA66" s="870">
        <v>0</v>
      </c>
      <c r="AB66" s="870">
        <v>0</v>
      </c>
      <c r="AC66" s="870">
        <v>0</v>
      </c>
      <c r="AD66" s="870">
        <v>0</v>
      </c>
      <c r="AE66" s="870">
        <v>0</v>
      </c>
      <c r="AF66" s="870">
        <v>0</v>
      </c>
      <c r="AG66" s="870">
        <v>0</v>
      </c>
      <c r="AH66" s="870">
        <v>0</v>
      </c>
      <c r="AI66" s="870">
        <v>0</v>
      </c>
      <c r="AJ66" s="870">
        <v>0</v>
      </c>
      <c r="AK66" s="870">
        <v>0</v>
      </c>
      <c r="AL66" s="870">
        <v>0</v>
      </c>
      <c r="AM66" s="870">
        <v>0</v>
      </c>
      <c r="AN66" s="870">
        <v>0</v>
      </c>
      <c r="AO66" s="424">
        <f>SUM(E66:AN66)</f>
        <v>0</v>
      </c>
      <c r="AP66" s="21">
        <f t="shared" si="4"/>
        <v>60</v>
      </c>
    </row>
    <row r="67" spans="1:42" s="8" customFormat="1">
      <c r="A67" s="137" t="s">
        <v>204</v>
      </c>
      <c r="E67" s="53">
        <f ca="1">SUM(E63:E66)</f>
        <v>0</v>
      </c>
      <c r="F67" s="53">
        <f t="shared" ref="F67:AN67" ca="1" si="41">SUM(F63:F66)</f>
        <v>260.86956521739131</v>
      </c>
      <c r="G67" s="53">
        <f t="shared" ca="1" si="41"/>
        <v>629.92747360114231</v>
      </c>
      <c r="H67" s="53">
        <f t="shared" ca="1" si="41"/>
        <v>629.92747360114231</v>
      </c>
      <c r="I67" s="53">
        <f t="shared" ca="1" si="41"/>
        <v>629.92747360114231</v>
      </c>
      <c r="J67" s="53">
        <f t="shared" ca="1" si="41"/>
        <v>629.92747360114231</v>
      </c>
      <c r="K67" s="53">
        <f t="shared" ca="1" si="41"/>
        <v>629.92747360114231</v>
      </c>
      <c r="L67" s="53">
        <f t="shared" ca="1" si="41"/>
        <v>3306.3252506304452</v>
      </c>
      <c r="M67" s="53">
        <f t="shared" ca="1" si="41"/>
        <v>6637.9700856495137</v>
      </c>
      <c r="N67" s="53">
        <f t="shared" ca="1" si="41"/>
        <v>9081.6172937713418</v>
      </c>
      <c r="O67" s="53">
        <f t="shared" ca="1" si="41"/>
        <v>13393.984108959254</v>
      </c>
      <c r="P67" s="53">
        <f t="shared" ca="1" si="41"/>
        <v>13393.984108959254</v>
      </c>
      <c r="Q67" s="53">
        <f t="shared" ca="1" si="41"/>
        <v>17608.590043677355</v>
      </c>
      <c r="R67" s="53">
        <f t="shared" ca="1" si="41"/>
        <v>17608.590043677355</v>
      </c>
      <c r="S67" s="53">
        <f t="shared" ca="1" si="41"/>
        <v>25342.272606846032</v>
      </c>
      <c r="T67" s="53">
        <f t="shared" ca="1" si="41"/>
        <v>29130.512827231709</v>
      </c>
      <c r="U67" s="53">
        <f t="shared" ca="1" si="41"/>
        <v>29130.512827231709</v>
      </c>
      <c r="V67" s="53">
        <f t="shared" ca="1" si="41"/>
        <v>29130.512827231709</v>
      </c>
      <c r="W67" s="53">
        <f t="shared" ca="1" si="41"/>
        <v>29130.512827231709</v>
      </c>
      <c r="X67" s="53">
        <f t="shared" ca="1" si="41"/>
        <v>29130.512827231709</v>
      </c>
      <c r="Y67" s="53">
        <f t="shared" ca="1" si="41"/>
        <v>29130.512827231709</v>
      </c>
      <c r="Z67" s="53">
        <f t="shared" ca="1" si="41"/>
        <v>29130.512827231709</v>
      </c>
      <c r="AA67" s="53">
        <f t="shared" ca="1" si="41"/>
        <v>29130.512827231709</v>
      </c>
      <c r="AB67" s="53">
        <f t="shared" ca="1" si="41"/>
        <v>29130.512827231709</v>
      </c>
      <c r="AC67" s="53">
        <f t="shared" ca="1" si="41"/>
        <v>29130.512827231709</v>
      </c>
      <c r="AD67" s="53">
        <f t="shared" ca="1" si="41"/>
        <v>29130.512827231709</v>
      </c>
      <c r="AE67" s="53">
        <f t="shared" ca="1" si="41"/>
        <v>29130.512827231709</v>
      </c>
      <c r="AF67" s="53">
        <f t="shared" ca="1" si="41"/>
        <v>29130.512827231709</v>
      </c>
      <c r="AG67" s="53">
        <f t="shared" ca="1" si="41"/>
        <v>29130.512827231709</v>
      </c>
      <c r="AH67" s="53">
        <f t="shared" ca="1" si="41"/>
        <v>29130.512827231709</v>
      </c>
      <c r="AI67" s="53">
        <f t="shared" ca="1" si="41"/>
        <v>29130.512827231709</v>
      </c>
      <c r="AJ67" s="53">
        <f t="shared" ca="1" si="41"/>
        <v>29130.512827231709</v>
      </c>
      <c r="AK67" s="53">
        <f t="shared" ca="1" si="41"/>
        <v>29130.512827231709</v>
      </c>
      <c r="AL67" s="53">
        <f t="shared" ca="1" si="41"/>
        <v>29130.512827231709</v>
      </c>
      <c r="AM67" s="53">
        <f t="shared" ca="1" si="41"/>
        <v>29130.512827231709</v>
      </c>
      <c r="AN67" s="53">
        <f t="shared" ca="1" si="41"/>
        <v>29130.512827231709</v>
      </c>
      <c r="AO67" s="423">
        <f ca="1">SUM(AO63:AO66)</f>
        <v>29130.512827231709</v>
      </c>
      <c r="AP67" s="21">
        <f t="shared" si="4"/>
        <v>61</v>
      </c>
    </row>
    <row r="68" spans="1:42" s="8" customFormat="1">
      <c r="A68" s="137"/>
      <c r="AO68" s="419"/>
      <c r="AP68" s="21">
        <f t="shared" si="4"/>
        <v>62</v>
      </c>
    </row>
    <row r="69" spans="1:42">
      <c r="A69" s="537" t="s">
        <v>228</v>
      </c>
      <c r="B69" s="269"/>
      <c r="C69" s="269"/>
      <c r="D69" s="434">
        <f ca="1">AO51</f>
        <v>7359.6573792726895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419"/>
      <c r="AP69" s="21">
        <f t="shared" si="4"/>
        <v>63</v>
      </c>
    </row>
    <row r="70" spans="1:42">
      <c r="A70" s="538" t="s">
        <v>974</v>
      </c>
      <c r="B70" s="483"/>
      <c r="C70" s="483"/>
      <c r="D70" s="535">
        <f ca="1">AO53</f>
        <v>628.25553831318177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419"/>
      <c r="AP70" s="21">
        <f t="shared" si="4"/>
        <v>64</v>
      </c>
    </row>
    <row r="71" spans="1:42">
      <c r="A71" s="13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419"/>
      <c r="AP71" s="21">
        <f t="shared" si="4"/>
        <v>65</v>
      </c>
    </row>
    <row r="72" spans="1:42" s="8" customFormat="1">
      <c r="A72" s="407" t="s">
        <v>812</v>
      </c>
      <c r="B72" s="20"/>
      <c r="C72" s="20"/>
      <c r="D72" s="20"/>
      <c r="E72" s="276">
        <f ca="1">IF(E$7&lt;Fin_Close,SUM($E27:E27),D72)</f>
        <v>0</v>
      </c>
      <c r="F72" s="276">
        <f ca="1">IF(F$7&lt;Fin_Close,SUM($E27:F27),E72)</f>
        <v>0</v>
      </c>
      <c r="G72" s="276">
        <f ca="1">IF(G$7&lt;Fin_Close,SUM($E27:G27),F72)</f>
        <v>0</v>
      </c>
      <c r="H72" s="276">
        <f ca="1">IF(H$7&lt;Fin_Close,SUM($E27:H27),G72)</f>
        <v>0</v>
      </c>
      <c r="I72" s="276">
        <f ca="1">IF(I$7&lt;Fin_Close,SUM($E27:I27),H72)</f>
        <v>0</v>
      </c>
      <c r="J72" s="276">
        <f ca="1">IF(J$7&lt;Fin_Close,SUM($E27:J27),I72)</f>
        <v>0</v>
      </c>
      <c r="K72" s="276">
        <f ca="1">IF(K$7&lt;Fin_Close,SUM($E27:K27),J72)</f>
        <v>0</v>
      </c>
      <c r="L72" s="276">
        <f ca="1">IF(L$7&lt;Fin_Close,SUM($E27:L27),K72)</f>
        <v>0</v>
      </c>
      <c r="M72" s="276">
        <f ca="1">IF(M$7&lt;Fin_Close,SUM($E27:M27),L72)</f>
        <v>0</v>
      </c>
      <c r="N72" s="276">
        <f ca="1">IF(N$7&lt;Fin_Close,SUM($E27:N27),M72)</f>
        <v>0</v>
      </c>
      <c r="O72" s="276">
        <f ca="1">IF(O$7&lt;Fin_Close,SUM($E27:O27),N72)</f>
        <v>0</v>
      </c>
      <c r="P72" s="276">
        <f ca="1">IF(P$7&lt;Fin_Close,SUM($E27:P27),O72)</f>
        <v>0</v>
      </c>
      <c r="Q72" s="276">
        <f ca="1">IF(Q$7&lt;Fin_Close,SUM($E27:Q27),P72)</f>
        <v>0</v>
      </c>
      <c r="R72" s="276">
        <f ca="1">IF(R$7&lt;Fin_Close,SUM($E27:R27),Q72)</f>
        <v>0</v>
      </c>
      <c r="S72" s="276">
        <f ca="1">IF(S$7&lt;Fin_Close,SUM($E27:S27),R72)</f>
        <v>0</v>
      </c>
      <c r="T72" s="276">
        <f ca="1">IF(T$7&lt;Fin_Close,SUM($E27:T27),S72)</f>
        <v>8562.5445619834718</v>
      </c>
      <c r="U72" s="276">
        <f ca="1">IF(U$7&lt;Fin_Close,SUM($E27:U27),T72)</f>
        <v>9688.195243125494</v>
      </c>
      <c r="V72" s="276">
        <f ca="1">IF(V$7&lt;Fin_Close,SUM($E27:V27),U72)</f>
        <v>11665.231917942121</v>
      </c>
      <c r="W72" s="276">
        <f ca="1">IF(W$7&lt;Fin_Close,SUM($E27:W27),V72)</f>
        <v>17283.4395113881</v>
      </c>
      <c r="X72" s="276">
        <f ca="1">IF(X$7&lt;Fin_Close,SUM($E27:X27),W72)</f>
        <v>23410.113048601394</v>
      </c>
      <c r="Y72" s="276">
        <f ca="1">IF(Y$7&lt;Fin_Close,SUM($E27:Y27),X72)</f>
        <v>26719.43419292452</v>
      </c>
      <c r="Z72" s="276">
        <f ca="1">IF(Z$7&lt;Fin_Close,SUM($E27:Z27),Y72)</f>
        <v>32441.778876930905</v>
      </c>
      <c r="AA72" s="276">
        <f ca="1">IF(AA$7&lt;Fin_Close,SUM($E27:AA27),Z72)</f>
        <v>36952.225682405944</v>
      </c>
      <c r="AB72" s="276">
        <f ca="1">IF(AB$7&lt;Fin_Close,SUM($E27:AB27),AA72)</f>
        <v>37222.062920836033</v>
      </c>
      <c r="AC72" s="276">
        <f ca="1">IF(AC$7&lt;Fin_Close,SUM($E27:AC27),AB72)</f>
        <v>42170.808130211364</v>
      </c>
      <c r="AD72" s="276">
        <f ca="1">IF(AD$7&lt;Fin_Close,SUM($E27:AD27),AC72)</f>
        <v>47405.384152086699</v>
      </c>
      <c r="AE72" s="276">
        <f ca="1">IF(AE$7&lt;Fin_Close,SUM($E27:AE27),AD72)</f>
        <v>52639.960173962034</v>
      </c>
      <c r="AF72" s="276">
        <f ca="1">IF(AF$7&lt;Fin_Close,SUM($E27:AF27),AE72)</f>
        <v>65454.987061021922</v>
      </c>
      <c r="AG72" s="276">
        <f ca="1">IF(AG$7&lt;Fin_Close,SUM($E27:AG27),AF72)</f>
        <v>70689.56308289725</v>
      </c>
      <c r="AH72" s="276">
        <f ca="1">IF(AH$7&lt;Fin_Close,SUM($E27:AH27),AG72)</f>
        <v>70689.56308289725</v>
      </c>
      <c r="AI72" s="276">
        <f ca="1">IF(AI$7&lt;Fin_Close,SUM($E27:AI27),AH72)</f>
        <v>70689.56308289725</v>
      </c>
      <c r="AJ72" s="276">
        <f ca="1">IF(AJ$7&lt;Fin_Close,SUM($E27:AJ27),AI72)</f>
        <v>70689.56308289725</v>
      </c>
      <c r="AK72" s="276">
        <f ca="1">IF(AK$7&lt;Fin_Close,SUM($E27:AK27),AJ72)</f>
        <v>70689.56308289725</v>
      </c>
      <c r="AL72" s="276">
        <f ca="1">IF(AL$7&lt;Fin_Close,SUM($E27:AL27),AK72)</f>
        <v>70689.56308289725</v>
      </c>
      <c r="AM72" s="276">
        <f ca="1">IF(AM$7&lt;Fin_Close,SUM($E27:AM27),AL72)</f>
        <v>70689.56308289725</v>
      </c>
      <c r="AN72" s="276">
        <f ca="1">IF(AN$7&lt;Fin_Close,SUM($E27:AN27),AM72)</f>
        <v>70689.56308289725</v>
      </c>
      <c r="AO72" s="419"/>
      <c r="AP72" s="21">
        <f t="shared" si="4"/>
        <v>66</v>
      </c>
    </row>
    <row r="73" spans="1:42">
      <c r="A73" s="407" t="s">
        <v>813</v>
      </c>
      <c r="B73" s="20"/>
      <c r="C73" s="20"/>
      <c r="D73" s="20"/>
      <c r="E73" s="276">
        <f ca="1">IF(E$7&lt;Fin_Close,SUM($E28:E28),D73)</f>
        <v>0</v>
      </c>
      <c r="F73" s="276">
        <f ca="1">IF(F$7&lt;Fin_Close,SUM($E28:F28),E73)</f>
        <v>0</v>
      </c>
      <c r="G73" s="276">
        <f ca="1">IF(G$7&lt;Fin_Close,SUM($E28:G28),F73)</f>
        <v>0</v>
      </c>
      <c r="H73" s="276">
        <f ca="1">IF(H$7&lt;Fin_Close,SUM($E28:H28),G73)</f>
        <v>0</v>
      </c>
      <c r="I73" s="276">
        <f ca="1">IF(I$7&lt;Fin_Close,SUM($E28:I28),H73)</f>
        <v>0</v>
      </c>
      <c r="J73" s="276">
        <f ca="1">IF(J$7&lt;Fin_Close,SUM($E28:J28),I73)</f>
        <v>0</v>
      </c>
      <c r="K73" s="276">
        <f ca="1">IF(K$7&lt;Fin_Close,SUM($E28:K28),J73)</f>
        <v>0</v>
      </c>
      <c r="L73" s="276">
        <f ca="1">IF(L$7&lt;Fin_Close,SUM($E28:L28),K73)</f>
        <v>0</v>
      </c>
      <c r="M73" s="276">
        <f ca="1">IF(M$7&lt;Fin_Close,SUM($E28:M28),L73)</f>
        <v>0</v>
      </c>
      <c r="N73" s="276">
        <f ca="1">IF(N$7&lt;Fin_Close,SUM($E28:N28),M73)</f>
        <v>0</v>
      </c>
      <c r="O73" s="276">
        <f ca="1">IF(O$7&lt;Fin_Close,SUM($E28:O28),N73)</f>
        <v>0</v>
      </c>
      <c r="P73" s="276">
        <f ca="1">IF(P$7&lt;Fin_Close,SUM($E28:P28),O73)</f>
        <v>0</v>
      </c>
      <c r="Q73" s="276">
        <f ca="1">IF(Q$7&lt;Fin_Close,SUM($E28:Q28),P73)</f>
        <v>0</v>
      </c>
      <c r="R73" s="276">
        <f ca="1">IF(R$7&lt;Fin_Close,SUM($E28:R28),Q73)</f>
        <v>0</v>
      </c>
      <c r="S73" s="276">
        <f ca="1">IF(S$7&lt;Fin_Close,SUM($E28:S28),R73)</f>
        <v>0</v>
      </c>
      <c r="T73" s="276">
        <f ca="1">IF(T$7&lt;Fin_Close,SUM($E28:T28),S73)</f>
        <v>21.406361404958677</v>
      </c>
      <c r="U73" s="276">
        <f ca="1">IF(U$7&lt;Fin_Close,SUM($E28:U28),T73)</f>
        <v>67.159130690701446</v>
      </c>
      <c r="V73" s="276">
        <f ca="1">IF(V$7&lt;Fin_Close,SUM($E28:V28),U73)</f>
        <v>120.93775230331578</v>
      </c>
      <c r="W73" s="276">
        <f ca="1">IF(W$7&lt;Fin_Close,SUM($E28:W28),V73)</f>
        <v>194.02082941960199</v>
      </c>
      <c r="X73" s="276">
        <f ca="1">IF(X$7&lt;Fin_Close,SUM($E28:X28),W73)</f>
        <v>296.89600981616161</v>
      </c>
      <c r="Y73" s="276">
        <f ca="1">IF(Y$7&lt;Fin_Close,SUM($E28:Y28),X73)</f>
        <v>423.96632503654206</v>
      </c>
      <c r="Z73" s="276">
        <f ca="1">IF(Z$7&lt;Fin_Close,SUM($E28:Z28),Y73)</f>
        <v>574.3632772702191</v>
      </c>
      <c r="AA73" s="276">
        <f ca="1">IF(AA$7&lt;Fin_Close,SUM($E28:AA28),Z73)</f>
        <v>751.22689618191544</v>
      </c>
      <c r="AB73" s="276">
        <f ca="1">IF(AB$7&lt;Fin_Close,SUM($E28:AB28),AA73)</f>
        <v>941.0815994322669</v>
      </c>
      <c r="AC73" s="276">
        <f ca="1">IF(AC$7&lt;Fin_Close,SUM($E28:AC28),AB73)</f>
        <v>1145.0995511741928</v>
      </c>
      <c r="AD73" s="276">
        <f ca="1">IF(AD$7&lt;Fin_Close,SUM($E28:AD28),AC73)</f>
        <v>1375.7759115927272</v>
      </c>
      <c r="AE73" s="276">
        <f ca="1">IF(AE$7&lt;Fin_Close,SUM($E28:AE28),AD73)</f>
        <v>1633.9820718878061</v>
      </c>
      <c r="AF73" s="276">
        <f ca="1">IF(AF$7&lt;Fin_Close,SUM($E28:AF28),AE73)</f>
        <v>1938.8310992216648</v>
      </c>
      <c r="AG73" s="276">
        <f ca="1">IF(AG$7&lt;Fin_Close,SUM($E28:AG28),AF73)</f>
        <v>2290.5973634004135</v>
      </c>
      <c r="AH73" s="276">
        <f ca="1">IF(AH$7&lt;Fin_Close,SUM($E28:AH28),AG73)</f>
        <v>2290.5973634004135</v>
      </c>
      <c r="AI73" s="276">
        <f ca="1">IF(AI$7&lt;Fin_Close,SUM($E28:AI28),AH73)</f>
        <v>2290.5973634004135</v>
      </c>
      <c r="AJ73" s="276">
        <f ca="1">IF(AJ$7&lt;Fin_Close,SUM($E28:AJ28),AI73)</f>
        <v>2290.5973634004135</v>
      </c>
      <c r="AK73" s="276">
        <f ca="1">IF(AK$7&lt;Fin_Close,SUM($E28:AK28),AJ73)</f>
        <v>2290.5973634004135</v>
      </c>
      <c r="AL73" s="276">
        <f ca="1">IF(AL$7&lt;Fin_Close,SUM($E28:AL28),AK73)</f>
        <v>2290.5973634004135</v>
      </c>
      <c r="AM73" s="276">
        <f ca="1">IF(AM$7&lt;Fin_Close,SUM($E28:AM28),AL73)</f>
        <v>2290.5973634004135</v>
      </c>
      <c r="AN73" s="276">
        <f ca="1">IF(AN$7&lt;Fin_Close,SUM($E28:AN28),AM73)</f>
        <v>2290.5973634004135</v>
      </c>
      <c r="AO73" s="419"/>
      <c r="AP73" s="21">
        <f t="shared" si="4"/>
        <v>67</v>
      </c>
    </row>
    <row r="74" spans="1:42">
      <c r="A74" s="407" t="s">
        <v>814</v>
      </c>
      <c r="B74" s="20"/>
      <c r="C74" s="20"/>
      <c r="D74" s="20"/>
      <c r="E74" s="753">
        <f ca="1">IF(E$7&lt;Fin_Close,SUM($E29:E29),D74)</f>
        <v>0</v>
      </c>
      <c r="F74" s="753">
        <f ca="1">IF(F$7&lt;Fin_Close,SUM($E29:F29),E74)</f>
        <v>0</v>
      </c>
      <c r="G74" s="753">
        <f ca="1">IF(G$7&lt;Fin_Close,SUM($E29:G29),F74)</f>
        <v>0</v>
      </c>
      <c r="H74" s="753">
        <f ca="1">IF(H$7&lt;Fin_Close,SUM($E29:H29),G74)</f>
        <v>0</v>
      </c>
      <c r="I74" s="753">
        <f ca="1">IF(I$7&lt;Fin_Close,SUM($E29:I29),H74)</f>
        <v>0</v>
      </c>
      <c r="J74" s="753">
        <f ca="1">IF(J$7&lt;Fin_Close,SUM($E29:J29),I74)</f>
        <v>0</v>
      </c>
      <c r="K74" s="753">
        <f ca="1">IF(K$7&lt;Fin_Close,SUM($E29:K29),J74)</f>
        <v>0</v>
      </c>
      <c r="L74" s="753">
        <f ca="1">IF(L$7&lt;Fin_Close,SUM($E29:L29),K74)</f>
        <v>0</v>
      </c>
      <c r="M74" s="753">
        <f ca="1">IF(M$7&lt;Fin_Close,SUM($E29:M29),L74)</f>
        <v>0</v>
      </c>
      <c r="N74" s="753">
        <f ca="1">IF(N$7&lt;Fin_Close,SUM($E29:N29),M74)</f>
        <v>0</v>
      </c>
      <c r="O74" s="753">
        <f ca="1">IF(O$7&lt;Fin_Close,SUM($E29:O29),N74)</f>
        <v>0</v>
      </c>
      <c r="P74" s="753">
        <f ca="1">IF(P$7&lt;Fin_Close,SUM($E29:P29),O74)</f>
        <v>0</v>
      </c>
      <c r="Q74" s="753">
        <f ca="1">IF(Q$7&lt;Fin_Close,SUM($E29:Q29),P74)</f>
        <v>0</v>
      </c>
      <c r="R74" s="753">
        <f ca="1">IF(R$7&lt;Fin_Close,SUM($E29:R29),Q74)</f>
        <v>0</v>
      </c>
      <c r="S74" s="753">
        <f ca="1">IF(S$7&lt;Fin_Close,SUM($E29:S29),R74)</f>
        <v>0</v>
      </c>
      <c r="T74" s="753">
        <f ca="1">IF(T$7&lt;Fin_Close,SUM($E29:T29),S74)</f>
        <v>3.7775931891103549</v>
      </c>
      <c r="U74" s="753">
        <f ca="1">IF(U$7&lt;Fin_Close,SUM($E29:U29),T74)</f>
        <v>11.85161129835908</v>
      </c>
      <c r="V74" s="753">
        <f ca="1">IF(V$7&lt;Fin_Close,SUM($E29:V29),U74)</f>
        <v>21.341956288820434</v>
      </c>
      <c r="W74" s="753">
        <f ca="1">IF(W$7&lt;Fin_Close,SUM($E29:W29),V74)</f>
        <v>34.238969897576823</v>
      </c>
      <c r="X74" s="753">
        <f ca="1">IF(X$7&lt;Fin_Close,SUM($E29:X29),W74)</f>
        <v>52.3934134969697</v>
      </c>
      <c r="Y74" s="753">
        <f ca="1">IF(Y$7&lt;Fin_Close,SUM($E29:Y29),X74)</f>
        <v>74.817586771154481</v>
      </c>
      <c r="Z74" s="753">
        <f ca="1">IF(Z$7&lt;Fin_Close,SUM($E29:Z29),Y74)</f>
        <v>101.35822540062691</v>
      </c>
      <c r="AA74" s="753">
        <f ca="1">IF(AA$7&lt;Fin_Close,SUM($E29:AA29),Z74)</f>
        <v>132.56945226739685</v>
      </c>
      <c r="AB74" s="753">
        <f ca="1">IF(AB$7&lt;Fin_Close,SUM($E29:AB29),AA74)</f>
        <v>166.07322342922359</v>
      </c>
      <c r="AC74" s="753">
        <f ca="1">IF(AC$7&lt;Fin_Close,SUM($E29:AC29),AB74)</f>
        <v>202.07639138368111</v>
      </c>
      <c r="AD74" s="753">
        <f ca="1">IF(AD$7&lt;Fin_Close,SUM($E29:AD29),AC74)</f>
        <v>242.7839843987166</v>
      </c>
      <c r="AE74" s="753">
        <f ca="1">IF(AE$7&lt;Fin_Close,SUM($E29:AE29),AD74)</f>
        <v>288.34977739196586</v>
      </c>
      <c r="AF74" s="753">
        <f ca="1">IF(AF$7&lt;Fin_Close,SUM($E29:AF29),AE74)</f>
        <v>342.14666456852916</v>
      </c>
      <c r="AG74" s="753">
        <f ca="1">IF(AG$7&lt;Fin_Close,SUM($E29:AG29),AF74)</f>
        <v>404.22306412948484</v>
      </c>
      <c r="AH74" s="753">
        <f ca="1">IF(AH$7&lt;Fin_Close,SUM($E29:AH29),AG74)</f>
        <v>404.22306412948484</v>
      </c>
      <c r="AI74" s="753">
        <f ca="1">IF(AI$7&lt;Fin_Close,SUM($E29:AI29),AH74)</f>
        <v>404.22306412948484</v>
      </c>
      <c r="AJ74" s="753">
        <f ca="1">IF(AJ$7&lt;Fin_Close,SUM($E29:AJ29),AI74)</f>
        <v>404.22306412948484</v>
      </c>
      <c r="AK74" s="753">
        <f ca="1">IF(AK$7&lt;Fin_Close,SUM($E29:AK29),AJ74)</f>
        <v>404.22306412948484</v>
      </c>
      <c r="AL74" s="753">
        <f ca="1">IF(AL$7&lt;Fin_Close,SUM($E29:AL29),AK74)</f>
        <v>404.22306412948484</v>
      </c>
      <c r="AM74" s="753">
        <f ca="1">IF(AM$7&lt;Fin_Close,SUM($E29:AM29),AL74)</f>
        <v>404.22306412948484</v>
      </c>
      <c r="AN74" s="753">
        <f ca="1">IF(AN$7&lt;Fin_Close,SUM($E29:AN29),AM74)</f>
        <v>404.22306412948484</v>
      </c>
      <c r="AO74" s="419"/>
      <c r="AP74" s="21">
        <f t="shared" si="4"/>
        <v>68</v>
      </c>
    </row>
    <row r="75" spans="1:42">
      <c r="A75" s="407" t="s">
        <v>815</v>
      </c>
      <c r="B75" s="20"/>
      <c r="C75" s="20"/>
      <c r="D75" s="20"/>
      <c r="E75" s="276">
        <f ca="1">SUM(E72:E74)</f>
        <v>0</v>
      </c>
      <c r="F75" s="276">
        <f t="shared" ref="F75:AN75" ca="1" si="42">SUM(F72:F74)</f>
        <v>0</v>
      </c>
      <c r="G75" s="276">
        <f t="shared" ca="1" si="42"/>
        <v>0</v>
      </c>
      <c r="H75" s="276">
        <f t="shared" ca="1" si="42"/>
        <v>0</v>
      </c>
      <c r="I75" s="276">
        <f t="shared" ca="1" si="42"/>
        <v>0</v>
      </c>
      <c r="J75" s="276">
        <f t="shared" ca="1" si="42"/>
        <v>0</v>
      </c>
      <c r="K75" s="276">
        <f t="shared" ca="1" si="42"/>
        <v>0</v>
      </c>
      <c r="L75" s="276">
        <f t="shared" ca="1" si="42"/>
        <v>0</v>
      </c>
      <c r="M75" s="276">
        <f t="shared" ca="1" si="42"/>
        <v>0</v>
      </c>
      <c r="N75" s="276">
        <f t="shared" ca="1" si="42"/>
        <v>0</v>
      </c>
      <c r="O75" s="276">
        <f t="shared" ca="1" si="42"/>
        <v>0</v>
      </c>
      <c r="P75" s="276">
        <f t="shared" ca="1" si="42"/>
        <v>0</v>
      </c>
      <c r="Q75" s="276">
        <f t="shared" ca="1" si="42"/>
        <v>0</v>
      </c>
      <c r="R75" s="276">
        <f t="shared" ca="1" si="42"/>
        <v>0</v>
      </c>
      <c r="S75" s="276">
        <f t="shared" ca="1" si="42"/>
        <v>0</v>
      </c>
      <c r="T75" s="276">
        <f t="shared" ca="1" si="42"/>
        <v>8587.7285165775411</v>
      </c>
      <c r="U75" s="276">
        <f t="shared" ca="1" si="42"/>
        <v>9767.205985114555</v>
      </c>
      <c r="V75" s="276">
        <f t="shared" ca="1" si="42"/>
        <v>11807.511626534259</v>
      </c>
      <c r="W75" s="276">
        <f t="shared" ca="1" si="42"/>
        <v>17511.69931070528</v>
      </c>
      <c r="X75" s="276">
        <f t="shared" ca="1" si="42"/>
        <v>23759.402471914527</v>
      </c>
      <c r="Y75" s="276">
        <f t="shared" ca="1" si="42"/>
        <v>27218.218104732216</v>
      </c>
      <c r="Z75" s="276">
        <f t="shared" ca="1" si="42"/>
        <v>33117.500379601748</v>
      </c>
      <c r="AA75" s="276">
        <f t="shared" ca="1" si="42"/>
        <v>37836.022030855253</v>
      </c>
      <c r="AB75" s="276">
        <f t="shared" ca="1" si="42"/>
        <v>38329.217743697525</v>
      </c>
      <c r="AC75" s="276">
        <f t="shared" ca="1" si="42"/>
        <v>43517.984072769235</v>
      </c>
      <c r="AD75" s="276">
        <f t="shared" ca="1" si="42"/>
        <v>49023.944048078141</v>
      </c>
      <c r="AE75" s="276">
        <f t="shared" ca="1" si="42"/>
        <v>54562.292023241804</v>
      </c>
      <c r="AF75" s="276">
        <f t="shared" ca="1" si="42"/>
        <v>67735.964824812123</v>
      </c>
      <c r="AG75" s="276">
        <f t="shared" ca="1" si="42"/>
        <v>73384.383510427157</v>
      </c>
      <c r="AH75" s="276">
        <f t="shared" ca="1" si="42"/>
        <v>73384.383510427157</v>
      </c>
      <c r="AI75" s="276">
        <f t="shared" ca="1" si="42"/>
        <v>73384.383510427157</v>
      </c>
      <c r="AJ75" s="276">
        <f t="shared" ca="1" si="42"/>
        <v>73384.383510427157</v>
      </c>
      <c r="AK75" s="276">
        <f t="shared" ca="1" si="42"/>
        <v>73384.383510427157</v>
      </c>
      <c r="AL75" s="276">
        <f t="shared" ca="1" si="42"/>
        <v>73384.383510427157</v>
      </c>
      <c r="AM75" s="276">
        <f t="shared" ca="1" si="42"/>
        <v>73384.383510427157</v>
      </c>
      <c r="AN75" s="276">
        <f t="shared" ca="1" si="42"/>
        <v>73384.383510427157</v>
      </c>
      <c r="AO75" s="419"/>
      <c r="AP75" s="21">
        <f t="shared" si="4"/>
        <v>69</v>
      </c>
    </row>
    <row r="76" spans="1:42">
      <c r="A76" s="13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419"/>
    </row>
    <row r="77" spans="1:42">
      <c r="A77" s="755" t="s">
        <v>383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420"/>
    </row>
    <row r="78" spans="1:42">
      <c r="A78" s="137" t="s">
        <v>384</v>
      </c>
      <c r="B78" s="8"/>
      <c r="C78" s="8"/>
      <c r="D78" s="8"/>
      <c r="E78" s="825">
        <v>0</v>
      </c>
      <c r="F78" s="53">
        <f t="shared" ref="F78:AN78" ca="1" si="43">E81</f>
        <v>0</v>
      </c>
      <c r="G78" s="53">
        <f t="shared" ca="1" si="43"/>
        <v>0</v>
      </c>
      <c r="H78" s="53">
        <f t="shared" ca="1" si="43"/>
        <v>0</v>
      </c>
      <c r="I78" s="53">
        <f t="shared" ca="1" si="43"/>
        <v>0</v>
      </c>
      <c r="J78" s="53">
        <f t="shared" ca="1" si="43"/>
        <v>0</v>
      </c>
      <c r="K78" s="53">
        <f t="shared" ca="1" si="43"/>
        <v>0</v>
      </c>
      <c r="L78" s="53">
        <f t="shared" ca="1" si="43"/>
        <v>0</v>
      </c>
      <c r="M78" s="53">
        <f t="shared" ca="1" si="43"/>
        <v>0</v>
      </c>
      <c r="N78" s="53">
        <f t="shared" ca="1" si="43"/>
        <v>0</v>
      </c>
      <c r="O78" s="53">
        <f t="shared" ca="1" si="43"/>
        <v>0</v>
      </c>
      <c r="P78" s="53">
        <f t="shared" ca="1" si="43"/>
        <v>0</v>
      </c>
      <c r="Q78" s="53">
        <f t="shared" ca="1" si="43"/>
        <v>0</v>
      </c>
      <c r="R78" s="53">
        <f t="shared" ca="1" si="43"/>
        <v>0</v>
      </c>
      <c r="S78" s="53">
        <f t="shared" ca="1" si="43"/>
        <v>0</v>
      </c>
      <c r="T78" s="53">
        <f t="shared" ca="1" si="43"/>
        <v>0</v>
      </c>
      <c r="U78" s="53">
        <f t="shared" ca="1" si="43"/>
        <v>0</v>
      </c>
      <c r="V78" s="53">
        <f t="shared" ca="1" si="43"/>
        <v>0</v>
      </c>
      <c r="W78" s="53">
        <f t="shared" ca="1" si="43"/>
        <v>0</v>
      </c>
      <c r="X78" s="53">
        <f t="shared" ca="1" si="43"/>
        <v>0</v>
      </c>
      <c r="Y78" s="53">
        <f t="shared" ca="1" si="43"/>
        <v>0</v>
      </c>
      <c r="Z78" s="53">
        <f t="shared" ca="1" si="43"/>
        <v>0</v>
      </c>
      <c r="AA78" s="53">
        <f t="shared" ca="1" si="43"/>
        <v>0</v>
      </c>
      <c r="AB78" s="53">
        <f t="shared" ca="1" si="43"/>
        <v>0</v>
      </c>
      <c r="AC78" s="53">
        <f t="shared" ca="1" si="43"/>
        <v>0</v>
      </c>
      <c r="AD78" s="53">
        <f t="shared" ca="1" si="43"/>
        <v>0</v>
      </c>
      <c r="AE78" s="53">
        <f t="shared" ca="1" si="43"/>
        <v>0</v>
      </c>
      <c r="AF78" s="53">
        <f t="shared" ca="1" si="43"/>
        <v>0</v>
      </c>
      <c r="AG78" s="53">
        <f t="shared" ca="1" si="43"/>
        <v>0</v>
      </c>
      <c r="AH78" s="53">
        <f t="shared" ca="1" si="43"/>
        <v>0</v>
      </c>
      <c r="AI78" s="53">
        <f t="shared" ca="1" si="43"/>
        <v>13172.626265485953</v>
      </c>
      <c r="AJ78" s="53">
        <f t="shared" ca="1" si="43"/>
        <v>9316.0865480366119</v>
      </c>
      <c r="AK78" s="53">
        <f t="shared" ca="1" si="43"/>
        <v>5422.390294704187</v>
      </c>
      <c r="AL78" s="53">
        <f t="shared" ca="1" si="43"/>
        <v>1491.1795140611321</v>
      </c>
      <c r="AM78" s="53">
        <f t="shared" ca="1" si="43"/>
        <v>749.16429755624631</v>
      </c>
      <c r="AN78" s="53">
        <f t="shared" ca="1" si="43"/>
        <v>-5.9117155615240335E-12</v>
      </c>
      <c r="AO78" s="423">
        <f>E78</f>
        <v>0</v>
      </c>
    </row>
    <row r="79" spans="1:42">
      <c r="A79" s="137" t="s">
        <v>385</v>
      </c>
      <c r="B79" s="8"/>
      <c r="C79" s="8"/>
      <c r="D79" s="8"/>
      <c r="E79" s="53">
        <f t="shared" ref="E79:AN79" ca="1" si="44">IF(E$7=Fin_Close,Debt,0)</f>
        <v>0</v>
      </c>
      <c r="F79" s="53">
        <f t="shared" ca="1" si="44"/>
        <v>0</v>
      </c>
      <c r="G79" s="53">
        <f t="shared" ca="1" si="44"/>
        <v>0</v>
      </c>
      <c r="H79" s="53">
        <f t="shared" ca="1" si="44"/>
        <v>0</v>
      </c>
      <c r="I79" s="53">
        <f t="shared" ca="1" si="44"/>
        <v>0</v>
      </c>
      <c r="J79" s="53">
        <f t="shared" ca="1" si="44"/>
        <v>0</v>
      </c>
      <c r="K79" s="53">
        <f t="shared" ca="1" si="44"/>
        <v>0</v>
      </c>
      <c r="L79" s="53">
        <f t="shared" ca="1" si="44"/>
        <v>0</v>
      </c>
      <c r="M79" s="53">
        <f t="shared" ca="1" si="44"/>
        <v>0</v>
      </c>
      <c r="N79" s="53">
        <f t="shared" ca="1" si="44"/>
        <v>0</v>
      </c>
      <c r="O79" s="53">
        <f t="shared" ca="1" si="44"/>
        <v>0</v>
      </c>
      <c r="P79" s="53">
        <f t="shared" ca="1" si="44"/>
        <v>0</v>
      </c>
      <c r="Q79" s="53">
        <f t="shared" ca="1" si="44"/>
        <v>0</v>
      </c>
      <c r="R79" s="53">
        <f t="shared" ca="1" si="44"/>
        <v>0</v>
      </c>
      <c r="S79" s="53">
        <f t="shared" ca="1" si="44"/>
        <v>0</v>
      </c>
      <c r="T79" s="53">
        <f t="shared" ca="1" si="44"/>
        <v>0</v>
      </c>
      <c r="U79" s="53">
        <f t="shared" ca="1" si="44"/>
        <v>0</v>
      </c>
      <c r="V79" s="53">
        <f t="shared" ca="1" si="44"/>
        <v>0</v>
      </c>
      <c r="W79" s="53">
        <f t="shared" ca="1" si="44"/>
        <v>0</v>
      </c>
      <c r="X79" s="53">
        <f t="shared" ca="1" si="44"/>
        <v>0</v>
      </c>
      <c r="Y79" s="53">
        <f t="shared" ca="1" si="44"/>
        <v>0</v>
      </c>
      <c r="Z79" s="53">
        <f t="shared" ca="1" si="44"/>
        <v>0</v>
      </c>
      <c r="AA79" s="53">
        <f t="shared" ca="1" si="44"/>
        <v>0</v>
      </c>
      <c r="AB79" s="53">
        <f t="shared" ca="1" si="44"/>
        <v>0</v>
      </c>
      <c r="AC79" s="53">
        <f t="shared" ca="1" si="44"/>
        <v>0</v>
      </c>
      <c r="AD79" s="53">
        <f t="shared" ca="1" si="44"/>
        <v>0</v>
      </c>
      <c r="AE79" s="53">
        <f t="shared" ca="1" si="44"/>
        <v>0</v>
      </c>
      <c r="AF79" s="53">
        <f t="shared" ca="1" si="44"/>
        <v>0</v>
      </c>
      <c r="AG79" s="53">
        <f t="shared" ca="1" si="44"/>
        <v>0</v>
      </c>
      <c r="AH79" s="53">
        <f t="shared" ca="1" si="44"/>
        <v>75934.802786215441</v>
      </c>
      <c r="AI79" s="53">
        <f t="shared" ca="1" si="44"/>
        <v>0</v>
      </c>
      <c r="AJ79" s="53">
        <f t="shared" ca="1" si="44"/>
        <v>0</v>
      </c>
      <c r="AK79" s="53">
        <f t="shared" ca="1" si="44"/>
        <v>0</v>
      </c>
      <c r="AL79" s="53">
        <f t="shared" ca="1" si="44"/>
        <v>0</v>
      </c>
      <c r="AM79" s="53">
        <f t="shared" ca="1" si="44"/>
        <v>0</v>
      </c>
      <c r="AN79" s="53">
        <f t="shared" ca="1" si="44"/>
        <v>0</v>
      </c>
      <c r="AO79" s="423">
        <f ca="1">SUM(E79:AN79)</f>
        <v>75934.802786215441</v>
      </c>
    </row>
    <row r="80" spans="1:42">
      <c r="A80" s="137" t="s">
        <v>386</v>
      </c>
      <c r="B80" s="8"/>
      <c r="C80" s="8"/>
      <c r="D80" s="8"/>
      <c r="E80" s="228">
        <f t="shared" ref="E80:AN80" ca="1" si="45">-SUM(E34:E37)</f>
        <v>0</v>
      </c>
      <c r="F80" s="228">
        <f t="shared" ca="1" si="45"/>
        <v>0</v>
      </c>
      <c r="G80" s="228">
        <f t="shared" ca="1" si="45"/>
        <v>0</v>
      </c>
      <c r="H80" s="228">
        <f t="shared" ca="1" si="45"/>
        <v>0</v>
      </c>
      <c r="I80" s="228">
        <f t="shared" ca="1" si="45"/>
        <v>0</v>
      </c>
      <c r="J80" s="228">
        <f t="shared" ca="1" si="45"/>
        <v>0</v>
      </c>
      <c r="K80" s="228">
        <f t="shared" ca="1" si="45"/>
        <v>0</v>
      </c>
      <c r="L80" s="228">
        <f t="shared" ca="1" si="45"/>
        <v>0</v>
      </c>
      <c r="M80" s="228">
        <f t="shared" ca="1" si="45"/>
        <v>0</v>
      </c>
      <c r="N80" s="228">
        <f t="shared" ca="1" si="45"/>
        <v>0</v>
      </c>
      <c r="O80" s="228">
        <f t="shared" ca="1" si="45"/>
        <v>0</v>
      </c>
      <c r="P80" s="228">
        <f t="shared" ca="1" si="45"/>
        <v>0</v>
      </c>
      <c r="Q80" s="228">
        <f t="shared" ca="1" si="45"/>
        <v>0</v>
      </c>
      <c r="R80" s="228">
        <f t="shared" ca="1" si="45"/>
        <v>0</v>
      </c>
      <c r="S80" s="228">
        <f t="shared" ca="1" si="45"/>
        <v>0</v>
      </c>
      <c r="T80" s="228">
        <f t="shared" ca="1" si="45"/>
        <v>0</v>
      </c>
      <c r="U80" s="228">
        <f t="shared" ca="1" si="45"/>
        <v>0</v>
      </c>
      <c r="V80" s="228">
        <f t="shared" ca="1" si="45"/>
        <v>0</v>
      </c>
      <c r="W80" s="228">
        <f t="shared" ca="1" si="45"/>
        <v>0</v>
      </c>
      <c r="X80" s="228">
        <f t="shared" ca="1" si="45"/>
        <v>0</v>
      </c>
      <c r="Y80" s="228">
        <f t="shared" ca="1" si="45"/>
        <v>0</v>
      </c>
      <c r="Z80" s="228">
        <f t="shared" ca="1" si="45"/>
        <v>0</v>
      </c>
      <c r="AA80" s="228">
        <f t="shared" ca="1" si="45"/>
        <v>0</v>
      </c>
      <c r="AB80" s="228">
        <f t="shared" ca="1" si="45"/>
        <v>0</v>
      </c>
      <c r="AC80" s="228">
        <f t="shared" ca="1" si="45"/>
        <v>0</v>
      </c>
      <c r="AD80" s="228">
        <f t="shared" ca="1" si="45"/>
        <v>0</v>
      </c>
      <c r="AE80" s="228">
        <f t="shared" ca="1" si="45"/>
        <v>0</v>
      </c>
      <c r="AF80" s="228">
        <f t="shared" ca="1" si="45"/>
        <v>0</v>
      </c>
      <c r="AG80" s="228">
        <f t="shared" ca="1" si="45"/>
        <v>0</v>
      </c>
      <c r="AH80" s="228">
        <f t="shared" ca="1" si="45"/>
        <v>-62762.176520729488</v>
      </c>
      <c r="AI80" s="228">
        <f t="shared" ca="1" si="45"/>
        <v>-3856.5397174493401</v>
      </c>
      <c r="AJ80" s="228">
        <f t="shared" ca="1" si="45"/>
        <v>-3893.6962533324249</v>
      </c>
      <c r="AK80" s="228">
        <f t="shared" ca="1" si="45"/>
        <v>-3931.2107806430549</v>
      </c>
      <c r="AL80" s="228">
        <f t="shared" ca="1" si="45"/>
        <v>-742.01521650488576</v>
      </c>
      <c r="AM80" s="228">
        <f t="shared" ca="1" si="45"/>
        <v>-749.16429755625222</v>
      </c>
      <c r="AN80" s="228">
        <f t="shared" ca="1" si="45"/>
        <v>1.9192017088917697E-15</v>
      </c>
      <c r="AO80" s="424">
        <f ca="1">SUM(E80:AN80)</f>
        <v>-75934.802786215456</v>
      </c>
    </row>
    <row r="81" spans="1:41">
      <c r="A81" s="137" t="s">
        <v>387</v>
      </c>
      <c r="B81" s="8"/>
      <c r="C81" s="8"/>
      <c r="D81" s="8"/>
      <c r="E81" s="53">
        <f ca="1">SUM(E78:E80)</f>
        <v>0</v>
      </c>
      <c r="F81" s="53">
        <f t="shared" ref="F81:AN81" ca="1" si="46">SUM(F78:F80)</f>
        <v>0</v>
      </c>
      <c r="G81" s="53">
        <f t="shared" ca="1" si="46"/>
        <v>0</v>
      </c>
      <c r="H81" s="53">
        <f t="shared" ca="1" si="46"/>
        <v>0</v>
      </c>
      <c r="I81" s="53">
        <f t="shared" ca="1" si="46"/>
        <v>0</v>
      </c>
      <c r="J81" s="53">
        <f t="shared" ca="1" si="46"/>
        <v>0</v>
      </c>
      <c r="K81" s="53">
        <f t="shared" ca="1" si="46"/>
        <v>0</v>
      </c>
      <c r="L81" s="53">
        <f t="shared" ca="1" si="46"/>
        <v>0</v>
      </c>
      <c r="M81" s="53">
        <f t="shared" ca="1" si="46"/>
        <v>0</v>
      </c>
      <c r="N81" s="53">
        <f t="shared" ca="1" si="46"/>
        <v>0</v>
      </c>
      <c r="O81" s="53">
        <f t="shared" ca="1" si="46"/>
        <v>0</v>
      </c>
      <c r="P81" s="53">
        <f t="shared" ca="1" si="46"/>
        <v>0</v>
      </c>
      <c r="Q81" s="53">
        <f t="shared" ca="1" si="46"/>
        <v>0</v>
      </c>
      <c r="R81" s="53">
        <f t="shared" ca="1" si="46"/>
        <v>0</v>
      </c>
      <c r="S81" s="53">
        <f t="shared" ca="1" si="46"/>
        <v>0</v>
      </c>
      <c r="T81" s="53">
        <f t="shared" ca="1" si="46"/>
        <v>0</v>
      </c>
      <c r="U81" s="53">
        <f t="shared" ca="1" si="46"/>
        <v>0</v>
      </c>
      <c r="V81" s="53">
        <f t="shared" ca="1" si="46"/>
        <v>0</v>
      </c>
      <c r="W81" s="53">
        <f t="shared" ca="1" si="46"/>
        <v>0</v>
      </c>
      <c r="X81" s="53">
        <f t="shared" ca="1" si="46"/>
        <v>0</v>
      </c>
      <c r="Y81" s="53">
        <f t="shared" ca="1" si="46"/>
        <v>0</v>
      </c>
      <c r="Z81" s="53">
        <f t="shared" ca="1" si="46"/>
        <v>0</v>
      </c>
      <c r="AA81" s="53">
        <f t="shared" ca="1" si="46"/>
        <v>0</v>
      </c>
      <c r="AB81" s="53">
        <f t="shared" ca="1" si="46"/>
        <v>0</v>
      </c>
      <c r="AC81" s="53">
        <f t="shared" ca="1" si="46"/>
        <v>0</v>
      </c>
      <c r="AD81" s="53">
        <f t="shared" ca="1" si="46"/>
        <v>0</v>
      </c>
      <c r="AE81" s="53">
        <f t="shared" ca="1" si="46"/>
        <v>0</v>
      </c>
      <c r="AF81" s="53">
        <f t="shared" ca="1" si="46"/>
        <v>0</v>
      </c>
      <c r="AG81" s="53">
        <f t="shared" ca="1" si="46"/>
        <v>0</v>
      </c>
      <c r="AH81" s="53">
        <f t="shared" ca="1" si="46"/>
        <v>13172.626265485953</v>
      </c>
      <c r="AI81" s="53">
        <f t="shared" ca="1" si="46"/>
        <v>9316.0865480366119</v>
      </c>
      <c r="AJ81" s="53">
        <f t="shared" ca="1" si="46"/>
        <v>5422.390294704187</v>
      </c>
      <c r="AK81" s="53">
        <f t="shared" ca="1" si="46"/>
        <v>1491.1795140611321</v>
      </c>
      <c r="AL81" s="53">
        <f t="shared" ca="1" si="46"/>
        <v>749.16429755624631</v>
      </c>
      <c r="AM81" s="53">
        <f t="shared" ca="1" si="46"/>
        <v>-5.9117155615240335E-12</v>
      </c>
      <c r="AN81" s="53">
        <f t="shared" ca="1" si="46"/>
        <v>-5.9097963598151418E-12</v>
      </c>
      <c r="AO81" s="423">
        <f ca="1">SUM(AO78:AO80)</f>
        <v>0</v>
      </c>
    </row>
    <row r="82" spans="1:41">
      <c r="A82" s="13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419"/>
    </row>
    <row r="83" spans="1:41">
      <c r="A83" s="137" t="s">
        <v>107</v>
      </c>
      <c r="B83" s="8"/>
      <c r="C83" s="8"/>
      <c r="D83" s="16">
        <f ca="1">Assm!$X$75</f>
        <v>5.0000000000000001E-3</v>
      </c>
      <c r="E83" s="228">
        <f ca="1">E81*$D83/12</f>
        <v>0</v>
      </c>
      <c r="F83" s="228">
        <f t="shared" ref="F83:AN83" ca="1" si="47">F81*$D83/12</f>
        <v>0</v>
      </c>
      <c r="G83" s="228">
        <f t="shared" ca="1" si="47"/>
        <v>0</v>
      </c>
      <c r="H83" s="228">
        <f t="shared" ca="1" si="47"/>
        <v>0</v>
      </c>
      <c r="I83" s="228">
        <f t="shared" ca="1" si="47"/>
        <v>0</v>
      </c>
      <c r="J83" s="228">
        <f t="shared" ca="1" si="47"/>
        <v>0</v>
      </c>
      <c r="K83" s="228">
        <f t="shared" ca="1" si="47"/>
        <v>0</v>
      </c>
      <c r="L83" s="228">
        <f t="shared" ca="1" si="47"/>
        <v>0</v>
      </c>
      <c r="M83" s="228">
        <f t="shared" ca="1" si="47"/>
        <v>0</v>
      </c>
      <c r="N83" s="228">
        <f t="shared" ca="1" si="47"/>
        <v>0</v>
      </c>
      <c r="O83" s="228">
        <f t="shared" ca="1" si="47"/>
        <v>0</v>
      </c>
      <c r="P83" s="228">
        <f t="shared" ca="1" si="47"/>
        <v>0</v>
      </c>
      <c r="Q83" s="228">
        <f t="shared" ca="1" si="47"/>
        <v>0</v>
      </c>
      <c r="R83" s="228">
        <f t="shared" ca="1" si="47"/>
        <v>0</v>
      </c>
      <c r="S83" s="228">
        <f t="shared" ca="1" si="47"/>
        <v>0</v>
      </c>
      <c r="T83" s="228">
        <f t="shared" ca="1" si="47"/>
        <v>0</v>
      </c>
      <c r="U83" s="228">
        <f t="shared" ca="1" si="47"/>
        <v>0</v>
      </c>
      <c r="V83" s="228">
        <f t="shared" ca="1" si="47"/>
        <v>0</v>
      </c>
      <c r="W83" s="228">
        <f t="shared" ca="1" si="47"/>
        <v>0</v>
      </c>
      <c r="X83" s="228">
        <f t="shared" ca="1" si="47"/>
        <v>0</v>
      </c>
      <c r="Y83" s="228">
        <f t="shared" ca="1" si="47"/>
        <v>0</v>
      </c>
      <c r="Z83" s="228">
        <f t="shared" ca="1" si="47"/>
        <v>0</v>
      </c>
      <c r="AA83" s="228">
        <f t="shared" ca="1" si="47"/>
        <v>0</v>
      </c>
      <c r="AB83" s="228">
        <f t="shared" ca="1" si="47"/>
        <v>0</v>
      </c>
      <c r="AC83" s="228">
        <f t="shared" ca="1" si="47"/>
        <v>0</v>
      </c>
      <c r="AD83" s="228">
        <f t="shared" ca="1" si="47"/>
        <v>0</v>
      </c>
      <c r="AE83" s="228">
        <f t="shared" ca="1" si="47"/>
        <v>0</v>
      </c>
      <c r="AF83" s="228">
        <f t="shared" ca="1" si="47"/>
        <v>0</v>
      </c>
      <c r="AG83" s="228">
        <f t="shared" ca="1" si="47"/>
        <v>0</v>
      </c>
      <c r="AH83" s="228">
        <f t="shared" ca="1" si="47"/>
        <v>5.4885942772858138</v>
      </c>
      <c r="AI83" s="228">
        <f t="shared" ca="1" si="47"/>
        <v>3.8817027283485888</v>
      </c>
      <c r="AJ83" s="228">
        <f t="shared" ca="1" si="47"/>
        <v>2.2593292894600778</v>
      </c>
      <c r="AK83" s="228">
        <f t="shared" ca="1" si="47"/>
        <v>0.62132479752547176</v>
      </c>
      <c r="AL83" s="228">
        <f t="shared" ca="1" si="47"/>
        <v>0.31215179064843596</v>
      </c>
      <c r="AM83" s="228">
        <f t="shared" ca="1" si="47"/>
        <v>-2.4632148173016807E-15</v>
      </c>
      <c r="AN83" s="228">
        <f t="shared" ca="1" si="47"/>
        <v>-2.462415149922976E-15</v>
      </c>
      <c r="AO83" s="424">
        <f ca="1">SUM(E83:AN83)</f>
        <v>12.563102883268384</v>
      </c>
    </row>
    <row r="84" spans="1:41">
      <c r="A84" s="137" t="s">
        <v>388</v>
      </c>
      <c r="B84" s="8"/>
      <c r="C84" s="8"/>
      <c r="D84" s="8"/>
      <c r="E84" s="53">
        <f t="shared" ref="E84:AN84" ca="1" si="48">SUM(E83:E83)</f>
        <v>0</v>
      </c>
      <c r="F84" s="53">
        <f t="shared" ca="1" si="48"/>
        <v>0</v>
      </c>
      <c r="G84" s="53">
        <f t="shared" ca="1" si="48"/>
        <v>0</v>
      </c>
      <c r="H84" s="53">
        <f t="shared" ca="1" si="48"/>
        <v>0</v>
      </c>
      <c r="I84" s="53">
        <f t="shared" ca="1" si="48"/>
        <v>0</v>
      </c>
      <c r="J84" s="53">
        <f t="shared" ca="1" si="48"/>
        <v>0</v>
      </c>
      <c r="K84" s="53">
        <f t="shared" ca="1" si="48"/>
        <v>0</v>
      </c>
      <c r="L84" s="53">
        <f t="shared" ca="1" si="48"/>
        <v>0</v>
      </c>
      <c r="M84" s="53">
        <f t="shared" ca="1" si="48"/>
        <v>0</v>
      </c>
      <c r="N84" s="53">
        <f t="shared" ca="1" si="48"/>
        <v>0</v>
      </c>
      <c r="O84" s="53">
        <f t="shared" ca="1" si="48"/>
        <v>0</v>
      </c>
      <c r="P84" s="53">
        <f t="shared" ca="1" si="48"/>
        <v>0</v>
      </c>
      <c r="Q84" s="53">
        <f t="shared" ca="1" si="48"/>
        <v>0</v>
      </c>
      <c r="R84" s="53">
        <f t="shared" ca="1" si="48"/>
        <v>0</v>
      </c>
      <c r="S84" s="53">
        <f t="shared" ca="1" si="48"/>
        <v>0</v>
      </c>
      <c r="T84" s="53">
        <f t="shared" ca="1" si="48"/>
        <v>0</v>
      </c>
      <c r="U84" s="53">
        <f t="shared" ca="1" si="48"/>
        <v>0</v>
      </c>
      <c r="V84" s="53">
        <f t="shared" ca="1" si="48"/>
        <v>0</v>
      </c>
      <c r="W84" s="53">
        <f t="shared" ca="1" si="48"/>
        <v>0</v>
      </c>
      <c r="X84" s="53">
        <f t="shared" ca="1" si="48"/>
        <v>0</v>
      </c>
      <c r="Y84" s="53">
        <f t="shared" ca="1" si="48"/>
        <v>0</v>
      </c>
      <c r="Z84" s="53">
        <f t="shared" ca="1" si="48"/>
        <v>0</v>
      </c>
      <c r="AA84" s="53">
        <f t="shared" ca="1" si="48"/>
        <v>0</v>
      </c>
      <c r="AB84" s="53">
        <f t="shared" ca="1" si="48"/>
        <v>0</v>
      </c>
      <c r="AC84" s="53">
        <f t="shared" ca="1" si="48"/>
        <v>0</v>
      </c>
      <c r="AD84" s="53">
        <f t="shared" ca="1" si="48"/>
        <v>0</v>
      </c>
      <c r="AE84" s="53">
        <f t="shared" ca="1" si="48"/>
        <v>0</v>
      </c>
      <c r="AF84" s="53">
        <f t="shared" ca="1" si="48"/>
        <v>0</v>
      </c>
      <c r="AG84" s="53">
        <f t="shared" ca="1" si="48"/>
        <v>0</v>
      </c>
      <c r="AH84" s="53">
        <f t="shared" ca="1" si="48"/>
        <v>5.4885942772858138</v>
      </c>
      <c r="AI84" s="53">
        <f t="shared" ca="1" si="48"/>
        <v>3.8817027283485888</v>
      </c>
      <c r="AJ84" s="53">
        <f t="shared" ca="1" si="48"/>
        <v>2.2593292894600778</v>
      </c>
      <c r="AK84" s="53">
        <f t="shared" ca="1" si="48"/>
        <v>0.62132479752547176</v>
      </c>
      <c r="AL84" s="53">
        <f t="shared" ca="1" si="48"/>
        <v>0.31215179064843596</v>
      </c>
      <c r="AM84" s="53">
        <f t="shared" ca="1" si="48"/>
        <v>-2.4632148173016807E-15</v>
      </c>
      <c r="AN84" s="53">
        <f t="shared" ca="1" si="48"/>
        <v>-2.462415149922976E-15</v>
      </c>
      <c r="AO84" s="423">
        <f ca="1">SUM(E84:AN84)</f>
        <v>12.563102883268384</v>
      </c>
    </row>
    <row r="85" spans="1:41">
      <c r="A85" s="13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419"/>
    </row>
    <row r="86" spans="1:41">
      <c r="A86" s="538" t="s">
        <v>241</v>
      </c>
      <c r="B86" s="483"/>
      <c r="C86" s="483"/>
      <c r="D86" s="535">
        <f ca="1">AO84</f>
        <v>12.563102883268384</v>
      </c>
      <c r="E86" s="53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419"/>
    </row>
    <row r="87" spans="1:41" ht="13.8" thickBot="1">
      <c r="A87" s="76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433"/>
    </row>
    <row r="88" spans="1:41">
      <c r="B88" s="8"/>
    </row>
  </sheetData>
  <printOptions horizontalCentered="1"/>
  <pageMargins left="0.25" right="0.25" top="0.5" bottom="0.5" header="0.25" footer="0.25"/>
  <pageSetup scale="32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79"/>
  <sheetViews>
    <sheetView showGridLines="0" topLeftCell="A6" zoomScale="80" workbookViewId="0">
      <pane ySplit="2" topLeftCell="A10" activePane="bottomLeft" state="frozen"/>
      <selection activeCell="A6" sqref="A6"/>
      <selection pane="bottomLeft" activeCell="H24" sqref="H24"/>
    </sheetView>
  </sheetViews>
  <sheetFormatPr defaultColWidth="9.109375" defaultRowHeight="13.2"/>
  <cols>
    <col min="1" max="2" width="7.6640625" style="5" customWidth="1"/>
    <col min="3" max="3" width="12.88671875" style="5" customWidth="1"/>
    <col min="4" max="28" width="10.6640625" style="5" customWidth="1"/>
    <col min="29" max="30" width="10.44140625" style="5" customWidth="1"/>
    <col min="31" max="42" width="10.6640625" style="5" customWidth="1"/>
    <col min="43" max="16384" width="9.109375" style="5"/>
  </cols>
  <sheetData>
    <row r="1" spans="1:32" s="242" customFormat="1" ht="15.6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83"/>
      <c r="AA1" s="279"/>
      <c r="AB1" s="279"/>
      <c r="AC1" s="24"/>
    </row>
    <row r="2" spans="1:32" s="242" customFormat="1" ht="15.6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83"/>
      <c r="AA2" s="279"/>
      <c r="AB2" s="279"/>
      <c r="AC2" s="24"/>
    </row>
    <row r="3" spans="1:32" s="242" customFormat="1" ht="1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83"/>
      <c r="AA3" s="279"/>
      <c r="AB3" s="279"/>
      <c r="AC3" s="24"/>
    </row>
    <row r="4" spans="1:32" s="242" customFormat="1" ht="15">
      <c r="A4" s="818" t="s">
        <v>1004</v>
      </c>
      <c r="B4" s="818"/>
      <c r="C4" s="864"/>
      <c r="D4" s="865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79"/>
      <c r="AB4" s="279"/>
      <c r="AC4" s="24"/>
    </row>
    <row r="5" spans="1:32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2" s="8" customFormat="1">
      <c r="A6" s="400" t="s">
        <v>184</v>
      </c>
      <c r="B6" s="74"/>
      <c r="C6" s="74"/>
      <c r="D6" s="74"/>
      <c r="E6" s="74">
        <f>CF!E6</f>
        <v>1</v>
      </c>
      <c r="F6" s="74">
        <f>CF!F6</f>
        <v>2</v>
      </c>
      <c r="G6" s="74">
        <f>CF!G6</f>
        <v>3</v>
      </c>
      <c r="H6" s="74">
        <f>CF!H6</f>
        <v>4</v>
      </c>
      <c r="I6" s="74">
        <f>CF!I6</f>
        <v>5</v>
      </c>
      <c r="J6" s="74">
        <f>CF!J6</f>
        <v>6</v>
      </c>
      <c r="K6" s="74">
        <f>CF!K6</f>
        <v>7</v>
      </c>
      <c r="L6" s="74">
        <f>CF!L6</f>
        <v>8</v>
      </c>
      <c r="M6" s="74">
        <f>CF!M6</f>
        <v>9</v>
      </c>
      <c r="N6" s="74">
        <f>CF!N6</f>
        <v>10</v>
      </c>
      <c r="O6" s="74">
        <f>CF!O6</f>
        <v>11</v>
      </c>
      <c r="P6" s="74">
        <f>CF!P6</f>
        <v>12</v>
      </c>
      <c r="Q6" s="74">
        <f>CF!Q6</f>
        <v>13</v>
      </c>
      <c r="R6" s="74">
        <f>CF!R6</f>
        <v>14</v>
      </c>
      <c r="S6" s="74">
        <f>CF!S6</f>
        <v>15</v>
      </c>
      <c r="T6" s="74">
        <f>CF!T6</f>
        <v>16</v>
      </c>
      <c r="U6" s="74">
        <f>CF!U6</f>
        <v>17</v>
      </c>
      <c r="V6" s="74">
        <f>CF!V6</f>
        <v>18</v>
      </c>
      <c r="W6" s="74">
        <f>CF!W6</f>
        <v>19</v>
      </c>
      <c r="X6" s="74">
        <f>CF!X6</f>
        <v>20</v>
      </c>
      <c r="Y6" s="74">
        <f>CF!Y6</f>
        <v>21</v>
      </c>
      <c r="Z6" s="74"/>
      <c r="AA6" s="74"/>
      <c r="AB6" s="74"/>
      <c r="AC6" s="74"/>
      <c r="AD6" s="416"/>
    </row>
    <row r="7" spans="1:32" s="8" customFormat="1" ht="13.8" thickBot="1">
      <c r="A7" s="401" t="s">
        <v>185</v>
      </c>
      <c r="B7" s="77"/>
      <c r="C7" s="77"/>
      <c r="D7" s="80"/>
      <c r="E7" s="230">
        <f>CF!E7</f>
        <v>1999</v>
      </c>
      <c r="F7" s="230">
        <f>E7+1</f>
        <v>2000</v>
      </c>
      <c r="G7" s="230">
        <f t="shared" ref="G7:V7" si="0">F7+1</f>
        <v>2001</v>
      </c>
      <c r="H7" s="230">
        <f t="shared" si="0"/>
        <v>2002</v>
      </c>
      <c r="I7" s="230">
        <f t="shared" si="0"/>
        <v>2003</v>
      </c>
      <c r="J7" s="230">
        <f t="shared" si="0"/>
        <v>2004</v>
      </c>
      <c r="K7" s="230">
        <f t="shared" si="0"/>
        <v>2005</v>
      </c>
      <c r="L7" s="230">
        <f t="shared" si="0"/>
        <v>2006</v>
      </c>
      <c r="M7" s="230">
        <f t="shared" si="0"/>
        <v>2007</v>
      </c>
      <c r="N7" s="230">
        <f t="shared" si="0"/>
        <v>2008</v>
      </c>
      <c r="O7" s="230">
        <f t="shared" si="0"/>
        <v>2009</v>
      </c>
      <c r="P7" s="230">
        <f t="shared" si="0"/>
        <v>2010</v>
      </c>
      <c r="Q7" s="230">
        <f t="shared" si="0"/>
        <v>2011</v>
      </c>
      <c r="R7" s="230">
        <f t="shared" si="0"/>
        <v>2012</v>
      </c>
      <c r="S7" s="230">
        <f t="shared" si="0"/>
        <v>2013</v>
      </c>
      <c r="T7" s="230">
        <f t="shared" si="0"/>
        <v>2014</v>
      </c>
      <c r="U7" s="230">
        <f t="shared" si="0"/>
        <v>2015</v>
      </c>
      <c r="V7" s="230">
        <f t="shared" si="0"/>
        <v>2016</v>
      </c>
      <c r="W7" s="230">
        <f>V7+1</f>
        <v>2017</v>
      </c>
      <c r="X7" s="230">
        <f>W7+1</f>
        <v>2018</v>
      </c>
      <c r="Y7" s="230">
        <f>X7+1</f>
        <v>2019</v>
      </c>
      <c r="Z7" s="77"/>
      <c r="AA7" s="77"/>
      <c r="AB7" s="77"/>
      <c r="AC7" s="77"/>
      <c r="AD7" s="417" t="s">
        <v>229</v>
      </c>
      <c r="AE7" s="572">
        <v>1</v>
      </c>
    </row>
    <row r="8" spans="1:32" s="8" customFormat="1">
      <c r="A8" s="54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AD8" s="635"/>
      <c r="AE8" s="572">
        <f t="shared" ref="AE8:AE22" si="1">AE7+1</f>
        <v>2</v>
      </c>
    </row>
    <row r="9" spans="1:32">
      <c r="A9" s="137" t="s">
        <v>340</v>
      </c>
      <c r="B9" s="8"/>
      <c r="C9" s="8"/>
      <c r="D9" s="8"/>
      <c r="E9" s="8">
        <f>CF!E9</f>
        <v>0</v>
      </c>
      <c r="F9" s="8">
        <f>CF!F9</f>
        <v>0</v>
      </c>
      <c r="G9" s="8">
        <f>CF!G9</f>
        <v>10</v>
      </c>
      <c r="H9" s="8">
        <f>CF!H9</f>
        <v>12</v>
      </c>
      <c r="I9" s="8">
        <f>CF!I9</f>
        <v>12</v>
      </c>
      <c r="J9" s="8">
        <f>CF!J9</f>
        <v>12</v>
      </c>
      <c r="K9" s="8">
        <f>CF!K9</f>
        <v>12</v>
      </c>
      <c r="L9" s="8">
        <f>CF!L9</f>
        <v>12</v>
      </c>
      <c r="M9" s="8">
        <f>CF!M9</f>
        <v>12</v>
      </c>
      <c r="N9" s="8">
        <f>CF!N9</f>
        <v>12</v>
      </c>
      <c r="O9" s="8">
        <f>CF!O9</f>
        <v>12</v>
      </c>
      <c r="P9" s="8">
        <f>CF!P9</f>
        <v>12</v>
      </c>
      <c r="Q9" s="8">
        <f>CF!Q9</f>
        <v>12</v>
      </c>
      <c r="R9" s="8">
        <f>CF!R9</f>
        <v>12</v>
      </c>
      <c r="S9" s="8">
        <f>CF!S9</f>
        <v>12</v>
      </c>
      <c r="T9" s="8">
        <f>CF!T9</f>
        <v>12</v>
      </c>
      <c r="U9" s="8">
        <f>CF!U9</f>
        <v>12</v>
      </c>
      <c r="V9" s="8">
        <f>CF!V9</f>
        <v>12</v>
      </c>
      <c r="W9" s="8">
        <f>CF!W9</f>
        <v>12</v>
      </c>
      <c r="X9" s="8">
        <f>CF!X9</f>
        <v>12</v>
      </c>
      <c r="Y9" s="8">
        <f>CF!Y9</f>
        <v>4</v>
      </c>
      <c r="Z9" s="8"/>
      <c r="AA9" s="8"/>
      <c r="AB9" s="8"/>
      <c r="AC9" s="8"/>
      <c r="AD9" s="419">
        <f>SUM(E9:Y9)</f>
        <v>218</v>
      </c>
      <c r="AE9" s="572">
        <f t="shared" si="1"/>
        <v>3</v>
      </c>
    </row>
    <row r="10" spans="1:32">
      <c r="A10" s="137"/>
      <c r="B10" s="8"/>
      <c r="C10" s="8"/>
      <c r="D10" s="546"/>
      <c r="E10" s="546">
        <f t="shared" ref="E10:Y10" si="2">IF(E$7&lt;$A37,0,IF(E$7=$A37,IF($B$37=0,1,2),D10+2))</f>
        <v>0</v>
      </c>
      <c r="F10" s="546">
        <f t="shared" si="2"/>
        <v>0</v>
      </c>
      <c r="G10" s="546">
        <f t="shared" si="2"/>
        <v>1</v>
      </c>
      <c r="H10" s="546">
        <f t="shared" si="2"/>
        <v>3</v>
      </c>
      <c r="I10" s="546">
        <f t="shared" si="2"/>
        <v>5</v>
      </c>
      <c r="J10" s="546">
        <f t="shared" si="2"/>
        <v>7</v>
      </c>
      <c r="K10" s="546">
        <f t="shared" si="2"/>
        <v>9</v>
      </c>
      <c r="L10" s="546">
        <f t="shared" si="2"/>
        <v>11</v>
      </c>
      <c r="M10" s="546">
        <f t="shared" si="2"/>
        <v>13</v>
      </c>
      <c r="N10" s="546">
        <f t="shared" si="2"/>
        <v>15</v>
      </c>
      <c r="O10" s="546">
        <f t="shared" si="2"/>
        <v>17</v>
      </c>
      <c r="P10" s="546">
        <f t="shared" si="2"/>
        <v>19</v>
      </c>
      <c r="Q10" s="546">
        <f t="shared" si="2"/>
        <v>21</v>
      </c>
      <c r="R10" s="546">
        <f t="shared" si="2"/>
        <v>23</v>
      </c>
      <c r="S10" s="546">
        <f t="shared" si="2"/>
        <v>25</v>
      </c>
      <c r="T10" s="546">
        <f t="shared" si="2"/>
        <v>27</v>
      </c>
      <c r="U10" s="546">
        <f t="shared" si="2"/>
        <v>29</v>
      </c>
      <c r="V10" s="546">
        <f t="shared" si="2"/>
        <v>31</v>
      </c>
      <c r="W10" s="546">
        <f t="shared" si="2"/>
        <v>33</v>
      </c>
      <c r="X10" s="546">
        <f t="shared" si="2"/>
        <v>35</v>
      </c>
      <c r="Y10" s="546">
        <f t="shared" si="2"/>
        <v>37</v>
      </c>
      <c r="Z10" s="8"/>
      <c r="AA10" s="8"/>
      <c r="AB10" s="8"/>
      <c r="AC10" s="8"/>
      <c r="AD10" s="419"/>
      <c r="AE10" s="572">
        <f t="shared" si="1"/>
        <v>4</v>
      </c>
    </row>
    <row r="11" spans="1:32" s="8" customFormat="1">
      <c r="A11" s="75" t="s">
        <v>296</v>
      </c>
      <c r="AD11" s="419"/>
      <c r="AE11" s="572">
        <f t="shared" si="1"/>
        <v>5</v>
      </c>
    </row>
    <row r="12" spans="1:32" s="8" customFormat="1">
      <c r="A12" s="379" t="s">
        <v>230</v>
      </c>
      <c r="D12" s="28"/>
      <c r="E12" s="53">
        <f t="shared" ref="E12:Y12" ca="1" si="3">IF(E$7&lt;YEAR(Startops2),0,VLOOKUP(E$10,Fin_Table,$AA$79))</f>
        <v>0</v>
      </c>
      <c r="F12" s="53">
        <f t="shared" ca="1" si="3"/>
        <v>0</v>
      </c>
      <c r="G12" s="53">
        <f t="shared" ca="1" si="3"/>
        <v>3484.300065346657</v>
      </c>
      <c r="H12" s="53">
        <f t="shared" ca="1" si="3"/>
        <v>8330.9644427867697</v>
      </c>
      <c r="I12" s="53">
        <f t="shared" ca="1" si="3"/>
        <v>8183.736836797003</v>
      </c>
      <c r="J12" s="53">
        <f t="shared" ca="1" si="3"/>
        <v>7874.9282995768517</v>
      </c>
      <c r="K12" s="53">
        <f t="shared" ca="1" si="3"/>
        <v>7246.8861993410301</v>
      </c>
      <c r="L12" s="53">
        <f t="shared" ca="1" si="3"/>
        <v>6469.5707112199325</v>
      </c>
      <c r="M12" s="53">
        <f t="shared" ca="1" si="3"/>
        <v>5579.1548429776813</v>
      </c>
      <c r="N12" s="53">
        <f t="shared" ca="1" si="3"/>
        <v>4657.3802741473091</v>
      </c>
      <c r="O12" s="53">
        <f t="shared" ca="1" si="3"/>
        <v>4069.2622795745342</v>
      </c>
      <c r="P12" s="53">
        <f t="shared" ca="1" si="3"/>
        <v>3592.3631430876248</v>
      </c>
      <c r="Q12" s="53">
        <f t="shared" ca="1" si="3"/>
        <v>3115.464006600715</v>
      </c>
      <c r="R12" s="53">
        <f t="shared" ca="1" si="3"/>
        <v>2471.7365829850069</v>
      </c>
      <c r="S12" s="53">
        <f t="shared" ca="1" si="3"/>
        <v>1772.3997303263664</v>
      </c>
      <c r="T12" s="53">
        <f t="shared" ca="1" si="3"/>
        <v>1073.0628776677256</v>
      </c>
      <c r="U12" s="53">
        <f t="shared" ca="1" si="3"/>
        <v>326.68797412690321</v>
      </c>
      <c r="V12" s="53">
        <f t="shared" ca="1" si="3"/>
        <v>0</v>
      </c>
      <c r="W12" s="53">
        <f t="shared" ca="1" si="3"/>
        <v>0</v>
      </c>
      <c r="X12" s="53">
        <f t="shared" ca="1" si="3"/>
        <v>0</v>
      </c>
      <c r="Y12" s="53">
        <f t="shared" ca="1" si="3"/>
        <v>0</v>
      </c>
      <c r="AD12" s="423">
        <f ca="1">SUM(E12:Y12)</f>
        <v>68247.898266562115</v>
      </c>
      <c r="AE12" s="572">
        <f t="shared" si="1"/>
        <v>6</v>
      </c>
    </row>
    <row r="13" spans="1:32" s="8" customFormat="1">
      <c r="A13" s="379" t="s">
        <v>231</v>
      </c>
      <c r="D13" s="23"/>
      <c r="E13" s="228">
        <f t="shared" ref="E13:Y13" ca="1" si="4">IF(E$7&lt;YEAR(Startops2),0,VLOOKUP(E$10,Fin_Table,$AB$79))</f>
        <v>0</v>
      </c>
      <c r="F13" s="228">
        <f t="shared" ca="1" si="4"/>
        <v>0</v>
      </c>
      <c r="G13" s="228">
        <f t="shared" ca="1" si="4"/>
        <v>0</v>
      </c>
      <c r="H13" s="228">
        <f t="shared" ca="1" si="4"/>
        <v>1138.9135635035377</v>
      </c>
      <c r="I13" s="228">
        <f t="shared" ca="1" si="4"/>
        <v>1930.9135565637616</v>
      </c>
      <c r="J13" s="228">
        <f t="shared" ca="1" si="4"/>
        <v>5423.9144847296739</v>
      </c>
      <c r="K13" s="228">
        <f t="shared" ca="1" si="4"/>
        <v>6885.7317572241172</v>
      </c>
      <c r="L13" s="228">
        <f t="shared" ca="1" si="4"/>
        <v>7800.7461307980138</v>
      </c>
      <c r="M13" s="228">
        <f t="shared" ca="1" si="4"/>
        <v>8370.25715169463</v>
      </c>
      <c r="N13" s="228">
        <f t="shared" ca="1" si="4"/>
        <v>6350.3913975812993</v>
      </c>
      <c r="O13" s="228">
        <f t="shared" ca="1" si="4"/>
        <v>4330.5256434679677</v>
      </c>
      <c r="P13" s="228">
        <f t="shared" ca="1" si="4"/>
        <v>4330.5256434679677</v>
      </c>
      <c r="Q13" s="228">
        <f t="shared" ca="1" si="4"/>
        <v>5340.458520524634</v>
      </c>
      <c r="R13" s="228">
        <f t="shared" ca="1" si="4"/>
        <v>6350.3913975813002</v>
      </c>
      <c r="S13" s="228">
        <f t="shared" ca="1" si="4"/>
        <v>6350.3913975813002</v>
      </c>
      <c r="T13" s="228">
        <f t="shared" ca="1" si="4"/>
        <v>6578.1958059399458</v>
      </c>
      <c r="U13" s="228">
        <f t="shared" ca="1" si="4"/>
        <v>4753.4463355573153</v>
      </c>
      <c r="V13" s="228">
        <f t="shared" ca="1" si="4"/>
        <v>0</v>
      </c>
      <c r="W13" s="228">
        <f t="shared" ca="1" si="4"/>
        <v>0</v>
      </c>
      <c r="X13" s="228">
        <f t="shared" ca="1" si="4"/>
        <v>0</v>
      </c>
      <c r="Y13" s="228">
        <f t="shared" ca="1" si="4"/>
        <v>0</v>
      </c>
      <c r="AD13" s="424">
        <f ca="1">SUM(E13:Y13)</f>
        <v>75934.802786215456</v>
      </c>
      <c r="AE13" s="572">
        <f t="shared" si="1"/>
        <v>7</v>
      </c>
      <c r="AF13" s="638" t="str">
        <f ca="1">IF(ROUND(Debt-AD13,0)=0," ","Principal Payments Do Not Tie To Total Debt")</f>
        <v xml:space="preserve"> </v>
      </c>
    </row>
    <row r="14" spans="1:32" s="8" customFormat="1">
      <c r="A14" s="174" t="s">
        <v>15</v>
      </c>
      <c r="B14" s="25"/>
      <c r="C14" s="25"/>
      <c r="D14" s="48"/>
      <c r="E14" s="263">
        <f t="shared" ref="E14:S14" ca="1" si="5">SUM(E12:E13)</f>
        <v>0</v>
      </c>
      <c r="F14" s="263">
        <f t="shared" ca="1" si="5"/>
        <v>0</v>
      </c>
      <c r="G14" s="263">
        <f t="shared" ca="1" si="5"/>
        <v>3484.300065346657</v>
      </c>
      <c r="H14" s="263">
        <f t="shared" ca="1" si="5"/>
        <v>9469.8780062903079</v>
      </c>
      <c r="I14" s="263">
        <f t="shared" ca="1" si="5"/>
        <v>10114.650393360764</v>
      </c>
      <c r="J14" s="263">
        <f t="shared" ca="1" si="5"/>
        <v>13298.842784306526</v>
      </c>
      <c r="K14" s="263">
        <f t="shared" ca="1" si="5"/>
        <v>14132.617956565147</v>
      </c>
      <c r="L14" s="263">
        <f t="shared" ca="1" si="5"/>
        <v>14270.316842017946</v>
      </c>
      <c r="M14" s="263">
        <f t="shared" ca="1" si="5"/>
        <v>13949.411994672311</v>
      </c>
      <c r="N14" s="263">
        <f t="shared" ca="1" si="5"/>
        <v>11007.771671728609</v>
      </c>
      <c r="O14" s="263">
        <f t="shared" ca="1" si="5"/>
        <v>8399.7879230425024</v>
      </c>
      <c r="P14" s="263">
        <f t="shared" ca="1" si="5"/>
        <v>7922.8887865555926</v>
      </c>
      <c r="Q14" s="263">
        <f t="shared" ca="1" si="5"/>
        <v>8455.922527125349</v>
      </c>
      <c r="R14" s="263">
        <f t="shared" ca="1" si="5"/>
        <v>8822.1279805663071</v>
      </c>
      <c r="S14" s="263">
        <f t="shared" ca="1" si="5"/>
        <v>8122.791127907667</v>
      </c>
      <c r="T14" s="263">
        <f t="shared" ref="T14:Y14" ca="1" si="6">SUM(T12:T13)</f>
        <v>7651.2586836076716</v>
      </c>
      <c r="U14" s="263">
        <f t="shared" ca="1" si="6"/>
        <v>5080.1343096842184</v>
      </c>
      <c r="V14" s="263">
        <f t="shared" ca="1" si="6"/>
        <v>0</v>
      </c>
      <c r="W14" s="263">
        <f t="shared" ca="1" si="6"/>
        <v>0</v>
      </c>
      <c r="X14" s="263">
        <f t="shared" ca="1" si="6"/>
        <v>0</v>
      </c>
      <c r="Y14" s="263">
        <f t="shared" ca="1" si="6"/>
        <v>0</v>
      </c>
      <c r="AD14" s="505">
        <f ca="1">SUM(E14:Y14)</f>
        <v>144182.70105277759</v>
      </c>
      <c r="AE14" s="572">
        <f t="shared" si="1"/>
        <v>8</v>
      </c>
    </row>
    <row r="15" spans="1:32" s="8" customFormat="1">
      <c r="A15" s="174"/>
      <c r="B15" s="25"/>
      <c r="C15" s="25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D15" s="636"/>
      <c r="AE15" s="572">
        <f t="shared" si="1"/>
        <v>9</v>
      </c>
    </row>
    <row r="16" spans="1:32" s="8" customFormat="1">
      <c r="A16" s="547" t="s">
        <v>376</v>
      </c>
      <c r="B16" s="307"/>
      <c r="C16" s="307"/>
      <c r="D16" s="308"/>
      <c r="E16" s="1120">
        <f ca="1">SUM($E13:E13)</f>
        <v>0</v>
      </c>
      <c r="F16" s="1120">
        <f ca="1">SUM($E13:F13)</f>
        <v>0</v>
      </c>
      <c r="G16" s="1120">
        <f ca="1">SUM($E13:G13)</f>
        <v>0</v>
      </c>
      <c r="H16" s="1120">
        <f ca="1">SUM($E13:H13)</f>
        <v>1138.9135635035377</v>
      </c>
      <c r="I16" s="1120">
        <f ca="1">SUM($E13:I13)</f>
        <v>3069.8271200672993</v>
      </c>
      <c r="J16" s="1120">
        <f ca="1">SUM($E13:J13)</f>
        <v>8493.7416047969728</v>
      </c>
      <c r="K16" s="1120">
        <f ca="1">SUM($E13:K13)</f>
        <v>15379.47336202109</v>
      </c>
      <c r="L16" s="1120">
        <f ca="1">SUM($E13:L13)</f>
        <v>23180.219492819102</v>
      </c>
      <c r="M16" s="1120">
        <f ca="1">SUM($E13:M13)</f>
        <v>31550.476644513732</v>
      </c>
      <c r="N16" s="1120">
        <f ca="1">SUM($E13:N13)</f>
        <v>37900.868042095033</v>
      </c>
      <c r="O16" s="1120">
        <f ca="1">SUM($E13:O13)</f>
        <v>42231.393685563002</v>
      </c>
      <c r="P16" s="1120">
        <f ca="1">SUM($E13:P13)</f>
        <v>46561.91932903097</v>
      </c>
      <c r="Q16" s="1120">
        <f ca="1">SUM($E13:Q13)</f>
        <v>51902.377849555603</v>
      </c>
      <c r="R16" s="1120">
        <f ca="1">SUM($E13:R13)</f>
        <v>58252.769247136901</v>
      </c>
      <c r="S16" s="1120">
        <f ca="1">SUM($E13:S13)</f>
        <v>64603.160644718198</v>
      </c>
      <c r="T16" s="1120">
        <f ca="1">SUM($E13:T13)</f>
        <v>71181.356450658146</v>
      </c>
      <c r="U16" s="1120">
        <f ca="1">SUM($E13:U13)</f>
        <v>75934.802786215456</v>
      </c>
      <c r="V16" s="1120">
        <f ca="1">SUM($E13:V13)</f>
        <v>75934.802786215456</v>
      </c>
      <c r="W16" s="1120">
        <f ca="1">SUM($E13:W13)</f>
        <v>75934.802786215456</v>
      </c>
      <c r="X16" s="1120">
        <f ca="1">SUM($E13:X13)</f>
        <v>75934.802786215456</v>
      </c>
      <c r="Y16" s="1120">
        <f ca="1">SUM($E13:Y13)</f>
        <v>75934.802786215456</v>
      </c>
      <c r="AD16" s="636"/>
      <c r="AE16" s="572">
        <f t="shared" si="1"/>
        <v>10</v>
      </c>
    </row>
    <row r="17" spans="1:36" s="8" customFormat="1">
      <c r="A17" s="547" t="s">
        <v>377</v>
      </c>
      <c r="B17" s="268"/>
      <c r="C17" s="268"/>
      <c r="D17" s="49"/>
      <c r="E17" s="1120">
        <f ca="1">Assm!$U$82/12*E$14</f>
        <v>0</v>
      </c>
      <c r="F17" s="1120">
        <f ca="1">Assm!$U$82/12*F$14</f>
        <v>0</v>
      </c>
      <c r="G17" s="1120">
        <f ca="1">Assm!$U$82/12*G$14</f>
        <v>1742.1500326733285</v>
      </c>
      <c r="H17" s="1120">
        <f ca="1">Assm!$U$82/12*H$14</f>
        <v>4734.9390031451539</v>
      </c>
      <c r="I17" s="1120">
        <f ca="1">Assm!$U$82/12*I$14</f>
        <v>5057.3251966803819</v>
      </c>
      <c r="J17" s="1120">
        <f ca="1">Assm!$U$82/12*J$14</f>
        <v>6649.4213921532628</v>
      </c>
      <c r="K17" s="1120">
        <f ca="1">Assm!$U$82/12*K$14</f>
        <v>7066.3089782825737</v>
      </c>
      <c r="L17" s="1120">
        <f ca="1">Assm!$U$82/12*L$14</f>
        <v>7135.1584210089732</v>
      </c>
      <c r="M17" s="1120">
        <f ca="1">Assm!$U$82/12*M$14</f>
        <v>6974.7059973361556</v>
      </c>
      <c r="N17" s="1120">
        <f ca="1">Assm!$U$82/12*N$14</f>
        <v>5503.8858358643047</v>
      </c>
      <c r="O17" s="1120">
        <f ca="1">Assm!$U$82/12*O$14</f>
        <v>4199.8939615212512</v>
      </c>
      <c r="P17" s="1120">
        <f ca="1">Assm!$U$82/12*P$14</f>
        <v>3961.4443932777963</v>
      </c>
      <c r="Q17" s="1120">
        <f ca="1">Assm!$U$82/12*Q$14</f>
        <v>4227.9612635626745</v>
      </c>
      <c r="R17" s="1120">
        <f ca="1">Assm!$U$82/12*R$14</f>
        <v>4411.0639902831535</v>
      </c>
      <c r="S17" s="1120">
        <f ca="1">Assm!$U$82/12*S$14</f>
        <v>4061.3955639538335</v>
      </c>
      <c r="T17" s="1120">
        <f ca="1">Assm!$U$82/12*T$14</f>
        <v>3825.6293418038358</v>
      </c>
      <c r="U17" s="1120">
        <f ca="1">Assm!$U$82/12*U$14</f>
        <v>2540.0671548421092</v>
      </c>
      <c r="V17" s="1120">
        <f ca="1">Assm!$U$82/12*V$14</f>
        <v>0</v>
      </c>
      <c r="W17" s="1120">
        <f ca="1">Assm!$U$82/12*W$14</f>
        <v>0</v>
      </c>
      <c r="X17" s="1120">
        <f ca="1">Assm!$U$82/12*X$14</f>
        <v>0</v>
      </c>
      <c r="Y17" s="1120">
        <f ca="1">Assm!$U$82/12*Y$14</f>
        <v>0</v>
      </c>
      <c r="AD17" s="637"/>
      <c r="AE17" s="572">
        <f t="shared" si="1"/>
        <v>11</v>
      </c>
    </row>
    <row r="18" spans="1:36" s="8" customFormat="1">
      <c r="A18" s="547"/>
      <c r="B18" s="268"/>
      <c r="C18" s="268"/>
      <c r="D18" s="49"/>
      <c r="E18" s="1120"/>
      <c r="F18" s="1120"/>
      <c r="G18" s="1120"/>
      <c r="H18" s="1120"/>
      <c r="I18" s="1120"/>
      <c r="J18" s="1120"/>
      <c r="K18" s="1120"/>
      <c r="L18" s="1120"/>
      <c r="M18" s="1120"/>
      <c r="N18" s="1120"/>
      <c r="O18" s="1120"/>
      <c r="P18" s="1120"/>
      <c r="Q18" s="1120"/>
      <c r="R18" s="1120"/>
      <c r="S18" s="1120"/>
      <c r="T18" s="1120"/>
      <c r="U18" s="1120"/>
      <c r="V18" s="1120"/>
      <c r="W18" s="1120"/>
      <c r="X18" s="1120"/>
      <c r="Y18" s="1120"/>
      <c r="AD18" s="637"/>
      <c r="AE18" s="572">
        <f t="shared" si="1"/>
        <v>12</v>
      </c>
    </row>
    <row r="19" spans="1:36" s="8" customFormat="1">
      <c r="A19" s="75" t="s">
        <v>9</v>
      </c>
      <c r="AD19" s="419"/>
      <c r="AE19" s="572">
        <f t="shared" si="1"/>
        <v>13</v>
      </c>
    </row>
    <row r="20" spans="1:36" s="8" customFormat="1">
      <c r="A20" s="379" t="s">
        <v>230</v>
      </c>
      <c r="D20" s="28"/>
      <c r="E20" s="53">
        <f ca="1">IF(E$7&lt;YEAR(Startops2),0,VLOOKUP(E$10,Fin_Table,$AC$79))</f>
        <v>0</v>
      </c>
      <c r="F20" s="53">
        <f t="shared" ref="F20:Y20" ca="1" si="7">IF(F$7&lt;YEAR(Startops2),0,VLOOKUP(F$10,Fin_Table,$AC$79))</f>
        <v>0</v>
      </c>
      <c r="G20" s="53">
        <f t="shared" ca="1" si="7"/>
        <v>1164.1873224716187</v>
      </c>
      <c r="H20" s="53">
        <f t="shared" ca="1" si="7"/>
        <v>2763.7464238380571</v>
      </c>
      <c r="I20" s="53">
        <f t="shared" ca="1" si="7"/>
        <v>2634.5269736292057</v>
      </c>
      <c r="J20" s="53">
        <f t="shared" ca="1" si="7"/>
        <v>2487.963042716071</v>
      </c>
      <c r="K20" s="53">
        <f t="shared" ca="1" si="7"/>
        <v>2321.7265681761205</v>
      </c>
      <c r="L20" s="53">
        <f t="shared" ca="1" si="7"/>
        <v>2133.1770028410456</v>
      </c>
      <c r="M20" s="53">
        <f t="shared" ca="1" si="7"/>
        <v>1919.3193720988706</v>
      </c>
      <c r="N20" s="53">
        <f t="shared" ca="1" si="7"/>
        <v>1676.756700870327</v>
      </c>
      <c r="O20" s="53">
        <f t="shared" ca="1" si="7"/>
        <v>1401.6360550961322</v>
      </c>
      <c r="P20" s="53">
        <f t="shared" ca="1" si="7"/>
        <v>1089.5873406428959</v>
      </c>
      <c r="Q20" s="53">
        <f t="shared" ca="1" si="7"/>
        <v>735.65388749217459</v>
      </c>
      <c r="R20" s="53">
        <f t="shared" ca="1" si="7"/>
        <v>334.21371659229811</v>
      </c>
      <c r="S20" s="53">
        <f t="shared" ca="1" si="7"/>
        <v>0</v>
      </c>
      <c r="T20" s="53">
        <f t="shared" ca="1" si="7"/>
        <v>0</v>
      </c>
      <c r="U20" s="53">
        <f t="shared" ca="1" si="7"/>
        <v>0</v>
      </c>
      <c r="V20" s="53">
        <f t="shared" ca="1" si="7"/>
        <v>0</v>
      </c>
      <c r="W20" s="53">
        <f t="shared" ca="1" si="7"/>
        <v>0</v>
      </c>
      <c r="X20" s="53">
        <f t="shared" ca="1" si="7"/>
        <v>0</v>
      </c>
      <c r="Y20" s="53">
        <f t="shared" ca="1" si="7"/>
        <v>0</v>
      </c>
      <c r="AD20" s="423">
        <f ca="1">SUM(E20:Y20)</f>
        <v>20662.494406464815</v>
      </c>
      <c r="AE20" s="572">
        <f t="shared" si="1"/>
        <v>14</v>
      </c>
    </row>
    <row r="21" spans="1:36" s="8" customFormat="1">
      <c r="A21" s="379" t="s">
        <v>231</v>
      </c>
      <c r="D21" s="23"/>
      <c r="E21" s="228">
        <f ca="1">IF(E$7&lt;YEAR(Startops2),0,VLOOKUP(E$10,Fin_Table,$AD$79))</f>
        <v>0</v>
      </c>
      <c r="F21" s="228">
        <f t="shared" ref="F21:Y21" ca="1" si="8">IF(F$7&lt;YEAR(Startops2),0,VLOOKUP(F$10,Fin_Table,$AD$79))</f>
        <v>0</v>
      </c>
      <c r="G21" s="228">
        <f t="shared" ca="1" si="8"/>
        <v>0</v>
      </c>
      <c r="H21" s="228">
        <f t="shared" ca="1" si="8"/>
        <v>962.70776836544337</v>
      </c>
      <c r="I21" s="228">
        <f t="shared" ca="1" si="8"/>
        <v>1091.9272185742943</v>
      </c>
      <c r="J21" s="228">
        <f t="shared" ca="1" si="8"/>
        <v>1238.4911494874289</v>
      </c>
      <c r="K21" s="228">
        <f t="shared" ca="1" si="8"/>
        <v>1404.7276240273789</v>
      </c>
      <c r="L21" s="228">
        <f t="shared" ca="1" si="8"/>
        <v>1593.2771893624531</v>
      </c>
      <c r="M21" s="228">
        <f t="shared" ca="1" si="8"/>
        <v>1807.134820104628</v>
      </c>
      <c r="N21" s="228">
        <f t="shared" ca="1" si="8"/>
        <v>2049.6974913331701</v>
      </c>
      <c r="O21" s="228">
        <f t="shared" ca="1" si="8"/>
        <v>2324.8181371073651</v>
      </c>
      <c r="P21" s="228">
        <f t="shared" ca="1" si="8"/>
        <v>2636.8668515605982</v>
      </c>
      <c r="Q21" s="228">
        <f t="shared" ca="1" si="8"/>
        <v>2990.8003047113179</v>
      </c>
      <c r="R21" s="228">
        <f t="shared" ca="1" si="8"/>
        <v>3392.2404756111864</v>
      </c>
      <c r="S21" s="228">
        <f t="shared" ca="1" si="8"/>
        <v>0</v>
      </c>
      <c r="T21" s="228">
        <f t="shared" ca="1" si="8"/>
        <v>0</v>
      </c>
      <c r="U21" s="228">
        <f t="shared" ca="1" si="8"/>
        <v>0</v>
      </c>
      <c r="V21" s="228">
        <f t="shared" ca="1" si="8"/>
        <v>0</v>
      </c>
      <c r="W21" s="228">
        <f t="shared" ca="1" si="8"/>
        <v>0</v>
      </c>
      <c r="X21" s="228">
        <f t="shared" ca="1" si="8"/>
        <v>0</v>
      </c>
      <c r="Y21" s="228">
        <f t="shared" ca="1" si="8"/>
        <v>0</v>
      </c>
      <c r="AD21" s="424">
        <f ca="1">SUM(E21:Y21)</f>
        <v>21492.689030245267</v>
      </c>
      <c r="AE21" s="572">
        <f t="shared" si="1"/>
        <v>15</v>
      </c>
    </row>
    <row r="22" spans="1:36" s="8" customFormat="1">
      <c r="A22" s="174" t="s">
        <v>16</v>
      </c>
      <c r="B22" s="25"/>
      <c r="C22" s="25"/>
      <c r="D22" s="48"/>
      <c r="E22" s="263">
        <f t="shared" ref="E22:Y22" ca="1" si="9">SUM(E20:E21)</f>
        <v>0</v>
      </c>
      <c r="F22" s="263">
        <f t="shared" ca="1" si="9"/>
        <v>0</v>
      </c>
      <c r="G22" s="263">
        <f t="shared" ca="1" si="9"/>
        <v>1164.1873224716187</v>
      </c>
      <c r="H22" s="263">
        <f t="shared" ca="1" si="9"/>
        <v>3726.4541922035005</v>
      </c>
      <c r="I22" s="263">
        <f t="shared" ca="1" si="9"/>
        <v>3726.4541922035</v>
      </c>
      <c r="J22" s="263">
        <f t="shared" ca="1" si="9"/>
        <v>3726.4541922034996</v>
      </c>
      <c r="K22" s="263">
        <f t="shared" ca="1" si="9"/>
        <v>3726.4541922034996</v>
      </c>
      <c r="L22" s="263">
        <f t="shared" ca="1" si="9"/>
        <v>3726.4541922034987</v>
      </c>
      <c r="M22" s="263">
        <f t="shared" ca="1" si="9"/>
        <v>3726.4541922034987</v>
      </c>
      <c r="N22" s="263">
        <f t="shared" ca="1" si="9"/>
        <v>3726.4541922034969</v>
      </c>
      <c r="O22" s="263">
        <f t="shared" ca="1" si="9"/>
        <v>3726.4541922034973</v>
      </c>
      <c r="P22" s="263">
        <f t="shared" ca="1" si="9"/>
        <v>3726.4541922034941</v>
      </c>
      <c r="Q22" s="263">
        <f t="shared" ca="1" si="9"/>
        <v>3726.4541922034923</v>
      </c>
      <c r="R22" s="263">
        <f t="shared" ca="1" si="9"/>
        <v>3726.4541922034846</v>
      </c>
      <c r="S22" s="263">
        <f t="shared" ca="1" si="9"/>
        <v>0</v>
      </c>
      <c r="T22" s="263">
        <f t="shared" ca="1" si="9"/>
        <v>0</v>
      </c>
      <c r="U22" s="263">
        <f t="shared" ca="1" si="9"/>
        <v>0</v>
      </c>
      <c r="V22" s="263">
        <f t="shared" ca="1" si="9"/>
        <v>0</v>
      </c>
      <c r="W22" s="263">
        <f t="shared" ca="1" si="9"/>
        <v>0</v>
      </c>
      <c r="X22" s="263">
        <f t="shared" ca="1" si="9"/>
        <v>0</v>
      </c>
      <c r="Y22" s="263">
        <f t="shared" ca="1" si="9"/>
        <v>0</v>
      </c>
      <c r="AD22" s="505">
        <f ca="1">SUM(E22:Y22)</f>
        <v>42155.183436710075</v>
      </c>
      <c r="AE22" s="572">
        <f t="shared" si="1"/>
        <v>16</v>
      </c>
    </row>
    <row r="23" spans="1:36" s="1175" customFormat="1">
      <c r="A23" s="1171"/>
      <c r="B23" s="1172"/>
      <c r="C23" s="1172"/>
      <c r="D23" s="1173"/>
      <c r="E23" s="1174"/>
      <c r="F23" s="1174"/>
      <c r="G23" s="1174"/>
      <c r="H23" s="1174"/>
      <c r="I23" s="1174"/>
      <c r="J23" s="1174"/>
      <c r="K23" s="1174"/>
      <c r="L23" s="1174"/>
      <c r="M23" s="1174"/>
      <c r="N23" s="1174"/>
      <c r="O23" s="1174"/>
      <c r="P23" s="1174"/>
      <c r="Q23" s="1174"/>
      <c r="R23" s="1174"/>
      <c r="S23" s="1174"/>
      <c r="T23" s="1174"/>
      <c r="U23" s="1174"/>
      <c r="V23" s="1174"/>
      <c r="W23" s="1174"/>
      <c r="X23" s="1174"/>
      <c r="Y23" s="1174"/>
      <c r="AD23" s="1176"/>
      <c r="AE23" s="1177"/>
    </row>
    <row r="24" spans="1:36" s="1181" customFormat="1">
      <c r="A24" s="1171" t="s">
        <v>40</v>
      </c>
      <c r="B24" s="1172"/>
      <c r="C24" s="1172"/>
      <c r="D24" s="1174"/>
      <c r="E24" s="1186">
        <f ca="1">IF(E$7&lt;YEAR(Startops2),0,VLOOKUP(E$10,Guarantee_Fee_Table,$AE$79))</f>
        <v>0</v>
      </c>
      <c r="F24" s="1186">
        <f t="shared" ref="F24:Y24" ca="1" si="10">IF(F$7&lt;YEAR(Startops2),0,VLOOKUP(F$10,Guarantee_Fee_Table,$AE$79))</f>
        <v>0</v>
      </c>
      <c r="G24" s="1186">
        <f t="shared" ca="1" si="10"/>
        <v>1623.7915302743452</v>
      </c>
      <c r="H24" s="1186">
        <f t="shared" ca="1" si="10"/>
        <v>3897.0996726584285</v>
      </c>
      <c r="I24" s="1186">
        <f t="shared" ca="1" si="10"/>
        <v>3813.0348193836689</v>
      </c>
      <c r="J24" s="1186">
        <f t="shared" ca="1" si="10"/>
        <v>0</v>
      </c>
      <c r="K24" s="1186">
        <f t="shared" ca="1" si="10"/>
        <v>0</v>
      </c>
      <c r="L24" s="1186">
        <f t="shared" ca="1" si="10"/>
        <v>0</v>
      </c>
      <c r="M24" s="1186">
        <f t="shared" ca="1" si="10"/>
        <v>0</v>
      </c>
      <c r="N24" s="1186">
        <f t="shared" ca="1" si="10"/>
        <v>0</v>
      </c>
      <c r="O24" s="1186">
        <f t="shared" ca="1" si="10"/>
        <v>0</v>
      </c>
      <c r="P24" s="1186">
        <f t="shared" ca="1" si="10"/>
        <v>0</v>
      </c>
      <c r="Q24" s="1186">
        <f t="shared" ca="1" si="10"/>
        <v>0</v>
      </c>
      <c r="R24" s="1186">
        <f t="shared" ca="1" si="10"/>
        <v>0</v>
      </c>
      <c r="S24" s="1186">
        <f t="shared" ca="1" si="10"/>
        <v>0</v>
      </c>
      <c r="T24" s="1186">
        <f t="shared" ca="1" si="10"/>
        <v>0</v>
      </c>
      <c r="U24" s="1186">
        <f t="shared" ca="1" si="10"/>
        <v>0</v>
      </c>
      <c r="V24" s="1186">
        <f t="shared" ca="1" si="10"/>
        <v>0</v>
      </c>
      <c r="W24" s="1186">
        <f t="shared" ca="1" si="10"/>
        <v>0</v>
      </c>
      <c r="X24" s="1186">
        <f t="shared" ca="1" si="10"/>
        <v>0</v>
      </c>
      <c r="Y24" s="1186">
        <f t="shared" ca="1" si="10"/>
        <v>0</v>
      </c>
      <c r="Z24" s="1174"/>
      <c r="AA24" s="1178"/>
      <c r="AB24" s="1179"/>
      <c r="AC24" s="1179"/>
      <c r="AD24" s="1179"/>
      <c r="AE24" s="1179"/>
      <c r="AF24" s="1179"/>
      <c r="AG24" s="1179"/>
      <c r="AH24" s="1179"/>
      <c r="AI24" s="1180"/>
      <c r="AJ24" s="1179"/>
    </row>
    <row r="25" spans="1:36" s="1175" customFormat="1">
      <c r="A25" s="1171"/>
      <c r="B25" s="1172"/>
      <c r="C25" s="1172"/>
      <c r="D25" s="1173"/>
      <c r="E25" s="1174"/>
      <c r="F25" s="1174"/>
      <c r="G25" s="1174"/>
      <c r="H25" s="1174"/>
      <c r="I25" s="1174"/>
      <c r="J25" s="1174"/>
      <c r="K25" s="1174"/>
      <c r="L25" s="1174"/>
      <c r="M25" s="1174"/>
      <c r="N25" s="1174"/>
      <c r="O25" s="1174"/>
      <c r="P25" s="1174"/>
      <c r="Q25" s="1174"/>
      <c r="R25" s="1174"/>
      <c r="S25" s="1174"/>
      <c r="T25" s="1174"/>
      <c r="U25" s="1174"/>
      <c r="V25" s="1174"/>
      <c r="W25" s="1174"/>
      <c r="X25" s="1174"/>
      <c r="Y25" s="1174"/>
      <c r="AD25" s="1176"/>
      <c r="AE25" s="1177"/>
    </row>
    <row r="26" spans="1:36" s="1175" customFormat="1">
      <c r="A26" s="1171"/>
      <c r="B26" s="1172"/>
      <c r="C26" s="1172"/>
      <c r="D26" s="1173"/>
      <c r="E26" s="1174"/>
      <c r="F26" s="1174"/>
      <c r="G26" s="1174"/>
      <c r="H26" s="1174"/>
      <c r="I26" s="1174"/>
      <c r="J26" s="1174"/>
      <c r="K26" s="1174"/>
      <c r="L26" s="1174"/>
      <c r="M26" s="1174"/>
      <c r="N26" s="1174"/>
      <c r="O26" s="1174"/>
      <c r="P26" s="1174"/>
      <c r="Q26" s="1174"/>
      <c r="R26" s="1174"/>
      <c r="S26" s="1174"/>
      <c r="T26" s="1174"/>
      <c r="U26" s="1174"/>
      <c r="V26" s="1174"/>
      <c r="W26" s="1174"/>
      <c r="X26" s="1174"/>
      <c r="Y26" s="1174"/>
      <c r="AD26" s="1176"/>
      <c r="AE26" s="1177"/>
    </row>
    <row r="27" spans="1:36" ht="13.8" thickBot="1">
      <c r="A27" s="139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433"/>
    </row>
    <row r="28" spans="1:36">
      <c r="A28" s="75" t="s">
        <v>235</v>
      </c>
      <c r="B28" s="588"/>
      <c r="C28" s="944" t="str">
        <f>Assm!$T8</f>
        <v>Tranche 1: MLA - OPIC</v>
      </c>
      <c r="D28" s="92"/>
      <c r="E28" s="92"/>
      <c r="F28" s="613"/>
      <c r="G28" s="944" t="str">
        <f>Assm!$T17</f>
        <v>Tranche 2: KFW (Uncovered Loan)</v>
      </c>
      <c r="H28" s="384"/>
      <c r="I28" s="384"/>
      <c r="J28" s="945"/>
      <c r="K28" s="944" t="str">
        <f>Assm!$T26</f>
        <v xml:space="preserve">Tranche 3: </v>
      </c>
      <c r="L28" s="384"/>
      <c r="M28" s="384"/>
      <c r="N28" s="945"/>
      <c r="O28" s="944" t="str">
        <f>Assm!$T35</f>
        <v>Tranche 4:</v>
      </c>
      <c r="P28" s="384"/>
      <c r="Q28" s="384"/>
      <c r="R28" s="945"/>
      <c r="S28" s="944" t="str">
        <f>Assm!$T44</f>
        <v>Tranche 5:</v>
      </c>
      <c r="T28" s="384"/>
      <c r="U28" s="384"/>
      <c r="V28" s="945"/>
      <c r="W28" s="944" t="str">
        <f>Assm!$T53</f>
        <v>Tranche 6: Subordinated Debt</v>
      </c>
      <c r="X28" s="384"/>
      <c r="Y28" s="384"/>
      <c r="Z28" s="945"/>
      <c r="AA28" s="394"/>
      <c r="AB28" s="148"/>
      <c r="AC28" s="394"/>
      <c r="AD28" s="148"/>
      <c r="AE28" s="1183"/>
    </row>
    <row r="29" spans="1:36">
      <c r="A29" s="75" t="s">
        <v>650</v>
      </c>
      <c r="B29" s="9"/>
      <c r="C29" s="3" t="s">
        <v>108</v>
      </c>
      <c r="D29" s="8"/>
      <c r="F29" s="61">
        <f ca="1">Assm!$X9</f>
        <v>75934.802786215441</v>
      </c>
      <c r="G29" s="3" t="s">
        <v>108</v>
      </c>
      <c r="H29" s="8"/>
      <c r="J29" s="61">
        <f>Assm!$X18</f>
        <v>0</v>
      </c>
      <c r="K29" s="3" t="s">
        <v>108</v>
      </c>
      <c r="L29" s="8"/>
      <c r="N29" s="93">
        <f>Assm!$X27</f>
        <v>0</v>
      </c>
      <c r="O29" s="3" t="s">
        <v>108</v>
      </c>
      <c r="P29" s="8"/>
      <c r="R29" s="93">
        <f>Assm!$X36</f>
        <v>0</v>
      </c>
      <c r="S29" s="3" t="s">
        <v>108</v>
      </c>
      <c r="T29" s="8"/>
      <c r="V29" s="93">
        <f>Assm!$X45</f>
        <v>0</v>
      </c>
      <c r="W29" s="3" t="s">
        <v>108</v>
      </c>
      <c r="X29" s="8"/>
      <c r="Z29" s="61">
        <f ca="1">Assm!$X54</f>
        <v>21492.689030245267</v>
      </c>
      <c r="AA29" s="3"/>
      <c r="AB29" s="148"/>
      <c r="AC29" s="3"/>
      <c r="AD29" s="148"/>
      <c r="AE29" s="1184"/>
    </row>
    <row r="30" spans="1:36">
      <c r="A30" s="137"/>
      <c r="B30" s="9"/>
      <c r="C30" s="3" t="s">
        <v>850</v>
      </c>
      <c r="F30" s="941">
        <f>Assm!$U11</f>
        <v>15</v>
      </c>
      <c r="G30" s="3" t="s">
        <v>850</v>
      </c>
      <c r="H30" s="8"/>
      <c r="J30" s="942">
        <f>Assm!$U20</f>
        <v>0</v>
      </c>
      <c r="K30" s="3" t="s">
        <v>850</v>
      </c>
      <c r="L30" s="8"/>
      <c r="N30" s="942">
        <f>Assm!$U29</f>
        <v>0</v>
      </c>
      <c r="O30" s="3" t="s">
        <v>850</v>
      </c>
      <c r="P30" s="8"/>
      <c r="R30" s="942">
        <f>Assm!$U38</f>
        <v>0</v>
      </c>
      <c r="S30" s="3" t="s">
        <v>850</v>
      </c>
      <c r="T30" s="8"/>
      <c r="V30" s="942">
        <f>Assm!$U47</f>
        <v>0</v>
      </c>
      <c r="W30" s="3" t="s">
        <v>850</v>
      </c>
      <c r="X30" s="8"/>
      <c r="Z30" s="942">
        <f>Assm!$U56</f>
        <v>12</v>
      </c>
      <c r="AA30" s="3"/>
      <c r="AB30" s="148"/>
      <c r="AC30" s="3"/>
      <c r="AD30" s="148"/>
      <c r="AE30" s="1184"/>
    </row>
    <row r="31" spans="1:36">
      <c r="A31" s="137"/>
      <c r="B31" s="9"/>
      <c r="C31" s="943" t="s">
        <v>848</v>
      </c>
      <c r="D31" s="940"/>
      <c r="F31" s="942">
        <f ca="1">Assm!$X11</f>
        <v>29</v>
      </c>
      <c r="G31" s="943" t="s">
        <v>848</v>
      </c>
      <c r="H31" s="8"/>
      <c r="I31" s="28"/>
      <c r="J31" s="942">
        <f ca="1">Assm!$X20</f>
        <v>0</v>
      </c>
      <c r="K31" s="943" t="s">
        <v>848</v>
      </c>
      <c r="L31" s="8"/>
      <c r="M31" s="28"/>
      <c r="N31" s="942">
        <f ca="1">Assm!$X29</f>
        <v>0</v>
      </c>
      <c r="O31" s="943" t="s">
        <v>848</v>
      </c>
      <c r="P31" s="8"/>
      <c r="Q31" s="28"/>
      <c r="R31" s="942">
        <f ca="1">Assm!$X38</f>
        <v>0</v>
      </c>
      <c r="S31" s="943" t="s">
        <v>848</v>
      </c>
      <c r="T31" s="8"/>
      <c r="U31" s="28"/>
      <c r="V31" s="942">
        <f ca="1">Assm!$X47</f>
        <v>0</v>
      </c>
      <c r="W31" s="943" t="s">
        <v>848</v>
      </c>
      <c r="X31" s="8"/>
      <c r="Y31" s="28"/>
      <c r="Z31" s="942">
        <f ca="1">Assm!$X56</f>
        <v>23</v>
      </c>
      <c r="AA31" s="3"/>
      <c r="AB31" s="148"/>
      <c r="AC31" s="3"/>
      <c r="AD31" s="148"/>
      <c r="AE31" s="1184"/>
    </row>
    <row r="32" spans="1:36" ht="13.8" thickBot="1">
      <c r="A32" s="137"/>
      <c r="B32" s="9"/>
      <c r="C32" s="3" t="s">
        <v>109</v>
      </c>
      <c r="D32" s="8"/>
      <c r="F32" s="684">
        <f>Assm!$X14</f>
        <v>0.110125</v>
      </c>
      <c r="G32" s="3" t="s">
        <v>109</v>
      </c>
      <c r="H32" s="8"/>
      <c r="J32" s="684">
        <f>Assm!$X23</f>
        <v>9.2700000000000005E-2</v>
      </c>
      <c r="K32" s="3" t="s">
        <v>109</v>
      </c>
      <c r="L32" s="8"/>
      <c r="N32" s="684">
        <f>Assm!$X32</f>
        <v>0</v>
      </c>
      <c r="O32" s="3" t="s">
        <v>109</v>
      </c>
      <c r="P32" s="8"/>
      <c r="R32" s="684">
        <f>Assm!$X41</f>
        <v>0</v>
      </c>
      <c r="S32" s="3" t="s">
        <v>109</v>
      </c>
      <c r="T32" s="8"/>
      <c r="V32" s="684">
        <f>Assm!$X50</f>
        <v>0</v>
      </c>
      <c r="W32" s="3" t="s">
        <v>109</v>
      </c>
      <c r="X32" s="8"/>
      <c r="Z32" s="684">
        <f>Assm!$X59</f>
        <v>0.13</v>
      </c>
      <c r="AA32" s="3"/>
      <c r="AB32" s="148"/>
      <c r="AC32" s="3"/>
      <c r="AD32" s="148"/>
      <c r="AE32" s="1184"/>
    </row>
    <row r="33" spans="1:44">
      <c r="A33" s="137"/>
      <c r="B33" s="9"/>
      <c r="C33" s="3" t="s">
        <v>849</v>
      </c>
      <c r="D33" s="8"/>
      <c r="F33" s="942">
        <f>Assm!$X12</f>
        <v>1</v>
      </c>
      <c r="G33" s="3" t="s">
        <v>849</v>
      </c>
      <c r="H33" s="8"/>
      <c r="J33" s="946">
        <f>Assm!$X21</f>
        <v>1</v>
      </c>
      <c r="K33" s="3" t="s">
        <v>849</v>
      </c>
      <c r="L33" s="8"/>
      <c r="N33" s="942">
        <f>Assm!$X30</f>
        <v>0</v>
      </c>
      <c r="O33" s="3" t="s">
        <v>849</v>
      </c>
      <c r="P33" s="8"/>
      <c r="R33" s="942">
        <f>Assm!$X39</f>
        <v>0</v>
      </c>
      <c r="S33" s="3" t="s">
        <v>849</v>
      </c>
      <c r="T33" s="8"/>
      <c r="V33" s="942">
        <f>Assm!$X48</f>
        <v>0</v>
      </c>
      <c r="W33" s="3" t="s">
        <v>849</v>
      </c>
      <c r="X33" s="8"/>
      <c r="Z33" s="942">
        <f>Assm!$X57</f>
        <v>1</v>
      </c>
      <c r="AA33" s="3"/>
      <c r="AB33" s="148"/>
      <c r="AC33" s="3"/>
      <c r="AD33" s="148"/>
      <c r="AE33" s="1182"/>
      <c r="AG33" s="757" t="s">
        <v>843</v>
      </c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68"/>
    </row>
    <row r="34" spans="1:44">
      <c r="A34" s="137"/>
      <c r="B34" s="9"/>
      <c r="C34" s="3" t="str">
        <f>IF(F34=0,"NOT AMORTIZED",CHOOSE(F34,"STRAIGHT LINE AMORTIZATION","MORTGAGE STYLE AMORTIZATION","CUSTOM AMORTIATION"))</f>
        <v>CUSTOM AMORTIATION</v>
      </c>
      <c r="D34" s="8"/>
      <c r="E34" s="8"/>
      <c r="F34" s="42">
        <f>Assm!$X10</f>
        <v>3</v>
      </c>
      <c r="G34" s="3" t="str">
        <f>IF(J34=0,"NOT AMORTIZED",CHOOSE(J34,"STRAIGHT LINE AMORTIZATION","MORTGAGE STYLE AMORTIZATION","CUSTOM AMORTIATION"))</f>
        <v>MORTGAGE STYLE AMORTIZATION</v>
      </c>
      <c r="H34" s="8"/>
      <c r="I34" s="8"/>
      <c r="J34" s="42">
        <f>Assm!$X19</f>
        <v>2</v>
      </c>
      <c r="K34" s="3" t="str">
        <f>IF(N34=0,"NOT AMORTIZED",CHOOSE(N34,"STRAIGHT LINE AMORTIZATION","MORTGAGE STYLE AMORTIZATION","CUSTOM AMORTIATION"))</f>
        <v>NOT AMORTIZED</v>
      </c>
      <c r="L34" s="8"/>
      <c r="M34" s="8"/>
      <c r="N34" s="42">
        <f>Assm!$X28</f>
        <v>0</v>
      </c>
      <c r="O34" s="3" t="str">
        <f>IF(R34=0,"NOT AMORTIZED",CHOOSE(R34,"STRAIGHT LINE AMORTIZATION","MORTGAGE STYLE AMORTIZATION","CUSTOM AMORTIATION"))</f>
        <v>NOT AMORTIZED</v>
      </c>
      <c r="P34" s="8"/>
      <c r="Q34" s="8"/>
      <c r="R34" s="42">
        <f>Assm!$X37</f>
        <v>0</v>
      </c>
      <c r="S34" s="3" t="str">
        <f>IF(V34=0,"NOT AMORTIZED",CHOOSE(V34,"STRAIGHT LINE AMORTIZATION","MORTGAGE STYLE AMORTIZATION","CUSTOM AMORTIATION"))</f>
        <v>NOT AMORTIZED</v>
      </c>
      <c r="T34" s="8"/>
      <c r="U34" s="8"/>
      <c r="V34" s="42">
        <f>Assm!$X46</f>
        <v>0</v>
      </c>
      <c r="W34" s="3" t="str">
        <f>IF(Z34=0,"NOT AMORTIZED",CHOOSE(Z34,"STRAIGHT LINE AMORTIZATION","MORTGAGE STYLE AMORTIZATION","CUSTOM AMORTIATION"))</f>
        <v>MORTGAGE STYLE AMORTIZATION</v>
      </c>
      <c r="X34" s="8"/>
      <c r="Y34" s="8"/>
      <c r="Z34" s="42">
        <f>Assm!$X55</f>
        <v>2</v>
      </c>
      <c r="AA34" s="69" t="s">
        <v>220</v>
      </c>
      <c r="AB34" s="169" t="s">
        <v>220</v>
      </c>
      <c r="AC34" s="69" t="s">
        <v>220</v>
      </c>
      <c r="AD34" s="169" t="s">
        <v>220</v>
      </c>
      <c r="AE34" s="1182" t="s">
        <v>41</v>
      </c>
      <c r="AG34" s="13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148"/>
    </row>
    <row r="35" spans="1:44">
      <c r="A35" s="137"/>
      <c r="B35" s="9"/>
      <c r="C35" s="3"/>
      <c r="D35" s="8"/>
      <c r="E35" s="8"/>
      <c r="F35" s="9"/>
      <c r="G35" s="3"/>
      <c r="H35" s="8"/>
      <c r="I35" s="8"/>
      <c r="J35" s="9"/>
      <c r="K35" s="3"/>
      <c r="L35" s="8"/>
      <c r="M35" s="8"/>
      <c r="N35" s="9"/>
      <c r="O35" s="3"/>
      <c r="P35" s="8"/>
      <c r="Q35" s="8"/>
      <c r="R35" s="9"/>
      <c r="S35" s="3"/>
      <c r="T35" s="8"/>
      <c r="U35" s="8"/>
      <c r="V35" s="9"/>
      <c r="W35" s="3"/>
      <c r="X35" s="8"/>
      <c r="Y35" s="8"/>
      <c r="Z35" s="9"/>
      <c r="AA35" s="55" t="s">
        <v>823</v>
      </c>
      <c r="AB35" s="169" t="s">
        <v>823</v>
      </c>
      <c r="AC35" s="55" t="s">
        <v>14</v>
      </c>
      <c r="AD35" s="169" t="s">
        <v>14</v>
      </c>
      <c r="AE35" s="1182" t="s">
        <v>42</v>
      </c>
      <c r="AG35" s="934" t="s">
        <v>851</v>
      </c>
      <c r="AH35" s="933" t="s">
        <v>820</v>
      </c>
      <c r="AI35" s="934" t="s">
        <v>852</v>
      </c>
      <c r="AJ35" s="930" t="s">
        <v>820</v>
      </c>
      <c r="AK35" s="934" t="s">
        <v>853</v>
      </c>
      <c r="AL35" s="930" t="s">
        <v>820</v>
      </c>
      <c r="AM35" s="934" t="s">
        <v>854</v>
      </c>
      <c r="AN35" s="930" t="s">
        <v>820</v>
      </c>
      <c r="AO35" s="934" t="s">
        <v>855</v>
      </c>
      <c r="AP35" s="930" t="s">
        <v>820</v>
      </c>
      <c r="AQ35" s="934" t="s">
        <v>856</v>
      </c>
      <c r="AR35" s="931" t="s">
        <v>820</v>
      </c>
    </row>
    <row r="36" spans="1:44">
      <c r="A36" s="548" t="s">
        <v>140</v>
      </c>
      <c r="B36" s="58" t="s">
        <v>232</v>
      </c>
      <c r="C36" s="57" t="s">
        <v>233</v>
      </c>
      <c r="D36" s="59" t="s">
        <v>234</v>
      </c>
      <c r="E36" s="59" t="s">
        <v>235</v>
      </c>
      <c r="F36" s="58" t="s">
        <v>236</v>
      </c>
      <c r="G36" s="57" t="s">
        <v>233</v>
      </c>
      <c r="H36" s="59" t="s">
        <v>234</v>
      </c>
      <c r="I36" s="59" t="s">
        <v>235</v>
      </c>
      <c r="J36" s="58" t="s">
        <v>236</v>
      </c>
      <c r="K36" s="57" t="s">
        <v>233</v>
      </c>
      <c r="L36" s="59" t="s">
        <v>234</v>
      </c>
      <c r="M36" s="59" t="s">
        <v>235</v>
      </c>
      <c r="N36" s="58" t="s">
        <v>236</v>
      </c>
      <c r="O36" s="57" t="s">
        <v>233</v>
      </c>
      <c r="P36" s="59" t="s">
        <v>234</v>
      </c>
      <c r="Q36" s="59" t="s">
        <v>235</v>
      </c>
      <c r="R36" s="58" t="s">
        <v>236</v>
      </c>
      <c r="S36" s="57" t="s">
        <v>233</v>
      </c>
      <c r="T36" s="59" t="s">
        <v>234</v>
      </c>
      <c r="U36" s="59" t="s">
        <v>235</v>
      </c>
      <c r="V36" s="58" t="s">
        <v>236</v>
      </c>
      <c r="W36" s="57" t="s">
        <v>233</v>
      </c>
      <c r="X36" s="59" t="s">
        <v>234</v>
      </c>
      <c r="Y36" s="59" t="s">
        <v>235</v>
      </c>
      <c r="Z36" s="58" t="s">
        <v>236</v>
      </c>
      <c r="AA36" s="59" t="s">
        <v>234</v>
      </c>
      <c r="AB36" s="549" t="s">
        <v>235</v>
      </c>
      <c r="AC36" s="59" t="s">
        <v>234</v>
      </c>
      <c r="AD36" s="549" t="s">
        <v>235</v>
      </c>
      <c r="AE36" s="1184"/>
      <c r="AG36" s="758" t="s">
        <v>235</v>
      </c>
      <c r="AH36" s="58" t="s">
        <v>821</v>
      </c>
      <c r="AI36" s="932" t="s">
        <v>235</v>
      </c>
      <c r="AJ36" s="34" t="s">
        <v>821</v>
      </c>
      <c r="AK36" s="932" t="s">
        <v>235</v>
      </c>
      <c r="AL36" s="34" t="s">
        <v>821</v>
      </c>
      <c r="AM36" s="932" t="s">
        <v>235</v>
      </c>
      <c r="AN36" s="34" t="s">
        <v>821</v>
      </c>
      <c r="AO36" s="932" t="s">
        <v>235</v>
      </c>
      <c r="AP36" s="34" t="s">
        <v>821</v>
      </c>
      <c r="AQ36" s="932" t="s">
        <v>235</v>
      </c>
      <c r="AR36" s="138" t="s">
        <v>821</v>
      </c>
    </row>
    <row r="37" spans="1:44">
      <c r="A37" s="342">
        <f>YEAR(Startops2)</f>
        <v>2001</v>
      </c>
      <c r="B37" s="44">
        <f>IF(MONTH(Startops2)&gt;6, 0, 1)</f>
        <v>0</v>
      </c>
      <c r="C37" s="60">
        <f ca="1">F29</f>
        <v>75934.802786215441</v>
      </c>
      <c r="D37" s="387">
        <f>IF(MONTH(Startops2)&lt;=6, C37*F$32*(7-MONTH(Startops2))/12, 0)</f>
        <v>0</v>
      </c>
      <c r="E37" s="258">
        <f ca="1">IF(F$34=0,0,IF($B37&gt;=F$31,C37,IF(F$33&gt;=$B37, 0, IF(C37&gt;1, CHOOSE(F$34,F$29/(F$31-F$33), -PMT(F$32/2,F$31-$B36,C37,0)-D37,F$29*$AH37)))))*Assm!$X$90</f>
        <v>0</v>
      </c>
      <c r="F37" s="61">
        <f ca="1">C37-E37</f>
        <v>75934.802786215441</v>
      </c>
      <c r="G37" s="60">
        <f>J29</f>
        <v>0</v>
      </c>
      <c r="H37" s="387">
        <f>IF(MONTH(Startops2)&lt;=6, G37*J$32*(7-MONTH(Startops2))/12, 0)</f>
        <v>0</v>
      </c>
      <c r="I37" s="53">
        <f t="shared" ref="I37:I76" ca="1" si="11">IF(J$34=0,0,IF($B37&gt;=J$31,G37,IF(J$33&gt;=$B37, 0, IF(G37&gt;1, CHOOSE(J$34,J$29/(J$31-J$33), -PMT(J$32/2,J$31-$B36,G37,0)-H37,J$29*$AJ37)))))</f>
        <v>0</v>
      </c>
      <c r="J37" s="61">
        <f ca="1">G37-I37</f>
        <v>0</v>
      </c>
      <c r="K37" s="60">
        <f>N29</f>
        <v>0</v>
      </c>
      <c r="L37" s="387">
        <f>IF(MONTH(Startops2)&lt;=6, K37*N$32*(7-MONTH(Startops2))/12, 0)</f>
        <v>0</v>
      </c>
      <c r="M37" s="53">
        <f t="shared" ref="M37:M76" ca="1" si="12">IF(N$34=0,0,IF($B37&gt;=N$31,K37,IF(N$33&gt;=$B37, 0, IF(K37&gt;1, CHOOSE(N$34,N$29/(N$31-N$33), -PMT(N$32/2,N$31-$B36,K37,0)-L37,N$29*$AL37)))))</f>
        <v>0</v>
      </c>
      <c r="N37" s="61">
        <f ca="1">K37-M37</f>
        <v>0</v>
      </c>
      <c r="O37" s="60">
        <f>R29</f>
        <v>0</v>
      </c>
      <c r="P37" s="387">
        <f>IF(MONTH(Startops2)&lt;=6, O37*R$32*(7-MONTH(Startops2))/12, 0)</f>
        <v>0</v>
      </c>
      <c r="Q37" s="53">
        <f t="shared" ref="Q37:Q76" ca="1" si="13">IF(R$34=0,0,IF($B37&gt;=R$31,O37,IF(R$33&gt;=$B37, 0, IF(O37&gt;1, CHOOSE(R$34,R$29/(R$31-R$33), -PMT(R$32/2,R$31-$B36,O37,0)-P37,R$29*$AN37)))))</f>
        <v>0</v>
      </c>
      <c r="R37" s="61">
        <f ca="1">O37-Q37</f>
        <v>0</v>
      </c>
      <c r="S37" s="60">
        <f>V29</f>
        <v>0</v>
      </c>
      <c r="T37" s="387">
        <f>IF(MONTH(Startops2)&lt;=6, S37*V$32*(7-MONTH(Startops2))/12, 0)</f>
        <v>0</v>
      </c>
      <c r="U37" s="53">
        <f t="shared" ref="U37:U76" ca="1" si="14">IF(V$34=0,0,IF($B37&gt;=V$31,S37,IF(V$33&gt;=$B37, 0, IF(S37&gt;1, CHOOSE(V$34,V$29/(V$31-V$33), -PMT(V$32/2,V$31-$B36,S37,0)-T37,V$29*$AP37)))))</f>
        <v>0</v>
      </c>
      <c r="V37" s="61">
        <f ca="1">S37-U37</f>
        <v>0</v>
      </c>
      <c r="W37" s="60">
        <f ca="1">Z29</f>
        <v>21492.689030245267</v>
      </c>
      <c r="X37" s="387">
        <f>IF(MONTH(Startops2)&lt;=6, W37*Z$32*(7-MONTH(Startops2))/12, 0)</f>
        <v>0</v>
      </c>
      <c r="Y37" s="53">
        <f t="shared" ref="Y37:Y76" ca="1" si="15">IF(Z$34=0,0,IF($B37&gt;=Z$31,W37,IF(Z$33&gt;=$B37, 0, IF(W37&gt;1, CHOOSE(Z$34,Z$29/(Z$31-Z$33), -PMT(Z$32/2,Z$31-$B36,W37,0)-X37,Z$29*$AR37)))))</f>
        <v>0</v>
      </c>
      <c r="Z37" s="61">
        <f ca="1">W37-Y37</f>
        <v>21492.689030245267</v>
      </c>
      <c r="AA37" s="53"/>
      <c r="AB37" s="183"/>
      <c r="AC37" s="53"/>
      <c r="AD37" s="183"/>
      <c r="AE37" s="1184"/>
      <c r="AG37" s="935">
        <v>0</v>
      </c>
      <c r="AH37" s="336">
        <f t="shared" ref="AH37:AH76" si="16">IF(AG$77=0,0,AG37/AG$77)</f>
        <v>0</v>
      </c>
      <c r="AI37" s="937">
        <v>0</v>
      </c>
      <c r="AJ37" s="22">
        <f t="shared" ref="AJ37:AJ76" si="17">IF(AI$77=0,0,AI37/AI$77)</f>
        <v>0</v>
      </c>
      <c r="AK37" s="937">
        <v>0</v>
      </c>
      <c r="AL37" s="22">
        <f t="shared" ref="AL37:AL76" si="18">IF(AK$77=0,0,AK37/AK$77)</f>
        <v>0</v>
      </c>
      <c r="AM37" s="937">
        <v>0</v>
      </c>
      <c r="AN37" s="22">
        <f t="shared" ref="AN37:AN76" si="19">IF(AM$77=0,0,AM37/AM$77)</f>
        <v>0</v>
      </c>
      <c r="AO37" s="937">
        <v>0</v>
      </c>
      <c r="AP37" s="22">
        <f t="shared" ref="AP37:AP76" si="20">IF(AO$77=0,0,AO37/AO$77)</f>
        <v>0</v>
      </c>
      <c r="AQ37" s="937">
        <v>0</v>
      </c>
      <c r="AR37" s="191">
        <f t="shared" ref="AR37:AR76" si="21">IF(AQ$77=0,0,AQ37/AQ$77)</f>
        <v>0</v>
      </c>
    </row>
    <row r="38" spans="1:44">
      <c r="A38" s="550">
        <f>A37</f>
        <v>2001</v>
      </c>
      <c r="B38" s="306">
        <f>B37+1</f>
        <v>1</v>
      </c>
      <c r="C38" s="62">
        <f t="shared" ref="C38:C76" ca="1" si="22">F37</f>
        <v>75934.802786215441</v>
      </c>
      <c r="D38" s="63">
        <f ca="1">IF(MONTH(Startops2)&gt;6, C38*F$32*(13-MONTH(Startops2))/12, C38*F$32*0.5)</f>
        <v>3484.300065346657</v>
      </c>
      <c r="E38" s="756">
        <f ca="1">IF(F$34=0,0,IF($B38&gt;=F$31,C38,IF(F$33&gt;=$B38, 0, IF(C38&gt;1, CHOOSE(F$34,F$29/(F$31-F$33), -PMT(F$32/2,F$31-$B37,C38,0)-D38,F$29*$AH38)))))*Assm!$X$90</f>
        <v>0</v>
      </c>
      <c r="F38" s="65">
        <f ca="1">C38-E38</f>
        <v>75934.802786215441</v>
      </c>
      <c r="G38" s="62">
        <f t="shared" ref="G38:G76" ca="1" si="23">J37</f>
        <v>0</v>
      </c>
      <c r="H38" s="63">
        <f ca="1">IF(MONTH(Startops2)&gt;6, G38*J$32*(13-MONTH(Startops2))/12, G38*J$32*0.5)</f>
        <v>0</v>
      </c>
      <c r="I38" s="756">
        <f t="shared" ca="1" si="11"/>
        <v>0</v>
      </c>
      <c r="J38" s="65">
        <f ca="1">G38-I38</f>
        <v>0</v>
      </c>
      <c r="K38" s="62">
        <f t="shared" ref="K38:K76" ca="1" si="24">N37</f>
        <v>0</v>
      </c>
      <c r="L38" s="63">
        <f ca="1">IF(MONTH(Startops2)&gt;6, K38*N$32*(13-MONTH(Startops2))/12, K38*N$32*0.5)</f>
        <v>0</v>
      </c>
      <c r="M38" s="756">
        <f t="shared" ca="1" si="12"/>
        <v>0</v>
      </c>
      <c r="N38" s="65">
        <f ca="1">K38-M38</f>
        <v>0</v>
      </c>
      <c r="O38" s="62">
        <f t="shared" ref="O38:O76" ca="1" si="25">R37</f>
        <v>0</v>
      </c>
      <c r="P38" s="63">
        <f ca="1">IF(MONTH(Startops2)&gt;6, O38*R$32*(13-MONTH(Startops2))/12, O38*R$32*0.5)</f>
        <v>0</v>
      </c>
      <c r="Q38" s="756">
        <f t="shared" ca="1" si="13"/>
        <v>0</v>
      </c>
      <c r="R38" s="65">
        <f ca="1">O38-Q38</f>
        <v>0</v>
      </c>
      <c r="S38" s="62">
        <f t="shared" ref="S38:S76" ca="1" si="26">V37</f>
        <v>0</v>
      </c>
      <c r="T38" s="63">
        <f ca="1">IF(MONTH(Startops2)&gt;6, S38*V$32*(13-MONTH(Startops2))/12, S38*V$32*0.5)</f>
        <v>0</v>
      </c>
      <c r="U38" s="756">
        <f t="shared" ca="1" si="14"/>
        <v>0</v>
      </c>
      <c r="V38" s="65">
        <f ca="1">S38-U38</f>
        <v>0</v>
      </c>
      <c r="W38" s="62">
        <f t="shared" ref="W38:W76" ca="1" si="27">Z37</f>
        <v>21492.689030245267</v>
      </c>
      <c r="X38" s="63">
        <f ca="1">IF(MONTH(Startops2)&gt;6, W38*Z$32*(13-MONTH(Startops2))/12, W38*Z$32*0.5)</f>
        <v>1164.1873224716187</v>
      </c>
      <c r="Y38" s="756">
        <f t="shared" ca="1" si="15"/>
        <v>0</v>
      </c>
      <c r="Z38" s="65">
        <f ca="1">W38-Y38</f>
        <v>21492.689030245267</v>
      </c>
      <c r="AA38" s="64">
        <f ca="1">SUM(D37:D38,H37:H38,L37:L38, P37:P38, T37:T38)</f>
        <v>3484.300065346657</v>
      </c>
      <c r="AB38" s="551">
        <f ca="1">SUM(E37:E38, I37:I38, M37:M38, Q37:Q38, U37:U38)</f>
        <v>0</v>
      </c>
      <c r="AC38" s="64">
        <f ca="1">SUM( X37:X38)</f>
        <v>1164.1873224716187</v>
      </c>
      <c r="AD38" s="551">
        <f ca="1">SUM(Y37:Y38)</f>
        <v>0</v>
      </c>
      <c r="AE38" s="1185">
        <f ca="1">(C37+G37+W37)*IF([4]RAROC!$B$103=1,VLOOKUP(A38,[4]!Guar_Fee_Table,2),IF([4]RAROC!$B$103=2,VLOOKUP(A38,[4]!Guar_Fee_Table,3),IF([4]RAROC!$B$103=3,VLOOKUP(A38,[4]!Guar_Fee_Table,4,0))))*((13-MONTH(Startops2))/12)</f>
        <v>1623.7915302743452</v>
      </c>
      <c r="AG38" s="935">
        <f>3556.85714285714-450</f>
        <v>3106.8571428571399</v>
      </c>
      <c r="AH38" s="336">
        <f t="shared" si="16"/>
        <v>1.55342857142857E-2</v>
      </c>
      <c r="AI38" s="937">
        <v>0</v>
      </c>
      <c r="AJ38" s="22">
        <f t="shared" si="17"/>
        <v>0</v>
      </c>
      <c r="AK38" s="937">
        <v>0</v>
      </c>
      <c r="AL38" s="22">
        <f t="shared" si="18"/>
        <v>0</v>
      </c>
      <c r="AM38" s="937">
        <v>0</v>
      </c>
      <c r="AN38" s="22">
        <f t="shared" si="19"/>
        <v>0</v>
      </c>
      <c r="AO38" s="937">
        <v>0</v>
      </c>
      <c r="AP38" s="22">
        <f t="shared" si="20"/>
        <v>0</v>
      </c>
      <c r="AQ38" s="937">
        <v>0</v>
      </c>
      <c r="AR38" s="191">
        <f t="shared" si="21"/>
        <v>0</v>
      </c>
    </row>
    <row r="39" spans="1:44">
      <c r="A39" s="342">
        <f>A37+1</f>
        <v>2002</v>
      </c>
      <c r="B39" s="44">
        <f t="shared" ref="B39:B54" si="28">B38+1</f>
        <v>2</v>
      </c>
      <c r="C39" s="60">
        <f t="shared" ca="1" si="22"/>
        <v>75934.802786215441</v>
      </c>
      <c r="D39" s="53">
        <f t="shared" ref="D39:D76" ca="1" si="29">C39*F$32*0.5</f>
        <v>4181.1600784159882</v>
      </c>
      <c r="E39" s="258">
        <f ca="1">IF(F$34=0,0,IF($B39&gt;=F$31,C39,IF(F$33&gt;=$B39, 0, IF(C39&gt;1, CHOOSE(F$34,F$29/(F$31-F$33), -PMT(F$32/2,F$31-$B38,C39,0)-D39,F$29*$AH39)))))*Assm!$X$90</f>
        <v>569.45678175176886</v>
      </c>
      <c r="F39" s="61">
        <f t="shared" ref="F39:F54" ca="1" si="30">C39-E39</f>
        <v>75365.346004463674</v>
      </c>
      <c r="G39" s="60">
        <f t="shared" ca="1" si="23"/>
        <v>0</v>
      </c>
      <c r="H39" s="53">
        <f t="shared" ref="H39:H76" ca="1" si="31">G39*J$32*0.5</f>
        <v>0</v>
      </c>
      <c r="I39" s="53">
        <f t="shared" ca="1" si="11"/>
        <v>0</v>
      </c>
      <c r="J39" s="61">
        <f t="shared" ref="J39:J76" ca="1" si="32">G39-I39</f>
        <v>0</v>
      </c>
      <c r="K39" s="60">
        <f t="shared" ca="1" si="24"/>
        <v>0</v>
      </c>
      <c r="L39" s="53">
        <f t="shared" ref="L39:L76" ca="1" si="33">K39*N$32*0.5</f>
        <v>0</v>
      </c>
      <c r="M39" s="53">
        <f t="shared" ca="1" si="12"/>
        <v>0</v>
      </c>
      <c r="N39" s="61">
        <f t="shared" ref="N39:N76" ca="1" si="34">K39-M39</f>
        <v>0</v>
      </c>
      <c r="O39" s="60">
        <f t="shared" ca="1" si="25"/>
        <v>0</v>
      </c>
      <c r="P39" s="53">
        <f t="shared" ref="P39:P76" ca="1" si="35">O39*R$32*0.5</f>
        <v>0</v>
      </c>
      <c r="Q39" s="53">
        <f t="shared" ca="1" si="13"/>
        <v>0</v>
      </c>
      <c r="R39" s="61">
        <f t="shared" ref="R39:R76" ca="1" si="36">O39-Q39</f>
        <v>0</v>
      </c>
      <c r="S39" s="60">
        <f t="shared" ca="1" si="26"/>
        <v>0</v>
      </c>
      <c r="T39" s="53">
        <f t="shared" ref="T39:T76" ca="1" si="37">S39*V$32*0.5</f>
        <v>0</v>
      </c>
      <c r="U39" s="53">
        <f t="shared" ca="1" si="14"/>
        <v>0</v>
      </c>
      <c r="V39" s="61">
        <f t="shared" ref="V39:V76" ca="1" si="38">S39-U39</f>
        <v>0</v>
      </c>
      <c r="W39" s="60">
        <f t="shared" ca="1" si="27"/>
        <v>21492.689030245267</v>
      </c>
      <c r="X39" s="53">
        <f t="shared" ref="X39:X76" ca="1" si="39">W39*Z$32*0.5</f>
        <v>1397.0247869659424</v>
      </c>
      <c r="Y39" s="53">
        <f t="shared" ca="1" si="15"/>
        <v>466.20230913580781</v>
      </c>
      <c r="Z39" s="61">
        <f t="shared" ref="Z39:Z76" ca="1" si="40">W39-Y39</f>
        <v>21026.486721109461</v>
      </c>
      <c r="AA39" s="53"/>
      <c r="AB39" s="183"/>
      <c r="AC39" s="53"/>
      <c r="AD39" s="183"/>
      <c r="AE39" s="1184"/>
      <c r="AG39" s="935">
        <f>-0.142857142856201+1500</f>
        <v>1499.8571428571438</v>
      </c>
      <c r="AH39" s="336">
        <f t="shared" si="16"/>
        <v>7.4992857142857187E-3</v>
      </c>
      <c r="AI39" s="937">
        <v>0</v>
      </c>
      <c r="AJ39" s="22">
        <f t="shared" si="17"/>
        <v>0</v>
      </c>
      <c r="AK39" s="937">
        <v>0</v>
      </c>
      <c r="AL39" s="22">
        <f t="shared" si="18"/>
        <v>0</v>
      </c>
      <c r="AM39" s="937">
        <v>0</v>
      </c>
      <c r="AN39" s="22">
        <f t="shared" si="19"/>
        <v>0</v>
      </c>
      <c r="AO39" s="937">
        <v>0</v>
      </c>
      <c r="AP39" s="22">
        <f t="shared" si="20"/>
        <v>0</v>
      </c>
      <c r="AQ39" s="937">
        <v>0</v>
      </c>
      <c r="AR39" s="191">
        <f t="shared" si="21"/>
        <v>0</v>
      </c>
    </row>
    <row r="40" spans="1:44">
      <c r="A40" s="550">
        <f>A39</f>
        <v>2002</v>
      </c>
      <c r="B40" s="306">
        <f t="shared" si="28"/>
        <v>3</v>
      </c>
      <c r="C40" s="62">
        <f t="shared" ca="1" si="22"/>
        <v>75365.346004463674</v>
      </c>
      <c r="D40" s="64">
        <f t="shared" ca="1" si="29"/>
        <v>4149.8043643707815</v>
      </c>
      <c r="E40" s="756">
        <f ca="1">IF(F$34=0,0,IF($B40&gt;=F$31,C40,IF(F$33&gt;=$B40, 0, IF(C40&gt;1, CHOOSE(F$34,F$29/(F$31-F$33), -PMT(F$32/2,F$31-$B39,C40,0)-D40,F$29*$AH40)))))*Assm!$X$90</f>
        <v>569.45678175176886</v>
      </c>
      <c r="F40" s="65">
        <f t="shared" ca="1" si="30"/>
        <v>74795.889222711907</v>
      </c>
      <c r="G40" s="62">
        <f t="shared" ca="1" si="23"/>
        <v>0</v>
      </c>
      <c r="H40" s="64">
        <f t="shared" ca="1" si="31"/>
        <v>0</v>
      </c>
      <c r="I40" s="64">
        <f t="shared" ca="1" si="11"/>
        <v>0</v>
      </c>
      <c r="J40" s="65">
        <f t="shared" ca="1" si="32"/>
        <v>0</v>
      </c>
      <c r="K40" s="62">
        <f t="shared" ca="1" si="24"/>
        <v>0</v>
      </c>
      <c r="L40" s="64">
        <f t="shared" ca="1" si="33"/>
        <v>0</v>
      </c>
      <c r="M40" s="64">
        <f t="shared" ca="1" si="12"/>
        <v>0</v>
      </c>
      <c r="N40" s="65">
        <f t="shared" ca="1" si="34"/>
        <v>0</v>
      </c>
      <c r="O40" s="62">
        <f t="shared" ca="1" si="25"/>
        <v>0</v>
      </c>
      <c r="P40" s="64">
        <f t="shared" ca="1" si="35"/>
        <v>0</v>
      </c>
      <c r="Q40" s="64">
        <f t="shared" ca="1" si="13"/>
        <v>0</v>
      </c>
      <c r="R40" s="65">
        <f t="shared" ca="1" si="36"/>
        <v>0</v>
      </c>
      <c r="S40" s="62">
        <f t="shared" ca="1" si="26"/>
        <v>0</v>
      </c>
      <c r="T40" s="64">
        <f t="shared" ca="1" si="37"/>
        <v>0</v>
      </c>
      <c r="U40" s="64">
        <f t="shared" ca="1" si="14"/>
        <v>0</v>
      </c>
      <c r="V40" s="65">
        <f t="shared" ca="1" si="38"/>
        <v>0</v>
      </c>
      <c r="W40" s="62">
        <f t="shared" ca="1" si="27"/>
        <v>21026.486721109461</v>
      </c>
      <c r="X40" s="64">
        <f t="shared" ca="1" si="39"/>
        <v>1366.7216368721149</v>
      </c>
      <c r="Y40" s="64">
        <f t="shared" ca="1" si="15"/>
        <v>496.50545922963556</v>
      </c>
      <c r="Z40" s="65">
        <f t="shared" ca="1" si="40"/>
        <v>20529.981261879824</v>
      </c>
      <c r="AA40" s="64">
        <f ca="1">SUM(D39:D40,H39:H40,L39:L40, P39:P40, T39:T40)</f>
        <v>8330.9644427867697</v>
      </c>
      <c r="AB40" s="551">
        <f ca="1">SUM(E39:E40, I39:I40, M39:M40, Q39:Q40, U39:U40)</f>
        <v>1138.9135635035377</v>
      </c>
      <c r="AC40" s="64">
        <f ca="1">SUM( X39:X40)</f>
        <v>2763.7464238380571</v>
      </c>
      <c r="AD40" s="551">
        <f ca="1">SUM(Y39:Y40)</f>
        <v>962.70776836544337</v>
      </c>
      <c r="AE40" s="1185">
        <f ca="1">(C39+G39+W39)*IF([4]RAROC!$B$103=1,VLOOKUP(A40,[4]!Guar_Fee_Table,2),IF([4]RAROC!$B$103=2,VLOOKUP(A40,[4]!Guar_Fee_Table,3),IF([4]RAROC!$B$103=3,VLOOKUP(A40,[4]!Guar_Fee_Table,4,0))))</f>
        <v>3897.0996726584285</v>
      </c>
      <c r="AG40" s="935">
        <f>-0.142857142856201+1500</f>
        <v>1499.8571428571438</v>
      </c>
      <c r="AH40" s="336">
        <f t="shared" si="16"/>
        <v>7.4992857142857187E-3</v>
      </c>
      <c r="AI40" s="937">
        <v>0</v>
      </c>
      <c r="AJ40" s="22">
        <f t="shared" si="17"/>
        <v>0</v>
      </c>
      <c r="AK40" s="937">
        <v>0</v>
      </c>
      <c r="AL40" s="22">
        <f t="shared" si="18"/>
        <v>0</v>
      </c>
      <c r="AM40" s="937">
        <v>0</v>
      </c>
      <c r="AN40" s="22">
        <f t="shared" si="19"/>
        <v>0</v>
      </c>
      <c r="AO40" s="937">
        <v>0</v>
      </c>
      <c r="AP40" s="22">
        <f t="shared" si="20"/>
        <v>0</v>
      </c>
      <c r="AQ40" s="937">
        <v>0</v>
      </c>
      <c r="AR40" s="191">
        <f t="shared" si="21"/>
        <v>0</v>
      </c>
    </row>
    <row r="41" spans="1:44">
      <c r="A41" s="342">
        <f>A39+1</f>
        <v>2003</v>
      </c>
      <c r="B41" s="44">
        <f t="shared" si="28"/>
        <v>4</v>
      </c>
      <c r="C41" s="60">
        <f t="shared" ca="1" si="22"/>
        <v>74795.889222711907</v>
      </c>
      <c r="D41" s="53">
        <f t="shared" ca="1" si="29"/>
        <v>4118.4486503255748</v>
      </c>
      <c r="E41" s="258">
        <f ca="1">IF(F$34=0,0,IF($B41&gt;=F$31,C41,IF(F$33&gt;=$B41, 0, IF(C41&gt;1, CHOOSE(F$34,F$29/(F$31-F$33), -PMT(F$32/2,F$31-$B40,C41,0)-D41,F$29*$AH41)))))*Assm!$X$90</f>
        <v>965.45677828188082</v>
      </c>
      <c r="F41" s="61">
        <f t="shared" ca="1" si="30"/>
        <v>73830.432444430029</v>
      </c>
      <c r="G41" s="60">
        <f t="shared" ca="1" si="23"/>
        <v>0</v>
      </c>
      <c r="H41" s="53">
        <f t="shared" ca="1" si="31"/>
        <v>0</v>
      </c>
      <c r="I41" s="53">
        <f t="shared" ca="1" si="11"/>
        <v>0</v>
      </c>
      <c r="J41" s="61">
        <f t="shared" ca="1" si="32"/>
        <v>0</v>
      </c>
      <c r="K41" s="60">
        <f t="shared" ca="1" si="24"/>
        <v>0</v>
      </c>
      <c r="L41" s="53">
        <f t="shared" ca="1" si="33"/>
        <v>0</v>
      </c>
      <c r="M41" s="53">
        <f t="shared" ca="1" si="12"/>
        <v>0</v>
      </c>
      <c r="N41" s="61">
        <f t="shared" ca="1" si="34"/>
        <v>0</v>
      </c>
      <c r="O41" s="60">
        <f t="shared" ca="1" si="25"/>
        <v>0</v>
      </c>
      <c r="P41" s="53">
        <f t="shared" ca="1" si="35"/>
        <v>0</v>
      </c>
      <c r="Q41" s="53">
        <f t="shared" ca="1" si="13"/>
        <v>0</v>
      </c>
      <c r="R41" s="61">
        <f t="shared" ca="1" si="36"/>
        <v>0</v>
      </c>
      <c r="S41" s="60">
        <f t="shared" ca="1" si="26"/>
        <v>0</v>
      </c>
      <c r="T41" s="53">
        <f t="shared" ca="1" si="37"/>
        <v>0</v>
      </c>
      <c r="U41" s="53">
        <f t="shared" ca="1" si="14"/>
        <v>0</v>
      </c>
      <c r="V41" s="61">
        <f t="shared" ca="1" si="38"/>
        <v>0</v>
      </c>
      <c r="W41" s="60">
        <f t="shared" ca="1" si="27"/>
        <v>20529.981261879824</v>
      </c>
      <c r="X41" s="53">
        <f t="shared" ca="1" si="39"/>
        <v>1334.4487820221887</v>
      </c>
      <c r="Y41" s="53">
        <f t="shared" ca="1" si="15"/>
        <v>528.77831407956137</v>
      </c>
      <c r="Z41" s="61">
        <f t="shared" ca="1" si="40"/>
        <v>20001.202947800262</v>
      </c>
      <c r="AA41" s="53"/>
      <c r="AB41" s="183"/>
      <c r="AC41" s="53"/>
      <c r="AD41" s="183"/>
      <c r="AE41" s="1184"/>
      <c r="AG41" s="935">
        <f>2742.85714285714-200</f>
        <v>2542.8571428571399</v>
      </c>
      <c r="AH41" s="336">
        <f t="shared" si="16"/>
        <v>1.2714285714285699E-2</v>
      </c>
      <c r="AI41" s="937">
        <v>0</v>
      </c>
      <c r="AJ41" s="22">
        <f t="shared" si="17"/>
        <v>0</v>
      </c>
      <c r="AK41" s="937">
        <v>0</v>
      </c>
      <c r="AL41" s="22">
        <f t="shared" si="18"/>
        <v>0</v>
      </c>
      <c r="AM41" s="937">
        <v>0</v>
      </c>
      <c r="AN41" s="22">
        <f t="shared" si="19"/>
        <v>0</v>
      </c>
      <c r="AO41" s="937">
        <v>0</v>
      </c>
      <c r="AP41" s="22">
        <f t="shared" si="20"/>
        <v>0</v>
      </c>
      <c r="AQ41" s="937">
        <v>0</v>
      </c>
      <c r="AR41" s="191">
        <f t="shared" si="21"/>
        <v>0</v>
      </c>
    </row>
    <row r="42" spans="1:44">
      <c r="A42" s="550">
        <f t="shared" ref="A42:A57" si="41">A40+1</f>
        <v>2003</v>
      </c>
      <c r="B42" s="306">
        <f t="shared" si="28"/>
        <v>5</v>
      </c>
      <c r="C42" s="62">
        <f t="shared" ca="1" si="22"/>
        <v>73830.432444430029</v>
      </c>
      <c r="D42" s="64">
        <f t="shared" ca="1" si="29"/>
        <v>4065.2881864714286</v>
      </c>
      <c r="E42" s="756">
        <f ca="1">IF(F$34=0,0,IF($B42&gt;=F$31,C42,IF(F$33&gt;=$B42, 0, IF(C42&gt;1, CHOOSE(F$34,F$29/(F$31-F$33), -PMT(F$32/2,F$31-$B41,C42,0)-D42,F$29*$AH42)))))*Assm!$X$90</f>
        <v>965.45677828188082</v>
      </c>
      <c r="F42" s="65">
        <f t="shared" ca="1" si="30"/>
        <v>72864.975666148152</v>
      </c>
      <c r="G42" s="62">
        <f t="shared" ca="1" si="23"/>
        <v>0</v>
      </c>
      <c r="H42" s="64">
        <f t="shared" ca="1" si="31"/>
        <v>0</v>
      </c>
      <c r="I42" s="64">
        <f t="shared" ca="1" si="11"/>
        <v>0</v>
      </c>
      <c r="J42" s="65">
        <f t="shared" ca="1" si="32"/>
        <v>0</v>
      </c>
      <c r="K42" s="62">
        <f t="shared" ca="1" si="24"/>
        <v>0</v>
      </c>
      <c r="L42" s="64">
        <f t="shared" ca="1" si="33"/>
        <v>0</v>
      </c>
      <c r="M42" s="64">
        <f t="shared" ca="1" si="12"/>
        <v>0</v>
      </c>
      <c r="N42" s="65">
        <f t="shared" ca="1" si="34"/>
        <v>0</v>
      </c>
      <c r="O42" s="62">
        <f t="shared" ca="1" si="25"/>
        <v>0</v>
      </c>
      <c r="P42" s="64">
        <f t="shared" ca="1" si="35"/>
        <v>0</v>
      </c>
      <c r="Q42" s="64">
        <f t="shared" ca="1" si="13"/>
        <v>0</v>
      </c>
      <c r="R42" s="65">
        <f t="shared" ca="1" si="36"/>
        <v>0</v>
      </c>
      <c r="S42" s="62">
        <f t="shared" ca="1" si="26"/>
        <v>0</v>
      </c>
      <c r="T42" s="64">
        <f t="shared" ca="1" si="37"/>
        <v>0</v>
      </c>
      <c r="U42" s="64">
        <f t="shared" ca="1" si="14"/>
        <v>0</v>
      </c>
      <c r="V42" s="65">
        <f t="shared" ca="1" si="38"/>
        <v>0</v>
      </c>
      <c r="W42" s="62">
        <f t="shared" ca="1" si="27"/>
        <v>20001.202947800262</v>
      </c>
      <c r="X42" s="64">
        <f t="shared" ca="1" si="39"/>
        <v>1300.0781916070171</v>
      </c>
      <c r="Y42" s="64">
        <f t="shared" ca="1" si="15"/>
        <v>563.14890449473296</v>
      </c>
      <c r="Z42" s="65">
        <f t="shared" ca="1" si="40"/>
        <v>19438.054043305528</v>
      </c>
      <c r="AA42" s="64">
        <f ca="1">SUM(D41:D42,H41:H42,L41:L42, P41:P42, T41:T42)</f>
        <v>8183.736836797003</v>
      </c>
      <c r="AB42" s="551">
        <f ca="1">SUM(E41:E42, I41:I42, M41:M42, Q41:Q42, U41:U42)</f>
        <v>1930.9135565637616</v>
      </c>
      <c r="AC42" s="64">
        <f ca="1">SUM( X41:X42)</f>
        <v>2634.5269736292057</v>
      </c>
      <c r="AD42" s="551">
        <f ca="1">SUM(Y41:Y42)</f>
        <v>1091.9272185742943</v>
      </c>
      <c r="AE42" s="1185">
        <f ca="1">(C41+G41+W41)*IF([4]RAROC!$B$103=1,VLOOKUP(A42,[4]!Guar_Fee_Table,2),IF([4]RAROC!$B$103=2,VLOOKUP(A42,[4]!Guar_Fee_Table,3),IF([4]RAROC!$B$103=3,VLOOKUP(A42,[4]!Guar_Fee_Table,4,0))))</f>
        <v>3813.0348193836689</v>
      </c>
      <c r="AG42" s="935">
        <f>2742.85714285714-200</f>
        <v>2542.8571428571399</v>
      </c>
      <c r="AH42" s="336">
        <f t="shared" si="16"/>
        <v>1.2714285714285699E-2</v>
      </c>
      <c r="AI42" s="937">
        <v>0</v>
      </c>
      <c r="AJ42" s="22">
        <f t="shared" si="17"/>
        <v>0</v>
      </c>
      <c r="AK42" s="937">
        <v>0</v>
      </c>
      <c r="AL42" s="22">
        <f t="shared" si="18"/>
        <v>0</v>
      </c>
      <c r="AM42" s="937">
        <v>0</v>
      </c>
      <c r="AN42" s="22">
        <f t="shared" si="19"/>
        <v>0</v>
      </c>
      <c r="AO42" s="937">
        <v>0</v>
      </c>
      <c r="AP42" s="22">
        <f t="shared" si="20"/>
        <v>0</v>
      </c>
      <c r="AQ42" s="937">
        <v>0</v>
      </c>
      <c r="AR42" s="191">
        <f t="shared" si="21"/>
        <v>0</v>
      </c>
    </row>
    <row r="43" spans="1:44">
      <c r="A43" s="342">
        <f t="shared" si="41"/>
        <v>2004</v>
      </c>
      <c r="B43" s="44">
        <f t="shared" si="28"/>
        <v>6</v>
      </c>
      <c r="C43" s="60">
        <f t="shared" ca="1" si="22"/>
        <v>72864.975666148152</v>
      </c>
      <c r="D43" s="53">
        <f t="shared" ca="1" si="29"/>
        <v>4012.1277226172824</v>
      </c>
      <c r="E43" s="258">
        <f ca="1">IF(F$34=0,0,IF($B43&gt;=F$31,C43,IF(F$33&gt;=$B43, 0, IF(C43&gt;1, CHOOSE(F$34,F$29/(F$31-F$33), -PMT(F$32/2,F$31-$B42,C43,0)-D43,F$29*$AH43)))))*Assm!$X$90</f>
        <v>2711.9572423648369</v>
      </c>
      <c r="F43" s="61">
        <f t="shared" ca="1" si="30"/>
        <v>70153.018423783316</v>
      </c>
      <c r="G43" s="60">
        <f t="shared" ca="1" si="23"/>
        <v>0</v>
      </c>
      <c r="H43" s="53">
        <f t="shared" ca="1" si="31"/>
        <v>0</v>
      </c>
      <c r="I43" s="53">
        <f t="shared" ca="1" si="11"/>
        <v>0</v>
      </c>
      <c r="J43" s="61">
        <f t="shared" ca="1" si="32"/>
        <v>0</v>
      </c>
      <c r="K43" s="60">
        <f t="shared" ca="1" si="24"/>
        <v>0</v>
      </c>
      <c r="L43" s="53">
        <f t="shared" ca="1" si="33"/>
        <v>0</v>
      </c>
      <c r="M43" s="53">
        <f t="shared" ca="1" si="12"/>
        <v>0</v>
      </c>
      <c r="N43" s="61">
        <f t="shared" ca="1" si="34"/>
        <v>0</v>
      </c>
      <c r="O43" s="60">
        <f t="shared" ca="1" si="25"/>
        <v>0</v>
      </c>
      <c r="P43" s="53">
        <f t="shared" ca="1" si="35"/>
        <v>0</v>
      </c>
      <c r="Q43" s="53">
        <f t="shared" ca="1" si="13"/>
        <v>0</v>
      </c>
      <c r="R43" s="61">
        <f t="shared" ca="1" si="36"/>
        <v>0</v>
      </c>
      <c r="S43" s="60">
        <f t="shared" ca="1" si="26"/>
        <v>0</v>
      </c>
      <c r="T43" s="53">
        <f t="shared" ca="1" si="37"/>
        <v>0</v>
      </c>
      <c r="U43" s="53">
        <f t="shared" ca="1" si="14"/>
        <v>0</v>
      </c>
      <c r="V43" s="61">
        <f t="shared" ca="1" si="38"/>
        <v>0</v>
      </c>
      <c r="W43" s="60">
        <f t="shared" ca="1" si="27"/>
        <v>19438.054043305528</v>
      </c>
      <c r="X43" s="53">
        <f t="shared" ca="1" si="39"/>
        <v>1263.4735128148593</v>
      </c>
      <c r="Y43" s="53">
        <f t="shared" ca="1" si="15"/>
        <v>599.75358328689049</v>
      </c>
      <c r="Z43" s="61">
        <f t="shared" ca="1" si="40"/>
        <v>18838.30046001864</v>
      </c>
      <c r="AA43" s="53"/>
      <c r="AB43" s="183"/>
      <c r="AC43" s="53"/>
      <c r="AD43" s="183"/>
      <c r="AE43" s="1184"/>
      <c r="AG43" s="935">
        <v>7142.8571428571431</v>
      </c>
      <c r="AH43" s="336">
        <f t="shared" si="16"/>
        <v>3.5714285714285712E-2</v>
      </c>
      <c r="AI43" s="937">
        <v>0</v>
      </c>
      <c r="AJ43" s="22">
        <f t="shared" si="17"/>
        <v>0</v>
      </c>
      <c r="AK43" s="937">
        <v>0</v>
      </c>
      <c r="AL43" s="22">
        <f t="shared" si="18"/>
        <v>0</v>
      </c>
      <c r="AM43" s="937">
        <v>0</v>
      </c>
      <c r="AN43" s="22">
        <f t="shared" si="19"/>
        <v>0</v>
      </c>
      <c r="AO43" s="937">
        <v>0</v>
      </c>
      <c r="AP43" s="22">
        <f t="shared" si="20"/>
        <v>0</v>
      </c>
      <c r="AQ43" s="937">
        <v>0</v>
      </c>
      <c r="AR43" s="191">
        <f t="shared" si="21"/>
        <v>0</v>
      </c>
    </row>
    <row r="44" spans="1:44">
      <c r="A44" s="550">
        <f>A43</f>
        <v>2004</v>
      </c>
      <c r="B44" s="306">
        <f t="shared" si="28"/>
        <v>7</v>
      </c>
      <c r="C44" s="62">
        <f t="shared" ca="1" si="22"/>
        <v>70153.018423783316</v>
      </c>
      <c r="D44" s="64">
        <f t="shared" ca="1" si="29"/>
        <v>3862.8005769595688</v>
      </c>
      <c r="E44" s="756">
        <f ca="1">IF(F$34=0,0,IF($B44&gt;=F$31,C44,IF(F$33&gt;=$B44, 0, IF(C44&gt;1, CHOOSE(F$34,F$29/(F$31-F$33), -PMT(F$32/2,F$31-$B43,C44,0)-D44,F$29*$AH44)))))*Assm!$X$90</f>
        <v>2711.9572423648369</v>
      </c>
      <c r="F44" s="65">
        <f t="shared" ca="1" si="30"/>
        <v>67441.061181418481</v>
      </c>
      <c r="G44" s="62">
        <f t="shared" ca="1" si="23"/>
        <v>0</v>
      </c>
      <c r="H44" s="64">
        <f t="shared" ca="1" si="31"/>
        <v>0</v>
      </c>
      <c r="I44" s="64">
        <f t="shared" ca="1" si="11"/>
        <v>0</v>
      </c>
      <c r="J44" s="65">
        <f t="shared" ca="1" si="32"/>
        <v>0</v>
      </c>
      <c r="K44" s="62">
        <f t="shared" ca="1" si="24"/>
        <v>0</v>
      </c>
      <c r="L44" s="64">
        <f t="shared" ca="1" si="33"/>
        <v>0</v>
      </c>
      <c r="M44" s="64">
        <f t="shared" ca="1" si="12"/>
        <v>0</v>
      </c>
      <c r="N44" s="65">
        <f t="shared" ca="1" si="34"/>
        <v>0</v>
      </c>
      <c r="O44" s="62">
        <f t="shared" ca="1" si="25"/>
        <v>0</v>
      </c>
      <c r="P44" s="64">
        <f t="shared" ca="1" si="35"/>
        <v>0</v>
      </c>
      <c r="Q44" s="64">
        <f t="shared" ca="1" si="13"/>
        <v>0</v>
      </c>
      <c r="R44" s="65">
        <f t="shared" ca="1" si="36"/>
        <v>0</v>
      </c>
      <c r="S44" s="62">
        <f t="shared" ca="1" si="26"/>
        <v>0</v>
      </c>
      <c r="T44" s="64">
        <f t="shared" ca="1" si="37"/>
        <v>0</v>
      </c>
      <c r="U44" s="64">
        <f t="shared" ca="1" si="14"/>
        <v>0</v>
      </c>
      <c r="V44" s="65">
        <f t="shared" ca="1" si="38"/>
        <v>0</v>
      </c>
      <c r="W44" s="62">
        <f t="shared" ca="1" si="27"/>
        <v>18838.30046001864</v>
      </c>
      <c r="X44" s="64">
        <f t="shared" ca="1" si="39"/>
        <v>1224.4895299012117</v>
      </c>
      <c r="Y44" s="64">
        <f t="shared" ca="1" si="15"/>
        <v>638.73756620053837</v>
      </c>
      <c r="Z44" s="65">
        <f t="shared" ca="1" si="40"/>
        <v>18199.5628938181</v>
      </c>
      <c r="AA44" s="64">
        <f ca="1">SUM(D43:D44,H43:H44,L43:L44, P43:P44, T43:T44)</f>
        <v>7874.9282995768517</v>
      </c>
      <c r="AB44" s="551">
        <f ca="1">SUM(E43:E44, I43:I44, M43:M44, Q43:Q44, U43:U44)</f>
        <v>5423.9144847296739</v>
      </c>
      <c r="AC44" s="64">
        <f ca="1">SUM( X43:X44)</f>
        <v>2487.963042716071</v>
      </c>
      <c r="AD44" s="551">
        <f ca="1">SUM(Y43:Y44)</f>
        <v>1238.4911494874289</v>
      </c>
      <c r="AE44" s="1185">
        <f ca="1">(C43+G43+W43)*IF([4]RAROC!$B$103=1,VLOOKUP(A44,[4]!Guar_Fee_Table,2),IF([4]RAROC!$B$103=2,VLOOKUP(A44,[4]!Guar_Fee_Table,3),IF([4]RAROC!$B$103=3,VLOOKUP(A44,[4]!Guar_Fee_Table,4,0))))</f>
        <v>0</v>
      </c>
      <c r="AG44" s="935">
        <v>7142.8571428571431</v>
      </c>
      <c r="AH44" s="336">
        <f t="shared" si="16"/>
        <v>3.5714285714285712E-2</v>
      </c>
      <c r="AI44" s="937">
        <v>0</v>
      </c>
      <c r="AJ44" s="22">
        <f t="shared" si="17"/>
        <v>0</v>
      </c>
      <c r="AK44" s="937">
        <v>0</v>
      </c>
      <c r="AL44" s="22">
        <f t="shared" si="18"/>
        <v>0</v>
      </c>
      <c r="AM44" s="937">
        <v>0</v>
      </c>
      <c r="AN44" s="22">
        <f t="shared" si="19"/>
        <v>0</v>
      </c>
      <c r="AO44" s="937">
        <v>0</v>
      </c>
      <c r="AP44" s="22">
        <f t="shared" si="20"/>
        <v>0</v>
      </c>
      <c r="AQ44" s="937">
        <v>0</v>
      </c>
      <c r="AR44" s="191">
        <f t="shared" si="21"/>
        <v>0</v>
      </c>
    </row>
    <row r="45" spans="1:44">
      <c r="A45" s="342">
        <f t="shared" si="41"/>
        <v>2005</v>
      </c>
      <c r="B45" s="44">
        <f t="shared" si="28"/>
        <v>8</v>
      </c>
      <c r="C45" s="60">
        <f t="shared" ca="1" si="22"/>
        <v>67441.061181418481</v>
      </c>
      <c r="D45" s="53">
        <f t="shared" ca="1" si="29"/>
        <v>3713.4734313018553</v>
      </c>
      <c r="E45" s="258">
        <f ca="1">IF(F$34=0,0,IF($B45&gt;=F$31,C45,IF(F$33&gt;=$B45, 0, IF(C45&gt;1, CHOOSE(F$34,F$29/(F$31-F$33), -PMT(F$32/2,F$31-$B44,C45,0)-D45,F$29*$AH45)))))*Assm!$X$90</f>
        <v>3270.1142022734184</v>
      </c>
      <c r="F45" s="61">
        <f t="shared" ca="1" si="30"/>
        <v>64170.946979145061</v>
      </c>
      <c r="G45" s="60">
        <f t="shared" ca="1" si="23"/>
        <v>0</v>
      </c>
      <c r="H45" s="53">
        <f t="shared" ca="1" si="31"/>
        <v>0</v>
      </c>
      <c r="I45" s="53">
        <f t="shared" ca="1" si="11"/>
        <v>0</v>
      </c>
      <c r="J45" s="61">
        <f t="shared" ca="1" si="32"/>
        <v>0</v>
      </c>
      <c r="K45" s="60">
        <f t="shared" ca="1" si="24"/>
        <v>0</v>
      </c>
      <c r="L45" s="53">
        <f t="shared" ca="1" si="33"/>
        <v>0</v>
      </c>
      <c r="M45" s="53">
        <f t="shared" ca="1" si="12"/>
        <v>0</v>
      </c>
      <c r="N45" s="61">
        <f t="shared" ca="1" si="34"/>
        <v>0</v>
      </c>
      <c r="O45" s="60">
        <f t="shared" ca="1" si="25"/>
        <v>0</v>
      </c>
      <c r="P45" s="53">
        <f t="shared" ca="1" si="35"/>
        <v>0</v>
      </c>
      <c r="Q45" s="53">
        <f t="shared" ca="1" si="13"/>
        <v>0</v>
      </c>
      <c r="R45" s="61">
        <f t="shared" ca="1" si="36"/>
        <v>0</v>
      </c>
      <c r="S45" s="60">
        <f t="shared" ca="1" si="26"/>
        <v>0</v>
      </c>
      <c r="T45" s="53">
        <f t="shared" ca="1" si="37"/>
        <v>0</v>
      </c>
      <c r="U45" s="53">
        <f t="shared" ca="1" si="14"/>
        <v>0</v>
      </c>
      <c r="V45" s="61">
        <f t="shared" ca="1" si="38"/>
        <v>0</v>
      </c>
      <c r="W45" s="60">
        <f t="shared" ca="1" si="27"/>
        <v>18199.5628938181</v>
      </c>
      <c r="X45" s="53">
        <f t="shared" ca="1" si="39"/>
        <v>1182.9715880981764</v>
      </c>
      <c r="Y45" s="53">
        <f t="shared" ca="1" si="15"/>
        <v>680.25550800357337</v>
      </c>
      <c r="Z45" s="61">
        <f t="shared" ca="1" si="40"/>
        <v>17519.307385814525</v>
      </c>
      <c r="AA45" s="53"/>
      <c r="AB45" s="183"/>
      <c r="AC45" s="53"/>
      <c r="AD45" s="183"/>
      <c r="AE45" s="1184"/>
      <c r="AG45" s="935">
        <f>8362.95238095238+250</f>
        <v>8612.9523809523798</v>
      </c>
      <c r="AH45" s="336">
        <f t="shared" si="16"/>
        <v>4.3064761904761897E-2</v>
      </c>
      <c r="AI45" s="937">
        <v>0</v>
      </c>
      <c r="AJ45" s="22">
        <f t="shared" si="17"/>
        <v>0</v>
      </c>
      <c r="AK45" s="937">
        <v>0</v>
      </c>
      <c r="AL45" s="22">
        <f t="shared" si="18"/>
        <v>0</v>
      </c>
      <c r="AM45" s="937">
        <v>0</v>
      </c>
      <c r="AN45" s="22">
        <f t="shared" si="19"/>
        <v>0</v>
      </c>
      <c r="AO45" s="937">
        <v>0</v>
      </c>
      <c r="AP45" s="22">
        <f t="shared" si="20"/>
        <v>0</v>
      </c>
      <c r="AQ45" s="937">
        <v>0</v>
      </c>
      <c r="AR45" s="191">
        <f t="shared" si="21"/>
        <v>0</v>
      </c>
    </row>
    <row r="46" spans="1:44">
      <c r="A46" s="550">
        <f>A45</f>
        <v>2005</v>
      </c>
      <c r="B46" s="306">
        <f t="shared" si="28"/>
        <v>9</v>
      </c>
      <c r="C46" s="62">
        <f t="shared" ca="1" si="22"/>
        <v>64170.946979145061</v>
      </c>
      <c r="D46" s="64">
        <f t="shared" ca="1" si="29"/>
        <v>3533.4127680391748</v>
      </c>
      <c r="E46" s="756">
        <f ca="1">IF(F$34=0,0,IF($B46&gt;=F$31,C46,IF(F$33&gt;=$B46, 0, IF(C46&gt;1, CHOOSE(F$34,F$29/(F$31-F$33), -PMT(F$32/2,F$31-$B45,C46,0)-D46,F$29*$AH46)))))*Assm!$X$90</f>
        <v>3615.6175549506984</v>
      </c>
      <c r="F46" s="65">
        <f t="shared" ca="1" si="30"/>
        <v>60555.329424194366</v>
      </c>
      <c r="G46" s="62">
        <f t="shared" ca="1" si="23"/>
        <v>0</v>
      </c>
      <c r="H46" s="64">
        <f t="shared" ca="1" si="31"/>
        <v>0</v>
      </c>
      <c r="I46" s="64">
        <f t="shared" ca="1" si="11"/>
        <v>0</v>
      </c>
      <c r="J46" s="65">
        <f t="shared" ca="1" si="32"/>
        <v>0</v>
      </c>
      <c r="K46" s="62">
        <f t="shared" ca="1" si="24"/>
        <v>0</v>
      </c>
      <c r="L46" s="64">
        <f t="shared" ca="1" si="33"/>
        <v>0</v>
      </c>
      <c r="M46" s="64">
        <f t="shared" ca="1" si="12"/>
        <v>0</v>
      </c>
      <c r="N46" s="65">
        <f t="shared" ca="1" si="34"/>
        <v>0</v>
      </c>
      <c r="O46" s="62">
        <f t="shared" ca="1" si="25"/>
        <v>0</v>
      </c>
      <c r="P46" s="64">
        <f t="shared" ca="1" si="35"/>
        <v>0</v>
      </c>
      <c r="Q46" s="64">
        <f t="shared" ca="1" si="13"/>
        <v>0</v>
      </c>
      <c r="R46" s="65">
        <f t="shared" ca="1" si="36"/>
        <v>0</v>
      </c>
      <c r="S46" s="62">
        <f t="shared" ca="1" si="26"/>
        <v>0</v>
      </c>
      <c r="T46" s="64">
        <f t="shared" ca="1" si="37"/>
        <v>0</v>
      </c>
      <c r="U46" s="64">
        <f t="shared" ca="1" si="14"/>
        <v>0</v>
      </c>
      <c r="V46" s="65">
        <f t="shared" ca="1" si="38"/>
        <v>0</v>
      </c>
      <c r="W46" s="62">
        <f t="shared" ca="1" si="27"/>
        <v>17519.307385814525</v>
      </c>
      <c r="X46" s="64">
        <f t="shared" ca="1" si="39"/>
        <v>1138.7549800779441</v>
      </c>
      <c r="Y46" s="64">
        <f t="shared" ca="1" si="15"/>
        <v>724.47211602380548</v>
      </c>
      <c r="Z46" s="65">
        <f t="shared" ca="1" si="40"/>
        <v>16794.835269790721</v>
      </c>
      <c r="AA46" s="64">
        <f ca="1">SUM(D45:D46,H45:H46,L45:L46, P45:P46, T45:T46)</f>
        <v>7246.8861993410301</v>
      </c>
      <c r="AB46" s="551">
        <f ca="1">SUM(E45:E46, I45:I46, M45:M46, Q45:Q46, U45:U46)</f>
        <v>6885.7317572241172</v>
      </c>
      <c r="AC46" s="64">
        <f ca="1">SUM( X45:X46)</f>
        <v>2321.7265681761205</v>
      </c>
      <c r="AD46" s="551">
        <f ca="1">SUM(Y45:Y46)</f>
        <v>1404.7276240273789</v>
      </c>
      <c r="AE46" s="1185">
        <f ca="1">(C45+G45+W45)*IF([4]RAROC!$B$103=1,VLOOKUP(A46,[4]!Guar_Fee_Table,2),IF([4]RAROC!$B$103=2,VLOOKUP(A46,[4]!Guar_Fee_Table,3),IF([4]RAROC!$B$103=3,VLOOKUP(A46,[4]!Guar_Fee_Table,4,0))))</f>
        <v>0</v>
      </c>
      <c r="AG46" s="935">
        <f>8362.95238095238+2660-1500</f>
        <v>9522.9523809523798</v>
      </c>
      <c r="AH46" s="336">
        <f t="shared" si="16"/>
        <v>4.7614761904761896E-2</v>
      </c>
      <c r="AI46" s="937">
        <v>0</v>
      </c>
      <c r="AJ46" s="22">
        <f t="shared" si="17"/>
        <v>0</v>
      </c>
      <c r="AK46" s="937">
        <v>0</v>
      </c>
      <c r="AL46" s="22">
        <f t="shared" si="18"/>
        <v>0</v>
      </c>
      <c r="AM46" s="937">
        <v>0</v>
      </c>
      <c r="AN46" s="22">
        <f t="shared" si="19"/>
        <v>0</v>
      </c>
      <c r="AO46" s="937">
        <v>0</v>
      </c>
      <c r="AP46" s="22">
        <f t="shared" si="20"/>
        <v>0</v>
      </c>
      <c r="AQ46" s="937">
        <v>0</v>
      </c>
      <c r="AR46" s="191">
        <f t="shared" si="21"/>
        <v>0</v>
      </c>
    </row>
    <row r="47" spans="1:44">
      <c r="A47" s="342">
        <f t="shared" si="41"/>
        <v>2006</v>
      </c>
      <c r="B47" s="44">
        <f t="shared" si="28"/>
        <v>10</v>
      </c>
      <c r="C47" s="60">
        <f t="shared" ca="1" si="22"/>
        <v>60555.329424194366</v>
      </c>
      <c r="D47" s="53">
        <f t="shared" ca="1" si="29"/>
        <v>3334.3278264197024</v>
      </c>
      <c r="E47" s="258">
        <f ca="1">IF(F$34=0,0,IF($B47&gt;=F$31,C47,IF(F$33&gt;=$B47, 0, IF(C47&gt;1, CHOOSE(F$34,F$29/(F$31-F$33), -PMT(F$32/2,F$31-$B46,C47,0)-D47,F$29*$AH47)))))*Assm!$X$90</f>
        <v>3615.6175549506984</v>
      </c>
      <c r="F47" s="61">
        <f t="shared" ca="1" si="30"/>
        <v>56939.711869243671</v>
      </c>
      <c r="G47" s="60">
        <f t="shared" ca="1" si="23"/>
        <v>0</v>
      </c>
      <c r="H47" s="53">
        <f t="shared" ca="1" si="31"/>
        <v>0</v>
      </c>
      <c r="I47" s="53">
        <f t="shared" ca="1" si="11"/>
        <v>0</v>
      </c>
      <c r="J47" s="61">
        <f t="shared" ca="1" si="32"/>
        <v>0</v>
      </c>
      <c r="K47" s="60">
        <f t="shared" ca="1" si="24"/>
        <v>0</v>
      </c>
      <c r="L47" s="53">
        <f t="shared" ca="1" si="33"/>
        <v>0</v>
      </c>
      <c r="M47" s="53">
        <f t="shared" ca="1" si="12"/>
        <v>0</v>
      </c>
      <c r="N47" s="61">
        <f t="shared" ca="1" si="34"/>
        <v>0</v>
      </c>
      <c r="O47" s="60">
        <f t="shared" ca="1" si="25"/>
        <v>0</v>
      </c>
      <c r="P47" s="53">
        <f t="shared" ca="1" si="35"/>
        <v>0</v>
      </c>
      <c r="Q47" s="53">
        <f t="shared" ca="1" si="13"/>
        <v>0</v>
      </c>
      <c r="R47" s="61">
        <f t="shared" ca="1" si="36"/>
        <v>0</v>
      </c>
      <c r="S47" s="60">
        <f t="shared" ca="1" si="26"/>
        <v>0</v>
      </c>
      <c r="T47" s="53">
        <f t="shared" ca="1" si="37"/>
        <v>0</v>
      </c>
      <c r="U47" s="53">
        <f t="shared" ca="1" si="14"/>
        <v>0</v>
      </c>
      <c r="V47" s="61">
        <f t="shared" ca="1" si="38"/>
        <v>0</v>
      </c>
      <c r="W47" s="60">
        <f t="shared" ca="1" si="27"/>
        <v>16794.835269790721</v>
      </c>
      <c r="X47" s="53">
        <f t="shared" ca="1" si="39"/>
        <v>1091.6642925363969</v>
      </c>
      <c r="Y47" s="53">
        <f t="shared" ca="1" si="15"/>
        <v>771.56280356535262</v>
      </c>
      <c r="Z47" s="61">
        <f t="shared" ca="1" si="40"/>
        <v>16023.272466225368</v>
      </c>
      <c r="AA47" s="53"/>
      <c r="AB47" s="183"/>
      <c r="AC47" s="53"/>
      <c r="AD47" s="183"/>
      <c r="AE47" s="1184"/>
      <c r="AG47" s="935">
        <f>8362.95238095238+2660-1500</f>
        <v>9522.9523809523798</v>
      </c>
      <c r="AH47" s="336">
        <f t="shared" si="16"/>
        <v>4.7614761904761896E-2</v>
      </c>
      <c r="AI47" s="937">
        <v>0</v>
      </c>
      <c r="AJ47" s="22">
        <f t="shared" si="17"/>
        <v>0</v>
      </c>
      <c r="AK47" s="937">
        <v>0</v>
      </c>
      <c r="AL47" s="22">
        <f t="shared" si="18"/>
        <v>0</v>
      </c>
      <c r="AM47" s="937">
        <v>0</v>
      </c>
      <c r="AN47" s="22">
        <f t="shared" si="19"/>
        <v>0</v>
      </c>
      <c r="AO47" s="937">
        <v>0</v>
      </c>
      <c r="AP47" s="22">
        <f t="shared" si="20"/>
        <v>0</v>
      </c>
      <c r="AQ47" s="937">
        <v>0</v>
      </c>
      <c r="AR47" s="191">
        <f t="shared" si="21"/>
        <v>0</v>
      </c>
    </row>
    <row r="48" spans="1:44">
      <c r="A48" s="550">
        <f>A47</f>
        <v>2006</v>
      </c>
      <c r="B48" s="306">
        <f t="shared" si="28"/>
        <v>11</v>
      </c>
      <c r="C48" s="62">
        <f t="shared" ca="1" si="22"/>
        <v>56939.711869243671</v>
      </c>
      <c r="D48" s="64">
        <f t="shared" ca="1" si="29"/>
        <v>3135.2428848002296</v>
      </c>
      <c r="E48" s="756">
        <f ca="1">IF(F$34=0,0,IF($B48&gt;=F$31,C48,IF(F$33&gt;=$B48, 0, IF(C48&gt;1, CHOOSE(F$34,F$29/(F$31-F$33), -PMT(F$32/2,F$31-$B47,C48,0)-D48,F$29*$AH48)))))*Assm!$X$90</f>
        <v>4185.128575847315</v>
      </c>
      <c r="F48" s="65">
        <f t="shared" ca="1" si="30"/>
        <v>52754.583293396354</v>
      </c>
      <c r="G48" s="62">
        <f t="shared" ca="1" si="23"/>
        <v>0</v>
      </c>
      <c r="H48" s="64">
        <f t="shared" ca="1" si="31"/>
        <v>0</v>
      </c>
      <c r="I48" s="64">
        <f t="shared" ca="1" si="11"/>
        <v>0</v>
      </c>
      <c r="J48" s="65">
        <f t="shared" ca="1" si="32"/>
        <v>0</v>
      </c>
      <c r="K48" s="62">
        <f t="shared" ca="1" si="24"/>
        <v>0</v>
      </c>
      <c r="L48" s="64">
        <f t="shared" ca="1" si="33"/>
        <v>0</v>
      </c>
      <c r="M48" s="64">
        <f t="shared" ca="1" si="12"/>
        <v>0</v>
      </c>
      <c r="N48" s="65">
        <f t="shared" ca="1" si="34"/>
        <v>0</v>
      </c>
      <c r="O48" s="62">
        <f t="shared" ca="1" si="25"/>
        <v>0</v>
      </c>
      <c r="P48" s="64">
        <f t="shared" ca="1" si="35"/>
        <v>0</v>
      </c>
      <c r="Q48" s="64">
        <f t="shared" ca="1" si="13"/>
        <v>0</v>
      </c>
      <c r="R48" s="65">
        <f t="shared" ca="1" si="36"/>
        <v>0</v>
      </c>
      <c r="S48" s="62">
        <f t="shared" ca="1" si="26"/>
        <v>0</v>
      </c>
      <c r="T48" s="64">
        <f t="shared" ca="1" si="37"/>
        <v>0</v>
      </c>
      <c r="U48" s="64">
        <f t="shared" ca="1" si="14"/>
        <v>0</v>
      </c>
      <c r="V48" s="65">
        <f t="shared" ca="1" si="38"/>
        <v>0</v>
      </c>
      <c r="W48" s="62">
        <f t="shared" ca="1" si="27"/>
        <v>16023.272466225368</v>
      </c>
      <c r="X48" s="64">
        <f t="shared" ca="1" si="39"/>
        <v>1041.5127103046489</v>
      </c>
      <c r="Y48" s="64">
        <f t="shared" ca="1" si="15"/>
        <v>821.71438579710048</v>
      </c>
      <c r="Z48" s="65">
        <f t="shared" ca="1" si="40"/>
        <v>15201.558080428267</v>
      </c>
      <c r="AA48" s="64">
        <f ca="1">SUM(D47:D48,H47:H48,L47:L48, P47:P48, T47:T48)</f>
        <v>6469.5707112199325</v>
      </c>
      <c r="AB48" s="551">
        <f ca="1">SUM(E47:E48, I47:I48, M47:M48, Q47:Q48, U47:U48)</f>
        <v>7800.7461307980138</v>
      </c>
      <c r="AC48" s="64">
        <f ca="1">SUM( X47:X48)</f>
        <v>2133.1770028410456</v>
      </c>
      <c r="AD48" s="551">
        <f ca="1">SUM(Y47:Y48)</f>
        <v>1593.2771893624531</v>
      </c>
      <c r="AE48" s="1185">
        <f ca="1">(C47+G47+W47)*IF([4]RAROC!$B$103=1,VLOOKUP(A48,[4]!Guar_Fee_Table,2),IF([4]RAROC!$B$103=2,VLOOKUP(A48,[4]!Guar_Fee_Table,3),IF([4]RAROC!$B$103=3,VLOOKUP(A48,[4]!Guar_Fee_Table,4,0))))</f>
        <v>0</v>
      </c>
      <c r="AG48" s="935">
        <f>8362.95238095238+2660</f>
        <v>11022.95238095238</v>
      </c>
      <c r="AH48" s="336">
        <f t="shared" si="16"/>
        <v>5.5114761904761903E-2</v>
      </c>
      <c r="AI48" s="937">
        <v>0</v>
      </c>
      <c r="AJ48" s="22">
        <f t="shared" si="17"/>
        <v>0</v>
      </c>
      <c r="AK48" s="937">
        <v>0</v>
      </c>
      <c r="AL48" s="22">
        <f t="shared" si="18"/>
        <v>0</v>
      </c>
      <c r="AM48" s="937">
        <v>0</v>
      </c>
      <c r="AN48" s="22">
        <f t="shared" si="19"/>
        <v>0</v>
      </c>
      <c r="AO48" s="937">
        <v>0</v>
      </c>
      <c r="AP48" s="22">
        <f t="shared" si="20"/>
        <v>0</v>
      </c>
      <c r="AQ48" s="937">
        <v>0</v>
      </c>
      <c r="AR48" s="191">
        <f t="shared" si="21"/>
        <v>0</v>
      </c>
    </row>
    <row r="49" spans="1:44">
      <c r="A49" s="342">
        <f t="shared" si="41"/>
        <v>2007</v>
      </c>
      <c r="B49" s="44">
        <f t="shared" si="28"/>
        <v>12</v>
      </c>
      <c r="C49" s="60">
        <f t="shared" ca="1" si="22"/>
        <v>52754.583293396354</v>
      </c>
      <c r="D49" s="53">
        <f t="shared" ca="1" si="29"/>
        <v>2904.7992425926368</v>
      </c>
      <c r="E49" s="258">
        <f ca="1">IF(F$34=0,0,IF($B49&gt;=F$31,C49,IF(F$33&gt;=$B49, 0, IF(C49&gt;1, CHOOSE(F$34,F$29/(F$31-F$33), -PMT(F$32/2,F$31-$B48,C49,0)-D49,F$29*$AH49)))))*Assm!$X$90</f>
        <v>4185.128575847315</v>
      </c>
      <c r="F49" s="61">
        <f t="shared" ca="1" si="30"/>
        <v>48569.454717549037</v>
      </c>
      <c r="G49" s="60">
        <f t="shared" ca="1" si="23"/>
        <v>0</v>
      </c>
      <c r="H49" s="53">
        <f t="shared" ca="1" si="31"/>
        <v>0</v>
      </c>
      <c r="I49" s="53">
        <f t="shared" ca="1" si="11"/>
        <v>0</v>
      </c>
      <c r="J49" s="61">
        <f t="shared" ca="1" si="32"/>
        <v>0</v>
      </c>
      <c r="K49" s="60">
        <f t="shared" ca="1" si="24"/>
        <v>0</v>
      </c>
      <c r="L49" s="53">
        <f t="shared" ca="1" si="33"/>
        <v>0</v>
      </c>
      <c r="M49" s="53">
        <f t="shared" ca="1" si="12"/>
        <v>0</v>
      </c>
      <c r="N49" s="61">
        <f t="shared" ca="1" si="34"/>
        <v>0</v>
      </c>
      <c r="O49" s="60">
        <f t="shared" ca="1" si="25"/>
        <v>0</v>
      </c>
      <c r="P49" s="53">
        <f t="shared" ca="1" si="35"/>
        <v>0</v>
      </c>
      <c r="Q49" s="53">
        <f t="shared" ca="1" si="13"/>
        <v>0</v>
      </c>
      <c r="R49" s="61">
        <f t="shared" ca="1" si="36"/>
        <v>0</v>
      </c>
      <c r="S49" s="60">
        <f t="shared" ca="1" si="26"/>
        <v>0</v>
      </c>
      <c r="T49" s="53">
        <f t="shared" ca="1" si="37"/>
        <v>0</v>
      </c>
      <c r="U49" s="53">
        <f t="shared" ca="1" si="14"/>
        <v>0</v>
      </c>
      <c r="V49" s="61">
        <f t="shared" ca="1" si="38"/>
        <v>0</v>
      </c>
      <c r="W49" s="60">
        <f t="shared" ca="1" si="27"/>
        <v>15201.558080428267</v>
      </c>
      <c r="X49" s="53">
        <f t="shared" ca="1" si="39"/>
        <v>988.10127522783739</v>
      </c>
      <c r="Y49" s="53">
        <f t="shared" ca="1" si="15"/>
        <v>875.12582087391172</v>
      </c>
      <c r="Z49" s="61">
        <f t="shared" ca="1" si="40"/>
        <v>14326.432259554356</v>
      </c>
      <c r="AA49" s="53"/>
      <c r="AB49" s="183"/>
      <c r="AC49" s="53"/>
      <c r="AD49" s="183"/>
      <c r="AE49" s="1184"/>
      <c r="AG49" s="935">
        <f>8362.95238095238+2660</f>
        <v>11022.95238095238</v>
      </c>
      <c r="AH49" s="336">
        <f t="shared" si="16"/>
        <v>5.5114761904761903E-2</v>
      </c>
      <c r="AI49" s="937">
        <v>0</v>
      </c>
      <c r="AJ49" s="22">
        <f t="shared" si="17"/>
        <v>0</v>
      </c>
      <c r="AK49" s="937">
        <v>0</v>
      </c>
      <c r="AL49" s="22">
        <f t="shared" si="18"/>
        <v>0</v>
      </c>
      <c r="AM49" s="937">
        <v>0</v>
      </c>
      <c r="AN49" s="22">
        <f t="shared" si="19"/>
        <v>0</v>
      </c>
      <c r="AO49" s="937">
        <v>0</v>
      </c>
      <c r="AP49" s="22">
        <f t="shared" si="20"/>
        <v>0</v>
      </c>
      <c r="AQ49" s="937">
        <v>0</v>
      </c>
      <c r="AR49" s="191">
        <f t="shared" si="21"/>
        <v>0</v>
      </c>
    </row>
    <row r="50" spans="1:44">
      <c r="A50" s="550">
        <f>A49</f>
        <v>2007</v>
      </c>
      <c r="B50" s="306">
        <f t="shared" si="28"/>
        <v>13</v>
      </c>
      <c r="C50" s="62">
        <f t="shared" ca="1" si="22"/>
        <v>48569.454717549037</v>
      </c>
      <c r="D50" s="64">
        <f t="shared" ca="1" si="29"/>
        <v>2674.355600385044</v>
      </c>
      <c r="E50" s="756">
        <f ca="1">IF(F$34=0,0,IF($B50&gt;=F$31,C50,IF(F$33&gt;=$B50, 0, IF(C50&gt;1, CHOOSE(F$34,F$29/(F$31-F$33), -PMT(F$32/2,F$31-$B49,C50,0)-D50,F$29*$AH50)))))*Assm!$X$90</f>
        <v>4185.128575847315</v>
      </c>
      <c r="F50" s="65">
        <f t="shared" ca="1" si="30"/>
        <v>44384.32614170172</v>
      </c>
      <c r="G50" s="62">
        <f t="shared" ca="1" si="23"/>
        <v>0</v>
      </c>
      <c r="H50" s="64">
        <f t="shared" ca="1" si="31"/>
        <v>0</v>
      </c>
      <c r="I50" s="64">
        <f t="shared" ca="1" si="11"/>
        <v>0</v>
      </c>
      <c r="J50" s="65">
        <f t="shared" ca="1" si="32"/>
        <v>0</v>
      </c>
      <c r="K50" s="62">
        <f t="shared" ca="1" si="24"/>
        <v>0</v>
      </c>
      <c r="L50" s="64">
        <f t="shared" ca="1" si="33"/>
        <v>0</v>
      </c>
      <c r="M50" s="64">
        <f t="shared" ca="1" si="12"/>
        <v>0</v>
      </c>
      <c r="N50" s="65">
        <f t="shared" ca="1" si="34"/>
        <v>0</v>
      </c>
      <c r="O50" s="62">
        <f t="shared" ca="1" si="25"/>
        <v>0</v>
      </c>
      <c r="P50" s="64">
        <f t="shared" ca="1" si="35"/>
        <v>0</v>
      </c>
      <c r="Q50" s="64">
        <f t="shared" ca="1" si="13"/>
        <v>0</v>
      </c>
      <c r="R50" s="65">
        <f t="shared" ca="1" si="36"/>
        <v>0</v>
      </c>
      <c r="S50" s="62">
        <f t="shared" ca="1" si="26"/>
        <v>0</v>
      </c>
      <c r="T50" s="64">
        <f t="shared" ca="1" si="37"/>
        <v>0</v>
      </c>
      <c r="U50" s="64">
        <f t="shared" ca="1" si="14"/>
        <v>0</v>
      </c>
      <c r="V50" s="65">
        <f t="shared" ca="1" si="38"/>
        <v>0</v>
      </c>
      <c r="W50" s="62">
        <f t="shared" ca="1" si="27"/>
        <v>14326.432259554356</v>
      </c>
      <c r="X50" s="64">
        <f t="shared" ca="1" si="39"/>
        <v>931.21809687103314</v>
      </c>
      <c r="Y50" s="64">
        <f t="shared" ca="1" si="15"/>
        <v>932.0089992307162</v>
      </c>
      <c r="Z50" s="65">
        <f t="shared" ca="1" si="40"/>
        <v>13394.42326032364</v>
      </c>
      <c r="AA50" s="64">
        <f ca="1">SUM(D49:D50,H49:H50,L49:L50, P49:P50, T49:T50)</f>
        <v>5579.1548429776813</v>
      </c>
      <c r="AB50" s="551">
        <f ca="1">SUM(E49:E50, I49:I50, M49:M50, Q49:Q50, U49:U50)</f>
        <v>8370.25715169463</v>
      </c>
      <c r="AC50" s="64">
        <f ca="1">SUM( X49:X50)</f>
        <v>1919.3193720988706</v>
      </c>
      <c r="AD50" s="551">
        <f ca="1">SUM(Y49:Y50)</f>
        <v>1807.134820104628</v>
      </c>
      <c r="AE50" s="1185">
        <f ca="1">(C49+G49+W49)*IF([4]RAROC!$B$103=1,VLOOKUP(A50,[4]!Guar_Fee_Table,2),IF([4]RAROC!$B$103=2,VLOOKUP(A50,[4]!Guar_Fee_Table,3),IF([4]RAROC!$B$103=3,VLOOKUP(A50,[4]!Guar_Fee_Table,4,0))))</f>
        <v>0</v>
      </c>
      <c r="AG50" s="935">
        <f>8362.95238095238+2660</f>
        <v>11022.95238095238</v>
      </c>
      <c r="AH50" s="336">
        <f t="shared" si="16"/>
        <v>5.5114761904761903E-2</v>
      </c>
      <c r="AI50" s="937">
        <v>0</v>
      </c>
      <c r="AJ50" s="22">
        <f t="shared" si="17"/>
        <v>0</v>
      </c>
      <c r="AK50" s="937">
        <v>0</v>
      </c>
      <c r="AL50" s="22">
        <f t="shared" si="18"/>
        <v>0</v>
      </c>
      <c r="AM50" s="937">
        <v>0</v>
      </c>
      <c r="AN50" s="22">
        <f t="shared" si="19"/>
        <v>0</v>
      </c>
      <c r="AO50" s="937">
        <v>0</v>
      </c>
      <c r="AP50" s="22">
        <f t="shared" si="20"/>
        <v>0</v>
      </c>
      <c r="AQ50" s="937">
        <v>0</v>
      </c>
      <c r="AR50" s="191">
        <f t="shared" si="21"/>
        <v>0</v>
      </c>
    </row>
    <row r="51" spans="1:44">
      <c r="A51" s="342">
        <f t="shared" si="41"/>
        <v>2008</v>
      </c>
      <c r="B51" s="44">
        <f t="shared" si="28"/>
        <v>14</v>
      </c>
      <c r="C51" s="60">
        <f t="shared" ca="1" si="22"/>
        <v>44384.32614170172</v>
      </c>
      <c r="D51" s="53">
        <f t="shared" ca="1" si="29"/>
        <v>2443.9119581774512</v>
      </c>
      <c r="E51" s="258">
        <f ca="1">IF(F$34=0,0,IF($B51&gt;=F$31,C51,IF(F$33&gt;=$B51, 0, IF(C51&gt;1, CHOOSE(F$34,F$29/(F$31-F$33), -PMT(F$32/2,F$31-$B50,C51,0)-D51,F$29*$AH51)))))*Assm!$X$90</f>
        <v>4185.128575847315</v>
      </c>
      <c r="F51" s="61">
        <f t="shared" ca="1" si="30"/>
        <v>40199.197565854403</v>
      </c>
      <c r="G51" s="60">
        <f t="shared" ca="1" si="23"/>
        <v>0</v>
      </c>
      <c r="H51" s="53">
        <f t="shared" ca="1" si="31"/>
        <v>0</v>
      </c>
      <c r="I51" s="53">
        <f t="shared" ca="1" si="11"/>
        <v>0</v>
      </c>
      <c r="J51" s="61">
        <f t="shared" ca="1" si="32"/>
        <v>0</v>
      </c>
      <c r="K51" s="60">
        <f t="shared" ca="1" si="24"/>
        <v>0</v>
      </c>
      <c r="L51" s="53">
        <f t="shared" ca="1" si="33"/>
        <v>0</v>
      </c>
      <c r="M51" s="53">
        <f t="shared" ca="1" si="12"/>
        <v>0</v>
      </c>
      <c r="N51" s="61">
        <f t="shared" ca="1" si="34"/>
        <v>0</v>
      </c>
      <c r="O51" s="60">
        <f t="shared" ca="1" si="25"/>
        <v>0</v>
      </c>
      <c r="P51" s="53">
        <f t="shared" ca="1" si="35"/>
        <v>0</v>
      </c>
      <c r="Q51" s="53">
        <f t="shared" ca="1" si="13"/>
        <v>0</v>
      </c>
      <c r="R51" s="61">
        <f t="shared" ca="1" si="36"/>
        <v>0</v>
      </c>
      <c r="S51" s="60">
        <f t="shared" ca="1" si="26"/>
        <v>0</v>
      </c>
      <c r="T51" s="53">
        <f t="shared" ca="1" si="37"/>
        <v>0</v>
      </c>
      <c r="U51" s="53">
        <f t="shared" ca="1" si="14"/>
        <v>0</v>
      </c>
      <c r="V51" s="61">
        <f t="shared" ca="1" si="38"/>
        <v>0</v>
      </c>
      <c r="W51" s="60">
        <f t="shared" ca="1" si="27"/>
        <v>13394.42326032364</v>
      </c>
      <c r="X51" s="53">
        <f t="shared" ca="1" si="39"/>
        <v>870.63751192103666</v>
      </c>
      <c r="Y51" s="53">
        <f t="shared" ca="1" si="15"/>
        <v>992.589584180712</v>
      </c>
      <c r="Z51" s="61">
        <f t="shared" ca="1" si="40"/>
        <v>12401.833676142927</v>
      </c>
      <c r="AA51" s="53"/>
      <c r="AB51" s="183"/>
      <c r="AC51" s="53"/>
      <c r="AD51" s="183"/>
      <c r="AE51" s="1184"/>
      <c r="AG51" s="935">
        <f>8362.95238095238+2660</f>
        <v>11022.95238095238</v>
      </c>
      <c r="AH51" s="336">
        <f t="shared" si="16"/>
        <v>5.5114761904761903E-2</v>
      </c>
      <c r="AI51" s="937">
        <v>0</v>
      </c>
      <c r="AJ51" s="22">
        <f t="shared" si="17"/>
        <v>0</v>
      </c>
      <c r="AK51" s="937">
        <v>0</v>
      </c>
      <c r="AL51" s="22">
        <f t="shared" si="18"/>
        <v>0</v>
      </c>
      <c r="AM51" s="937">
        <v>0</v>
      </c>
      <c r="AN51" s="22">
        <f t="shared" si="19"/>
        <v>0</v>
      </c>
      <c r="AO51" s="937">
        <v>0</v>
      </c>
      <c r="AP51" s="22">
        <f t="shared" si="20"/>
        <v>0</v>
      </c>
      <c r="AQ51" s="937">
        <v>0</v>
      </c>
      <c r="AR51" s="191">
        <f t="shared" si="21"/>
        <v>0</v>
      </c>
    </row>
    <row r="52" spans="1:44">
      <c r="A52" s="550">
        <f>A51</f>
        <v>2008</v>
      </c>
      <c r="B52" s="306">
        <f t="shared" si="28"/>
        <v>15</v>
      </c>
      <c r="C52" s="62">
        <f t="shared" ca="1" si="22"/>
        <v>40199.197565854403</v>
      </c>
      <c r="D52" s="64">
        <f t="shared" ca="1" si="29"/>
        <v>2213.4683159698579</v>
      </c>
      <c r="E52" s="756">
        <f ca="1">IF(F$34=0,0,IF($B52&gt;=F$31,C52,IF(F$33&gt;=$B52, 0, IF(C52&gt;1, CHOOSE(F$34,F$29/(F$31-F$33), -PMT(F$32/2,F$31-$B51,C52,0)-D52,F$29*$AH52)))))*Assm!$X$90</f>
        <v>2165.2628217339839</v>
      </c>
      <c r="F52" s="65">
        <f t="shared" ca="1" si="30"/>
        <v>38033.934744120423</v>
      </c>
      <c r="G52" s="62">
        <f t="shared" ca="1" si="23"/>
        <v>0</v>
      </c>
      <c r="H52" s="64">
        <f t="shared" ca="1" si="31"/>
        <v>0</v>
      </c>
      <c r="I52" s="64">
        <f t="shared" ca="1" si="11"/>
        <v>0</v>
      </c>
      <c r="J52" s="65">
        <f t="shared" ca="1" si="32"/>
        <v>0</v>
      </c>
      <c r="K52" s="62">
        <f t="shared" ca="1" si="24"/>
        <v>0</v>
      </c>
      <c r="L52" s="64">
        <f t="shared" ca="1" si="33"/>
        <v>0</v>
      </c>
      <c r="M52" s="64">
        <f t="shared" ca="1" si="12"/>
        <v>0</v>
      </c>
      <c r="N52" s="65">
        <f t="shared" ca="1" si="34"/>
        <v>0</v>
      </c>
      <c r="O52" s="62">
        <f t="shared" ca="1" si="25"/>
        <v>0</v>
      </c>
      <c r="P52" s="64">
        <f t="shared" ca="1" si="35"/>
        <v>0</v>
      </c>
      <c r="Q52" s="64">
        <f t="shared" ca="1" si="13"/>
        <v>0</v>
      </c>
      <c r="R52" s="65">
        <f t="shared" ca="1" si="36"/>
        <v>0</v>
      </c>
      <c r="S52" s="62">
        <f t="shared" ca="1" si="26"/>
        <v>0</v>
      </c>
      <c r="T52" s="64">
        <f t="shared" ca="1" si="37"/>
        <v>0</v>
      </c>
      <c r="U52" s="64">
        <f t="shared" ca="1" si="14"/>
        <v>0</v>
      </c>
      <c r="V52" s="65">
        <f t="shared" ca="1" si="38"/>
        <v>0</v>
      </c>
      <c r="W52" s="62">
        <f t="shared" ca="1" si="27"/>
        <v>12401.833676142927</v>
      </c>
      <c r="X52" s="64">
        <f t="shared" ca="1" si="39"/>
        <v>806.11918894929033</v>
      </c>
      <c r="Y52" s="64">
        <f t="shared" ca="1" si="15"/>
        <v>1057.1079071524582</v>
      </c>
      <c r="Z52" s="65">
        <f t="shared" ca="1" si="40"/>
        <v>11344.725768990469</v>
      </c>
      <c r="AA52" s="64">
        <f ca="1">SUM(D51:D52,H51:H52,L51:L52, P51:P52, T51:T52)</f>
        <v>4657.3802741473091</v>
      </c>
      <c r="AB52" s="551">
        <f ca="1">SUM(E51:E52, I51:I52, M51:M52, Q51:Q52, U51:U52)</f>
        <v>6350.3913975812993</v>
      </c>
      <c r="AC52" s="64">
        <f ca="1">SUM( X51:X52)</f>
        <v>1676.756700870327</v>
      </c>
      <c r="AD52" s="551">
        <f ca="1">SUM(Y51:Y52)</f>
        <v>2049.6974913331701</v>
      </c>
      <c r="AE52" s="1185">
        <f ca="1">(C51+G51+W51)*IF([4]RAROC!$B$103=1,VLOOKUP(A52,[4]!Guar_Fee_Table,2),IF([4]RAROC!$B$103=2,VLOOKUP(A52,[4]!Guar_Fee_Table,3),IF([4]RAROC!$B$103=3,VLOOKUP(A52,[4]!Guar_Fee_Table,4,0))))</f>
        <v>0</v>
      </c>
      <c r="AG52" s="935">
        <f t="shared" ref="AG52:AG57" si="42">8362.95238095238-2660</f>
        <v>5702.9523809523798</v>
      </c>
      <c r="AH52" s="336">
        <f t="shared" si="16"/>
        <v>2.85147619047619E-2</v>
      </c>
      <c r="AI52" s="937">
        <v>0</v>
      </c>
      <c r="AJ52" s="22">
        <f t="shared" si="17"/>
        <v>0</v>
      </c>
      <c r="AK52" s="937">
        <v>0</v>
      </c>
      <c r="AL52" s="22">
        <f t="shared" si="18"/>
        <v>0</v>
      </c>
      <c r="AM52" s="937">
        <v>0</v>
      </c>
      <c r="AN52" s="22">
        <f t="shared" si="19"/>
        <v>0</v>
      </c>
      <c r="AO52" s="937">
        <v>0</v>
      </c>
      <c r="AP52" s="22">
        <f t="shared" si="20"/>
        <v>0</v>
      </c>
      <c r="AQ52" s="937">
        <v>0</v>
      </c>
      <c r="AR52" s="191">
        <f t="shared" si="21"/>
        <v>0</v>
      </c>
    </row>
    <row r="53" spans="1:44">
      <c r="A53" s="342">
        <f t="shared" si="41"/>
        <v>2009</v>
      </c>
      <c r="B53" s="44">
        <f t="shared" si="28"/>
        <v>16</v>
      </c>
      <c r="C53" s="60">
        <f t="shared" ca="1" si="22"/>
        <v>38033.934744120423</v>
      </c>
      <c r="D53" s="53">
        <f t="shared" ca="1" si="29"/>
        <v>2094.2435318481307</v>
      </c>
      <c r="E53" s="258">
        <f ca="1">IF(F$34=0,0,IF($B53&gt;=F$31,C53,IF(F$33&gt;=$B53, 0, IF(C53&gt;1, CHOOSE(F$34,F$29/(F$31-F$33), -PMT(F$32/2,F$31-$B52,C53,0)-D53,F$29*$AH53)))))*Assm!$X$90</f>
        <v>2165.2628217339839</v>
      </c>
      <c r="F53" s="61">
        <f t="shared" ca="1" si="30"/>
        <v>35868.671922386442</v>
      </c>
      <c r="G53" s="60">
        <f t="shared" ca="1" si="23"/>
        <v>0</v>
      </c>
      <c r="H53" s="53">
        <f t="shared" ca="1" si="31"/>
        <v>0</v>
      </c>
      <c r="I53" s="53">
        <f t="shared" ca="1" si="11"/>
        <v>0</v>
      </c>
      <c r="J53" s="61">
        <f t="shared" ca="1" si="32"/>
        <v>0</v>
      </c>
      <c r="K53" s="60">
        <f t="shared" ca="1" si="24"/>
        <v>0</v>
      </c>
      <c r="L53" s="53">
        <f t="shared" ca="1" si="33"/>
        <v>0</v>
      </c>
      <c r="M53" s="53">
        <f t="shared" ca="1" si="12"/>
        <v>0</v>
      </c>
      <c r="N53" s="61">
        <f t="shared" ca="1" si="34"/>
        <v>0</v>
      </c>
      <c r="O53" s="60">
        <f t="shared" ca="1" si="25"/>
        <v>0</v>
      </c>
      <c r="P53" s="53">
        <f t="shared" ca="1" si="35"/>
        <v>0</v>
      </c>
      <c r="Q53" s="53">
        <f t="shared" ca="1" si="13"/>
        <v>0</v>
      </c>
      <c r="R53" s="61">
        <f t="shared" ca="1" si="36"/>
        <v>0</v>
      </c>
      <c r="S53" s="60">
        <f t="shared" ca="1" si="26"/>
        <v>0</v>
      </c>
      <c r="T53" s="53">
        <f t="shared" ca="1" si="37"/>
        <v>0</v>
      </c>
      <c r="U53" s="53">
        <f t="shared" ca="1" si="14"/>
        <v>0</v>
      </c>
      <c r="V53" s="61">
        <f t="shared" ca="1" si="38"/>
        <v>0</v>
      </c>
      <c r="W53" s="60">
        <f t="shared" ca="1" si="27"/>
        <v>11344.725768990469</v>
      </c>
      <c r="X53" s="53">
        <f t="shared" ca="1" si="39"/>
        <v>737.4071749843805</v>
      </c>
      <c r="Y53" s="53">
        <f t="shared" ca="1" si="15"/>
        <v>1125.8199211173683</v>
      </c>
      <c r="Z53" s="61">
        <f t="shared" ca="1" si="40"/>
        <v>10218.9058478731</v>
      </c>
      <c r="AA53" s="53"/>
      <c r="AB53" s="183"/>
      <c r="AC53" s="53"/>
      <c r="AD53" s="183"/>
      <c r="AE53" s="1184"/>
      <c r="AG53" s="935">
        <f t="shared" si="42"/>
        <v>5702.9523809523798</v>
      </c>
      <c r="AH53" s="336">
        <f t="shared" si="16"/>
        <v>2.85147619047619E-2</v>
      </c>
      <c r="AI53" s="937">
        <v>0</v>
      </c>
      <c r="AJ53" s="22">
        <f t="shared" si="17"/>
        <v>0</v>
      </c>
      <c r="AK53" s="937">
        <v>0</v>
      </c>
      <c r="AL53" s="22">
        <f t="shared" si="18"/>
        <v>0</v>
      </c>
      <c r="AM53" s="937">
        <v>0</v>
      </c>
      <c r="AN53" s="22">
        <f t="shared" si="19"/>
        <v>0</v>
      </c>
      <c r="AO53" s="937">
        <v>0</v>
      </c>
      <c r="AP53" s="22">
        <f t="shared" si="20"/>
        <v>0</v>
      </c>
      <c r="AQ53" s="937">
        <v>0</v>
      </c>
      <c r="AR53" s="191">
        <f t="shared" si="21"/>
        <v>0</v>
      </c>
    </row>
    <row r="54" spans="1:44">
      <c r="A54" s="550">
        <f>A53</f>
        <v>2009</v>
      </c>
      <c r="B54" s="306">
        <f t="shared" si="28"/>
        <v>17</v>
      </c>
      <c r="C54" s="62">
        <f t="shared" ca="1" si="22"/>
        <v>35868.671922386442</v>
      </c>
      <c r="D54" s="64">
        <f t="shared" ca="1" si="29"/>
        <v>1975.0187477264035</v>
      </c>
      <c r="E54" s="756">
        <f ca="1">IF(F$34=0,0,IF($B54&gt;=F$31,C54,IF(F$33&gt;=$B54, 0, IF(C54&gt;1, CHOOSE(F$34,F$29/(F$31-F$33), -PMT(F$32/2,F$31-$B53,C54,0)-D54,F$29*$AH54)))))*Assm!$X$90</f>
        <v>2165.2628217339839</v>
      </c>
      <c r="F54" s="65">
        <f t="shared" ca="1" si="30"/>
        <v>33703.409100652461</v>
      </c>
      <c r="G54" s="62">
        <f t="shared" ca="1" si="23"/>
        <v>0</v>
      </c>
      <c r="H54" s="64">
        <f t="shared" ca="1" si="31"/>
        <v>0</v>
      </c>
      <c r="I54" s="64">
        <f t="shared" ca="1" si="11"/>
        <v>0</v>
      </c>
      <c r="J54" s="65">
        <f t="shared" ca="1" si="32"/>
        <v>0</v>
      </c>
      <c r="K54" s="62">
        <f t="shared" ca="1" si="24"/>
        <v>0</v>
      </c>
      <c r="L54" s="64">
        <f t="shared" ca="1" si="33"/>
        <v>0</v>
      </c>
      <c r="M54" s="64">
        <f t="shared" ca="1" si="12"/>
        <v>0</v>
      </c>
      <c r="N54" s="65">
        <f t="shared" ca="1" si="34"/>
        <v>0</v>
      </c>
      <c r="O54" s="62">
        <f t="shared" ca="1" si="25"/>
        <v>0</v>
      </c>
      <c r="P54" s="64">
        <f t="shared" ca="1" si="35"/>
        <v>0</v>
      </c>
      <c r="Q54" s="64">
        <f t="shared" ca="1" si="13"/>
        <v>0</v>
      </c>
      <c r="R54" s="65">
        <f t="shared" ca="1" si="36"/>
        <v>0</v>
      </c>
      <c r="S54" s="62">
        <f t="shared" ca="1" si="26"/>
        <v>0</v>
      </c>
      <c r="T54" s="64">
        <f t="shared" ca="1" si="37"/>
        <v>0</v>
      </c>
      <c r="U54" s="64">
        <f t="shared" ca="1" si="14"/>
        <v>0</v>
      </c>
      <c r="V54" s="65">
        <f t="shared" ca="1" si="38"/>
        <v>0</v>
      </c>
      <c r="W54" s="62">
        <f t="shared" ca="1" si="27"/>
        <v>10218.9058478731</v>
      </c>
      <c r="X54" s="64">
        <f t="shared" ca="1" si="39"/>
        <v>664.22888011175155</v>
      </c>
      <c r="Y54" s="64">
        <f t="shared" ca="1" si="15"/>
        <v>1198.9982159899967</v>
      </c>
      <c r="Z54" s="65">
        <f t="shared" ca="1" si="40"/>
        <v>9019.907631883103</v>
      </c>
      <c r="AA54" s="64">
        <f ca="1">SUM(D53:D54,H53:H54,L53:L54, P53:P54, T53:T54)</f>
        <v>4069.2622795745342</v>
      </c>
      <c r="AB54" s="551">
        <f ca="1">SUM(E53:E54, I53:I54, M53:M54, Q53:Q54, U53:U54)</f>
        <v>4330.5256434679677</v>
      </c>
      <c r="AC54" s="64">
        <f ca="1">SUM( X53:X54)</f>
        <v>1401.6360550961322</v>
      </c>
      <c r="AD54" s="551">
        <f ca="1">SUM(Y53:Y54)</f>
        <v>2324.8181371073651</v>
      </c>
      <c r="AE54" s="1185">
        <f ca="1">(C53+G53+W53)*IF([4]RAROC!$B$103=1,VLOOKUP(A54,[4]!Guar_Fee_Table,2),IF([4]RAROC!$B$103=2,VLOOKUP(A54,[4]!Guar_Fee_Table,3),IF([4]RAROC!$B$103=3,VLOOKUP(A54,[4]!Guar_Fee_Table,4,0))))</f>
        <v>0</v>
      </c>
      <c r="AG54" s="935">
        <f t="shared" si="42"/>
        <v>5702.9523809523798</v>
      </c>
      <c r="AH54" s="336">
        <f t="shared" si="16"/>
        <v>2.85147619047619E-2</v>
      </c>
      <c r="AI54" s="937">
        <v>0</v>
      </c>
      <c r="AJ54" s="22">
        <f t="shared" si="17"/>
        <v>0</v>
      </c>
      <c r="AK54" s="937">
        <v>0</v>
      </c>
      <c r="AL54" s="22">
        <f t="shared" si="18"/>
        <v>0</v>
      </c>
      <c r="AM54" s="937">
        <v>0</v>
      </c>
      <c r="AN54" s="22">
        <f t="shared" si="19"/>
        <v>0</v>
      </c>
      <c r="AO54" s="937">
        <v>0</v>
      </c>
      <c r="AP54" s="22">
        <f t="shared" si="20"/>
        <v>0</v>
      </c>
      <c r="AQ54" s="937">
        <v>0</v>
      </c>
      <c r="AR54" s="191">
        <f t="shared" si="21"/>
        <v>0</v>
      </c>
    </row>
    <row r="55" spans="1:44">
      <c r="A55" s="342">
        <f t="shared" si="41"/>
        <v>2010</v>
      </c>
      <c r="B55" s="44">
        <f t="shared" ref="B55:B70" si="43">B54+1</f>
        <v>18</v>
      </c>
      <c r="C55" s="60">
        <f t="shared" ca="1" si="22"/>
        <v>33703.409100652461</v>
      </c>
      <c r="D55" s="53">
        <f t="shared" ca="1" si="29"/>
        <v>1855.7939636046763</v>
      </c>
      <c r="E55" s="258">
        <f ca="1">IF(F$34=0,0,IF($B55&gt;=F$31,C55,IF(F$33&gt;=$B55, 0, IF(C55&gt;1, CHOOSE(F$34,F$29/(F$31-F$33), -PMT(F$32/2,F$31-$B54,C55,0)-D55,F$29*$AH55)))))*Assm!$X$90</f>
        <v>2165.2628217339839</v>
      </c>
      <c r="F55" s="61">
        <f t="shared" ref="F55:F70" ca="1" si="44">C55-E55</f>
        <v>31538.146278918477</v>
      </c>
      <c r="G55" s="60">
        <f t="shared" ca="1" si="23"/>
        <v>0</v>
      </c>
      <c r="H55" s="53">
        <f t="shared" ca="1" si="31"/>
        <v>0</v>
      </c>
      <c r="I55" s="53">
        <f t="shared" ca="1" si="11"/>
        <v>0</v>
      </c>
      <c r="J55" s="61">
        <f t="shared" ca="1" si="32"/>
        <v>0</v>
      </c>
      <c r="K55" s="60">
        <f t="shared" ca="1" si="24"/>
        <v>0</v>
      </c>
      <c r="L55" s="53">
        <f t="shared" ca="1" si="33"/>
        <v>0</v>
      </c>
      <c r="M55" s="53">
        <f t="shared" ca="1" si="12"/>
        <v>0</v>
      </c>
      <c r="N55" s="61">
        <f t="shared" ca="1" si="34"/>
        <v>0</v>
      </c>
      <c r="O55" s="60">
        <f t="shared" ca="1" si="25"/>
        <v>0</v>
      </c>
      <c r="P55" s="53">
        <f t="shared" ca="1" si="35"/>
        <v>0</v>
      </c>
      <c r="Q55" s="53">
        <f t="shared" ca="1" si="13"/>
        <v>0</v>
      </c>
      <c r="R55" s="61">
        <f t="shared" ca="1" si="36"/>
        <v>0</v>
      </c>
      <c r="S55" s="60">
        <f t="shared" ca="1" si="26"/>
        <v>0</v>
      </c>
      <c r="T55" s="53">
        <f t="shared" ca="1" si="37"/>
        <v>0</v>
      </c>
      <c r="U55" s="53">
        <f t="shared" ca="1" si="14"/>
        <v>0</v>
      </c>
      <c r="V55" s="61">
        <f t="shared" ca="1" si="38"/>
        <v>0</v>
      </c>
      <c r="W55" s="60">
        <f t="shared" ca="1" si="27"/>
        <v>9019.907631883103</v>
      </c>
      <c r="X55" s="53">
        <f t="shared" ca="1" si="39"/>
        <v>586.29399607240168</v>
      </c>
      <c r="Y55" s="53">
        <f t="shared" ca="1" si="15"/>
        <v>1276.933100029346</v>
      </c>
      <c r="Z55" s="61">
        <f t="shared" ca="1" si="40"/>
        <v>7742.9745318537571</v>
      </c>
      <c r="AA55" s="53"/>
      <c r="AB55" s="183"/>
      <c r="AC55" s="53"/>
      <c r="AD55" s="183"/>
      <c r="AE55" s="1184"/>
      <c r="AG55" s="935">
        <f t="shared" si="42"/>
        <v>5702.9523809523798</v>
      </c>
      <c r="AH55" s="336">
        <f t="shared" si="16"/>
        <v>2.85147619047619E-2</v>
      </c>
      <c r="AI55" s="937">
        <v>0</v>
      </c>
      <c r="AJ55" s="22">
        <f t="shared" si="17"/>
        <v>0</v>
      </c>
      <c r="AK55" s="937">
        <v>0</v>
      </c>
      <c r="AL55" s="22">
        <f t="shared" si="18"/>
        <v>0</v>
      </c>
      <c r="AM55" s="937">
        <v>0</v>
      </c>
      <c r="AN55" s="22">
        <f t="shared" si="19"/>
        <v>0</v>
      </c>
      <c r="AO55" s="937">
        <v>0</v>
      </c>
      <c r="AP55" s="22">
        <f t="shared" si="20"/>
        <v>0</v>
      </c>
      <c r="AQ55" s="937">
        <v>0</v>
      </c>
      <c r="AR55" s="191">
        <f t="shared" si="21"/>
        <v>0</v>
      </c>
    </row>
    <row r="56" spans="1:44">
      <c r="A56" s="550">
        <f>A55</f>
        <v>2010</v>
      </c>
      <c r="B56" s="306">
        <f t="shared" si="43"/>
        <v>19</v>
      </c>
      <c r="C56" s="62">
        <f t="shared" ca="1" si="22"/>
        <v>31538.146278918477</v>
      </c>
      <c r="D56" s="64">
        <f t="shared" ca="1" si="29"/>
        <v>1736.5691794829486</v>
      </c>
      <c r="E56" s="756">
        <f ca="1">IF(F$34=0,0,IF($B56&gt;=F$31,C56,IF(F$33&gt;=$B56, 0, IF(C56&gt;1, CHOOSE(F$34,F$29/(F$31-F$33), -PMT(F$32/2,F$31-$B55,C56,0)-D56,F$29*$AH56)))))*Assm!$X$90</f>
        <v>2165.2628217339839</v>
      </c>
      <c r="F56" s="65">
        <f t="shared" ca="1" si="44"/>
        <v>29372.883457184493</v>
      </c>
      <c r="G56" s="62">
        <f t="shared" ca="1" si="23"/>
        <v>0</v>
      </c>
      <c r="H56" s="64">
        <f t="shared" ca="1" si="31"/>
        <v>0</v>
      </c>
      <c r="I56" s="64">
        <f t="shared" ca="1" si="11"/>
        <v>0</v>
      </c>
      <c r="J56" s="65">
        <f t="shared" ca="1" si="32"/>
        <v>0</v>
      </c>
      <c r="K56" s="62">
        <f t="shared" ca="1" si="24"/>
        <v>0</v>
      </c>
      <c r="L56" s="64">
        <f t="shared" ca="1" si="33"/>
        <v>0</v>
      </c>
      <c r="M56" s="64">
        <f t="shared" ca="1" si="12"/>
        <v>0</v>
      </c>
      <c r="N56" s="65">
        <f t="shared" ca="1" si="34"/>
        <v>0</v>
      </c>
      <c r="O56" s="62">
        <f t="shared" ca="1" si="25"/>
        <v>0</v>
      </c>
      <c r="P56" s="64">
        <f t="shared" ca="1" si="35"/>
        <v>0</v>
      </c>
      <c r="Q56" s="64">
        <f t="shared" ca="1" si="13"/>
        <v>0</v>
      </c>
      <c r="R56" s="65">
        <f t="shared" ca="1" si="36"/>
        <v>0</v>
      </c>
      <c r="S56" s="62">
        <f t="shared" ca="1" si="26"/>
        <v>0</v>
      </c>
      <c r="T56" s="64">
        <f t="shared" ca="1" si="37"/>
        <v>0</v>
      </c>
      <c r="U56" s="64">
        <f t="shared" ca="1" si="14"/>
        <v>0</v>
      </c>
      <c r="V56" s="65">
        <f t="shared" ca="1" si="38"/>
        <v>0</v>
      </c>
      <c r="W56" s="62">
        <f t="shared" ca="1" si="27"/>
        <v>7742.9745318537571</v>
      </c>
      <c r="X56" s="64">
        <f t="shared" ca="1" si="39"/>
        <v>503.29334457049424</v>
      </c>
      <c r="Y56" s="64">
        <f t="shared" ca="1" si="15"/>
        <v>1359.9337515312523</v>
      </c>
      <c r="Z56" s="65">
        <f t="shared" ca="1" si="40"/>
        <v>6383.0407803225044</v>
      </c>
      <c r="AA56" s="64">
        <f ca="1">SUM(D55:D56,H55:H56,L55:L56, P55:P56, T55:T56)</f>
        <v>3592.3631430876248</v>
      </c>
      <c r="AB56" s="551">
        <f ca="1">SUM(E55:E56, I55:I56, M55:M56, Q55:Q56, U55:U56)</f>
        <v>4330.5256434679677</v>
      </c>
      <c r="AC56" s="64">
        <f ca="1">SUM( X55:X56)</f>
        <v>1089.5873406428959</v>
      </c>
      <c r="AD56" s="551">
        <f ca="1">SUM(Y55:Y56)</f>
        <v>2636.8668515605982</v>
      </c>
      <c r="AE56" s="1185">
        <f ca="1">(C55+G55+W55)*IF([4]RAROC!$B$103=1,VLOOKUP(A56,[4]!Guar_Fee_Table,2),IF([4]RAROC!$B$103=2,VLOOKUP(A56,[4]!Guar_Fee_Table,3),IF([4]RAROC!$B$103=3,VLOOKUP(A56,[4]!Guar_Fee_Table,4,0))))</f>
        <v>0</v>
      </c>
      <c r="AG56" s="935">
        <f t="shared" si="42"/>
        <v>5702.9523809523798</v>
      </c>
      <c r="AH56" s="336">
        <f t="shared" si="16"/>
        <v>2.85147619047619E-2</v>
      </c>
      <c r="AI56" s="937">
        <v>0</v>
      </c>
      <c r="AJ56" s="22">
        <f t="shared" si="17"/>
        <v>0</v>
      </c>
      <c r="AK56" s="937">
        <v>0</v>
      </c>
      <c r="AL56" s="22">
        <f t="shared" si="18"/>
        <v>0</v>
      </c>
      <c r="AM56" s="937">
        <v>0</v>
      </c>
      <c r="AN56" s="22">
        <f t="shared" si="19"/>
        <v>0</v>
      </c>
      <c r="AO56" s="937">
        <v>0</v>
      </c>
      <c r="AP56" s="22">
        <f t="shared" si="20"/>
        <v>0</v>
      </c>
      <c r="AQ56" s="937">
        <v>0</v>
      </c>
      <c r="AR56" s="191">
        <f t="shared" si="21"/>
        <v>0</v>
      </c>
    </row>
    <row r="57" spans="1:44">
      <c r="A57" s="342">
        <f t="shared" si="41"/>
        <v>2011</v>
      </c>
      <c r="B57" s="44">
        <f t="shared" si="43"/>
        <v>20</v>
      </c>
      <c r="C57" s="60">
        <f t="shared" ca="1" si="22"/>
        <v>29372.883457184493</v>
      </c>
      <c r="D57" s="53">
        <f t="shared" ca="1" si="29"/>
        <v>1617.3443953612211</v>
      </c>
      <c r="E57" s="258">
        <f ca="1">IF(F$34=0,0,IF($B57&gt;=F$31,C57,IF(F$33&gt;=$B57, 0, IF(C57&gt;1, CHOOSE(F$34,F$29/(F$31-F$33), -PMT(F$32/2,F$31-$B56,C57,0)-D57,F$29*$AH57)))))*Assm!$X$90</f>
        <v>2165.2628217339839</v>
      </c>
      <c r="F57" s="61">
        <f t="shared" ca="1" si="44"/>
        <v>27207.620635450508</v>
      </c>
      <c r="G57" s="60">
        <f t="shared" ca="1" si="23"/>
        <v>0</v>
      </c>
      <c r="H57" s="53">
        <f t="shared" ca="1" si="31"/>
        <v>0</v>
      </c>
      <c r="I57" s="53">
        <f t="shared" ca="1" si="11"/>
        <v>0</v>
      </c>
      <c r="J57" s="61">
        <f t="shared" ca="1" si="32"/>
        <v>0</v>
      </c>
      <c r="K57" s="60">
        <f t="shared" ca="1" si="24"/>
        <v>0</v>
      </c>
      <c r="L57" s="53">
        <f t="shared" ca="1" si="33"/>
        <v>0</v>
      </c>
      <c r="M57" s="53">
        <f t="shared" ca="1" si="12"/>
        <v>0</v>
      </c>
      <c r="N57" s="61">
        <f t="shared" ca="1" si="34"/>
        <v>0</v>
      </c>
      <c r="O57" s="60">
        <f t="shared" ca="1" si="25"/>
        <v>0</v>
      </c>
      <c r="P57" s="53">
        <f t="shared" ca="1" si="35"/>
        <v>0</v>
      </c>
      <c r="Q57" s="53">
        <f t="shared" ca="1" si="13"/>
        <v>0</v>
      </c>
      <c r="R57" s="61">
        <f t="shared" ca="1" si="36"/>
        <v>0</v>
      </c>
      <c r="S57" s="60">
        <f t="shared" ca="1" si="26"/>
        <v>0</v>
      </c>
      <c r="T57" s="53">
        <f t="shared" ca="1" si="37"/>
        <v>0</v>
      </c>
      <c r="U57" s="53">
        <f t="shared" ca="1" si="14"/>
        <v>0</v>
      </c>
      <c r="V57" s="61">
        <f t="shared" ca="1" si="38"/>
        <v>0</v>
      </c>
      <c r="W57" s="60">
        <f t="shared" ca="1" si="27"/>
        <v>6383.0407803225044</v>
      </c>
      <c r="X57" s="53">
        <f t="shared" ca="1" si="39"/>
        <v>414.89765072096282</v>
      </c>
      <c r="Y57" s="53">
        <f t="shared" ca="1" si="15"/>
        <v>1448.3294453807839</v>
      </c>
      <c r="Z57" s="61">
        <f t="shared" ca="1" si="40"/>
        <v>4934.7113349417205</v>
      </c>
      <c r="AA57" s="53"/>
      <c r="AB57" s="183"/>
      <c r="AC57" s="53"/>
      <c r="AD57" s="183"/>
      <c r="AE57" s="1184"/>
      <c r="AG57" s="935">
        <f t="shared" si="42"/>
        <v>5702.9523809523798</v>
      </c>
      <c r="AH57" s="336">
        <f t="shared" si="16"/>
        <v>2.85147619047619E-2</v>
      </c>
      <c r="AI57" s="937">
        <v>0</v>
      </c>
      <c r="AJ57" s="22">
        <f t="shared" si="17"/>
        <v>0</v>
      </c>
      <c r="AK57" s="937">
        <v>0</v>
      </c>
      <c r="AL57" s="22">
        <f t="shared" si="18"/>
        <v>0</v>
      </c>
      <c r="AM57" s="937">
        <v>0</v>
      </c>
      <c r="AN57" s="22">
        <f t="shared" si="19"/>
        <v>0</v>
      </c>
      <c r="AO57" s="937">
        <v>0</v>
      </c>
      <c r="AP57" s="22">
        <f t="shared" si="20"/>
        <v>0</v>
      </c>
      <c r="AQ57" s="937">
        <v>0</v>
      </c>
      <c r="AR57" s="191">
        <f t="shared" si="21"/>
        <v>0</v>
      </c>
    </row>
    <row r="58" spans="1:44">
      <c r="A58" s="550">
        <f>A57</f>
        <v>2011</v>
      </c>
      <c r="B58" s="306">
        <f t="shared" si="43"/>
        <v>21</v>
      </c>
      <c r="C58" s="62">
        <f t="shared" ca="1" si="22"/>
        <v>27207.620635450508</v>
      </c>
      <c r="D58" s="64">
        <f t="shared" ca="1" si="29"/>
        <v>1498.1196112394937</v>
      </c>
      <c r="E58" s="756">
        <f ca="1">IF(F$34=0,0,IF($B58&gt;=F$31,C58,IF(F$33&gt;=$B58, 0, IF(C58&gt;1, CHOOSE(F$34,F$29/(F$31-F$33), -PMT(F$32/2,F$31-$B57,C58,0)-D58,F$29*$AH58)))))*Assm!$X$90</f>
        <v>3175.1956987906501</v>
      </c>
      <c r="F58" s="65">
        <f t="shared" ca="1" si="44"/>
        <v>24032.42493665986</v>
      </c>
      <c r="G58" s="62">
        <f t="shared" ca="1" si="23"/>
        <v>0</v>
      </c>
      <c r="H58" s="64">
        <f t="shared" ca="1" si="31"/>
        <v>0</v>
      </c>
      <c r="I58" s="64">
        <f t="shared" ca="1" si="11"/>
        <v>0</v>
      </c>
      <c r="J58" s="65">
        <f t="shared" ca="1" si="32"/>
        <v>0</v>
      </c>
      <c r="K58" s="62">
        <f t="shared" ca="1" si="24"/>
        <v>0</v>
      </c>
      <c r="L58" s="64">
        <f t="shared" ca="1" si="33"/>
        <v>0</v>
      </c>
      <c r="M58" s="64">
        <f t="shared" ca="1" si="12"/>
        <v>0</v>
      </c>
      <c r="N58" s="65">
        <f t="shared" ca="1" si="34"/>
        <v>0</v>
      </c>
      <c r="O58" s="62">
        <f t="shared" ca="1" si="25"/>
        <v>0</v>
      </c>
      <c r="P58" s="64">
        <f t="shared" ca="1" si="35"/>
        <v>0</v>
      </c>
      <c r="Q58" s="64">
        <f t="shared" ca="1" si="13"/>
        <v>0</v>
      </c>
      <c r="R58" s="65">
        <f t="shared" ca="1" si="36"/>
        <v>0</v>
      </c>
      <c r="S58" s="62">
        <f t="shared" ca="1" si="26"/>
        <v>0</v>
      </c>
      <c r="T58" s="64">
        <f t="shared" ca="1" si="37"/>
        <v>0</v>
      </c>
      <c r="U58" s="64">
        <f t="shared" ca="1" si="14"/>
        <v>0</v>
      </c>
      <c r="V58" s="65">
        <f t="shared" ca="1" si="38"/>
        <v>0</v>
      </c>
      <c r="W58" s="62">
        <f t="shared" ca="1" si="27"/>
        <v>4934.7113349417205</v>
      </c>
      <c r="X58" s="64">
        <f t="shared" ca="1" si="39"/>
        <v>320.75623677121183</v>
      </c>
      <c r="Y58" s="64">
        <f t="shared" ca="1" si="15"/>
        <v>1542.470859330534</v>
      </c>
      <c r="Z58" s="65">
        <f t="shared" ca="1" si="40"/>
        <v>3392.2404756111864</v>
      </c>
      <c r="AA58" s="64">
        <f ca="1">SUM(D57:D58,H57:H58,L57:L58, P57:P58, T57:T58)</f>
        <v>3115.464006600715</v>
      </c>
      <c r="AB58" s="551">
        <f ca="1">SUM(E57:E58, I57:I58, M57:M58, Q57:Q58, U57:U58)</f>
        <v>5340.458520524634</v>
      </c>
      <c r="AC58" s="64">
        <f ca="1">SUM( X57:X58)</f>
        <v>735.65388749217459</v>
      </c>
      <c r="AD58" s="551">
        <f ca="1">SUM(Y57:Y58)</f>
        <v>2990.8003047113179</v>
      </c>
      <c r="AE58" s="1185">
        <f ca="1">(C57+G57+W57)*IF([4]RAROC!$B$103=1,VLOOKUP(A58,[4]!Guar_Fee_Table,2),IF([4]RAROC!$B$103=2,VLOOKUP(A58,[4]!Guar_Fee_Table,3),IF([4]RAROC!$B$103=3,VLOOKUP(A58,[4]!Guar_Fee_Table,4,0))))</f>
        <v>0</v>
      </c>
      <c r="AG58" s="935">
        <v>8362.9523809523816</v>
      </c>
      <c r="AH58" s="336">
        <f t="shared" si="16"/>
        <v>4.181476190476191E-2</v>
      </c>
      <c r="AI58" s="937">
        <v>0</v>
      </c>
      <c r="AJ58" s="22">
        <f t="shared" si="17"/>
        <v>0</v>
      </c>
      <c r="AK58" s="937">
        <v>0</v>
      </c>
      <c r="AL58" s="22">
        <f t="shared" si="18"/>
        <v>0</v>
      </c>
      <c r="AM58" s="937">
        <v>0</v>
      </c>
      <c r="AN58" s="22">
        <f t="shared" si="19"/>
        <v>0</v>
      </c>
      <c r="AO58" s="937">
        <v>0</v>
      </c>
      <c r="AP58" s="22">
        <f t="shared" si="20"/>
        <v>0</v>
      </c>
      <c r="AQ58" s="937">
        <v>0</v>
      </c>
      <c r="AR58" s="191">
        <f t="shared" si="21"/>
        <v>0</v>
      </c>
    </row>
    <row r="59" spans="1:44">
      <c r="A59" s="342">
        <f t="shared" ref="A59:A73" si="45">A57+1</f>
        <v>2012</v>
      </c>
      <c r="B59" s="44">
        <f t="shared" si="43"/>
        <v>22</v>
      </c>
      <c r="C59" s="60">
        <f t="shared" ca="1" si="22"/>
        <v>24032.42493665986</v>
      </c>
      <c r="D59" s="53">
        <f t="shared" ca="1" si="29"/>
        <v>1323.2853980748334</v>
      </c>
      <c r="E59" s="258">
        <f ca="1">IF(F$34=0,0,IF($B59&gt;=F$31,C59,IF(F$33&gt;=$B59, 0, IF(C59&gt;1, CHOOSE(F$34,F$29/(F$31-F$33), -PMT(F$32/2,F$31-$B58,C59,0)-D59,F$29*$AH59)))))*Assm!$X$90</f>
        <v>3175.1956987906501</v>
      </c>
      <c r="F59" s="61">
        <f t="shared" ca="1" si="44"/>
        <v>20857.229237869211</v>
      </c>
      <c r="G59" s="60">
        <f t="shared" ca="1" si="23"/>
        <v>0</v>
      </c>
      <c r="H59" s="53">
        <f t="shared" ca="1" si="31"/>
        <v>0</v>
      </c>
      <c r="I59" s="53">
        <f t="shared" ca="1" si="11"/>
        <v>0</v>
      </c>
      <c r="J59" s="61">
        <f t="shared" ca="1" si="32"/>
        <v>0</v>
      </c>
      <c r="K59" s="60">
        <f t="shared" ca="1" si="24"/>
        <v>0</v>
      </c>
      <c r="L59" s="53">
        <f t="shared" ca="1" si="33"/>
        <v>0</v>
      </c>
      <c r="M59" s="53">
        <f t="shared" ca="1" si="12"/>
        <v>0</v>
      </c>
      <c r="N59" s="61">
        <f t="shared" ca="1" si="34"/>
        <v>0</v>
      </c>
      <c r="O59" s="60">
        <f t="shared" ca="1" si="25"/>
        <v>0</v>
      </c>
      <c r="P59" s="53">
        <f t="shared" ca="1" si="35"/>
        <v>0</v>
      </c>
      <c r="Q59" s="53">
        <f t="shared" ca="1" si="13"/>
        <v>0</v>
      </c>
      <c r="R59" s="61">
        <f t="shared" ca="1" si="36"/>
        <v>0</v>
      </c>
      <c r="S59" s="60">
        <f t="shared" ca="1" si="26"/>
        <v>0</v>
      </c>
      <c r="T59" s="53">
        <f t="shared" ca="1" si="37"/>
        <v>0</v>
      </c>
      <c r="U59" s="53">
        <f t="shared" ca="1" si="14"/>
        <v>0</v>
      </c>
      <c r="V59" s="61">
        <f t="shared" ca="1" si="38"/>
        <v>0</v>
      </c>
      <c r="W59" s="60">
        <f t="shared" ca="1" si="27"/>
        <v>3392.2404756111864</v>
      </c>
      <c r="X59" s="53">
        <f t="shared" ca="1" si="39"/>
        <v>220.49563091472712</v>
      </c>
      <c r="Y59" s="53">
        <f t="shared" ca="1" si="15"/>
        <v>1642.7314651870174</v>
      </c>
      <c r="Z59" s="61">
        <f t="shared" ca="1" si="40"/>
        <v>1749.509010424169</v>
      </c>
      <c r="AA59" s="53"/>
      <c r="AB59" s="183"/>
      <c r="AC59" s="53"/>
      <c r="AD59" s="183"/>
      <c r="AE59" s="1184"/>
      <c r="AG59" s="935">
        <v>8362.9523809523816</v>
      </c>
      <c r="AH59" s="336">
        <f t="shared" si="16"/>
        <v>4.181476190476191E-2</v>
      </c>
      <c r="AI59" s="937">
        <v>0</v>
      </c>
      <c r="AJ59" s="22">
        <f t="shared" si="17"/>
        <v>0</v>
      </c>
      <c r="AK59" s="937">
        <v>0</v>
      </c>
      <c r="AL59" s="22">
        <f t="shared" si="18"/>
        <v>0</v>
      </c>
      <c r="AM59" s="937">
        <v>0</v>
      </c>
      <c r="AN59" s="22">
        <f t="shared" si="19"/>
        <v>0</v>
      </c>
      <c r="AO59" s="937">
        <v>0</v>
      </c>
      <c r="AP59" s="22">
        <f t="shared" si="20"/>
        <v>0</v>
      </c>
      <c r="AQ59" s="937">
        <v>0</v>
      </c>
      <c r="AR59" s="191">
        <f t="shared" si="21"/>
        <v>0</v>
      </c>
    </row>
    <row r="60" spans="1:44">
      <c r="A60" s="550">
        <f>A59</f>
        <v>2012</v>
      </c>
      <c r="B60" s="306">
        <f t="shared" si="43"/>
        <v>23</v>
      </c>
      <c r="C60" s="62">
        <f t="shared" ca="1" si="22"/>
        <v>20857.229237869211</v>
      </c>
      <c r="D60" s="64">
        <f t="shared" ca="1" si="29"/>
        <v>1148.4511849101734</v>
      </c>
      <c r="E60" s="756">
        <f ca="1">IF(F$34=0,0,IF($B60&gt;=F$31,C60,IF(F$33&gt;=$B60, 0, IF(C60&gt;1, CHOOSE(F$34,F$29/(F$31-F$33), -PMT(F$32/2,F$31-$B59,C60,0)-D60,F$29*$AH60)))))*Assm!$X$90</f>
        <v>3175.1956987906501</v>
      </c>
      <c r="F60" s="65">
        <f t="shared" ca="1" si="44"/>
        <v>17682.033539078562</v>
      </c>
      <c r="G60" s="62">
        <f t="shared" ca="1" si="23"/>
        <v>0</v>
      </c>
      <c r="H60" s="64">
        <f t="shared" ca="1" si="31"/>
        <v>0</v>
      </c>
      <c r="I60" s="64">
        <f t="shared" ca="1" si="11"/>
        <v>0</v>
      </c>
      <c r="J60" s="65">
        <f t="shared" ca="1" si="32"/>
        <v>0</v>
      </c>
      <c r="K60" s="62">
        <f t="shared" ca="1" si="24"/>
        <v>0</v>
      </c>
      <c r="L60" s="64">
        <f t="shared" ca="1" si="33"/>
        <v>0</v>
      </c>
      <c r="M60" s="64">
        <f t="shared" ca="1" si="12"/>
        <v>0</v>
      </c>
      <c r="N60" s="65">
        <f t="shared" ca="1" si="34"/>
        <v>0</v>
      </c>
      <c r="O60" s="62">
        <f t="shared" ca="1" si="25"/>
        <v>0</v>
      </c>
      <c r="P60" s="64">
        <f t="shared" ca="1" si="35"/>
        <v>0</v>
      </c>
      <c r="Q60" s="64">
        <f t="shared" ca="1" si="13"/>
        <v>0</v>
      </c>
      <c r="R60" s="65">
        <f t="shared" ca="1" si="36"/>
        <v>0</v>
      </c>
      <c r="S60" s="62">
        <f t="shared" ca="1" si="26"/>
        <v>0</v>
      </c>
      <c r="T60" s="64">
        <f t="shared" ca="1" si="37"/>
        <v>0</v>
      </c>
      <c r="U60" s="64">
        <f t="shared" ca="1" si="14"/>
        <v>0</v>
      </c>
      <c r="V60" s="65">
        <f t="shared" ca="1" si="38"/>
        <v>0</v>
      </c>
      <c r="W60" s="62">
        <f t="shared" ca="1" si="27"/>
        <v>1749.509010424169</v>
      </c>
      <c r="X60" s="64">
        <f t="shared" ca="1" si="39"/>
        <v>113.71808567757098</v>
      </c>
      <c r="Y60" s="64">
        <f t="shared" ca="1" si="15"/>
        <v>1749.509010424169</v>
      </c>
      <c r="Z60" s="65">
        <f t="shared" ca="1" si="40"/>
        <v>0</v>
      </c>
      <c r="AA60" s="64">
        <f ca="1">SUM(D59:D60,H59:H60,L59:L60, P59:P60, T59:T60)</f>
        <v>2471.7365829850069</v>
      </c>
      <c r="AB60" s="551">
        <f ca="1">SUM(E59:E60, I59:I60, M59:M60, Q59:Q60, U59:U60)</f>
        <v>6350.3913975813002</v>
      </c>
      <c r="AC60" s="64">
        <f ca="1">SUM( X59:X60)</f>
        <v>334.21371659229811</v>
      </c>
      <c r="AD60" s="551">
        <f ca="1">SUM(Y59:Y60)</f>
        <v>3392.2404756111864</v>
      </c>
      <c r="AE60" s="1185">
        <f ca="1">(C59+G59+W59)*IF([4]RAROC!$B$103=1,VLOOKUP(A60,[4]!Guar_Fee_Table,2),IF([4]RAROC!$B$103=2,VLOOKUP(A60,[4]!Guar_Fee_Table,3),IF([4]RAROC!$B$103=3,VLOOKUP(A60,[4]!Guar_Fee_Table,4,0))))</f>
        <v>0</v>
      </c>
      <c r="AG60" s="935">
        <v>8362.9523809523816</v>
      </c>
      <c r="AH60" s="336">
        <f t="shared" si="16"/>
        <v>4.181476190476191E-2</v>
      </c>
      <c r="AI60" s="937">
        <v>0</v>
      </c>
      <c r="AJ60" s="22">
        <f t="shared" si="17"/>
        <v>0</v>
      </c>
      <c r="AK60" s="937">
        <v>0</v>
      </c>
      <c r="AL60" s="22">
        <f t="shared" si="18"/>
        <v>0</v>
      </c>
      <c r="AM60" s="937">
        <v>0</v>
      </c>
      <c r="AN60" s="22">
        <f t="shared" si="19"/>
        <v>0</v>
      </c>
      <c r="AO60" s="937">
        <v>0</v>
      </c>
      <c r="AP60" s="22">
        <f t="shared" si="20"/>
        <v>0</v>
      </c>
      <c r="AQ60" s="937">
        <v>0</v>
      </c>
      <c r="AR60" s="191">
        <f t="shared" si="21"/>
        <v>0</v>
      </c>
    </row>
    <row r="61" spans="1:44">
      <c r="A61" s="342">
        <f t="shared" si="45"/>
        <v>2013</v>
      </c>
      <c r="B61" s="44">
        <f t="shared" si="43"/>
        <v>24</v>
      </c>
      <c r="C61" s="60">
        <f t="shared" ca="1" si="22"/>
        <v>17682.033539078562</v>
      </c>
      <c r="D61" s="53">
        <f t="shared" ca="1" si="29"/>
        <v>973.6169717455133</v>
      </c>
      <c r="E61" s="258">
        <f ca="1">IF(F$34=0,0,IF($B61&gt;=F$31,C61,IF(F$33&gt;=$B61, 0, IF(C61&gt;1, CHOOSE(F$34,F$29/(F$31-F$33), -PMT(F$32/2,F$31-$B60,C61,0)-D61,F$29*$AH61)))))*Assm!$X$90</f>
        <v>3175.1956987906501</v>
      </c>
      <c r="F61" s="61">
        <f t="shared" ca="1" si="44"/>
        <v>14506.837840287912</v>
      </c>
      <c r="G61" s="60">
        <f t="shared" ca="1" si="23"/>
        <v>0</v>
      </c>
      <c r="H61" s="53">
        <f t="shared" ca="1" si="31"/>
        <v>0</v>
      </c>
      <c r="I61" s="53">
        <f t="shared" ca="1" si="11"/>
        <v>0</v>
      </c>
      <c r="J61" s="61">
        <f t="shared" ca="1" si="32"/>
        <v>0</v>
      </c>
      <c r="K61" s="60">
        <f t="shared" ca="1" si="24"/>
        <v>0</v>
      </c>
      <c r="L61" s="53">
        <f t="shared" ca="1" si="33"/>
        <v>0</v>
      </c>
      <c r="M61" s="53">
        <f t="shared" ca="1" si="12"/>
        <v>0</v>
      </c>
      <c r="N61" s="61">
        <f t="shared" ca="1" si="34"/>
        <v>0</v>
      </c>
      <c r="O61" s="60">
        <f t="shared" ca="1" si="25"/>
        <v>0</v>
      </c>
      <c r="P61" s="53">
        <f t="shared" ca="1" si="35"/>
        <v>0</v>
      </c>
      <c r="Q61" s="53">
        <f t="shared" ca="1" si="13"/>
        <v>0</v>
      </c>
      <c r="R61" s="61">
        <f t="shared" ca="1" si="36"/>
        <v>0</v>
      </c>
      <c r="S61" s="60">
        <f t="shared" ca="1" si="26"/>
        <v>0</v>
      </c>
      <c r="T61" s="53">
        <f t="shared" ca="1" si="37"/>
        <v>0</v>
      </c>
      <c r="U61" s="53">
        <f t="shared" ca="1" si="14"/>
        <v>0</v>
      </c>
      <c r="V61" s="61">
        <f t="shared" ca="1" si="38"/>
        <v>0</v>
      </c>
      <c r="W61" s="60">
        <f t="shared" ca="1" si="27"/>
        <v>0</v>
      </c>
      <c r="X61" s="53">
        <f t="shared" ca="1" si="39"/>
        <v>0</v>
      </c>
      <c r="Y61" s="53">
        <f t="shared" ca="1" si="15"/>
        <v>0</v>
      </c>
      <c r="Z61" s="61">
        <f t="shared" ca="1" si="40"/>
        <v>0</v>
      </c>
      <c r="AA61" s="53"/>
      <c r="AB61" s="183"/>
      <c r="AC61" s="53"/>
      <c r="AD61" s="183"/>
      <c r="AE61" s="1184"/>
      <c r="AG61" s="935">
        <v>8362.9523809523816</v>
      </c>
      <c r="AH61" s="336">
        <f t="shared" si="16"/>
        <v>4.181476190476191E-2</v>
      </c>
      <c r="AI61" s="937">
        <v>0</v>
      </c>
      <c r="AJ61" s="22">
        <f t="shared" si="17"/>
        <v>0</v>
      </c>
      <c r="AK61" s="937">
        <v>0</v>
      </c>
      <c r="AL61" s="22">
        <f t="shared" si="18"/>
        <v>0</v>
      </c>
      <c r="AM61" s="937">
        <v>0</v>
      </c>
      <c r="AN61" s="22">
        <f t="shared" si="19"/>
        <v>0</v>
      </c>
      <c r="AO61" s="937">
        <v>0</v>
      </c>
      <c r="AP61" s="22">
        <f t="shared" si="20"/>
        <v>0</v>
      </c>
      <c r="AQ61" s="937">
        <v>0</v>
      </c>
      <c r="AR61" s="191">
        <f t="shared" si="21"/>
        <v>0</v>
      </c>
    </row>
    <row r="62" spans="1:44">
      <c r="A62" s="550">
        <f>A61</f>
        <v>2013</v>
      </c>
      <c r="B62" s="306">
        <f t="shared" si="43"/>
        <v>25</v>
      </c>
      <c r="C62" s="62">
        <f t="shared" ca="1" si="22"/>
        <v>14506.837840287912</v>
      </c>
      <c r="D62" s="64">
        <f t="shared" ca="1" si="29"/>
        <v>798.78275858085317</v>
      </c>
      <c r="E62" s="756">
        <f ca="1">IF(F$34=0,0,IF($B62&gt;=F$31,C62,IF(F$33&gt;=$B62, 0, IF(C62&gt;1, CHOOSE(F$34,F$29/(F$31-F$33), -PMT(F$32/2,F$31-$B61,C62,0)-D62,F$29*$AH62)))))*Assm!$X$90</f>
        <v>3175.1956987906501</v>
      </c>
      <c r="F62" s="65">
        <f t="shared" ca="1" si="44"/>
        <v>11331.642141497261</v>
      </c>
      <c r="G62" s="62">
        <f t="shared" ca="1" si="23"/>
        <v>0</v>
      </c>
      <c r="H62" s="64">
        <f t="shared" ca="1" si="31"/>
        <v>0</v>
      </c>
      <c r="I62" s="64">
        <f t="shared" ca="1" si="11"/>
        <v>0</v>
      </c>
      <c r="J62" s="65">
        <f t="shared" ca="1" si="32"/>
        <v>0</v>
      </c>
      <c r="K62" s="62">
        <f t="shared" ca="1" si="24"/>
        <v>0</v>
      </c>
      <c r="L62" s="64">
        <f t="shared" ca="1" si="33"/>
        <v>0</v>
      </c>
      <c r="M62" s="64">
        <f t="shared" ca="1" si="12"/>
        <v>0</v>
      </c>
      <c r="N62" s="65">
        <f t="shared" ca="1" si="34"/>
        <v>0</v>
      </c>
      <c r="O62" s="62">
        <f t="shared" ca="1" si="25"/>
        <v>0</v>
      </c>
      <c r="P62" s="64">
        <f t="shared" ca="1" si="35"/>
        <v>0</v>
      </c>
      <c r="Q62" s="64">
        <f t="shared" ca="1" si="13"/>
        <v>0</v>
      </c>
      <c r="R62" s="65">
        <f t="shared" ca="1" si="36"/>
        <v>0</v>
      </c>
      <c r="S62" s="62">
        <f t="shared" ca="1" si="26"/>
        <v>0</v>
      </c>
      <c r="T62" s="64">
        <f t="shared" ca="1" si="37"/>
        <v>0</v>
      </c>
      <c r="U62" s="64">
        <f t="shared" ca="1" si="14"/>
        <v>0</v>
      </c>
      <c r="V62" s="65">
        <f t="shared" ca="1" si="38"/>
        <v>0</v>
      </c>
      <c r="W62" s="62">
        <f t="shared" ca="1" si="27"/>
        <v>0</v>
      </c>
      <c r="X62" s="64">
        <f t="shared" ca="1" si="39"/>
        <v>0</v>
      </c>
      <c r="Y62" s="64">
        <f t="shared" ca="1" si="15"/>
        <v>0</v>
      </c>
      <c r="Z62" s="65">
        <f t="shared" ca="1" si="40"/>
        <v>0</v>
      </c>
      <c r="AA62" s="64">
        <f ca="1">SUM(D61:D62,H61:H62,L61:L62, P61:P62, T61:T62)</f>
        <v>1772.3997303263664</v>
      </c>
      <c r="AB62" s="551">
        <f ca="1">SUM(E61:E62, I61:I62, M61:M62, Q61:Q62, U61:U62)</f>
        <v>6350.3913975813002</v>
      </c>
      <c r="AC62" s="64">
        <f ca="1">SUM( X61:X62)</f>
        <v>0</v>
      </c>
      <c r="AD62" s="551">
        <f ca="1">SUM(Y61:Y62)</f>
        <v>0</v>
      </c>
      <c r="AE62" s="1185">
        <f ca="1">(C61+G61+W61)*IF([4]RAROC!$B$103=1,VLOOKUP(A62,[4]!Guar_Fee_Table,2),IF([4]RAROC!$B$103=2,VLOOKUP(A62,[4]!Guar_Fee_Table,3),IF([4]RAROC!$B$103=3,VLOOKUP(A62,[4]!Guar_Fee_Table,4,0))))</f>
        <v>0</v>
      </c>
      <c r="AG62" s="935">
        <v>8362.9523809523816</v>
      </c>
      <c r="AH62" s="336">
        <f t="shared" si="16"/>
        <v>4.181476190476191E-2</v>
      </c>
      <c r="AI62" s="937">
        <v>0</v>
      </c>
      <c r="AJ62" s="22">
        <f t="shared" si="17"/>
        <v>0</v>
      </c>
      <c r="AK62" s="937">
        <v>0</v>
      </c>
      <c r="AL62" s="22">
        <f t="shared" si="18"/>
        <v>0</v>
      </c>
      <c r="AM62" s="937">
        <v>0</v>
      </c>
      <c r="AN62" s="22">
        <f t="shared" si="19"/>
        <v>0</v>
      </c>
      <c r="AO62" s="937">
        <v>0</v>
      </c>
      <c r="AP62" s="22">
        <f t="shared" si="20"/>
        <v>0</v>
      </c>
      <c r="AQ62" s="937">
        <v>0</v>
      </c>
      <c r="AR62" s="191">
        <f t="shared" si="21"/>
        <v>0</v>
      </c>
    </row>
    <row r="63" spans="1:44">
      <c r="A63" s="342">
        <f t="shared" si="45"/>
        <v>2014</v>
      </c>
      <c r="B63" s="44">
        <f t="shared" si="43"/>
        <v>26</v>
      </c>
      <c r="C63" s="60">
        <f t="shared" ca="1" si="22"/>
        <v>11331.642141497261</v>
      </c>
      <c r="D63" s="53">
        <f t="shared" ca="1" si="29"/>
        <v>623.94854541619293</v>
      </c>
      <c r="E63" s="258">
        <f ca="1">IF(F$34=0,0,IF($B63&gt;=F$31,C63,IF(F$33&gt;=$B63, 0, IF(C63&gt;1, CHOOSE(F$34,F$29/(F$31-F$33), -PMT(F$32/2,F$31-$B62,C63,0)-D63,F$29*$AH63)))))*Assm!$X$90</f>
        <v>3175.1956987906501</v>
      </c>
      <c r="F63" s="61">
        <f t="shared" ca="1" si="44"/>
        <v>8156.4464427066105</v>
      </c>
      <c r="G63" s="60">
        <f t="shared" ca="1" si="23"/>
        <v>0</v>
      </c>
      <c r="H63" s="53">
        <f t="shared" ca="1" si="31"/>
        <v>0</v>
      </c>
      <c r="I63" s="53">
        <f t="shared" ca="1" si="11"/>
        <v>0</v>
      </c>
      <c r="J63" s="61">
        <f t="shared" ca="1" si="32"/>
        <v>0</v>
      </c>
      <c r="K63" s="60">
        <f t="shared" ca="1" si="24"/>
        <v>0</v>
      </c>
      <c r="L63" s="53">
        <f t="shared" ca="1" si="33"/>
        <v>0</v>
      </c>
      <c r="M63" s="53">
        <f t="shared" ca="1" si="12"/>
        <v>0</v>
      </c>
      <c r="N63" s="61">
        <f t="shared" ca="1" si="34"/>
        <v>0</v>
      </c>
      <c r="O63" s="60">
        <f t="shared" ca="1" si="25"/>
        <v>0</v>
      </c>
      <c r="P63" s="53">
        <f t="shared" ca="1" si="35"/>
        <v>0</v>
      </c>
      <c r="Q63" s="53">
        <f t="shared" ca="1" si="13"/>
        <v>0</v>
      </c>
      <c r="R63" s="61">
        <f t="shared" ca="1" si="36"/>
        <v>0</v>
      </c>
      <c r="S63" s="60">
        <f t="shared" ca="1" si="26"/>
        <v>0</v>
      </c>
      <c r="T63" s="53">
        <f t="shared" ca="1" si="37"/>
        <v>0</v>
      </c>
      <c r="U63" s="53">
        <f t="shared" ca="1" si="14"/>
        <v>0</v>
      </c>
      <c r="V63" s="61">
        <f t="shared" ca="1" si="38"/>
        <v>0</v>
      </c>
      <c r="W63" s="60">
        <f t="shared" ca="1" si="27"/>
        <v>0</v>
      </c>
      <c r="X63" s="53">
        <f t="shared" ca="1" si="39"/>
        <v>0</v>
      </c>
      <c r="Y63" s="53">
        <f t="shared" ca="1" si="15"/>
        <v>0</v>
      </c>
      <c r="Z63" s="61">
        <f t="shared" ca="1" si="40"/>
        <v>0</v>
      </c>
      <c r="AA63" s="53"/>
      <c r="AB63" s="183"/>
      <c r="AC63" s="53"/>
      <c r="AD63" s="183"/>
      <c r="AE63" s="1184"/>
      <c r="AG63" s="935">
        <v>8362.9523809523816</v>
      </c>
      <c r="AH63" s="336">
        <f t="shared" si="16"/>
        <v>4.181476190476191E-2</v>
      </c>
      <c r="AI63" s="937">
        <v>0</v>
      </c>
      <c r="AJ63" s="22">
        <f t="shared" si="17"/>
        <v>0</v>
      </c>
      <c r="AK63" s="937">
        <v>0</v>
      </c>
      <c r="AL63" s="22">
        <f t="shared" si="18"/>
        <v>0</v>
      </c>
      <c r="AM63" s="937">
        <v>0</v>
      </c>
      <c r="AN63" s="22">
        <f t="shared" si="19"/>
        <v>0</v>
      </c>
      <c r="AO63" s="937">
        <v>0</v>
      </c>
      <c r="AP63" s="22">
        <f t="shared" si="20"/>
        <v>0</v>
      </c>
      <c r="AQ63" s="937">
        <v>0</v>
      </c>
      <c r="AR63" s="191">
        <f t="shared" si="21"/>
        <v>0</v>
      </c>
    </row>
    <row r="64" spans="1:44">
      <c r="A64" s="550">
        <f>A63</f>
        <v>2014</v>
      </c>
      <c r="B64" s="306">
        <f t="shared" si="43"/>
        <v>27</v>
      </c>
      <c r="C64" s="62">
        <f t="shared" ca="1" si="22"/>
        <v>8156.4464427066105</v>
      </c>
      <c r="D64" s="64">
        <f t="shared" ca="1" si="29"/>
        <v>449.11433225153274</v>
      </c>
      <c r="E64" s="756">
        <f ca="1">IF(F$34=0,0,IF($B64&gt;=F$31,C64,IF(F$33&gt;=$B64, 0, IF(C64&gt;1, CHOOSE(F$34,F$29/(F$31-F$33), -PMT(F$32/2,F$31-$B63,C64,0)-D64,F$29*$AH64)))))*Assm!$X$90</f>
        <v>3403.0001071492957</v>
      </c>
      <c r="F64" s="65">
        <f t="shared" ca="1" si="44"/>
        <v>4753.4463355573153</v>
      </c>
      <c r="G64" s="62">
        <f t="shared" ca="1" si="23"/>
        <v>0</v>
      </c>
      <c r="H64" s="64">
        <f t="shared" ca="1" si="31"/>
        <v>0</v>
      </c>
      <c r="I64" s="64">
        <f t="shared" ca="1" si="11"/>
        <v>0</v>
      </c>
      <c r="J64" s="65">
        <f t="shared" ca="1" si="32"/>
        <v>0</v>
      </c>
      <c r="K64" s="62">
        <f t="shared" ca="1" si="24"/>
        <v>0</v>
      </c>
      <c r="L64" s="64">
        <f t="shared" ca="1" si="33"/>
        <v>0</v>
      </c>
      <c r="M64" s="64">
        <f t="shared" ca="1" si="12"/>
        <v>0</v>
      </c>
      <c r="N64" s="65">
        <f t="shared" ca="1" si="34"/>
        <v>0</v>
      </c>
      <c r="O64" s="62">
        <f t="shared" ca="1" si="25"/>
        <v>0</v>
      </c>
      <c r="P64" s="64">
        <f t="shared" ca="1" si="35"/>
        <v>0</v>
      </c>
      <c r="Q64" s="64">
        <f t="shared" ca="1" si="13"/>
        <v>0</v>
      </c>
      <c r="R64" s="65">
        <f t="shared" ca="1" si="36"/>
        <v>0</v>
      </c>
      <c r="S64" s="62">
        <f t="shared" ca="1" si="26"/>
        <v>0</v>
      </c>
      <c r="T64" s="64">
        <f t="shared" ca="1" si="37"/>
        <v>0</v>
      </c>
      <c r="U64" s="64">
        <f t="shared" ca="1" si="14"/>
        <v>0</v>
      </c>
      <c r="V64" s="65">
        <f t="shared" ca="1" si="38"/>
        <v>0</v>
      </c>
      <c r="W64" s="62">
        <f t="shared" ca="1" si="27"/>
        <v>0</v>
      </c>
      <c r="X64" s="64">
        <f t="shared" ca="1" si="39"/>
        <v>0</v>
      </c>
      <c r="Y64" s="64">
        <f t="shared" ca="1" si="15"/>
        <v>0</v>
      </c>
      <c r="Z64" s="65">
        <f t="shared" ca="1" si="40"/>
        <v>0</v>
      </c>
      <c r="AA64" s="64">
        <f ca="1">SUM(D63:D64,H63:H64,L63:L64, P63:P64, T63:T64)</f>
        <v>1073.0628776677256</v>
      </c>
      <c r="AB64" s="551">
        <f ca="1">SUM(E63:E64, I63:I64, M63:M64, Q63:Q64, U63:U64)</f>
        <v>6578.1958059399458</v>
      </c>
      <c r="AC64" s="64">
        <f ca="1">SUM( X63:X64)</f>
        <v>0</v>
      </c>
      <c r="AD64" s="551">
        <f ca="1">SUM(Y63:Y64)</f>
        <v>0</v>
      </c>
      <c r="AE64" s="1185">
        <f ca="1">(C63+G63+W63)*IF([4]RAROC!$B$103=1,VLOOKUP(A64,[4]!Guar_Fee_Table,2),IF([4]RAROC!$B$103=2,VLOOKUP(A64,[4]!Guar_Fee_Table,3),IF([4]RAROC!$B$103=3,VLOOKUP(A64,[4]!Guar_Fee_Table,4,0))))</f>
        <v>0</v>
      </c>
      <c r="AG64" s="935">
        <f>8362.95238095238+200+400</f>
        <v>8962.9523809523798</v>
      </c>
      <c r="AH64" s="336">
        <f t="shared" si="16"/>
        <v>4.4814761904761899E-2</v>
      </c>
      <c r="AI64" s="937">
        <v>0</v>
      </c>
      <c r="AJ64" s="22">
        <f t="shared" si="17"/>
        <v>0</v>
      </c>
      <c r="AK64" s="937">
        <v>0</v>
      </c>
      <c r="AL64" s="22">
        <f t="shared" si="18"/>
        <v>0</v>
      </c>
      <c r="AM64" s="937">
        <v>0</v>
      </c>
      <c r="AN64" s="22">
        <f t="shared" si="19"/>
        <v>0</v>
      </c>
      <c r="AO64" s="937">
        <v>0</v>
      </c>
      <c r="AP64" s="22">
        <f t="shared" si="20"/>
        <v>0</v>
      </c>
      <c r="AQ64" s="937">
        <v>0</v>
      </c>
      <c r="AR64" s="191">
        <f t="shared" si="21"/>
        <v>0</v>
      </c>
    </row>
    <row r="65" spans="1:44">
      <c r="A65" s="342">
        <f t="shared" si="45"/>
        <v>2015</v>
      </c>
      <c r="B65" s="44">
        <f t="shared" si="43"/>
        <v>28</v>
      </c>
      <c r="C65" s="60">
        <f t="shared" ca="1" si="22"/>
        <v>4753.4463355573153</v>
      </c>
      <c r="D65" s="53">
        <f t="shared" ca="1" si="29"/>
        <v>261.73663885162466</v>
      </c>
      <c r="E65" s="53">
        <f ca="1">IF(F$34=0,0,IF($B65&gt;=F$31,C65,IF(F$33&gt;=$B65, 0, IF(C65&gt;1, CHOOSE(F$34,F$29/(F$31-F$33), -PMT(F$32/2,F$31-$B64,C65,0)-D65,F$29*$AH65)))))*Assm!$X$90</f>
        <v>3573.8534134183178</v>
      </c>
      <c r="F65" s="61">
        <f t="shared" ca="1" si="44"/>
        <v>1179.5929221389974</v>
      </c>
      <c r="G65" s="60">
        <f t="shared" ca="1" si="23"/>
        <v>0</v>
      </c>
      <c r="H65" s="53">
        <f t="shared" ca="1" si="31"/>
        <v>0</v>
      </c>
      <c r="I65" s="53">
        <f t="shared" ca="1" si="11"/>
        <v>0</v>
      </c>
      <c r="J65" s="61">
        <f t="shared" ca="1" si="32"/>
        <v>0</v>
      </c>
      <c r="K65" s="60">
        <f t="shared" ca="1" si="24"/>
        <v>0</v>
      </c>
      <c r="L65" s="53">
        <f t="shared" ca="1" si="33"/>
        <v>0</v>
      </c>
      <c r="M65" s="53">
        <f t="shared" ca="1" si="12"/>
        <v>0</v>
      </c>
      <c r="N65" s="61">
        <f t="shared" ca="1" si="34"/>
        <v>0</v>
      </c>
      <c r="O65" s="60">
        <f t="shared" ca="1" si="25"/>
        <v>0</v>
      </c>
      <c r="P65" s="53">
        <f t="shared" ca="1" si="35"/>
        <v>0</v>
      </c>
      <c r="Q65" s="53">
        <f t="shared" ca="1" si="13"/>
        <v>0</v>
      </c>
      <c r="R65" s="61">
        <f t="shared" ca="1" si="36"/>
        <v>0</v>
      </c>
      <c r="S65" s="60">
        <f t="shared" ca="1" si="26"/>
        <v>0</v>
      </c>
      <c r="T65" s="53">
        <f t="shared" ca="1" si="37"/>
        <v>0</v>
      </c>
      <c r="U65" s="53">
        <f t="shared" ca="1" si="14"/>
        <v>0</v>
      </c>
      <c r="V65" s="61">
        <f t="shared" ca="1" si="38"/>
        <v>0</v>
      </c>
      <c r="W65" s="60">
        <f t="shared" ca="1" si="27"/>
        <v>0</v>
      </c>
      <c r="X65" s="53">
        <f t="shared" ca="1" si="39"/>
        <v>0</v>
      </c>
      <c r="Y65" s="53">
        <f t="shared" ca="1" si="15"/>
        <v>0</v>
      </c>
      <c r="Z65" s="61">
        <f t="shared" ca="1" si="40"/>
        <v>0</v>
      </c>
      <c r="AA65" s="53"/>
      <c r="AB65" s="183"/>
      <c r="AC65" s="53"/>
      <c r="AD65" s="183"/>
      <c r="AE65" s="1185"/>
      <c r="AG65" s="935">
        <v>9412.9523809524781</v>
      </c>
      <c r="AH65" s="336">
        <f t="shared" si="16"/>
        <v>4.7064761904762394E-2</v>
      </c>
      <c r="AI65" s="937">
        <v>0</v>
      </c>
      <c r="AJ65" s="22">
        <f t="shared" si="17"/>
        <v>0</v>
      </c>
      <c r="AK65" s="937">
        <v>0</v>
      </c>
      <c r="AL65" s="22">
        <f t="shared" si="18"/>
        <v>0</v>
      </c>
      <c r="AM65" s="937">
        <v>0</v>
      </c>
      <c r="AN65" s="22">
        <f t="shared" si="19"/>
        <v>0</v>
      </c>
      <c r="AO65" s="937">
        <v>0</v>
      </c>
      <c r="AP65" s="22">
        <f t="shared" si="20"/>
        <v>0</v>
      </c>
      <c r="AQ65" s="937">
        <v>0</v>
      </c>
      <c r="AR65" s="191">
        <f t="shared" si="21"/>
        <v>0</v>
      </c>
    </row>
    <row r="66" spans="1:44">
      <c r="A66" s="550">
        <f>A65</f>
        <v>2015</v>
      </c>
      <c r="B66" s="306">
        <f t="shared" si="43"/>
        <v>29</v>
      </c>
      <c r="C66" s="62">
        <f t="shared" ca="1" si="22"/>
        <v>1179.5929221389974</v>
      </c>
      <c r="D66" s="64">
        <f t="shared" ca="1" si="29"/>
        <v>64.951335275278552</v>
      </c>
      <c r="E66" s="64">
        <f ca="1">IF(F$34=0,0,IF($B66&gt;=F$31,C66,IF(F$33&gt;=$B66, 0, IF(C66&gt;1, CHOOSE(F$34,F$29/(F$31-F$33), -PMT(F$32/2,F$31-$B65,C66,0)-D66,F$29*$AH66)))))*Assm!$X$90</f>
        <v>1179.5929221389974</v>
      </c>
      <c r="F66" s="65">
        <f t="shared" ca="1" si="44"/>
        <v>0</v>
      </c>
      <c r="G66" s="62">
        <f t="shared" ca="1" si="23"/>
        <v>0</v>
      </c>
      <c r="H66" s="64">
        <f t="shared" ca="1" si="31"/>
        <v>0</v>
      </c>
      <c r="I66" s="64">
        <f t="shared" ca="1" si="11"/>
        <v>0</v>
      </c>
      <c r="J66" s="65">
        <f t="shared" ca="1" si="32"/>
        <v>0</v>
      </c>
      <c r="K66" s="62">
        <f t="shared" ca="1" si="24"/>
        <v>0</v>
      </c>
      <c r="L66" s="64">
        <f t="shared" ca="1" si="33"/>
        <v>0</v>
      </c>
      <c r="M66" s="64">
        <f t="shared" ca="1" si="12"/>
        <v>0</v>
      </c>
      <c r="N66" s="65">
        <f t="shared" ca="1" si="34"/>
        <v>0</v>
      </c>
      <c r="O66" s="62">
        <f t="shared" ca="1" si="25"/>
        <v>0</v>
      </c>
      <c r="P66" s="64">
        <f t="shared" ca="1" si="35"/>
        <v>0</v>
      </c>
      <c r="Q66" s="64">
        <f t="shared" ca="1" si="13"/>
        <v>0</v>
      </c>
      <c r="R66" s="65">
        <f t="shared" ca="1" si="36"/>
        <v>0</v>
      </c>
      <c r="S66" s="62">
        <f t="shared" ca="1" si="26"/>
        <v>0</v>
      </c>
      <c r="T66" s="64">
        <f t="shared" ca="1" si="37"/>
        <v>0</v>
      </c>
      <c r="U66" s="64">
        <f t="shared" ca="1" si="14"/>
        <v>0</v>
      </c>
      <c r="V66" s="65">
        <f t="shared" ca="1" si="38"/>
        <v>0</v>
      </c>
      <c r="W66" s="62">
        <f t="shared" ca="1" si="27"/>
        <v>0</v>
      </c>
      <c r="X66" s="64">
        <f t="shared" ca="1" si="39"/>
        <v>0</v>
      </c>
      <c r="Y66" s="64">
        <f t="shared" ca="1" si="15"/>
        <v>0</v>
      </c>
      <c r="Z66" s="65">
        <f t="shared" ca="1" si="40"/>
        <v>0</v>
      </c>
      <c r="AA66" s="64">
        <f ca="1">SUM(D65:D66,H65:H66,L65:L66, P65:P66, T65:T66)</f>
        <v>326.68797412690321</v>
      </c>
      <c r="AB66" s="551">
        <f ca="1">SUM(E65:E66, I65:I66, M65:M66, Q65:Q66, U65:U66)</f>
        <v>4753.4463355573153</v>
      </c>
      <c r="AC66" s="64">
        <f ca="1">SUM( X65:X66)</f>
        <v>0</v>
      </c>
      <c r="AD66" s="551">
        <f ca="1">SUM(Y65:Y66)</f>
        <v>0</v>
      </c>
      <c r="AE66" s="1185">
        <f ca="1">(C65+G65+W65)*IF([4]RAROC!$B$103=1,VLOOKUP(A66,[4]!Guar_Fee_Table,2),IF([4]RAROC!$B$103=2,VLOOKUP(A66,[4]!Guar_Fee_Table,3),IF([4]RAROC!$B$103=3,VLOOKUP(A66,[4]!Guar_Fee_Table,4,0))))</f>
        <v>0</v>
      </c>
      <c r="AG66" s="935">
        <v>0</v>
      </c>
      <c r="AH66" s="336">
        <f t="shared" si="16"/>
        <v>0</v>
      </c>
      <c r="AI66" s="937">
        <v>0</v>
      </c>
      <c r="AJ66" s="22">
        <f t="shared" si="17"/>
        <v>0</v>
      </c>
      <c r="AK66" s="937">
        <v>0</v>
      </c>
      <c r="AL66" s="22">
        <f t="shared" si="18"/>
        <v>0</v>
      </c>
      <c r="AM66" s="937">
        <v>0</v>
      </c>
      <c r="AN66" s="22">
        <f t="shared" si="19"/>
        <v>0</v>
      </c>
      <c r="AO66" s="937">
        <v>0</v>
      </c>
      <c r="AP66" s="22">
        <f t="shared" si="20"/>
        <v>0</v>
      </c>
      <c r="AQ66" s="937">
        <v>0</v>
      </c>
      <c r="AR66" s="191">
        <f t="shared" si="21"/>
        <v>0</v>
      </c>
    </row>
    <row r="67" spans="1:44">
      <c r="A67" s="342">
        <f t="shared" si="45"/>
        <v>2016</v>
      </c>
      <c r="B67" s="44">
        <f t="shared" si="43"/>
        <v>30</v>
      </c>
      <c r="C67" s="60">
        <f t="shared" ca="1" si="22"/>
        <v>0</v>
      </c>
      <c r="D67" s="53">
        <f t="shared" ca="1" si="29"/>
        <v>0</v>
      </c>
      <c r="E67" s="53">
        <f ca="1">IF(F$34=0,0,IF($B67&gt;=F$31,C67,IF(F$33&gt;=$B67, 0, IF(C67&gt;1, CHOOSE(F$34,F$29/(F$31-F$33), -PMT(F$32/2,F$31-$B66,C67,0)-D67,F$29*$AH67)))))*Assm!$X$90</f>
        <v>0</v>
      </c>
      <c r="F67" s="61">
        <f t="shared" ca="1" si="44"/>
        <v>0</v>
      </c>
      <c r="G67" s="60">
        <f t="shared" ca="1" si="23"/>
        <v>0</v>
      </c>
      <c r="H67" s="53">
        <f t="shared" ca="1" si="31"/>
        <v>0</v>
      </c>
      <c r="I67" s="53">
        <f t="shared" ca="1" si="11"/>
        <v>0</v>
      </c>
      <c r="J67" s="61">
        <f t="shared" ca="1" si="32"/>
        <v>0</v>
      </c>
      <c r="K67" s="60">
        <f t="shared" ca="1" si="24"/>
        <v>0</v>
      </c>
      <c r="L67" s="53">
        <f t="shared" ca="1" si="33"/>
        <v>0</v>
      </c>
      <c r="M67" s="53">
        <f t="shared" ca="1" si="12"/>
        <v>0</v>
      </c>
      <c r="N67" s="61">
        <f t="shared" ca="1" si="34"/>
        <v>0</v>
      </c>
      <c r="O67" s="60">
        <f t="shared" ca="1" si="25"/>
        <v>0</v>
      </c>
      <c r="P67" s="53">
        <f t="shared" ca="1" si="35"/>
        <v>0</v>
      </c>
      <c r="Q67" s="53">
        <f t="shared" ca="1" si="13"/>
        <v>0</v>
      </c>
      <c r="R67" s="61">
        <f t="shared" ca="1" si="36"/>
        <v>0</v>
      </c>
      <c r="S67" s="60">
        <f t="shared" ca="1" si="26"/>
        <v>0</v>
      </c>
      <c r="T67" s="53">
        <f t="shared" ca="1" si="37"/>
        <v>0</v>
      </c>
      <c r="U67" s="53">
        <f t="shared" ca="1" si="14"/>
        <v>0</v>
      </c>
      <c r="V67" s="61">
        <f t="shared" ca="1" si="38"/>
        <v>0</v>
      </c>
      <c r="W67" s="60">
        <f t="shared" ca="1" si="27"/>
        <v>0</v>
      </c>
      <c r="X67" s="53">
        <f t="shared" ca="1" si="39"/>
        <v>0</v>
      </c>
      <c r="Y67" s="53">
        <f t="shared" ca="1" si="15"/>
        <v>0</v>
      </c>
      <c r="Z67" s="61">
        <f t="shared" ca="1" si="40"/>
        <v>0</v>
      </c>
      <c r="AA67" s="53"/>
      <c r="AB67" s="183"/>
      <c r="AC67" s="53"/>
      <c r="AD67" s="183"/>
      <c r="AE67" s="1185"/>
      <c r="AG67" s="935">
        <v>0</v>
      </c>
      <c r="AH67" s="336">
        <f t="shared" si="16"/>
        <v>0</v>
      </c>
      <c r="AI67" s="937">
        <v>0</v>
      </c>
      <c r="AJ67" s="22">
        <f t="shared" si="17"/>
        <v>0</v>
      </c>
      <c r="AK67" s="937">
        <v>0</v>
      </c>
      <c r="AL67" s="22">
        <f t="shared" si="18"/>
        <v>0</v>
      </c>
      <c r="AM67" s="937">
        <v>0</v>
      </c>
      <c r="AN67" s="22">
        <f t="shared" si="19"/>
        <v>0</v>
      </c>
      <c r="AO67" s="937">
        <v>0</v>
      </c>
      <c r="AP67" s="22">
        <f t="shared" si="20"/>
        <v>0</v>
      </c>
      <c r="AQ67" s="937">
        <v>0</v>
      </c>
      <c r="AR67" s="191">
        <f t="shared" si="21"/>
        <v>0</v>
      </c>
    </row>
    <row r="68" spans="1:44">
      <c r="A68" s="550">
        <f>A67</f>
        <v>2016</v>
      </c>
      <c r="B68" s="306">
        <f t="shared" si="43"/>
        <v>31</v>
      </c>
      <c r="C68" s="62">
        <f t="shared" ca="1" si="22"/>
        <v>0</v>
      </c>
      <c r="D68" s="64">
        <f t="shared" ca="1" si="29"/>
        <v>0</v>
      </c>
      <c r="E68" s="64">
        <f ca="1">IF(F$34=0,0,IF($B68&gt;=F$31,C68,IF(F$33&gt;=$B68, 0, IF(C68&gt;1, CHOOSE(F$34,F$29/(F$31-F$33), -PMT(F$32/2,F$31-$B67,C68,0)-D68,F$29*$AH68)))))*Assm!$X$90</f>
        <v>0</v>
      </c>
      <c r="F68" s="65">
        <f t="shared" ca="1" si="44"/>
        <v>0</v>
      </c>
      <c r="G68" s="62">
        <f t="shared" ca="1" si="23"/>
        <v>0</v>
      </c>
      <c r="H68" s="64">
        <f t="shared" ca="1" si="31"/>
        <v>0</v>
      </c>
      <c r="I68" s="64">
        <f t="shared" ca="1" si="11"/>
        <v>0</v>
      </c>
      <c r="J68" s="65">
        <f t="shared" ca="1" si="32"/>
        <v>0</v>
      </c>
      <c r="K68" s="62">
        <f t="shared" ca="1" si="24"/>
        <v>0</v>
      </c>
      <c r="L68" s="64">
        <f t="shared" ca="1" si="33"/>
        <v>0</v>
      </c>
      <c r="M68" s="64">
        <f t="shared" ca="1" si="12"/>
        <v>0</v>
      </c>
      <c r="N68" s="65">
        <f t="shared" ca="1" si="34"/>
        <v>0</v>
      </c>
      <c r="O68" s="62">
        <f t="shared" ca="1" si="25"/>
        <v>0</v>
      </c>
      <c r="P68" s="64">
        <f t="shared" ca="1" si="35"/>
        <v>0</v>
      </c>
      <c r="Q68" s="64">
        <f t="shared" ca="1" si="13"/>
        <v>0</v>
      </c>
      <c r="R68" s="65">
        <f t="shared" ca="1" si="36"/>
        <v>0</v>
      </c>
      <c r="S68" s="62">
        <f t="shared" ca="1" si="26"/>
        <v>0</v>
      </c>
      <c r="T68" s="64">
        <f t="shared" ca="1" si="37"/>
        <v>0</v>
      </c>
      <c r="U68" s="64">
        <f t="shared" ca="1" si="14"/>
        <v>0</v>
      </c>
      <c r="V68" s="65">
        <f t="shared" ca="1" si="38"/>
        <v>0</v>
      </c>
      <c r="W68" s="62">
        <f t="shared" ca="1" si="27"/>
        <v>0</v>
      </c>
      <c r="X68" s="64">
        <f t="shared" ca="1" si="39"/>
        <v>0</v>
      </c>
      <c r="Y68" s="64">
        <f t="shared" ca="1" si="15"/>
        <v>0</v>
      </c>
      <c r="Z68" s="65">
        <f t="shared" ca="1" si="40"/>
        <v>0</v>
      </c>
      <c r="AA68" s="64">
        <f ca="1">SUM(D67:D68,H67:H68,L67:L68, P67:P68, T67:T68)</f>
        <v>0</v>
      </c>
      <c r="AB68" s="551">
        <f ca="1">SUM(E67:E68, I67:I68, M67:M68, Q67:Q68, U67:U68)</f>
        <v>0</v>
      </c>
      <c r="AC68" s="64">
        <f ca="1">SUM( X67:X68)</f>
        <v>0</v>
      </c>
      <c r="AD68" s="551">
        <f ca="1">SUM(Y67:Y68)</f>
        <v>0</v>
      </c>
      <c r="AE68" s="1185">
        <f ca="1">(C67+G67+W67)*IF([4]RAROC!$B$103=1,VLOOKUP(A68,[4]!Guar_Fee_Table,2),IF([4]RAROC!$B$103=2,VLOOKUP(A68,[4]!Guar_Fee_Table,3),IF([4]RAROC!$B$103=3,VLOOKUP(A68,[4]!Guar_Fee_Table,4,0))))</f>
        <v>0</v>
      </c>
      <c r="AG68" s="935">
        <v>0</v>
      </c>
      <c r="AH68" s="336">
        <f t="shared" si="16"/>
        <v>0</v>
      </c>
      <c r="AI68" s="937">
        <v>0</v>
      </c>
      <c r="AJ68" s="22">
        <f t="shared" si="17"/>
        <v>0</v>
      </c>
      <c r="AK68" s="937">
        <v>0</v>
      </c>
      <c r="AL68" s="22">
        <f t="shared" si="18"/>
        <v>0</v>
      </c>
      <c r="AM68" s="937">
        <v>0</v>
      </c>
      <c r="AN68" s="22">
        <f t="shared" si="19"/>
        <v>0</v>
      </c>
      <c r="AO68" s="937">
        <v>0</v>
      </c>
      <c r="AP68" s="22">
        <f t="shared" si="20"/>
        <v>0</v>
      </c>
      <c r="AQ68" s="937">
        <v>0</v>
      </c>
      <c r="AR68" s="191">
        <f t="shared" si="21"/>
        <v>0</v>
      </c>
    </row>
    <row r="69" spans="1:44">
      <c r="A69" s="342">
        <f t="shared" si="45"/>
        <v>2017</v>
      </c>
      <c r="B69" s="44">
        <f t="shared" si="43"/>
        <v>32</v>
      </c>
      <c r="C69" s="60">
        <f t="shared" ca="1" si="22"/>
        <v>0</v>
      </c>
      <c r="D69" s="53">
        <f t="shared" ca="1" si="29"/>
        <v>0</v>
      </c>
      <c r="E69" s="53">
        <f ca="1">IF(F$34=0,0,IF($B69&gt;=F$31,C69,IF(F$33&gt;=$B69, 0, IF(C69&gt;1, CHOOSE(F$34,F$29/(F$31-F$33), -PMT(F$32/2,F$31-$B68,C69,0)-D69,F$29*$AH69)))))*Assm!$X$90</f>
        <v>0</v>
      </c>
      <c r="F69" s="61">
        <f t="shared" ca="1" si="44"/>
        <v>0</v>
      </c>
      <c r="G69" s="60">
        <f t="shared" ca="1" si="23"/>
        <v>0</v>
      </c>
      <c r="H69" s="53">
        <f t="shared" ca="1" si="31"/>
        <v>0</v>
      </c>
      <c r="I69" s="53">
        <f t="shared" ca="1" si="11"/>
        <v>0</v>
      </c>
      <c r="J69" s="61">
        <f t="shared" ca="1" si="32"/>
        <v>0</v>
      </c>
      <c r="K69" s="60">
        <f t="shared" ca="1" si="24"/>
        <v>0</v>
      </c>
      <c r="L69" s="53">
        <f t="shared" ca="1" si="33"/>
        <v>0</v>
      </c>
      <c r="M69" s="53">
        <f t="shared" ca="1" si="12"/>
        <v>0</v>
      </c>
      <c r="N69" s="61">
        <f t="shared" ca="1" si="34"/>
        <v>0</v>
      </c>
      <c r="O69" s="60">
        <f t="shared" ca="1" si="25"/>
        <v>0</v>
      </c>
      <c r="P69" s="53">
        <f t="shared" ca="1" si="35"/>
        <v>0</v>
      </c>
      <c r="Q69" s="53">
        <f t="shared" ca="1" si="13"/>
        <v>0</v>
      </c>
      <c r="R69" s="61">
        <f t="shared" ca="1" si="36"/>
        <v>0</v>
      </c>
      <c r="S69" s="60">
        <f t="shared" ca="1" si="26"/>
        <v>0</v>
      </c>
      <c r="T69" s="53">
        <f t="shared" ca="1" si="37"/>
        <v>0</v>
      </c>
      <c r="U69" s="53">
        <f t="shared" ca="1" si="14"/>
        <v>0</v>
      </c>
      <c r="V69" s="61">
        <f t="shared" ca="1" si="38"/>
        <v>0</v>
      </c>
      <c r="W69" s="60">
        <f t="shared" ca="1" si="27"/>
        <v>0</v>
      </c>
      <c r="X69" s="53">
        <f t="shared" ca="1" si="39"/>
        <v>0</v>
      </c>
      <c r="Y69" s="53">
        <f t="shared" ca="1" si="15"/>
        <v>0</v>
      </c>
      <c r="Z69" s="61">
        <f t="shared" ca="1" si="40"/>
        <v>0</v>
      </c>
      <c r="AA69" s="53"/>
      <c r="AB69" s="183"/>
      <c r="AC69" s="53"/>
      <c r="AD69" s="183"/>
      <c r="AE69" s="1184"/>
      <c r="AG69" s="935">
        <v>0</v>
      </c>
      <c r="AH69" s="336">
        <f t="shared" si="16"/>
        <v>0</v>
      </c>
      <c r="AI69" s="937">
        <v>0</v>
      </c>
      <c r="AJ69" s="22">
        <f t="shared" si="17"/>
        <v>0</v>
      </c>
      <c r="AK69" s="937">
        <v>0</v>
      </c>
      <c r="AL69" s="22">
        <f t="shared" si="18"/>
        <v>0</v>
      </c>
      <c r="AM69" s="937">
        <v>0</v>
      </c>
      <c r="AN69" s="22">
        <f t="shared" si="19"/>
        <v>0</v>
      </c>
      <c r="AO69" s="937">
        <v>0</v>
      </c>
      <c r="AP69" s="22">
        <f t="shared" si="20"/>
        <v>0</v>
      </c>
      <c r="AQ69" s="937">
        <v>0</v>
      </c>
      <c r="AR69" s="191">
        <f t="shared" si="21"/>
        <v>0</v>
      </c>
    </row>
    <row r="70" spans="1:44">
      <c r="A70" s="550">
        <f>A69</f>
        <v>2017</v>
      </c>
      <c r="B70" s="306">
        <f t="shared" si="43"/>
        <v>33</v>
      </c>
      <c r="C70" s="62">
        <f t="shared" ca="1" si="22"/>
        <v>0</v>
      </c>
      <c r="D70" s="64">
        <f t="shared" ca="1" si="29"/>
        <v>0</v>
      </c>
      <c r="E70" s="64">
        <f ca="1">IF(F$34=0,0,IF($B70&gt;=F$31,C70,IF(F$33&gt;=$B70, 0, IF(C70&gt;1, CHOOSE(F$34,F$29/(F$31-F$33), -PMT(F$32/2,F$31-$B69,C70,0)-D70,F$29*$AH70)))))*Assm!$X$90</f>
        <v>0</v>
      </c>
      <c r="F70" s="65">
        <f t="shared" ca="1" si="44"/>
        <v>0</v>
      </c>
      <c r="G70" s="62">
        <f t="shared" ca="1" si="23"/>
        <v>0</v>
      </c>
      <c r="H70" s="64">
        <f t="shared" ca="1" si="31"/>
        <v>0</v>
      </c>
      <c r="I70" s="64">
        <f t="shared" ca="1" si="11"/>
        <v>0</v>
      </c>
      <c r="J70" s="65">
        <f t="shared" ca="1" si="32"/>
        <v>0</v>
      </c>
      <c r="K70" s="62">
        <f t="shared" ca="1" si="24"/>
        <v>0</v>
      </c>
      <c r="L70" s="64">
        <f t="shared" ca="1" si="33"/>
        <v>0</v>
      </c>
      <c r="M70" s="64">
        <f t="shared" ca="1" si="12"/>
        <v>0</v>
      </c>
      <c r="N70" s="65">
        <f t="shared" ca="1" si="34"/>
        <v>0</v>
      </c>
      <c r="O70" s="62">
        <f t="shared" ca="1" si="25"/>
        <v>0</v>
      </c>
      <c r="P70" s="64">
        <f t="shared" ca="1" si="35"/>
        <v>0</v>
      </c>
      <c r="Q70" s="64">
        <f t="shared" ca="1" si="13"/>
        <v>0</v>
      </c>
      <c r="R70" s="65">
        <f t="shared" ca="1" si="36"/>
        <v>0</v>
      </c>
      <c r="S70" s="62">
        <f t="shared" ca="1" si="26"/>
        <v>0</v>
      </c>
      <c r="T70" s="64">
        <f t="shared" ca="1" si="37"/>
        <v>0</v>
      </c>
      <c r="U70" s="64">
        <f t="shared" ca="1" si="14"/>
        <v>0</v>
      </c>
      <c r="V70" s="65">
        <f t="shared" ca="1" si="38"/>
        <v>0</v>
      </c>
      <c r="W70" s="62">
        <f t="shared" ca="1" si="27"/>
        <v>0</v>
      </c>
      <c r="X70" s="64">
        <f t="shared" ca="1" si="39"/>
        <v>0</v>
      </c>
      <c r="Y70" s="64">
        <f t="shared" ca="1" si="15"/>
        <v>0</v>
      </c>
      <c r="Z70" s="65">
        <f t="shared" ca="1" si="40"/>
        <v>0</v>
      </c>
      <c r="AA70" s="64">
        <f ca="1">SUM(D69:D70,H69:H70,L69:L70, P69:P70, T69:T70)</f>
        <v>0</v>
      </c>
      <c r="AB70" s="551">
        <f ca="1">SUM(E69:E70, I69:I70, M69:M70, Q69:Q70, U69:U70)</f>
        <v>0</v>
      </c>
      <c r="AC70" s="64">
        <f ca="1">SUM( X69:X70)</f>
        <v>0</v>
      </c>
      <c r="AD70" s="551">
        <f ca="1">SUM(Y69:Y70)</f>
        <v>0</v>
      </c>
      <c r="AE70" s="1185">
        <f ca="1">(C69+G69+W69)*IF([4]RAROC!$B$103=1,VLOOKUP(A70,[4]!Guar_Fee_Table,2),IF([4]RAROC!$B$103=2,VLOOKUP(A70,[4]!Guar_Fee_Table,3),IF([4]RAROC!$B$103=3,VLOOKUP(A70,[4]!Guar_Fee_Table,4,0))))</f>
        <v>0</v>
      </c>
      <c r="AG70" s="935">
        <v>0</v>
      </c>
      <c r="AH70" s="336">
        <f t="shared" si="16"/>
        <v>0</v>
      </c>
      <c r="AI70" s="937">
        <v>0</v>
      </c>
      <c r="AJ70" s="22">
        <f t="shared" si="17"/>
        <v>0</v>
      </c>
      <c r="AK70" s="937">
        <v>0</v>
      </c>
      <c r="AL70" s="22">
        <f t="shared" si="18"/>
        <v>0</v>
      </c>
      <c r="AM70" s="937">
        <v>0</v>
      </c>
      <c r="AN70" s="22">
        <f t="shared" si="19"/>
        <v>0</v>
      </c>
      <c r="AO70" s="937">
        <v>0</v>
      </c>
      <c r="AP70" s="22">
        <f t="shared" si="20"/>
        <v>0</v>
      </c>
      <c r="AQ70" s="937">
        <v>0</v>
      </c>
      <c r="AR70" s="191">
        <f t="shared" si="21"/>
        <v>0</v>
      </c>
    </row>
    <row r="71" spans="1:44">
      <c r="A71" s="342">
        <f t="shared" si="45"/>
        <v>2018</v>
      </c>
      <c r="B71" s="44">
        <f t="shared" ref="B71:B76" si="46">B70+1</f>
        <v>34</v>
      </c>
      <c r="C71" s="60">
        <f t="shared" ca="1" si="22"/>
        <v>0</v>
      </c>
      <c r="D71" s="53">
        <f t="shared" ca="1" si="29"/>
        <v>0</v>
      </c>
      <c r="E71" s="53">
        <f ca="1">IF(F$34=0,0,IF($B71&gt;=F$31,C71,IF(F$33&gt;=$B71, 0, IF(C71&gt;1, CHOOSE(F$34,F$29/(F$31-F$33), -PMT(F$32/2,F$31-$B70,C71,0)-D71,F$29*$AH71)))))*Assm!$X$90</f>
        <v>0</v>
      </c>
      <c r="F71" s="61">
        <f t="shared" ref="F71:F76" ca="1" si="47">C71-E71</f>
        <v>0</v>
      </c>
      <c r="G71" s="60">
        <f t="shared" ca="1" si="23"/>
        <v>0</v>
      </c>
      <c r="H71" s="53">
        <f t="shared" ca="1" si="31"/>
        <v>0</v>
      </c>
      <c r="I71" s="53">
        <f t="shared" ca="1" si="11"/>
        <v>0</v>
      </c>
      <c r="J71" s="61">
        <f t="shared" ca="1" si="32"/>
        <v>0</v>
      </c>
      <c r="K71" s="60">
        <f t="shared" ca="1" si="24"/>
        <v>0</v>
      </c>
      <c r="L71" s="53">
        <f t="shared" ca="1" si="33"/>
        <v>0</v>
      </c>
      <c r="M71" s="53">
        <f t="shared" ca="1" si="12"/>
        <v>0</v>
      </c>
      <c r="N71" s="61">
        <f t="shared" ca="1" si="34"/>
        <v>0</v>
      </c>
      <c r="O71" s="60">
        <f t="shared" ca="1" si="25"/>
        <v>0</v>
      </c>
      <c r="P71" s="53">
        <f t="shared" ca="1" si="35"/>
        <v>0</v>
      </c>
      <c r="Q71" s="53">
        <f t="shared" ca="1" si="13"/>
        <v>0</v>
      </c>
      <c r="R71" s="61">
        <f t="shared" ca="1" si="36"/>
        <v>0</v>
      </c>
      <c r="S71" s="60">
        <f t="shared" ca="1" si="26"/>
        <v>0</v>
      </c>
      <c r="T71" s="53">
        <f t="shared" ca="1" si="37"/>
        <v>0</v>
      </c>
      <c r="U71" s="53">
        <f t="shared" ca="1" si="14"/>
        <v>0</v>
      </c>
      <c r="V71" s="61">
        <f t="shared" ca="1" si="38"/>
        <v>0</v>
      </c>
      <c r="W71" s="60">
        <f t="shared" ca="1" si="27"/>
        <v>0</v>
      </c>
      <c r="X71" s="53">
        <f t="shared" ca="1" si="39"/>
        <v>0</v>
      </c>
      <c r="Y71" s="53">
        <f t="shared" ca="1" si="15"/>
        <v>0</v>
      </c>
      <c r="Z71" s="61">
        <f t="shared" ca="1" si="40"/>
        <v>0</v>
      </c>
      <c r="AA71" s="53"/>
      <c r="AB71" s="183"/>
      <c r="AC71" s="53"/>
      <c r="AD71" s="183"/>
      <c r="AE71" s="1184"/>
      <c r="AG71" s="935">
        <v>0</v>
      </c>
      <c r="AH71" s="336">
        <f t="shared" si="16"/>
        <v>0</v>
      </c>
      <c r="AI71" s="937">
        <v>0</v>
      </c>
      <c r="AJ71" s="22">
        <f t="shared" si="17"/>
        <v>0</v>
      </c>
      <c r="AK71" s="937">
        <v>0</v>
      </c>
      <c r="AL71" s="22">
        <f t="shared" si="18"/>
        <v>0</v>
      </c>
      <c r="AM71" s="937">
        <v>0</v>
      </c>
      <c r="AN71" s="22">
        <f t="shared" si="19"/>
        <v>0</v>
      </c>
      <c r="AO71" s="937">
        <v>0</v>
      </c>
      <c r="AP71" s="22">
        <f t="shared" si="20"/>
        <v>0</v>
      </c>
      <c r="AQ71" s="937">
        <v>0</v>
      </c>
      <c r="AR71" s="191">
        <f t="shared" si="21"/>
        <v>0</v>
      </c>
    </row>
    <row r="72" spans="1:44">
      <c r="A72" s="550">
        <f>A71</f>
        <v>2018</v>
      </c>
      <c r="B72" s="306">
        <f t="shared" si="46"/>
        <v>35</v>
      </c>
      <c r="C72" s="62">
        <f t="shared" ca="1" si="22"/>
        <v>0</v>
      </c>
      <c r="D72" s="64">
        <f t="shared" ca="1" si="29"/>
        <v>0</v>
      </c>
      <c r="E72" s="64">
        <f ca="1">IF(F$34=0,0,IF($B72&gt;=F$31,C72,IF(F$33&gt;=$B72, 0, IF(C72&gt;1, CHOOSE(F$34,F$29/(F$31-F$33), -PMT(F$32/2,F$31-$B71,C72,0)-D72,F$29*$AH72)))))*Assm!$X$90</f>
        <v>0</v>
      </c>
      <c r="F72" s="65">
        <f t="shared" ca="1" si="47"/>
        <v>0</v>
      </c>
      <c r="G72" s="62">
        <f t="shared" ca="1" si="23"/>
        <v>0</v>
      </c>
      <c r="H72" s="64">
        <f t="shared" ca="1" si="31"/>
        <v>0</v>
      </c>
      <c r="I72" s="64">
        <f t="shared" ca="1" si="11"/>
        <v>0</v>
      </c>
      <c r="J72" s="65">
        <f t="shared" ca="1" si="32"/>
        <v>0</v>
      </c>
      <c r="K72" s="62">
        <f t="shared" ca="1" si="24"/>
        <v>0</v>
      </c>
      <c r="L72" s="64">
        <f t="shared" ca="1" si="33"/>
        <v>0</v>
      </c>
      <c r="M72" s="64">
        <f t="shared" ca="1" si="12"/>
        <v>0</v>
      </c>
      <c r="N72" s="65">
        <f t="shared" ca="1" si="34"/>
        <v>0</v>
      </c>
      <c r="O72" s="62">
        <f t="shared" ca="1" si="25"/>
        <v>0</v>
      </c>
      <c r="P72" s="64">
        <f t="shared" ca="1" si="35"/>
        <v>0</v>
      </c>
      <c r="Q72" s="64">
        <f t="shared" ca="1" si="13"/>
        <v>0</v>
      </c>
      <c r="R72" s="65">
        <f t="shared" ca="1" si="36"/>
        <v>0</v>
      </c>
      <c r="S72" s="62">
        <f t="shared" ca="1" si="26"/>
        <v>0</v>
      </c>
      <c r="T72" s="64">
        <f t="shared" ca="1" si="37"/>
        <v>0</v>
      </c>
      <c r="U72" s="64">
        <f t="shared" ca="1" si="14"/>
        <v>0</v>
      </c>
      <c r="V72" s="65">
        <f t="shared" ca="1" si="38"/>
        <v>0</v>
      </c>
      <c r="W72" s="62">
        <f t="shared" ca="1" si="27"/>
        <v>0</v>
      </c>
      <c r="X72" s="64">
        <f t="shared" ca="1" si="39"/>
        <v>0</v>
      </c>
      <c r="Y72" s="64">
        <f t="shared" ca="1" si="15"/>
        <v>0</v>
      </c>
      <c r="Z72" s="65">
        <f t="shared" ca="1" si="40"/>
        <v>0</v>
      </c>
      <c r="AA72" s="64">
        <f ca="1">SUM(D71:D72,H71:H72,L71:L72, P71:P72, T71:T72)</f>
        <v>0</v>
      </c>
      <c r="AB72" s="551">
        <f ca="1">SUM(E71:E72, I71:I72, M71:M72, Q71:Q72, U71:U72)</f>
        <v>0</v>
      </c>
      <c r="AC72" s="64">
        <f ca="1">SUM( X71:X72)</f>
        <v>0</v>
      </c>
      <c r="AD72" s="551">
        <f ca="1">SUM(Y71:Y72)</f>
        <v>0</v>
      </c>
      <c r="AE72" s="1185">
        <f ca="1">(C71+G71+W71)*IF([4]RAROC!$B$103=1,VLOOKUP(A72,[4]!Guar_Fee_Table,2),IF([4]RAROC!$B$103=2,VLOOKUP(A72,[4]!Guar_Fee_Table,3),IF([4]RAROC!$B$103=3,VLOOKUP(A72,[4]!Guar_Fee_Table,4,0))))</f>
        <v>0</v>
      </c>
      <c r="AG72" s="935">
        <v>0</v>
      </c>
      <c r="AH72" s="336">
        <f t="shared" si="16"/>
        <v>0</v>
      </c>
      <c r="AI72" s="937">
        <v>0</v>
      </c>
      <c r="AJ72" s="22">
        <f t="shared" si="17"/>
        <v>0</v>
      </c>
      <c r="AK72" s="937">
        <v>0</v>
      </c>
      <c r="AL72" s="22">
        <f t="shared" si="18"/>
        <v>0</v>
      </c>
      <c r="AM72" s="937">
        <v>0</v>
      </c>
      <c r="AN72" s="22">
        <f t="shared" si="19"/>
        <v>0</v>
      </c>
      <c r="AO72" s="937">
        <v>0</v>
      </c>
      <c r="AP72" s="22">
        <f t="shared" si="20"/>
        <v>0</v>
      </c>
      <c r="AQ72" s="937">
        <v>0</v>
      </c>
      <c r="AR72" s="191">
        <f t="shared" si="21"/>
        <v>0</v>
      </c>
    </row>
    <row r="73" spans="1:44">
      <c r="A73" s="342">
        <f t="shared" si="45"/>
        <v>2019</v>
      </c>
      <c r="B73" s="44">
        <f t="shared" si="46"/>
        <v>36</v>
      </c>
      <c r="C73" s="60">
        <f t="shared" ca="1" si="22"/>
        <v>0</v>
      </c>
      <c r="D73" s="53">
        <f t="shared" ca="1" si="29"/>
        <v>0</v>
      </c>
      <c r="E73" s="53">
        <f ca="1">IF(F$34=0,0,IF($B73&gt;=F$31,C73,IF(F$33&gt;=$B73, 0, IF(C73&gt;1, CHOOSE(F$34,F$29/(F$31-F$33), -PMT(F$32/2,F$31-$B72,C73,0)-D73,F$29*$AH73)))))*Assm!$X$90</f>
        <v>0</v>
      </c>
      <c r="F73" s="61">
        <f t="shared" ca="1" si="47"/>
        <v>0</v>
      </c>
      <c r="G73" s="60">
        <f t="shared" ca="1" si="23"/>
        <v>0</v>
      </c>
      <c r="H73" s="53">
        <f t="shared" ca="1" si="31"/>
        <v>0</v>
      </c>
      <c r="I73" s="53">
        <f t="shared" ca="1" si="11"/>
        <v>0</v>
      </c>
      <c r="J73" s="61">
        <f t="shared" ca="1" si="32"/>
        <v>0</v>
      </c>
      <c r="K73" s="60">
        <f t="shared" ca="1" si="24"/>
        <v>0</v>
      </c>
      <c r="L73" s="53">
        <f t="shared" ca="1" si="33"/>
        <v>0</v>
      </c>
      <c r="M73" s="53">
        <f t="shared" ca="1" si="12"/>
        <v>0</v>
      </c>
      <c r="N73" s="61">
        <f t="shared" ca="1" si="34"/>
        <v>0</v>
      </c>
      <c r="O73" s="60">
        <f t="shared" ca="1" si="25"/>
        <v>0</v>
      </c>
      <c r="P73" s="53">
        <f t="shared" ca="1" si="35"/>
        <v>0</v>
      </c>
      <c r="Q73" s="53">
        <f t="shared" ca="1" si="13"/>
        <v>0</v>
      </c>
      <c r="R73" s="61">
        <f t="shared" ca="1" si="36"/>
        <v>0</v>
      </c>
      <c r="S73" s="60">
        <f t="shared" ca="1" si="26"/>
        <v>0</v>
      </c>
      <c r="T73" s="53">
        <f t="shared" ca="1" si="37"/>
        <v>0</v>
      </c>
      <c r="U73" s="53">
        <f t="shared" ca="1" si="14"/>
        <v>0</v>
      </c>
      <c r="V73" s="61">
        <f t="shared" ca="1" si="38"/>
        <v>0</v>
      </c>
      <c r="W73" s="60">
        <f t="shared" ca="1" si="27"/>
        <v>0</v>
      </c>
      <c r="X73" s="53">
        <f t="shared" ca="1" si="39"/>
        <v>0</v>
      </c>
      <c r="Y73" s="53">
        <f t="shared" ca="1" si="15"/>
        <v>0</v>
      </c>
      <c r="Z73" s="61">
        <f t="shared" ca="1" si="40"/>
        <v>0</v>
      </c>
      <c r="AA73" s="53"/>
      <c r="AB73" s="183"/>
      <c r="AC73" s="53"/>
      <c r="AD73" s="183"/>
      <c r="AE73" s="1184"/>
      <c r="AG73" s="935">
        <v>0</v>
      </c>
      <c r="AH73" s="336">
        <f t="shared" si="16"/>
        <v>0</v>
      </c>
      <c r="AI73" s="937">
        <v>0</v>
      </c>
      <c r="AJ73" s="22">
        <f t="shared" si="17"/>
        <v>0</v>
      </c>
      <c r="AK73" s="937">
        <v>0</v>
      </c>
      <c r="AL73" s="22">
        <f t="shared" si="18"/>
        <v>0</v>
      </c>
      <c r="AM73" s="937">
        <v>0</v>
      </c>
      <c r="AN73" s="22">
        <f t="shared" si="19"/>
        <v>0</v>
      </c>
      <c r="AO73" s="937">
        <v>0</v>
      </c>
      <c r="AP73" s="22">
        <f t="shared" si="20"/>
        <v>0</v>
      </c>
      <c r="AQ73" s="937">
        <v>0</v>
      </c>
      <c r="AR73" s="191">
        <f t="shared" si="21"/>
        <v>0</v>
      </c>
    </row>
    <row r="74" spans="1:44">
      <c r="A74" s="550">
        <f>A73</f>
        <v>2019</v>
      </c>
      <c r="B74" s="306">
        <f t="shared" si="46"/>
        <v>37</v>
      </c>
      <c r="C74" s="62">
        <f t="shared" ca="1" si="22"/>
        <v>0</v>
      </c>
      <c r="D74" s="64">
        <f t="shared" ca="1" si="29"/>
        <v>0</v>
      </c>
      <c r="E74" s="64">
        <f ca="1">IF(F$34=0,0,IF($B74&gt;=F$31,C74,IF(F$33&gt;=$B74, 0, IF(C74&gt;1, CHOOSE(F$34,F$29/(F$31-F$33), -PMT(F$32/2,F$31-$B73,C74,0)-D74,F$29*$AH74)))))*Assm!$X$90</f>
        <v>0</v>
      </c>
      <c r="F74" s="65">
        <f t="shared" ca="1" si="47"/>
        <v>0</v>
      </c>
      <c r="G74" s="62">
        <f t="shared" ca="1" si="23"/>
        <v>0</v>
      </c>
      <c r="H74" s="64">
        <f t="shared" ca="1" si="31"/>
        <v>0</v>
      </c>
      <c r="I74" s="64">
        <f t="shared" ca="1" si="11"/>
        <v>0</v>
      </c>
      <c r="J74" s="65">
        <f t="shared" ca="1" si="32"/>
        <v>0</v>
      </c>
      <c r="K74" s="62">
        <f t="shared" ca="1" si="24"/>
        <v>0</v>
      </c>
      <c r="L74" s="64">
        <f t="shared" ca="1" si="33"/>
        <v>0</v>
      </c>
      <c r="M74" s="64">
        <f t="shared" ca="1" si="12"/>
        <v>0</v>
      </c>
      <c r="N74" s="65">
        <f t="shared" ca="1" si="34"/>
        <v>0</v>
      </c>
      <c r="O74" s="62">
        <f t="shared" ca="1" si="25"/>
        <v>0</v>
      </c>
      <c r="P74" s="64">
        <f t="shared" ca="1" si="35"/>
        <v>0</v>
      </c>
      <c r="Q74" s="64">
        <f t="shared" ca="1" si="13"/>
        <v>0</v>
      </c>
      <c r="R74" s="65">
        <f t="shared" ca="1" si="36"/>
        <v>0</v>
      </c>
      <c r="S74" s="62">
        <f t="shared" ca="1" si="26"/>
        <v>0</v>
      </c>
      <c r="T74" s="64">
        <f t="shared" ca="1" si="37"/>
        <v>0</v>
      </c>
      <c r="U74" s="64">
        <f t="shared" ca="1" si="14"/>
        <v>0</v>
      </c>
      <c r="V74" s="65">
        <f t="shared" ca="1" si="38"/>
        <v>0</v>
      </c>
      <c r="W74" s="62">
        <f t="shared" ca="1" si="27"/>
        <v>0</v>
      </c>
      <c r="X74" s="64">
        <f t="shared" ca="1" si="39"/>
        <v>0</v>
      </c>
      <c r="Y74" s="64">
        <f t="shared" ca="1" si="15"/>
        <v>0</v>
      </c>
      <c r="Z74" s="65">
        <f t="shared" ca="1" si="40"/>
        <v>0</v>
      </c>
      <c r="AA74" s="64">
        <f ca="1">SUM(D73:D74,H73:H74,L73:L74, P73:P74, T73:T74)</f>
        <v>0</v>
      </c>
      <c r="AB74" s="551">
        <f ca="1">SUM(E73:E74, I73:I74, M73:M74, Q73:Q74, U73:U74)</f>
        <v>0</v>
      </c>
      <c r="AC74" s="64">
        <f ca="1">SUM( X73:X74)</f>
        <v>0</v>
      </c>
      <c r="AD74" s="551">
        <f ca="1">SUM(Y73:Y74)</f>
        <v>0</v>
      </c>
      <c r="AE74" s="1185">
        <f ca="1">(C73+G73+W73)*IF([4]RAROC!$B$103=1,VLOOKUP(A74,[4]!Guar_Fee_Table,2),IF([4]RAROC!$B$103=2,VLOOKUP(A74,[4]!Guar_Fee_Table,3),IF([4]RAROC!$B$103=3,VLOOKUP(A74,[4]!Guar_Fee_Table,4,0))))</f>
        <v>0</v>
      </c>
      <c r="AG74" s="935">
        <v>0</v>
      </c>
      <c r="AH74" s="336">
        <f t="shared" si="16"/>
        <v>0</v>
      </c>
      <c r="AI74" s="937">
        <v>0</v>
      </c>
      <c r="AJ74" s="22">
        <f t="shared" si="17"/>
        <v>0</v>
      </c>
      <c r="AK74" s="937">
        <v>0</v>
      </c>
      <c r="AL74" s="22">
        <f t="shared" si="18"/>
        <v>0</v>
      </c>
      <c r="AM74" s="937">
        <v>0</v>
      </c>
      <c r="AN74" s="22">
        <f t="shared" si="19"/>
        <v>0</v>
      </c>
      <c r="AO74" s="937">
        <v>0</v>
      </c>
      <c r="AP74" s="22">
        <f t="shared" si="20"/>
        <v>0</v>
      </c>
      <c r="AQ74" s="937">
        <v>0</v>
      </c>
      <c r="AR74" s="191">
        <f t="shared" si="21"/>
        <v>0</v>
      </c>
    </row>
    <row r="75" spans="1:44">
      <c r="A75" s="342">
        <f>A73+1</f>
        <v>2020</v>
      </c>
      <c r="B75" s="44">
        <f t="shared" si="46"/>
        <v>38</v>
      </c>
      <c r="C75" s="60">
        <f t="shared" ca="1" si="22"/>
        <v>0</v>
      </c>
      <c r="D75" s="53">
        <f t="shared" ca="1" si="29"/>
        <v>0</v>
      </c>
      <c r="E75" s="53">
        <f ca="1">IF(F$34=0,0,IF($B75&gt;=F$31,C75,IF(F$33&gt;=$B75, 0, IF(C75&gt;1, CHOOSE(F$34,F$29/(F$31-F$33), -PMT(F$32/2,F$31-$B74,C75,0)-D75,F$29*$AH75)))))*Assm!$X$90</f>
        <v>0</v>
      </c>
      <c r="F75" s="61">
        <f t="shared" ca="1" si="47"/>
        <v>0</v>
      </c>
      <c r="G75" s="60">
        <f t="shared" ca="1" si="23"/>
        <v>0</v>
      </c>
      <c r="H75" s="53">
        <f t="shared" ca="1" si="31"/>
        <v>0</v>
      </c>
      <c r="I75" s="53">
        <f t="shared" ca="1" si="11"/>
        <v>0</v>
      </c>
      <c r="J75" s="61">
        <f t="shared" ca="1" si="32"/>
        <v>0</v>
      </c>
      <c r="K75" s="60">
        <f t="shared" ca="1" si="24"/>
        <v>0</v>
      </c>
      <c r="L75" s="53">
        <f t="shared" ca="1" si="33"/>
        <v>0</v>
      </c>
      <c r="M75" s="53">
        <f t="shared" ca="1" si="12"/>
        <v>0</v>
      </c>
      <c r="N75" s="61">
        <f t="shared" ca="1" si="34"/>
        <v>0</v>
      </c>
      <c r="O75" s="60">
        <f t="shared" ca="1" si="25"/>
        <v>0</v>
      </c>
      <c r="P75" s="53">
        <f t="shared" ca="1" si="35"/>
        <v>0</v>
      </c>
      <c r="Q75" s="53">
        <f t="shared" ca="1" si="13"/>
        <v>0</v>
      </c>
      <c r="R75" s="61">
        <f t="shared" ca="1" si="36"/>
        <v>0</v>
      </c>
      <c r="S75" s="60">
        <f t="shared" ca="1" si="26"/>
        <v>0</v>
      </c>
      <c r="T75" s="53">
        <f t="shared" ca="1" si="37"/>
        <v>0</v>
      </c>
      <c r="U75" s="53">
        <f t="shared" ca="1" si="14"/>
        <v>0</v>
      </c>
      <c r="V75" s="61">
        <f t="shared" ca="1" si="38"/>
        <v>0</v>
      </c>
      <c r="W75" s="60">
        <f t="shared" ca="1" si="27"/>
        <v>0</v>
      </c>
      <c r="X75" s="53">
        <f t="shared" ca="1" si="39"/>
        <v>0</v>
      </c>
      <c r="Y75" s="53">
        <f t="shared" ca="1" si="15"/>
        <v>0</v>
      </c>
      <c r="Z75" s="61">
        <f t="shared" ca="1" si="40"/>
        <v>0</v>
      </c>
      <c r="AA75" s="53"/>
      <c r="AB75" s="183"/>
      <c r="AC75" s="53"/>
      <c r="AD75" s="183"/>
      <c r="AE75" s="1184"/>
      <c r="AG75" s="935">
        <v>0</v>
      </c>
      <c r="AH75" s="336">
        <f t="shared" si="16"/>
        <v>0</v>
      </c>
      <c r="AI75" s="937">
        <v>0</v>
      </c>
      <c r="AJ75" s="22">
        <f t="shared" si="17"/>
        <v>0</v>
      </c>
      <c r="AK75" s="937">
        <v>0</v>
      </c>
      <c r="AL75" s="22">
        <f t="shared" si="18"/>
        <v>0</v>
      </c>
      <c r="AM75" s="937">
        <v>0</v>
      </c>
      <c r="AN75" s="22">
        <f t="shared" si="19"/>
        <v>0</v>
      </c>
      <c r="AO75" s="937">
        <v>0</v>
      </c>
      <c r="AP75" s="22">
        <f t="shared" si="20"/>
        <v>0</v>
      </c>
      <c r="AQ75" s="937">
        <v>0</v>
      </c>
      <c r="AR75" s="191">
        <f t="shared" si="21"/>
        <v>0</v>
      </c>
    </row>
    <row r="76" spans="1:44" ht="13.8" thickBot="1">
      <c r="A76" s="342">
        <f>A75</f>
        <v>2020</v>
      </c>
      <c r="B76" s="44">
        <f t="shared" si="46"/>
        <v>39</v>
      </c>
      <c r="C76" s="60">
        <f t="shared" ca="1" si="22"/>
        <v>0</v>
      </c>
      <c r="D76" s="53">
        <f t="shared" ca="1" si="29"/>
        <v>0</v>
      </c>
      <c r="E76" s="53">
        <f ca="1">IF(F$34=0,0,IF($B76&gt;=F$31,C76,IF(F$33&gt;=$B76, 0, IF(C76&gt;1, CHOOSE(F$34,F$29/(F$31-F$33), -PMT(F$32/2,F$31-$B75,C76,0)-D76,F$29*$AH76)))))*Assm!$X$90</f>
        <v>0</v>
      </c>
      <c r="F76" s="61">
        <f t="shared" ca="1" si="47"/>
        <v>0</v>
      </c>
      <c r="G76" s="60">
        <f t="shared" ca="1" si="23"/>
        <v>0</v>
      </c>
      <c r="H76" s="53">
        <f t="shared" ca="1" si="31"/>
        <v>0</v>
      </c>
      <c r="I76" s="53">
        <f t="shared" ca="1" si="11"/>
        <v>0</v>
      </c>
      <c r="J76" s="61">
        <f t="shared" ca="1" si="32"/>
        <v>0</v>
      </c>
      <c r="K76" s="60">
        <f t="shared" ca="1" si="24"/>
        <v>0</v>
      </c>
      <c r="L76" s="53">
        <f t="shared" ca="1" si="33"/>
        <v>0</v>
      </c>
      <c r="M76" s="53">
        <f t="shared" ca="1" si="12"/>
        <v>0</v>
      </c>
      <c r="N76" s="61">
        <f t="shared" ca="1" si="34"/>
        <v>0</v>
      </c>
      <c r="O76" s="60">
        <f t="shared" ca="1" si="25"/>
        <v>0</v>
      </c>
      <c r="P76" s="53">
        <f t="shared" ca="1" si="35"/>
        <v>0</v>
      </c>
      <c r="Q76" s="53">
        <f t="shared" ca="1" si="13"/>
        <v>0</v>
      </c>
      <c r="R76" s="61">
        <f t="shared" ca="1" si="36"/>
        <v>0</v>
      </c>
      <c r="S76" s="60">
        <f t="shared" ca="1" si="26"/>
        <v>0</v>
      </c>
      <c r="T76" s="53">
        <f t="shared" ca="1" si="37"/>
        <v>0</v>
      </c>
      <c r="U76" s="53">
        <f t="shared" ca="1" si="14"/>
        <v>0</v>
      </c>
      <c r="V76" s="61">
        <f t="shared" ca="1" si="38"/>
        <v>0</v>
      </c>
      <c r="W76" s="60">
        <f t="shared" ca="1" si="27"/>
        <v>0</v>
      </c>
      <c r="X76" s="53">
        <f t="shared" ca="1" si="39"/>
        <v>0</v>
      </c>
      <c r="Y76" s="53">
        <f t="shared" ca="1" si="15"/>
        <v>0</v>
      </c>
      <c r="Z76" s="61">
        <f t="shared" ca="1" si="40"/>
        <v>0</v>
      </c>
      <c r="AA76" s="64">
        <f ca="1">SUM(D75:D76,H75:H76,L75:L76, P75:P76, T75:T76)</f>
        <v>0</v>
      </c>
      <c r="AB76" s="551">
        <f ca="1">SUM(E75:E76, I75:I76, M75:M76, Q75:Q76, U75:U76)</f>
        <v>0</v>
      </c>
      <c r="AC76" s="64">
        <f ca="1">SUM( X75:X76)</f>
        <v>0</v>
      </c>
      <c r="AD76" s="551">
        <f ca="1">SUM(Y75:Y76)</f>
        <v>0</v>
      </c>
      <c r="AE76" s="1185">
        <f ca="1">(C75+G75+W75)*IF([4]RAROC!$B$103=1,VLOOKUP(A76,[4]!Guar_Fee_Table,2),IF([4]RAROC!$B$103=2,VLOOKUP(A76,[4]!Guar_Fee_Table,3),IF([4]RAROC!$B$103=3,VLOOKUP(A76,[4]!Guar_Fee_Table,4,0))))</f>
        <v>0</v>
      </c>
      <c r="AG76" s="936">
        <v>0</v>
      </c>
      <c r="AH76" s="337">
        <f t="shared" si="16"/>
        <v>0</v>
      </c>
      <c r="AI76" s="938">
        <v>0</v>
      </c>
      <c r="AJ76" s="36">
        <f t="shared" si="17"/>
        <v>0</v>
      </c>
      <c r="AK76" s="938">
        <v>0</v>
      </c>
      <c r="AL76" s="36">
        <f t="shared" si="18"/>
        <v>0</v>
      </c>
      <c r="AM76" s="938">
        <v>0</v>
      </c>
      <c r="AN76" s="36">
        <f t="shared" si="19"/>
        <v>0</v>
      </c>
      <c r="AO76" s="938">
        <v>0</v>
      </c>
      <c r="AP76" s="36">
        <f t="shared" si="20"/>
        <v>0</v>
      </c>
      <c r="AQ76" s="938">
        <v>0</v>
      </c>
      <c r="AR76" s="759">
        <f t="shared" si="21"/>
        <v>0</v>
      </c>
    </row>
    <row r="77" spans="1:44" ht="13.8" thickBot="1">
      <c r="A77" s="309" t="s">
        <v>237</v>
      </c>
      <c r="B77" s="310"/>
      <c r="C77" s="552"/>
      <c r="D77" s="311">
        <f ca="1">SUM(D37:D76)</f>
        <v>68247.898266562115</v>
      </c>
      <c r="E77" s="311">
        <f ca="1">SUM(E37:E76)</f>
        <v>75934.802786215456</v>
      </c>
      <c r="F77" s="553"/>
      <c r="G77" s="552"/>
      <c r="H77" s="311">
        <f ca="1">SUM(H37:H76)</f>
        <v>0</v>
      </c>
      <c r="I77" s="311">
        <f ca="1">SUM(I37:I76)</f>
        <v>0</v>
      </c>
      <c r="J77" s="553"/>
      <c r="K77" s="552"/>
      <c r="L77" s="311">
        <f ca="1">SUM(L37:L76)</f>
        <v>0</v>
      </c>
      <c r="M77" s="311">
        <f ca="1">SUM(M37:M76)</f>
        <v>0</v>
      </c>
      <c r="N77" s="553"/>
      <c r="O77" s="552"/>
      <c r="P77" s="311">
        <f ca="1">SUM(P37:P76)</f>
        <v>0</v>
      </c>
      <c r="Q77" s="311">
        <f ca="1">SUM(Q37:Q76)</f>
        <v>0</v>
      </c>
      <c r="R77" s="553"/>
      <c r="S77" s="552"/>
      <c r="T77" s="311">
        <f ca="1">SUM(T37:T76)</f>
        <v>0</v>
      </c>
      <c r="U77" s="311">
        <f ca="1">SUM(U37:U76)</f>
        <v>0</v>
      </c>
      <c r="V77" s="553"/>
      <c r="W77" s="552"/>
      <c r="X77" s="311">
        <f ca="1">SUM(X37:X76)</f>
        <v>20662.494406464815</v>
      </c>
      <c r="Y77" s="311">
        <f ca="1">SUM(Y37:Y76)</f>
        <v>21492.689030245267</v>
      </c>
      <c r="Z77" s="553"/>
      <c r="AA77" s="311">
        <f ca="1">SUM(AA37:AA76)</f>
        <v>68247.898266562115</v>
      </c>
      <c r="AB77" s="312">
        <f ca="1">SUM(AB37:AB76)</f>
        <v>75934.802786215456</v>
      </c>
      <c r="AC77" s="311">
        <f ca="1">SUM(AC37:AC76)</f>
        <v>20662.494406464815</v>
      </c>
      <c r="AD77" s="312">
        <f ca="1">SUM(AD37:AD76)</f>
        <v>21492.689030245267</v>
      </c>
      <c r="AE77" s="312">
        <f ca="1">SUM(AE37:AE76)</f>
        <v>9333.926022316442</v>
      </c>
      <c r="AG77" s="760">
        <f t="shared" ref="AG77:AR77" si="48">SUM(AG37:AG76)</f>
        <v>200000</v>
      </c>
      <c r="AH77" s="336">
        <f t="shared" si="48"/>
        <v>1.0000000000000004</v>
      </c>
      <c r="AI77" s="60">
        <f t="shared" si="48"/>
        <v>0</v>
      </c>
      <c r="AJ77" s="22">
        <f t="shared" si="48"/>
        <v>0</v>
      </c>
      <c r="AK77" s="60">
        <f t="shared" si="48"/>
        <v>0</v>
      </c>
      <c r="AL77" s="22">
        <f t="shared" si="48"/>
        <v>0</v>
      </c>
      <c r="AM77" s="60">
        <f t="shared" si="48"/>
        <v>0</v>
      </c>
      <c r="AN77" s="22">
        <f t="shared" si="48"/>
        <v>0</v>
      </c>
      <c r="AO77" s="60">
        <f t="shared" si="48"/>
        <v>0</v>
      </c>
      <c r="AP77" s="22">
        <f t="shared" si="48"/>
        <v>0</v>
      </c>
      <c r="AQ77" s="60">
        <f t="shared" si="48"/>
        <v>0</v>
      </c>
      <c r="AR77" s="191">
        <f t="shared" si="48"/>
        <v>0</v>
      </c>
    </row>
    <row r="78" spans="1:44" ht="13.8" thickBot="1">
      <c r="AG78" s="139"/>
      <c r="AH78" s="592"/>
      <c r="AI78" s="568"/>
      <c r="AJ78" s="77"/>
      <c r="AK78" s="568"/>
      <c r="AL78" s="77"/>
      <c r="AM78" s="568"/>
      <c r="AN78" s="77"/>
      <c r="AO78" s="568"/>
      <c r="AP78" s="77"/>
      <c r="AQ78" s="568"/>
      <c r="AR78" s="149"/>
    </row>
    <row r="79" spans="1:44">
      <c r="B79" s="302">
        <v>1</v>
      </c>
      <c r="C79" s="302">
        <f t="shared" ref="C79:AE79" si="49">B79+1</f>
        <v>2</v>
      </c>
      <c r="D79" s="302">
        <f t="shared" si="49"/>
        <v>3</v>
      </c>
      <c r="E79" s="302">
        <f t="shared" si="49"/>
        <v>4</v>
      </c>
      <c r="F79" s="302">
        <f t="shared" si="49"/>
        <v>5</v>
      </c>
      <c r="G79" s="302">
        <f t="shared" si="49"/>
        <v>6</v>
      </c>
      <c r="H79" s="302">
        <f t="shared" si="49"/>
        <v>7</v>
      </c>
      <c r="I79" s="302">
        <f t="shared" si="49"/>
        <v>8</v>
      </c>
      <c r="J79" s="302">
        <f t="shared" si="49"/>
        <v>9</v>
      </c>
      <c r="K79" s="302">
        <f t="shared" si="49"/>
        <v>10</v>
      </c>
      <c r="L79" s="302">
        <f t="shared" si="49"/>
        <v>11</v>
      </c>
      <c r="M79" s="302">
        <f t="shared" si="49"/>
        <v>12</v>
      </c>
      <c r="N79" s="302">
        <f t="shared" si="49"/>
        <v>13</v>
      </c>
      <c r="O79" s="302">
        <f t="shared" si="49"/>
        <v>14</v>
      </c>
      <c r="P79" s="302">
        <f t="shared" si="49"/>
        <v>15</v>
      </c>
      <c r="Q79" s="302">
        <f t="shared" si="49"/>
        <v>16</v>
      </c>
      <c r="R79" s="302">
        <f t="shared" si="49"/>
        <v>17</v>
      </c>
      <c r="S79" s="302">
        <f t="shared" si="49"/>
        <v>18</v>
      </c>
      <c r="T79" s="302">
        <f t="shared" si="49"/>
        <v>19</v>
      </c>
      <c r="U79" s="302">
        <f t="shared" si="49"/>
        <v>20</v>
      </c>
      <c r="V79" s="302">
        <f t="shared" si="49"/>
        <v>21</v>
      </c>
      <c r="W79" s="302">
        <f t="shared" si="49"/>
        <v>22</v>
      </c>
      <c r="X79" s="302">
        <f t="shared" si="49"/>
        <v>23</v>
      </c>
      <c r="Y79" s="302">
        <f t="shared" si="49"/>
        <v>24</v>
      </c>
      <c r="Z79" s="302">
        <f t="shared" si="49"/>
        <v>25</v>
      </c>
      <c r="AA79" s="302">
        <f t="shared" si="49"/>
        <v>26</v>
      </c>
      <c r="AB79" s="302">
        <f t="shared" si="49"/>
        <v>27</v>
      </c>
      <c r="AC79" s="302">
        <f t="shared" si="49"/>
        <v>28</v>
      </c>
      <c r="AD79" s="302">
        <f t="shared" si="49"/>
        <v>29</v>
      </c>
      <c r="AE79" s="302">
        <f t="shared" si="49"/>
        <v>30</v>
      </c>
      <c r="AF79" s="5" t="s">
        <v>957</v>
      </c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Y63"/>
  <sheetViews>
    <sheetView showGridLines="0" zoomScale="90" zoomScaleNormal="90" workbookViewId="0"/>
  </sheetViews>
  <sheetFormatPr defaultColWidth="9.109375" defaultRowHeight="13.2"/>
  <cols>
    <col min="1" max="1" width="26.6640625" style="8" customWidth="1"/>
    <col min="2" max="24" width="10.6640625" style="5" customWidth="1"/>
    <col min="25" max="25" width="10.6640625" style="8" customWidth="1"/>
    <col min="26" max="16384" width="9.109375" style="5"/>
  </cols>
  <sheetData>
    <row r="1" spans="1:25" s="242" customFormat="1" ht="15.6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79"/>
    </row>
    <row r="2" spans="1:25" s="242" customFormat="1" ht="15.6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79"/>
    </row>
    <row r="3" spans="1:25" s="242" customFormat="1" ht="1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8"/>
      <c r="W3" s="288"/>
      <c r="X3" s="288"/>
      <c r="Y3" s="279"/>
    </row>
    <row r="4" spans="1:25" s="242" customFormat="1" ht="15">
      <c r="A4" s="818" t="s">
        <v>1005</v>
      </c>
      <c r="B4" s="818"/>
      <c r="C4" s="132"/>
      <c r="D4" s="24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79"/>
    </row>
    <row r="5" spans="1:25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s="8" customFormat="1">
      <c r="A6" s="400" t="s">
        <v>184</v>
      </c>
      <c r="B6" s="74"/>
      <c r="C6" s="74"/>
      <c r="D6" s="487">
        <f>CF!E6</f>
        <v>1</v>
      </c>
      <c r="E6" s="487">
        <f>CF!F6</f>
        <v>2</v>
      </c>
      <c r="F6" s="487">
        <f>CF!G6</f>
        <v>3</v>
      </c>
      <c r="G6" s="487">
        <f>CF!H6</f>
        <v>4</v>
      </c>
      <c r="H6" s="487">
        <f>CF!I6</f>
        <v>5</v>
      </c>
      <c r="I6" s="487">
        <f>CF!J6</f>
        <v>6</v>
      </c>
      <c r="J6" s="487">
        <f>CF!K6</f>
        <v>7</v>
      </c>
      <c r="K6" s="487">
        <f>CF!L6</f>
        <v>8</v>
      </c>
      <c r="L6" s="487">
        <f>CF!M6</f>
        <v>9</v>
      </c>
      <c r="M6" s="487">
        <f>CF!N6</f>
        <v>10</v>
      </c>
      <c r="N6" s="487">
        <f>CF!O6</f>
        <v>11</v>
      </c>
      <c r="O6" s="487">
        <f>CF!P6</f>
        <v>12</v>
      </c>
      <c r="P6" s="487">
        <f>CF!Q6</f>
        <v>13</v>
      </c>
      <c r="Q6" s="487">
        <f>CF!R6</f>
        <v>14</v>
      </c>
      <c r="R6" s="487">
        <f>CF!S6</f>
        <v>15</v>
      </c>
      <c r="S6" s="487">
        <f>CF!T6</f>
        <v>16</v>
      </c>
      <c r="T6" s="487">
        <f>CF!U6</f>
        <v>17</v>
      </c>
      <c r="U6" s="487">
        <f>CF!V6</f>
        <v>18</v>
      </c>
      <c r="V6" s="487">
        <f>CF!W6</f>
        <v>19</v>
      </c>
      <c r="W6" s="487">
        <f>CF!X6</f>
        <v>20</v>
      </c>
      <c r="X6" s="487">
        <f>CF!Y6</f>
        <v>21</v>
      </c>
      <c r="Y6" s="416"/>
    </row>
    <row r="7" spans="1:25" s="8" customFormat="1" ht="13.8" thickBot="1">
      <c r="A7" s="76" t="s">
        <v>185</v>
      </c>
      <c r="B7" s="77"/>
      <c r="C7" s="77"/>
      <c r="D7" s="264">
        <f>CF!E7</f>
        <v>1999</v>
      </c>
      <c r="E7" s="264">
        <f>CF!F7</f>
        <v>2000</v>
      </c>
      <c r="F7" s="264">
        <f>CF!G7</f>
        <v>2001</v>
      </c>
      <c r="G7" s="264">
        <f>CF!H7</f>
        <v>2002</v>
      </c>
      <c r="H7" s="264">
        <f>CF!I7</f>
        <v>2003</v>
      </c>
      <c r="I7" s="264">
        <f>CF!J7</f>
        <v>2004</v>
      </c>
      <c r="J7" s="264">
        <f>CF!K7</f>
        <v>2005</v>
      </c>
      <c r="K7" s="264">
        <f>CF!L7</f>
        <v>2006</v>
      </c>
      <c r="L7" s="264">
        <f>CF!M7</f>
        <v>2007</v>
      </c>
      <c r="M7" s="264">
        <f>CF!N7</f>
        <v>2008</v>
      </c>
      <c r="N7" s="264">
        <f>CF!O7</f>
        <v>2009</v>
      </c>
      <c r="O7" s="264">
        <f>CF!P7</f>
        <v>2010</v>
      </c>
      <c r="P7" s="264">
        <f>CF!Q7</f>
        <v>2011</v>
      </c>
      <c r="Q7" s="264">
        <f>CF!R7</f>
        <v>2012</v>
      </c>
      <c r="R7" s="264">
        <f>CF!S7</f>
        <v>2013</v>
      </c>
      <c r="S7" s="264">
        <f>CF!T7</f>
        <v>2014</v>
      </c>
      <c r="T7" s="264">
        <f>CF!U7</f>
        <v>2015</v>
      </c>
      <c r="U7" s="264">
        <f>CF!V7</f>
        <v>2016</v>
      </c>
      <c r="V7" s="264">
        <f>CF!W7</f>
        <v>2017</v>
      </c>
      <c r="W7" s="264">
        <f>CF!X7</f>
        <v>2018</v>
      </c>
      <c r="X7" s="264">
        <f>CF!Y7</f>
        <v>2019</v>
      </c>
      <c r="Y7" s="417" t="s">
        <v>229</v>
      </c>
    </row>
    <row r="8" spans="1:25">
      <c r="A8" s="400" t="s">
        <v>1131</v>
      </c>
      <c r="B8" s="8"/>
      <c r="C8" s="8"/>
      <c r="D8" s="859">
        <v>12</v>
      </c>
      <c r="E8" s="859">
        <v>12</v>
      </c>
      <c r="F8" s="859">
        <v>12</v>
      </c>
      <c r="G8" s="859">
        <v>12</v>
      </c>
      <c r="H8" s="859">
        <v>12</v>
      </c>
      <c r="I8" s="859">
        <v>12</v>
      </c>
      <c r="J8" s="859">
        <v>12</v>
      </c>
      <c r="K8" s="859">
        <v>12</v>
      </c>
      <c r="L8" s="859">
        <v>12</v>
      </c>
      <c r="M8" s="859">
        <v>12</v>
      </c>
      <c r="N8" s="859">
        <v>12</v>
      </c>
      <c r="O8" s="859">
        <v>12</v>
      </c>
      <c r="P8" s="859">
        <v>12</v>
      </c>
      <c r="Q8" s="859">
        <v>12</v>
      </c>
      <c r="R8" s="859">
        <v>12</v>
      </c>
      <c r="S8" s="859">
        <v>12</v>
      </c>
      <c r="T8" s="859">
        <v>12</v>
      </c>
      <c r="U8" s="859">
        <v>12</v>
      </c>
      <c r="V8" s="859">
        <v>12</v>
      </c>
      <c r="W8" s="859">
        <v>12</v>
      </c>
      <c r="X8" s="859">
        <v>12</v>
      </c>
      <c r="Y8" s="419"/>
    </row>
    <row r="9" spans="1:25" s="8" customFormat="1">
      <c r="A9" s="137" t="s">
        <v>340</v>
      </c>
      <c r="D9" s="8">
        <f>CF!E9</f>
        <v>0</v>
      </c>
      <c r="E9" s="8">
        <f>CF!F9</f>
        <v>0</v>
      </c>
      <c r="F9" s="8">
        <f>CF!G9</f>
        <v>10</v>
      </c>
      <c r="G9" s="8">
        <f>CF!H9</f>
        <v>12</v>
      </c>
      <c r="H9" s="8">
        <f>CF!I9</f>
        <v>12</v>
      </c>
      <c r="I9" s="8">
        <f>CF!J9</f>
        <v>12</v>
      </c>
      <c r="J9" s="8">
        <f>CF!K9</f>
        <v>12</v>
      </c>
      <c r="K9" s="8">
        <f>CF!L9</f>
        <v>12</v>
      </c>
      <c r="L9" s="8">
        <f>CF!M9</f>
        <v>12</v>
      </c>
      <c r="M9" s="8">
        <f>CF!N9</f>
        <v>12</v>
      </c>
      <c r="N9" s="8">
        <f>CF!O9</f>
        <v>12</v>
      </c>
      <c r="O9" s="8">
        <f>CF!P9</f>
        <v>12</v>
      </c>
      <c r="P9" s="8">
        <f>CF!Q9</f>
        <v>12</v>
      </c>
      <c r="Q9" s="8">
        <f>CF!R9</f>
        <v>12</v>
      </c>
      <c r="R9" s="8">
        <f>CF!S9</f>
        <v>12</v>
      </c>
      <c r="S9" s="8">
        <f>CF!T9</f>
        <v>12</v>
      </c>
      <c r="T9" s="8">
        <f>CF!U9</f>
        <v>12</v>
      </c>
      <c r="U9" s="8">
        <f>CF!V9</f>
        <v>12</v>
      </c>
      <c r="V9" s="8">
        <f>CF!W9</f>
        <v>12</v>
      </c>
      <c r="W9" s="8">
        <f>CF!X9</f>
        <v>12</v>
      </c>
      <c r="X9" s="8">
        <f>CF!Y9</f>
        <v>4</v>
      </c>
      <c r="Y9" s="419">
        <f>CF!Z9</f>
        <v>218</v>
      </c>
    </row>
    <row r="10" spans="1:25">
      <c r="A10" s="13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9"/>
    </row>
    <row r="11" spans="1:25" s="8" customFormat="1">
      <c r="A11" s="144" t="s">
        <v>534</v>
      </c>
      <c r="B11" s="32"/>
      <c r="Y11" s="419"/>
    </row>
    <row r="12" spans="1:25" s="8" customFormat="1">
      <c r="A12" s="137" t="s">
        <v>535</v>
      </c>
      <c r="D12" s="53">
        <f ca="1">CF!E18</f>
        <v>0</v>
      </c>
      <c r="E12" s="53">
        <f ca="1">CF!F18</f>
        <v>0</v>
      </c>
      <c r="F12" s="53">
        <f ca="1">CF!G18</f>
        <v>8464.0808224549692</v>
      </c>
      <c r="G12" s="53">
        <f ca="1">CF!H18</f>
        <v>14255.135067986579</v>
      </c>
      <c r="H12" s="53">
        <f ca="1">CF!I18</f>
        <v>14692.664326697153</v>
      </c>
      <c r="I12" s="53">
        <f ca="1">CF!J18</f>
        <v>15166.72612902658</v>
      </c>
      <c r="J12" s="53">
        <f ca="1">CF!K18</f>
        <v>15561.160593346081</v>
      </c>
      <c r="K12" s="53">
        <f ca="1">CF!L18</f>
        <v>15999.636971276619</v>
      </c>
      <c r="L12" s="53">
        <f ca="1">CF!M18</f>
        <v>16440.519434283349</v>
      </c>
      <c r="M12" s="53">
        <f ca="1">CF!N18</f>
        <v>16928.933757916311</v>
      </c>
      <c r="N12" s="53">
        <f ca="1">CF!O18</f>
        <v>17329.669654201614</v>
      </c>
      <c r="O12" s="53">
        <f ca="1">CF!P18</f>
        <v>17779.888639887187</v>
      </c>
      <c r="P12" s="53">
        <f ca="1">CF!Q18</f>
        <v>18234.952127638138</v>
      </c>
      <c r="Q12" s="53">
        <f ca="1">CF!R18</f>
        <v>18746.666400156511</v>
      </c>
      <c r="R12" s="53">
        <f ca="1">CF!S18</f>
        <v>19166.346228832212</v>
      </c>
      <c r="S12" s="53">
        <f ca="1">CF!T18</f>
        <v>19649.677431172586</v>
      </c>
      <c r="T12" s="53">
        <f ca="1">CF!U18</f>
        <v>20151.15953644484</v>
      </c>
      <c r="U12" s="53">
        <f ca="1">CF!V18</f>
        <v>20729.460453537933</v>
      </c>
      <c r="V12" s="53">
        <f ca="1">CF!W18</f>
        <v>21219.933560102592</v>
      </c>
      <c r="W12" s="53">
        <f ca="1">CF!X18</f>
        <v>21790.312478975764</v>
      </c>
      <c r="X12" s="53">
        <f ca="1">CF!Y18</f>
        <v>7226.4497213103987</v>
      </c>
      <c r="Y12" s="423">
        <f ca="1">SUM(D12:X12)</f>
        <v>319533.37333524739</v>
      </c>
    </row>
    <row r="13" spans="1:25" s="8" customFormat="1">
      <c r="A13" s="137" t="s">
        <v>536</v>
      </c>
      <c r="D13" s="53">
        <f ca="1">-CF!E34</f>
        <v>0</v>
      </c>
      <c r="E13" s="53">
        <f ca="1">-CF!F34</f>
        <v>0</v>
      </c>
      <c r="F13" s="53">
        <f ca="1">-CF!G34</f>
        <v>-1726.0374748343186</v>
      </c>
      <c r="G13" s="53">
        <f ca="1">-CF!H34</f>
        <v>-2152.4950854817362</v>
      </c>
      <c r="H13" s="53">
        <f ca="1">-CF!I34</f>
        <v>-3116.0917033310948</v>
      </c>
      <c r="I13" s="53">
        <f ca="1">-CF!J34</f>
        <v>-2685.5895114280602</v>
      </c>
      <c r="J13" s="53">
        <f ca="1">-CF!K34</f>
        <v>-2296.6219394217537</v>
      </c>
      <c r="K13" s="53">
        <f ca="1">-CF!L34</f>
        <v>-2456.4268675284966</v>
      </c>
      <c r="L13" s="53">
        <f ca="1">-CF!M34</f>
        <v>-2452.5492572209223</v>
      </c>
      <c r="M13" s="53">
        <f ca="1">-CF!N34</f>
        <v>-2743.2608358563871</v>
      </c>
      <c r="N13" s="53">
        <f ca="1">-CF!O34</f>
        <v>-2555.7973464902557</v>
      </c>
      <c r="O13" s="53">
        <f ca="1">-CF!P34</f>
        <v>-2708.8800952470006</v>
      </c>
      <c r="P13" s="53">
        <f ca="1">-CF!Q34</f>
        <v>-2688.6364236611334</v>
      </c>
      <c r="Q13" s="53">
        <f ca="1">-CF!R34</f>
        <v>-2756.4319795971933</v>
      </c>
      <c r="R13" s="53">
        <f ca="1">-CF!S34</f>
        <v>-4090.0316920857604</v>
      </c>
      <c r="S13" s="53">
        <f ca="1">-CF!T34</f>
        <v>-3014.2303314361679</v>
      </c>
      <c r="T13" s="53">
        <f ca="1">-CF!U34</f>
        <v>-2971.3233952509904</v>
      </c>
      <c r="U13" s="53">
        <f ca="1">-CF!V34</f>
        <v>-3082.8270455938423</v>
      </c>
      <c r="V13" s="53">
        <f ca="1">-CF!W34</f>
        <v>-3129.8411243289679</v>
      </c>
      <c r="W13" s="53">
        <f ca="1">-CF!X34</f>
        <v>-3191.1020982964428</v>
      </c>
      <c r="X13" s="53">
        <f ca="1">-CF!Y34</f>
        <v>-1092.8921652228955</v>
      </c>
      <c r="Y13" s="423">
        <f ca="1">SUM(D13:X13)</f>
        <v>-50911.06637231342</v>
      </c>
    </row>
    <row r="14" spans="1:25" s="8" customFormat="1">
      <c r="A14" s="137" t="s">
        <v>555</v>
      </c>
      <c r="D14" s="53">
        <f>CF!E38</f>
        <v>0</v>
      </c>
      <c r="E14" s="53">
        <f>CF!F38</f>
        <v>0</v>
      </c>
      <c r="F14" s="53">
        <f>CF!G38</f>
        <v>0</v>
      </c>
      <c r="G14" s="53">
        <f>CF!H38</f>
        <v>0</v>
      </c>
      <c r="H14" s="53">
        <f>CF!I38</f>
        <v>0</v>
      </c>
      <c r="I14" s="53">
        <f>CF!J38</f>
        <v>0</v>
      </c>
      <c r="J14" s="53">
        <f>CF!K38</f>
        <v>0</v>
      </c>
      <c r="K14" s="53">
        <f>CF!L38</f>
        <v>0</v>
      </c>
      <c r="L14" s="53">
        <f>CF!M38</f>
        <v>0</v>
      </c>
      <c r="M14" s="53">
        <f>CF!N38</f>
        <v>0</v>
      </c>
      <c r="N14" s="53">
        <f>CF!O38</f>
        <v>0</v>
      </c>
      <c r="O14" s="53">
        <f>CF!P38</f>
        <v>0</v>
      </c>
      <c r="P14" s="53">
        <f>CF!Q38</f>
        <v>0</v>
      </c>
      <c r="Q14" s="53">
        <f>CF!R38</f>
        <v>0</v>
      </c>
      <c r="R14" s="53">
        <f>CF!S38</f>
        <v>0</v>
      </c>
      <c r="S14" s="53">
        <f>CF!T38</f>
        <v>0</v>
      </c>
      <c r="T14" s="53">
        <f>CF!U38</f>
        <v>0</v>
      </c>
      <c r="U14" s="53">
        <f>CF!V38</f>
        <v>0</v>
      </c>
      <c r="V14" s="53">
        <f>CF!W38</f>
        <v>0</v>
      </c>
      <c r="W14" s="53">
        <f>CF!X38</f>
        <v>0</v>
      </c>
      <c r="X14" s="53">
        <f>CF!Y38</f>
        <v>0</v>
      </c>
      <c r="Y14" s="423">
        <f>SUM(D14:X14)</f>
        <v>0</v>
      </c>
    </row>
    <row r="15" spans="1:25" s="8" customFormat="1">
      <c r="A15" s="137" t="s">
        <v>586</v>
      </c>
      <c r="D15" s="228">
        <f ca="1">CF!E44</f>
        <v>0</v>
      </c>
      <c r="E15" s="228">
        <f ca="1">CF!F44</f>
        <v>0</v>
      </c>
      <c r="F15" s="228">
        <f ca="1">CF!G44</f>
        <v>-5267.1668601538513</v>
      </c>
      <c r="G15" s="228">
        <f ca="1">CF!H44</f>
        <v>-6320.6002321846217</v>
      </c>
      <c r="H15" s="228">
        <f ca="1">CF!I44</f>
        <v>-6320.6002321846217</v>
      </c>
      <c r="I15" s="228">
        <f ca="1">CF!J44</f>
        <v>-6320.6002321846217</v>
      </c>
      <c r="J15" s="228">
        <f ca="1">CF!K44</f>
        <v>-6320.6002321846217</v>
      </c>
      <c r="K15" s="228">
        <f ca="1">CF!L44</f>
        <v>-6320.6002321846217</v>
      </c>
      <c r="L15" s="228">
        <f ca="1">CF!M44</f>
        <v>-6320.6002321846217</v>
      </c>
      <c r="M15" s="228">
        <f ca="1">CF!N44</f>
        <v>-6320.6002321846217</v>
      </c>
      <c r="N15" s="228">
        <f ca="1">CF!O44</f>
        <v>-6320.6002321846217</v>
      </c>
      <c r="O15" s="228">
        <f ca="1">CF!P44</f>
        <v>-6320.6002321846217</v>
      </c>
      <c r="P15" s="228">
        <f ca="1">CF!Q44</f>
        <v>-6320.6002321846217</v>
      </c>
      <c r="Q15" s="228">
        <f ca="1">CF!R44</f>
        <v>-6320.6002321846217</v>
      </c>
      <c r="R15" s="228">
        <f ca="1">CF!S44</f>
        <v>-6320.6002321846217</v>
      </c>
      <c r="S15" s="228">
        <f ca="1">CF!T44</f>
        <v>-6320.6002321846217</v>
      </c>
      <c r="T15" s="228">
        <f ca="1">CF!U44</f>
        <v>-6320.6002321846217</v>
      </c>
      <c r="U15" s="228">
        <f ca="1">CF!V44</f>
        <v>-6320.6002321846217</v>
      </c>
      <c r="V15" s="228">
        <f ca="1">CF!W44</f>
        <v>-6320.6002321846217</v>
      </c>
      <c r="W15" s="228">
        <f ca="1">CF!X44</f>
        <v>-6320.6002321846217</v>
      </c>
      <c r="X15" s="228">
        <f ca="1">CF!Y44</f>
        <v>-2106.8667440615404</v>
      </c>
      <c r="Y15" s="424">
        <f ca="1">SUM(D15:X15)</f>
        <v>-114824.23755135393</v>
      </c>
    </row>
    <row r="16" spans="1:25" s="8" customFormat="1">
      <c r="A16" s="137" t="s">
        <v>537</v>
      </c>
      <c r="D16" s="53">
        <f t="shared" ref="D16:U16" ca="1" si="0">SUM(D12:D15)</f>
        <v>0</v>
      </c>
      <c r="E16" s="53">
        <f t="shared" ca="1" si="0"/>
        <v>0</v>
      </c>
      <c r="F16" s="53">
        <f t="shared" ca="1" si="0"/>
        <v>1470.8764874667995</v>
      </c>
      <c r="G16" s="53">
        <f t="shared" ca="1" si="0"/>
        <v>5782.0397503202212</v>
      </c>
      <c r="H16" s="53">
        <f t="shared" ca="1" si="0"/>
        <v>5255.9723911814372</v>
      </c>
      <c r="I16" s="53">
        <f t="shared" ca="1" si="0"/>
        <v>6160.5363854138986</v>
      </c>
      <c r="J16" s="53">
        <f t="shared" ca="1" si="0"/>
        <v>6943.9384217397064</v>
      </c>
      <c r="K16" s="53">
        <f t="shared" ca="1" si="0"/>
        <v>7222.6098715635007</v>
      </c>
      <c r="L16" s="53">
        <f t="shared" ca="1" si="0"/>
        <v>7667.3699448778052</v>
      </c>
      <c r="M16" s="53">
        <f t="shared" ca="1" si="0"/>
        <v>7865.0726898753028</v>
      </c>
      <c r="N16" s="53">
        <f t="shared" ca="1" si="0"/>
        <v>8453.2720755267364</v>
      </c>
      <c r="O16" s="53">
        <f t="shared" ca="1" si="0"/>
        <v>8750.4083124555655</v>
      </c>
      <c r="P16" s="53">
        <f t="shared" ca="1" si="0"/>
        <v>9225.7154717923841</v>
      </c>
      <c r="Q16" s="53">
        <f t="shared" ca="1" si="0"/>
        <v>9669.6341883746973</v>
      </c>
      <c r="R16" s="53">
        <f t="shared" ca="1" si="0"/>
        <v>8755.7143045618286</v>
      </c>
      <c r="S16" s="53">
        <f t="shared" ca="1" si="0"/>
        <v>10314.846867551798</v>
      </c>
      <c r="T16" s="53">
        <f t="shared" ca="1" si="0"/>
        <v>10859.235909009229</v>
      </c>
      <c r="U16" s="53">
        <f t="shared" ca="1" si="0"/>
        <v>11326.033175759469</v>
      </c>
      <c r="V16" s="53">
        <f ca="1">SUM(V12:V15)</f>
        <v>11769.492203589005</v>
      </c>
      <c r="W16" s="53">
        <f ca="1">SUM(W12:W15)</f>
        <v>12278.610148494699</v>
      </c>
      <c r="X16" s="53">
        <f ca="1">SUM(X12:X15)</f>
        <v>4026.6908120259627</v>
      </c>
      <c r="Y16" s="423">
        <f ca="1">SUM(D16:X16)</f>
        <v>153798.06941158004</v>
      </c>
    </row>
    <row r="17" spans="1:25" s="8" customFormat="1">
      <c r="A17" s="390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554"/>
    </row>
    <row r="18" spans="1:25" s="8" customFormat="1">
      <c r="A18" s="144" t="s">
        <v>538</v>
      </c>
      <c r="B18" s="32"/>
      <c r="Y18" s="419"/>
    </row>
    <row r="19" spans="1:25" s="8" customFormat="1">
      <c r="A19" s="137" t="s">
        <v>539</v>
      </c>
      <c r="D19" s="53">
        <f>CF!E37</f>
        <v>0</v>
      </c>
      <c r="E19" s="53">
        <f ca="1">CF!F37</f>
        <v>0</v>
      </c>
      <c r="F19" s="53">
        <f ca="1">CF!G37</f>
        <v>0</v>
      </c>
      <c r="G19" s="53">
        <f ca="1">CF!H37</f>
        <v>20.860533935559854</v>
      </c>
      <c r="H19" s="53">
        <f ca="1">CF!I37</f>
        <v>20.860533935559854</v>
      </c>
      <c r="I19" s="53">
        <f ca="1">CF!J37</f>
        <v>-233.80470755396323</v>
      </c>
      <c r="J19" s="53">
        <f ca="1">CF!K37</f>
        <v>-543.21167643212937</v>
      </c>
      <c r="K19" s="53">
        <f ca="1">CF!L37</f>
        <v>-790.67170649559432</v>
      </c>
      <c r="L19" s="53">
        <f ca="1">CF!M37</f>
        <v>-1056.64185128227</v>
      </c>
      <c r="M19" s="53">
        <f ca="1">CF!N37</f>
        <v>-1328.0224311569773</v>
      </c>
      <c r="N19" s="53">
        <f ca="1">CF!O37</f>
        <v>-1580.5368434716613</v>
      </c>
      <c r="O19" s="53">
        <f ca="1">CF!P37</f>
        <v>-1625.1390053085852</v>
      </c>
      <c r="P19" s="53">
        <f ca="1">CF!Q37</f>
        <v>-1555.197010367031</v>
      </c>
      <c r="Q19" s="53">
        <f ca="1">CF!R37</f>
        <v>-1503.2780519434066</v>
      </c>
      <c r="R19" s="53">
        <f ca="1">CF!S37</f>
        <v>-1468.1924691321917</v>
      </c>
      <c r="S19" s="53">
        <f ca="1">CF!T37</f>
        <v>-1269.9886038156772</v>
      </c>
      <c r="T19" s="53">
        <f ca="1">CF!U37</f>
        <v>-1010.9388377863579</v>
      </c>
      <c r="U19" s="53">
        <f ca="1">CF!V37</f>
        <v>-620.68351478129057</v>
      </c>
      <c r="V19" s="53">
        <f ca="1">CF!W37</f>
        <v>31.354530024814363</v>
      </c>
      <c r="W19" s="53">
        <f ca="1">CF!X37</f>
        <v>492.21081604615796</v>
      </c>
      <c r="X19" s="53">
        <f ca="1">CF!Y37</f>
        <v>269.41360921846302</v>
      </c>
      <c r="Y19" s="423">
        <f t="shared" ref="Y19:Y24" ca="1" si="1">SUM(D19:X19)</f>
        <v>-13751.60668636658</v>
      </c>
    </row>
    <row r="20" spans="1:25" s="8" customFormat="1">
      <c r="A20" s="137" t="s">
        <v>540</v>
      </c>
      <c r="D20" s="53">
        <f ca="1">CF!E40</f>
        <v>0</v>
      </c>
      <c r="E20" s="53">
        <f ca="1">CF!F40</f>
        <v>0</v>
      </c>
      <c r="F20" s="53">
        <f ca="1">CF!G40</f>
        <v>-43.553750816833215</v>
      </c>
      <c r="G20" s="53">
        <f ca="1">CF!H40</f>
        <v>-118.37347507862886</v>
      </c>
      <c r="H20" s="53">
        <f ca="1">CF!I40</f>
        <v>-126.43312991700955</v>
      </c>
      <c r="I20" s="53">
        <f ca="1">CF!J40</f>
        <v>-166.23553480383157</v>
      </c>
      <c r="J20" s="53">
        <f ca="1">CF!K40</f>
        <v>-176.65772445706435</v>
      </c>
      <c r="K20" s="53">
        <f ca="1">CF!L40</f>
        <v>-178.37896052522433</v>
      </c>
      <c r="L20" s="53">
        <f ca="1">CF!M40</f>
        <v>-174.3676499334039</v>
      </c>
      <c r="M20" s="53">
        <f ca="1">CF!N40</f>
        <v>-137.59714589660763</v>
      </c>
      <c r="N20" s="53">
        <f ca="1">CF!O40</f>
        <v>-104.99734903803129</v>
      </c>
      <c r="O20" s="53">
        <f ca="1">CF!P40</f>
        <v>-99.036109831944913</v>
      </c>
      <c r="P20" s="53">
        <f ca="1">CF!Q40</f>
        <v>-105.69903158906686</v>
      </c>
      <c r="Q20" s="53">
        <f ca="1">CF!R40</f>
        <v>-110.27659975707884</v>
      </c>
      <c r="R20" s="53">
        <f ca="1">CF!S40</f>
        <v>-101.53488909884584</v>
      </c>
      <c r="S20" s="53">
        <f ca="1">CF!T40</f>
        <v>-95.640733545095898</v>
      </c>
      <c r="T20" s="53">
        <f ca="1">CF!U40</f>
        <v>-63.501678871052732</v>
      </c>
      <c r="U20" s="53">
        <f ca="1">CF!V40</f>
        <v>0</v>
      </c>
      <c r="V20" s="53">
        <f ca="1">CF!W40</f>
        <v>0</v>
      </c>
      <c r="W20" s="53">
        <f ca="1">CF!X40</f>
        <v>0</v>
      </c>
      <c r="X20" s="53">
        <f ca="1">CF!Y40</f>
        <v>0</v>
      </c>
      <c r="Y20" s="423">
        <f t="shared" ca="1" si="1"/>
        <v>-1802.2837631597195</v>
      </c>
    </row>
    <row r="21" spans="1:25" s="8" customFormat="1">
      <c r="A21" s="137" t="s">
        <v>556</v>
      </c>
      <c r="D21" s="53">
        <f ca="1">CF!E47</f>
        <v>0</v>
      </c>
      <c r="E21" s="53">
        <f ca="1">CF!F47</f>
        <v>0</v>
      </c>
      <c r="F21" s="53">
        <f ca="1">CF!G47</f>
        <v>-3484.300065346657</v>
      </c>
      <c r="G21" s="53">
        <f ca="1">CF!H47</f>
        <v>-8330.9644427867697</v>
      </c>
      <c r="H21" s="53">
        <f ca="1">CF!I47</f>
        <v>-8183.736836797003</v>
      </c>
      <c r="I21" s="53">
        <f ca="1">CF!J47</f>
        <v>-7874.9282995768517</v>
      </c>
      <c r="J21" s="53">
        <f ca="1">CF!K47</f>
        <v>-7246.8861993410301</v>
      </c>
      <c r="K21" s="53">
        <f ca="1">CF!L47</f>
        <v>-6469.5707112199325</v>
      </c>
      <c r="L21" s="53">
        <f ca="1">CF!M47</f>
        <v>-5579.1548429776813</v>
      </c>
      <c r="M21" s="53">
        <f ca="1">CF!N47</f>
        <v>-4657.3802741473091</v>
      </c>
      <c r="N21" s="53">
        <f ca="1">CF!O47</f>
        <v>-4069.2622795745342</v>
      </c>
      <c r="O21" s="53">
        <f ca="1">CF!P47</f>
        <v>-3592.3631430876248</v>
      </c>
      <c r="P21" s="53">
        <f ca="1">CF!Q47</f>
        <v>-3115.464006600715</v>
      </c>
      <c r="Q21" s="53">
        <f ca="1">CF!R47</f>
        <v>-2471.7365829850069</v>
      </c>
      <c r="R21" s="53">
        <f ca="1">CF!S47</f>
        <v>-1772.3997303263664</v>
      </c>
      <c r="S21" s="53">
        <f ca="1">CF!T47</f>
        <v>-1073.0628776677256</v>
      </c>
      <c r="T21" s="53">
        <f ca="1">CF!U47</f>
        <v>-326.68797412690321</v>
      </c>
      <c r="U21" s="53">
        <f ca="1">CF!V47</f>
        <v>0</v>
      </c>
      <c r="V21" s="53">
        <f ca="1">CF!W47</f>
        <v>0</v>
      </c>
      <c r="W21" s="53">
        <f ca="1">CF!X47</f>
        <v>0</v>
      </c>
      <c r="X21" s="53">
        <f ca="1">CF!Y47</f>
        <v>0</v>
      </c>
      <c r="Y21" s="423">
        <f t="shared" ca="1" si="1"/>
        <v>-68247.898266562115</v>
      </c>
    </row>
    <row r="22" spans="1:25" s="8" customFormat="1">
      <c r="A22" s="137" t="s">
        <v>328</v>
      </c>
      <c r="D22" s="53">
        <f ca="1">CF!E49</f>
        <v>0</v>
      </c>
      <c r="E22" s="53">
        <f ca="1">CF!F49</f>
        <v>0</v>
      </c>
      <c r="F22" s="53">
        <f ca="1">CF!G49</f>
        <v>0</v>
      </c>
      <c r="G22" s="53">
        <f ca="1">CF!H49</f>
        <v>0</v>
      </c>
      <c r="H22" s="53">
        <f ca="1">CF!I49</f>
        <v>0</v>
      </c>
      <c r="I22" s="53">
        <f ca="1">CF!J49</f>
        <v>0</v>
      </c>
      <c r="J22" s="53">
        <f ca="1">CF!K49</f>
        <v>0</v>
      </c>
      <c r="K22" s="53">
        <f ca="1">CF!L49</f>
        <v>0</v>
      </c>
      <c r="L22" s="53">
        <f ca="1">CF!M49</f>
        <v>0</v>
      </c>
      <c r="M22" s="53">
        <f ca="1">CF!N49</f>
        <v>0</v>
      </c>
      <c r="N22" s="53">
        <f ca="1">CF!O49</f>
        <v>0</v>
      </c>
      <c r="O22" s="53">
        <f ca="1">CF!P49</f>
        <v>0</v>
      </c>
      <c r="P22" s="53">
        <f ca="1">CF!Q49</f>
        <v>0</v>
      </c>
      <c r="Q22" s="53">
        <f ca="1">CF!R49</f>
        <v>0</v>
      </c>
      <c r="R22" s="53">
        <f ca="1">CF!S49</f>
        <v>0</v>
      </c>
      <c r="S22" s="53">
        <f ca="1">CF!T49</f>
        <v>0</v>
      </c>
      <c r="T22" s="53">
        <f ca="1">CF!U49</f>
        <v>0</v>
      </c>
      <c r="U22" s="53">
        <f ca="1">CF!V49</f>
        <v>0</v>
      </c>
      <c r="V22" s="53">
        <f ca="1">CF!W49</f>
        <v>0</v>
      </c>
      <c r="W22" s="53">
        <f ca="1">CF!X49</f>
        <v>0</v>
      </c>
      <c r="X22" s="53">
        <f ca="1">CF!Y49</f>
        <v>0</v>
      </c>
      <c r="Y22" s="423">
        <f t="shared" ca="1" si="1"/>
        <v>0</v>
      </c>
    </row>
    <row r="23" spans="1:25" s="8" customFormat="1">
      <c r="A23" s="137" t="s">
        <v>485</v>
      </c>
      <c r="D23" s="228">
        <f ca="1">CF!E52</f>
        <v>0</v>
      </c>
      <c r="E23" s="228">
        <f ca="1">CF!F52</f>
        <v>0</v>
      </c>
      <c r="F23" s="228">
        <f ca="1">CF!G52</f>
        <v>0</v>
      </c>
      <c r="G23" s="228">
        <f ca="1">CF!H52</f>
        <v>0</v>
      </c>
      <c r="H23" s="228">
        <f ca="1">CF!I52</f>
        <v>0</v>
      </c>
      <c r="I23" s="228">
        <f ca="1">CF!J52</f>
        <v>0</v>
      </c>
      <c r="J23" s="228">
        <f ca="1">CF!K52</f>
        <v>0</v>
      </c>
      <c r="K23" s="228">
        <f ca="1">CF!L52</f>
        <v>0</v>
      </c>
      <c r="L23" s="228">
        <f ca="1">CF!M52</f>
        <v>0</v>
      </c>
      <c r="M23" s="228">
        <f ca="1">CF!N52</f>
        <v>602.22498810277398</v>
      </c>
      <c r="N23" s="228">
        <f ca="1">CF!O52</f>
        <v>578.46080777080135</v>
      </c>
      <c r="O23" s="228">
        <f ca="1">CF!P52</f>
        <v>464.09457240023346</v>
      </c>
      <c r="P23" s="228">
        <f ca="1">CF!Q52</f>
        <v>260.19576596384729</v>
      </c>
      <c r="Q23" s="228">
        <f ca="1">CF!R52</f>
        <v>-33.472970602284704</v>
      </c>
      <c r="R23" s="228">
        <f ca="1">CF!S52</f>
        <v>-442.64668258634765</v>
      </c>
      <c r="S23" s="228">
        <f ca="1">CF!T52</f>
        <v>-828.16936894189689</v>
      </c>
      <c r="T23" s="228">
        <f ca="1">CF!U52</f>
        <v>-1370.6401201671288</v>
      </c>
      <c r="U23" s="228">
        <f ca="1">CF!V52</f>
        <v>-1995.8237147234718</v>
      </c>
      <c r="V23" s="228">
        <f ca="1">CF!W52</f>
        <v>-2666.4514429082806</v>
      </c>
      <c r="W23" s="228">
        <f ca="1">CF!X52</f>
        <v>-2913.0512827231705</v>
      </c>
      <c r="X23" s="228">
        <f ca="1">CF!Y52</f>
        <v>-971.01709424105672</v>
      </c>
      <c r="Y23" s="424">
        <f t="shared" ca="1" si="1"/>
        <v>-9316.2965426559804</v>
      </c>
    </row>
    <row r="24" spans="1:25" s="8" customFormat="1">
      <c r="A24" s="137" t="s">
        <v>541</v>
      </c>
      <c r="D24" s="53">
        <f t="shared" ref="D24:U24" ca="1" si="2">SUM(D19:D23)</f>
        <v>0</v>
      </c>
      <c r="E24" s="53">
        <f t="shared" ca="1" si="2"/>
        <v>0</v>
      </c>
      <c r="F24" s="53">
        <f t="shared" ca="1" si="2"/>
        <v>-3527.8538161634901</v>
      </c>
      <c r="G24" s="53">
        <f t="shared" ca="1" si="2"/>
        <v>-8428.4773839298396</v>
      </c>
      <c r="H24" s="53">
        <f t="shared" ca="1" si="2"/>
        <v>-8289.3094327784529</v>
      </c>
      <c r="I24" s="53">
        <f t="shared" ca="1" si="2"/>
        <v>-8274.9685419346461</v>
      </c>
      <c r="J24" s="53">
        <f t="shared" ca="1" si="2"/>
        <v>-7966.7556002302235</v>
      </c>
      <c r="K24" s="53">
        <f t="shared" ca="1" si="2"/>
        <v>-7438.6213782407513</v>
      </c>
      <c r="L24" s="53">
        <f t="shared" ca="1" si="2"/>
        <v>-6810.1643441933556</v>
      </c>
      <c r="M24" s="53">
        <f t="shared" ca="1" si="2"/>
        <v>-5520.7748630981205</v>
      </c>
      <c r="N24" s="53">
        <f t="shared" ca="1" si="2"/>
        <v>-5176.3356643134248</v>
      </c>
      <c r="O24" s="53">
        <f t="shared" ca="1" si="2"/>
        <v>-4852.4436858279214</v>
      </c>
      <c r="P24" s="53">
        <f t="shared" ca="1" si="2"/>
        <v>-4516.1642825929657</v>
      </c>
      <c r="Q24" s="53">
        <f t="shared" ca="1" si="2"/>
        <v>-4118.7642052877773</v>
      </c>
      <c r="R24" s="53">
        <f t="shared" ca="1" si="2"/>
        <v>-3784.7737711437517</v>
      </c>
      <c r="S24" s="53">
        <f t="shared" ca="1" si="2"/>
        <v>-3266.8615839703953</v>
      </c>
      <c r="T24" s="53">
        <f t="shared" ca="1" si="2"/>
        <v>-2771.7686109514425</v>
      </c>
      <c r="U24" s="53">
        <f t="shared" ca="1" si="2"/>
        <v>-2616.5072295047621</v>
      </c>
      <c r="V24" s="53">
        <f ca="1">SUM(V19:V23)</f>
        <v>-2635.0969128834663</v>
      </c>
      <c r="W24" s="53">
        <f ca="1">SUM(W19:W23)</f>
        <v>-2420.8404666770125</v>
      </c>
      <c r="X24" s="53">
        <f ca="1">SUM(X19:X23)</f>
        <v>-701.60348502259376</v>
      </c>
      <c r="Y24" s="423">
        <f t="shared" ca="1" si="1"/>
        <v>-93118.085258744395</v>
      </c>
    </row>
    <row r="25" spans="1:25" s="8" customFormat="1">
      <c r="A25" s="390"/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554"/>
    </row>
    <row r="26" spans="1:25" s="8" customFormat="1">
      <c r="A26" s="137" t="s">
        <v>587</v>
      </c>
      <c r="D26" s="53">
        <f t="shared" ref="D26:U26" ca="1" si="3">SUM(D16,D24)</f>
        <v>0</v>
      </c>
      <c r="E26" s="53">
        <f t="shared" ca="1" si="3"/>
        <v>0</v>
      </c>
      <c r="F26" s="53">
        <f t="shared" ca="1" si="3"/>
        <v>-2056.9773286966906</v>
      </c>
      <c r="G26" s="53">
        <f t="shared" ca="1" si="3"/>
        <v>-2646.4376336096184</v>
      </c>
      <c r="H26" s="53">
        <f t="shared" ca="1" si="3"/>
        <v>-3033.3370415970157</v>
      </c>
      <c r="I26" s="53">
        <f t="shared" ca="1" si="3"/>
        <v>-2114.4321565207474</v>
      </c>
      <c r="J26" s="53">
        <f t="shared" ca="1" si="3"/>
        <v>-1022.8171784905171</v>
      </c>
      <c r="K26" s="53">
        <f t="shared" ca="1" si="3"/>
        <v>-216.01150667725051</v>
      </c>
      <c r="L26" s="53">
        <f t="shared" ca="1" si="3"/>
        <v>857.20560068444956</v>
      </c>
      <c r="M26" s="53">
        <f t="shared" ca="1" si="3"/>
        <v>2344.2978267771823</v>
      </c>
      <c r="N26" s="53">
        <f t="shared" ca="1" si="3"/>
        <v>3276.9364112133117</v>
      </c>
      <c r="O26" s="53">
        <f t="shared" ca="1" si="3"/>
        <v>3897.9646266276441</v>
      </c>
      <c r="P26" s="53">
        <f t="shared" ca="1" si="3"/>
        <v>4709.5511891994183</v>
      </c>
      <c r="Q26" s="53">
        <f t="shared" ca="1" si="3"/>
        <v>5550.86998308692</v>
      </c>
      <c r="R26" s="53">
        <f t="shared" ca="1" si="3"/>
        <v>4970.9405334180774</v>
      </c>
      <c r="S26" s="53">
        <f t="shared" ca="1" si="3"/>
        <v>7047.9852835814027</v>
      </c>
      <c r="T26" s="53">
        <f t="shared" ca="1" si="3"/>
        <v>8087.4672980577861</v>
      </c>
      <c r="U26" s="53">
        <f t="shared" ca="1" si="3"/>
        <v>8709.5259462547074</v>
      </c>
      <c r="V26" s="53">
        <f ca="1">SUM(V16,V24)</f>
        <v>9134.3952907055391</v>
      </c>
      <c r="W26" s="53">
        <f ca="1">SUM(W16,W24)</f>
        <v>9857.7696818176864</v>
      </c>
      <c r="X26" s="53">
        <f ca="1">SUM(X16,X24)</f>
        <v>3325.087327003369</v>
      </c>
      <c r="Y26" s="423">
        <f ca="1">SUM(D26:X26)</f>
        <v>60679.984152835648</v>
      </c>
    </row>
    <row r="27" spans="1:25" s="8" customFormat="1">
      <c r="A27" s="137" t="s">
        <v>588</v>
      </c>
      <c r="D27" s="228">
        <f ca="1">IF(D24&lt;0,0,-D24)</f>
        <v>0</v>
      </c>
      <c r="E27" s="228">
        <f t="shared" ref="E27:U27" ca="1" si="4">IF(E24&lt;0,0,-E24)</f>
        <v>0</v>
      </c>
      <c r="F27" s="228">
        <f t="shared" ca="1" si="4"/>
        <v>0</v>
      </c>
      <c r="G27" s="228">
        <f t="shared" ca="1" si="4"/>
        <v>0</v>
      </c>
      <c r="H27" s="228">
        <f t="shared" ca="1" si="4"/>
        <v>0</v>
      </c>
      <c r="I27" s="228">
        <f t="shared" ca="1" si="4"/>
        <v>0</v>
      </c>
      <c r="J27" s="228">
        <f t="shared" ca="1" si="4"/>
        <v>0</v>
      </c>
      <c r="K27" s="228">
        <f t="shared" ca="1" si="4"/>
        <v>0</v>
      </c>
      <c r="L27" s="228">
        <f t="shared" ca="1" si="4"/>
        <v>0</v>
      </c>
      <c r="M27" s="228">
        <f t="shared" ca="1" si="4"/>
        <v>0</v>
      </c>
      <c r="N27" s="228">
        <f t="shared" ca="1" si="4"/>
        <v>0</v>
      </c>
      <c r="O27" s="228">
        <f t="shared" ca="1" si="4"/>
        <v>0</v>
      </c>
      <c r="P27" s="228">
        <f t="shared" ca="1" si="4"/>
        <v>0</v>
      </c>
      <c r="Q27" s="228">
        <f t="shared" ca="1" si="4"/>
        <v>0</v>
      </c>
      <c r="R27" s="228">
        <f t="shared" ca="1" si="4"/>
        <v>0</v>
      </c>
      <c r="S27" s="228">
        <f t="shared" ca="1" si="4"/>
        <v>0</v>
      </c>
      <c r="T27" s="228">
        <f t="shared" ca="1" si="4"/>
        <v>0</v>
      </c>
      <c r="U27" s="228">
        <f t="shared" ca="1" si="4"/>
        <v>0</v>
      </c>
      <c r="V27" s="228">
        <f ca="1">IF(V24&lt;0,0,-V24)</f>
        <v>0</v>
      </c>
      <c r="W27" s="228">
        <f ca="1">IF(W24&lt;0,0,-W24)</f>
        <v>0</v>
      </c>
      <c r="X27" s="228">
        <f ca="1">IF(X24&lt;0,0,-X24)</f>
        <v>0</v>
      </c>
      <c r="Y27" s="424">
        <f ca="1">SUM(D27:X27)</f>
        <v>0</v>
      </c>
    </row>
    <row r="28" spans="1:25" s="8" customFormat="1">
      <c r="A28" s="137" t="s">
        <v>589</v>
      </c>
      <c r="D28" s="53">
        <f ca="1">SUM(D26:D27)</f>
        <v>0</v>
      </c>
      <c r="E28" s="53">
        <f t="shared" ref="E28:U28" ca="1" si="5">SUM(E26:E27)</f>
        <v>0</v>
      </c>
      <c r="F28" s="53">
        <f t="shared" ca="1" si="5"/>
        <v>-2056.9773286966906</v>
      </c>
      <c r="G28" s="53">
        <f t="shared" ca="1" si="5"/>
        <v>-2646.4376336096184</v>
      </c>
      <c r="H28" s="53">
        <f t="shared" ca="1" si="5"/>
        <v>-3033.3370415970157</v>
      </c>
      <c r="I28" s="53">
        <f t="shared" ca="1" si="5"/>
        <v>-2114.4321565207474</v>
      </c>
      <c r="J28" s="53">
        <f t="shared" ca="1" si="5"/>
        <v>-1022.8171784905171</v>
      </c>
      <c r="K28" s="53">
        <f t="shared" ca="1" si="5"/>
        <v>-216.01150667725051</v>
      </c>
      <c r="L28" s="53">
        <f t="shared" ca="1" si="5"/>
        <v>857.20560068444956</v>
      </c>
      <c r="M28" s="53">
        <f t="shared" ca="1" si="5"/>
        <v>2344.2978267771823</v>
      </c>
      <c r="N28" s="53">
        <f t="shared" ca="1" si="5"/>
        <v>3276.9364112133117</v>
      </c>
      <c r="O28" s="53">
        <f t="shared" ca="1" si="5"/>
        <v>3897.9646266276441</v>
      </c>
      <c r="P28" s="53">
        <f t="shared" ca="1" si="5"/>
        <v>4709.5511891994183</v>
      </c>
      <c r="Q28" s="53">
        <f t="shared" ca="1" si="5"/>
        <v>5550.86998308692</v>
      </c>
      <c r="R28" s="53">
        <f t="shared" ca="1" si="5"/>
        <v>4970.9405334180774</v>
      </c>
      <c r="S28" s="53">
        <f t="shared" ca="1" si="5"/>
        <v>7047.9852835814027</v>
      </c>
      <c r="T28" s="53">
        <f t="shared" ca="1" si="5"/>
        <v>8087.4672980577861</v>
      </c>
      <c r="U28" s="53">
        <f t="shared" ca="1" si="5"/>
        <v>8709.5259462547074</v>
      </c>
      <c r="V28" s="53">
        <f ca="1">SUM(V26:V27)</f>
        <v>9134.3952907055391</v>
      </c>
      <c r="W28" s="53">
        <f ca="1">SUM(W26:W27)</f>
        <v>9857.7696818176864</v>
      </c>
      <c r="X28" s="53">
        <f ca="1">SUM(X26:X27)</f>
        <v>3325.087327003369</v>
      </c>
      <c r="Y28" s="423">
        <f ca="1">SUM(D28:X28)</f>
        <v>60679.984152835648</v>
      </c>
    </row>
    <row r="29" spans="1:25" s="8" customFormat="1">
      <c r="A29" s="390"/>
      <c r="B29" s="373"/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3"/>
      <c r="W29" s="373"/>
      <c r="X29" s="373"/>
      <c r="Y29" s="554"/>
    </row>
    <row r="30" spans="1:25" s="8" customFormat="1">
      <c r="A30" s="75" t="s">
        <v>486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451"/>
    </row>
    <row r="31" spans="1:25" s="8" customFormat="1">
      <c r="A31" s="137" t="s">
        <v>600</v>
      </c>
      <c r="D31" s="53">
        <f ca="1">IF(D$28&lt;0,0,D$28)</f>
        <v>0</v>
      </c>
      <c r="E31" s="53">
        <f t="shared" ref="E31:X31" ca="1" si="6">IF(E$28&lt;0,0,E$28)</f>
        <v>0</v>
      </c>
      <c r="F31" s="53">
        <f t="shared" ca="1" si="6"/>
        <v>0</v>
      </c>
      <c r="G31" s="53">
        <f t="shared" ca="1" si="6"/>
        <v>0</v>
      </c>
      <c r="H31" s="53">
        <f t="shared" ca="1" si="6"/>
        <v>0</v>
      </c>
      <c r="I31" s="53">
        <f t="shared" ca="1" si="6"/>
        <v>0</v>
      </c>
      <c r="J31" s="53">
        <f t="shared" ca="1" si="6"/>
        <v>0</v>
      </c>
      <c r="K31" s="53">
        <f t="shared" ca="1" si="6"/>
        <v>0</v>
      </c>
      <c r="L31" s="53">
        <f t="shared" ca="1" si="6"/>
        <v>857.20560068444956</v>
      </c>
      <c r="M31" s="53">
        <f t="shared" ca="1" si="6"/>
        <v>2344.2978267771823</v>
      </c>
      <c r="N31" s="53">
        <f t="shared" ca="1" si="6"/>
        <v>3276.9364112133117</v>
      </c>
      <c r="O31" s="53">
        <f t="shared" ca="1" si="6"/>
        <v>3897.9646266276441</v>
      </c>
      <c r="P31" s="53">
        <f t="shared" ca="1" si="6"/>
        <v>4709.5511891994183</v>
      </c>
      <c r="Q31" s="53">
        <f t="shared" ca="1" si="6"/>
        <v>5550.86998308692</v>
      </c>
      <c r="R31" s="53">
        <f t="shared" ca="1" si="6"/>
        <v>4970.9405334180774</v>
      </c>
      <c r="S31" s="53">
        <f t="shared" ca="1" si="6"/>
        <v>7047.9852835814027</v>
      </c>
      <c r="T31" s="53">
        <f t="shared" ca="1" si="6"/>
        <v>8087.4672980577861</v>
      </c>
      <c r="U31" s="53">
        <f t="shared" ca="1" si="6"/>
        <v>8709.5259462547074</v>
      </c>
      <c r="V31" s="53">
        <f t="shared" ca="1" si="6"/>
        <v>9134.3952907055391</v>
      </c>
      <c r="W31" s="53">
        <f t="shared" ca="1" si="6"/>
        <v>9857.7696818176864</v>
      </c>
      <c r="X31" s="53">
        <f t="shared" ca="1" si="6"/>
        <v>3325.087327003369</v>
      </c>
      <c r="Y31" s="423">
        <f ca="1">SUM(D31:X31)</f>
        <v>71769.996998427494</v>
      </c>
    </row>
    <row r="32" spans="1:25" s="8" customFormat="1">
      <c r="A32" s="137" t="s">
        <v>238</v>
      </c>
      <c r="D32" s="35">
        <f t="shared" ref="D32:X32" si="7">Tax</f>
        <v>0.15</v>
      </c>
      <c r="E32" s="35">
        <f t="shared" si="7"/>
        <v>0.15</v>
      </c>
      <c r="F32" s="35">
        <f t="shared" si="7"/>
        <v>0.15</v>
      </c>
      <c r="G32" s="35">
        <f t="shared" si="7"/>
        <v>0.15</v>
      </c>
      <c r="H32" s="35">
        <f t="shared" si="7"/>
        <v>0.15</v>
      </c>
      <c r="I32" s="35">
        <f t="shared" si="7"/>
        <v>0.15</v>
      </c>
      <c r="J32" s="35">
        <f t="shared" si="7"/>
        <v>0.15</v>
      </c>
      <c r="K32" s="35">
        <f t="shared" si="7"/>
        <v>0.15</v>
      </c>
      <c r="L32" s="35">
        <f t="shared" si="7"/>
        <v>0.15</v>
      </c>
      <c r="M32" s="35">
        <f t="shared" si="7"/>
        <v>0.15</v>
      </c>
      <c r="N32" s="35">
        <f t="shared" si="7"/>
        <v>0.15</v>
      </c>
      <c r="O32" s="35">
        <f t="shared" si="7"/>
        <v>0.15</v>
      </c>
      <c r="P32" s="35">
        <f t="shared" si="7"/>
        <v>0.15</v>
      </c>
      <c r="Q32" s="35">
        <f t="shared" si="7"/>
        <v>0.15</v>
      </c>
      <c r="R32" s="35">
        <f t="shared" si="7"/>
        <v>0.15</v>
      </c>
      <c r="S32" s="35">
        <f t="shared" si="7"/>
        <v>0.15</v>
      </c>
      <c r="T32" s="35">
        <f t="shared" si="7"/>
        <v>0.15</v>
      </c>
      <c r="U32" s="35">
        <f t="shared" si="7"/>
        <v>0.15</v>
      </c>
      <c r="V32" s="35">
        <f t="shared" si="7"/>
        <v>0.15</v>
      </c>
      <c r="W32" s="35">
        <f t="shared" si="7"/>
        <v>0.15</v>
      </c>
      <c r="X32" s="35">
        <f t="shared" si="7"/>
        <v>0.15</v>
      </c>
      <c r="Y32" s="451"/>
    </row>
    <row r="33" spans="1:25" s="8" customFormat="1">
      <c r="A33" s="137" t="s">
        <v>519</v>
      </c>
      <c r="D33" s="53">
        <f t="shared" ref="D33:U33" ca="1" si="8">D32*D31</f>
        <v>0</v>
      </c>
      <c r="E33" s="53">
        <f t="shared" ca="1" si="8"/>
        <v>0</v>
      </c>
      <c r="F33" s="53">
        <f t="shared" ca="1" si="8"/>
        <v>0</v>
      </c>
      <c r="G33" s="53">
        <f t="shared" ca="1" si="8"/>
        <v>0</v>
      </c>
      <c r="H33" s="53">
        <f t="shared" ca="1" si="8"/>
        <v>0</v>
      </c>
      <c r="I33" s="53">
        <f t="shared" ca="1" si="8"/>
        <v>0</v>
      </c>
      <c r="J33" s="53">
        <f t="shared" ca="1" si="8"/>
        <v>0</v>
      </c>
      <c r="K33" s="53">
        <f t="shared" ca="1" si="8"/>
        <v>0</v>
      </c>
      <c r="L33" s="53">
        <f t="shared" ca="1" si="8"/>
        <v>128.58084010266742</v>
      </c>
      <c r="M33" s="53">
        <f t="shared" ca="1" si="8"/>
        <v>351.64467401657731</v>
      </c>
      <c r="N33" s="53">
        <f t="shared" ca="1" si="8"/>
        <v>491.5404616819967</v>
      </c>
      <c r="O33" s="53">
        <f t="shared" ca="1" si="8"/>
        <v>584.69469399414663</v>
      </c>
      <c r="P33" s="53">
        <f t="shared" ca="1" si="8"/>
        <v>706.43267837991277</v>
      </c>
      <c r="Q33" s="53">
        <f t="shared" ca="1" si="8"/>
        <v>832.63049746303795</v>
      </c>
      <c r="R33" s="53">
        <f t="shared" ca="1" si="8"/>
        <v>745.64108001271154</v>
      </c>
      <c r="S33" s="53">
        <f t="shared" ca="1" si="8"/>
        <v>1057.1977925372103</v>
      </c>
      <c r="T33" s="53">
        <f t="shared" ca="1" si="8"/>
        <v>1213.1200947086679</v>
      </c>
      <c r="U33" s="53">
        <f t="shared" ca="1" si="8"/>
        <v>1306.4288919382061</v>
      </c>
      <c r="V33" s="53">
        <f ca="1">V32*V31</f>
        <v>1370.1592936058307</v>
      </c>
      <c r="W33" s="53">
        <f ca="1">W32*W31</f>
        <v>1478.6654522726528</v>
      </c>
      <c r="X33" s="53">
        <f ca="1">X32*X31</f>
        <v>498.76309905050533</v>
      </c>
      <c r="Y33" s="423">
        <f ca="1">SUM(D33:X33)</f>
        <v>10765.499549764125</v>
      </c>
    </row>
    <row r="34" spans="1:25" s="8" customFormat="1">
      <c r="A34" s="13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451"/>
    </row>
    <row r="35" spans="1:25" s="8" customFormat="1">
      <c r="A35" s="75" t="s">
        <v>461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451"/>
    </row>
    <row r="36" spans="1:25" s="8" customFormat="1">
      <c r="A36" s="137" t="s">
        <v>600</v>
      </c>
      <c r="D36" s="53">
        <f t="shared" ref="D36:X36" ca="1" si="9">IF(D$28&lt;0,0,D$28)</f>
        <v>0</v>
      </c>
      <c r="E36" s="53">
        <f t="shared" ca="1" si="9"/>
        <v>0</v>
      </c>
      <c r="F36" s="53">
        <f t="shared" ca="1" si="9"/>
        <v>0</v>
      </c>
      <c r="G36" s="53">
        <f t="shared" ca="1" si="9"/>
        <v>0</v>
      </c>
      <c r="H36" s="53">
        <f t="shared" ca="1" si="9"/>
        <v>0</v>
      </c>
      <c r="I36" s="53">
        <f t="shared" ca="1" si="9"/>
        <v>0</v>
      </c>
      <c r="J36" s="53">
        <f t="shared" ca="1" si="9"/>
        <v>0</v>
      </c>
      <c r="K36" s="53">
        <f t="shared" ca="1" si="9"/>
        <v>0</v>
      </c>
      <c r="L36" s="53">
        <f t="shared" ca="1" si="9"/>
        <v>857.20560068444956</v>
      </c>
      <c r="M36" s="53">
        <f t="shared" ca="1" si="9"/>
        <v>2344.2978267771823</v>
      </c>
      <c r="N36" s="53">
        <f t="shared" ca="1" si="9"/>
        <v>3276.9364112133117</v>
      </c>
      <c r="O36" s="53">
        <f t="shared" ca="1" si="9"/>
        <v>3897.9646266276441</v>
      </c>
      <c r="P36" s="53">
        <f t="shared" ca="1" si="9"/>
        <v>4709.5511891994183</v>
      </c>
      <c r="Q36" s="53">
        <f t="shared" ca="1" si="9"/>
        <v>5550.86998308692</v>
      </c>
      <c r="R36" s="53">
        <f t="shared" ca="1" si="9"/>
        <v>4970.9405334180774</v>
      </c>
      <c r="S36" s="53">
        <f t="shared" ca="1" si="9"/>
        <v>7047.9852835814027</v>
      </c>
      <c r="T36" s="53">
        <f t="shared" ca="1" si="9"/>
        <v>8087.4672980577861</v>
      </c>
      <c r="U36" s="53">
        <f t="shared" ca="1" si="9"/>
        <v>8709.5259462547074</v>
      </c>
      <c r="V36" s="53">
        <f t="shared" ca="1" si="9"/>
        <v>9134.3952907055391</v>
      </c>
      <c r="W36" s="53">
        <f t="shared" ca="1" si="9"/>
        <v>9857.7696818176864</v>
      </c>
      <c r="X36" s="53">
        <f t="shared" ca="1" si="9"/>
        <v>3325.087327003369</v>
      </c>
      <c r="Y36" s="423">
        <f ca="1">SUM(D36:X36)</f>
        <v>71769.996998427494</v>
      </c>
    </row>
    <row r="37" spans="1:25" s="8" customFormat="1">
      <c r="A37" s="137" t="s">
        <v>487</v>
      </c>
      <c r="D37" s="228">
        <f ca="1">IF(D36&lt;=Assm!$L$9/CF!E$13,0,-Assm!$L$9/CF!E$13*D$9/12)</f>
        <v>0</v>
      </c>
      <c r="E37" s="228">
        <f ca="1">IF(E36&lt;=Assm!$L$9/CF!F$13,0,-Assm!$L$9/CF!F$13*E$9/12)</f>
        <v>0</v>
      </c>
      <c r="F37" s="228">
        <f ca="1">IF(F36&lt;=Assm!$L$9/CF!G$13,0,-Assm!$L$9/CF!G$13*F$9/12)</f>
        <v>0</v>
      </c>
      <c r="G37" s="228">
        <f ca="1">IF(G36&lt;=Assm!$L$9/CF!H$13,0,-Assm!$L$9/CF!H$13*G$9/12)</f>
        <v>0</v>
      </c>
      <c r="H37" s="228">
        <f ca="1">IF(H36&lt;=Assm!$L$9/CF!I$13,0,-Assm!$L$9/CF!I$13*H$9/12)</f>
        <v>0</v>
      </c>
      <c r="I37" s="228">
        <f ca="1">IF(I36&lt;=Assm!$L$9/CF!J$13,0,-Assm!$L$9/CF!J$13*I$9/12)</f>
        <v>0</v>
      </c>
      <c r="J37" s="228">
        <f ca="1">IF(J36&lt;=Assm!$L$9/CF!K$13,0,-Assm!$L$9/CF!K$13*J$9/12)</f>
        <v>0</v>
      </c>
      <c r="K37" s="228">
        <f ca="1">IF(K36&lt;=Assm!$L$9/CF!L$13,0,-Assm!$L$9/CF!L$13*K$9/12)</f>
        <v>0</v>
      </c>
      <c r="L37" s="228">
        <f ca="1">IF(L36&lt;=Assm!$L$9/CF!M$13,0,-Assm!$L$9/CF!M$13*L$9/12)</f>
        <v>-225.35211267605635</v>
      </c>
      <c r="M37" s="228">
        <f ca="1">IF(M36&lt;=Assm!$L$9/CF!N$13,0,-Assm!$L$9/CF!N$13*M$9/12)</f>
        <v>-225.35211267605635</v>
      </c>
      <c r="N37" s="228">
        <f ca="1">IF(N36&lt;=Assm!$L$9/CF!O$13,0,-Assm!$L$9/CF!O$13*N$9/12)</f>
        <v>-225.35211267605635</v>
      </c>
      <c r="O37" s="228">
        <f ca="1">IF(O36&lt;=Assm!$L$9/CF!P$13,0,-Assm!$L$9/CF!P$13*O$9/12)</f>
        <v>-225.35211267605635</v>
      </c>
      <c r="P37" s="228">
        <f ca="1">IF(P36&lt;=Assm!$L$9/CF!Q$13,0,-Assm!$L$9/CF!Q$13*P$9/12)</f>
        <v>-225.35211267605635</v>
      </c>
      <c r="Q37" s="228">
        <f ca="1">IF(Q36&lt;=Assm!$L$9/CF!R$13,0,-Assm!$L$9/CF!R$13*Q$9/12)</f>
        <v>-225.35211267605635</v>
      </c>
      <c r="R37" s="228">
        <f ca="1">IF(R36&lt;=Assm!$L$9/CF!S$13,0,-Assm!$L$9/CF!S$13*R$9/12)</f>
        <v>-225.35211267605635</v>
      </c>
      <c r="S37" s="228">
        <f ca="1">IF(S36&lt;=Assm!$L$9/CF!T$13,0,-Assm!$L$9/CF!T$13*S$9/12)</f>
        <v>-225.35211267605635</v>
      </c>
      <c r="T37" s="228">
        <f ca="1">IF(T36&lt;=Assm!$L$9/CF!U$13,0,-Assm!$L$9/CF!U$13*T$9/12)</f>
        <v>-225.35211267605635</v>
      </c>
      <c r="U37" s="228">
        <f ca="1">IF(U36&lt;=Assm!$L$9/CF!V$13,0,-Assm!$L$9/CF!V$13*U$9/12)</f>
        <v>-225.35211267605635</v>
      </c>
      <c r="V37" s="228">
        <f ca="1">IF(V36&lt;=Assm!$L$9/CF!W$13,0,-Assm!$L$9/CF!W$13*V$9/12)</f>
        <v>-225.35211267605635</v>
      </c>
      <c r="W37" s="228">
        <f ca="1">IF(W36&lt;=Assm!$L$9/CF!X$13,0,-Assm!$L$9/CF!X$13*W$9/12)</f>
        <v>-225.35211267605635</v>
      </c>
      <c r="X37" s="228">
        <f ca="1">IF(X36&lt;=Assm!$L$9/CF!Y$13,0,-Assm!$L$9/CF!Y$13*X$9/12)</f>
        <v>-75.117370892018783</v>
      </c>
      <c r="Y37" s="424">
        <f ca="1">SUM(D37:X37)</f>
        <v>-2779.3427230046955</v>
      </c>
    </row>
    <row r="38" spans="1:25" s="8" customFormat="1">
      <c r="A38" s="137" t="s">
        <v>520</v>
      </c>
      <c r="D38" s="53">
        <f ca="1">SUM(D36:D37)</f>
        <v>0</v>
      </c>
      <c r="E38" s="53">
        <f t="shared" ref="E38:U38" ca="1" si="10">SUM(E36:E37)</f>
        <v>0</v>
      </c>
      <c r="F38" s="53">
        <f t="shared" ca="1" si="10"/>
        <v>0</v>
      </c>
      <c r="G38" s="53">
        <f t="shared" ca="1" si="10"/>
        <v>0</v>
      </c>
      <c r="H38" s="53">
        <f t="shared" ca="1" si="10"/>
        <v>0</v>
      </c>
      <c r="I38" s="53">
        <f t="shared" ca="1" si="10"/>
        <v>0</v>
      </c>
      <c r="J38" s="53">
        <f t="shared" ca="1" si="10"/>
        <v>0</v>
      </c>
      <c r="K38" s="53">
        <f t="shared" ca="1" si="10"/>
        <v>0</v>
      </c>
      <c r="L38" s="53">
        <f t="shared" ca="1" si="10"/>
        <v>631.85348800839324</v>
      </c>
      <c r="M38" s="53">
        <f t="shared" ca="1" si="10"/>
        <v>2118.9457141011258</v>
      </c>
      <c r="N38" s="53">
        <f t="shared" ca="1" si="10"/>
        <v>3051.5842985372551</v>
      </c>
      <c r="O38" s="53">
        <f t="shared" ca="1" si="10"/>
        <v>3672.6125139515875</v>
      </c>
      <c r="P38" s="53">
        <f t="shared" ca="1" si="10"/>
        <v>4484.1990765233622</v>
      </c>
      <c r="Q38" s="53">
        <f t="shared" ca="1" si="10"/>
        <v>5325.5178704108639</v>
      </c>
      <c r="R38" s="53">
        <f t="shared" ca="1" si="10"/>
        <v>4745.5884207420213</v>
      </c>
      <c r="S38" s="53">
        <f t="shared" ca="1" si="10"/>
        <v>6822.6331709053466</v>
      </c>
      <c r="T38" s="53">
        <f t="shared" ca="1" si="10"/>
        <v>7862.11518538173</v>
      </c>
      <c r="U38" s="53">
        <f t="shared" ca="1" si="10"/>
        <v>8484.1738335786504</v>
      </c>
      <c r="V38" s="53">
        <f ca="1">SUM(V36:V37)</f>
        <v>8909.0431780294821</v>
      </c>
      <c r="W38" s="53">
        <f ca="1">SUM(W36:W37)</f>
        <v>9632.4175691416294</v>
      </c>
      <c r="X38" s="53">
        <f ca="1">SUM(X36:X37)</f>
        <v>3249.9699561113503</v>
      </c>
      <c r="Y38" s="423">
        <f ca="1">SUM(D38:X38)</f>
        <v>68990.654275422799</v>
      </c>
    </row>
    <row r="39" spans="1:25" s="8" customFormat="1">
      <c r="A39" s="137" t="s">
        <v>521</v>
      </c>
      <c r="D39" s="35">
        <f>Add_Tax</f>
        <v>0.1</v>
      </c>
      <c r="E39" s="35">
        <f t="shared" ref="E39:X39" si="11">Add_Tax</f>
        <v>0.1</v>
      </c>
      <c r="F39" s="35">
        <f t="shared" si="11"/>
        <v>0.1</v>
      </c>
      <c r="G39" s="35">
        <f t="shared" si="11"/>
        <v>0.1</v>
      </c>
      <c r="H39" s="35">
        <f t="shared" si="11"/>
        <v>0.1</v>
      </c>
      <c r="I39" s="35">
        <f t="shared" si="11"/>
        <v>0.1</v>
      </c>
      <c r="J39" s="35">
        <f t="shared" si="11"/>
        <v>0.1</v>
      </c>
      <c r="K39" s="35">
        <f t="shared" si="11"/>
        <v>0.1</v>
      </c>
      <c r="L39" s="35">
        <f t="shared" si="11"/>
        <v>0.1</v>
      </c>
      <c r="M39" s="35">
        <f t="shared" si="11"/>
        <v>0.1</v>
      </c>
      <c r="N39" s="35">
        <f t="shared" si="11"/>
        <v>0.1</v>
      </c>
      <c r="O39" s="35">
        <f t="shared" si="11"/>
        <v>0.1</v>
      </c>
      <c r="P39" s="35">
        <f t="shared" si="11"/>
        <v>0.1</v>
      </c>
      <c r="Q39" s="35">
        <f t="shared" si="11"/>
        <v>0.1</v>
      </c>
      <c r="R39" s="35">
        <f t="shared" si="11"/>
        <v>0.1</v>
      </c>
      <c r="S39" s="35">
        <f t="shared" si="11"/>
        <v>0.1</v>
      </c>
      <c r="T39" s="35">
        <f t="shared" si="11"/>
        <v>0.1</v>
      </c>
      <c r="U39" s="35">
        <f t="shared" si="11"/>
        <v>0.1</v>
      </c>
      <c r="V39" s="35">
        <f t="shared" si="11"/>
        <v>0.1</v>
      </c>
      <c r="W39" s="35">
        <f t="shared" si="11"/>
        <v>0.1</v>
      </c>
      <c r="X39" s="35">
        <f t="shared" si="11"/>
        <v>0.1</v>
      </c>
      <c r="Y39" s="451"/>
    </row>
    <row r="40" spans="1:25" s="8" customFormat="1">
      <c r="A40" s="137" t="s">
        <v>522</v>
      </c>
      <c r="D40" s="53">
        <f t="shared" ref="D40:U40" ca="1" si="12">D39*D38</f>
        <v>0</v>
      </c>
      <c r="E40" s="53">
        <f t="shared" ca="1" si="12"/>
        <v>0</v>
      </c>
      <c r="F40" s="53">
        <f t="shared" ca="1" si="12"/>
        <v>0</v>
      </c>
      <c r="G40" s="53">
        <f t="shared" ca="1" si="12"/>
        <v>0</v>
      </c>
      <c r="H40" s="53">
        <f t="shared" ca="1" si="12"/>
        <v>0</v>
      </c>
      <c r="I40" s="53">
        <f t="shared" ca="1" si="12"/>
        <v>0</v>
      </c>
      <c r="J40" s="53">
        <f t="shared" ca="1" si="12"/>
        <v>0</v>
      </c>
      <c r="K40" s="53">
        <f t="shared" ca="1" si="12"/>
        <v>0</v>
      </c>
      <c r="L40" s="53">
        <f t="shared" ca="1" si="12"/>
        <v>63.185348800839328</v>
      </c>
      <c r="M40" s="53">
        <f t="shared" ca="1" si="12"/>
        <v>211.89457141011258</v>
      </c>
      <c r="N40" s="53">
        <f t="shared" ca="1" si="12"/>
        <v>305.15842985372552</v>
      </c>
      <c r="O40" s="53">
        <f t="shared" ca="1" si="12"/>
        <v>367.26125139515875</v>
      </c>
      <c r="P40" s="53">
        <f t="shared" ca="1" si="12"/>
        <v>448.41990765233624</v>
      </c>
      <c r="Q40" s="53">
        <f t="shared" ca="1" si="12"/>
        <v>532.55178704108641</v>
      </c>
      <c r="R40" s="53">
        <f t="shared" ca="1" si="12"/>
        <v>474.55884207420218</v>
      </c>
      <c r="S40" s="53">
        <f t="shared" ca="1" si="12"/>
        <v>682.26331709053466</v>
      </c>
      <c r="T40" s="53">
        <f t="shared" ca="1" si="12"/>
        <v>786.2115185381731</v>
      </c>
      <c r="U40" s="53">
        <f t="shared" ca="1" si="12"/>
        <v>848.41738335786511</v>
      </c>
      <c r="V40" s="53">
        <f ca="1">V39*V38</f>
        <v>890.9043178029483</v>
      </c>
      <c r="W40" s="53">
        <f ca="1">W39*W38</f>
        <v>963.24175691416303</v>
      </c>
      <c r="X40" s="53">
        <f ca="1">X39*X38</f>
        <v>324.99699561113505</v>
      </c>
      <c r="Y40" s="423">
        <f ca="1">SUM(D40:X40)</f>
        <v>6899.0654275422812</v>
      </c>
    </row>
    <row r="41" spans="1:25" s="8" customFormat="1">
      <c r="A41" s="13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451"/>
    </row>
    <row r="42" spans="1:25" s="8" customFormat="1">
      <c r="A42" s="137" t="s">
        <v>550</v>
      </c>
      <c r="D42" s="53">
        <f ca="1">SUM(D33,D40)</f>
        <v>0</v>
      </c>
      <c r="E42" s="53">
        <f t="shared" ref="E42:U42" ca="1" si="13">SUM(E33,E40)</f>
        <v>0</v>
      </c>
      <c r="F42" s="53">
        <f t="shared" ca="1" si="13"/>
        <v>0</v>
      </c>
      <c r="G42" s="53">
        <f t="shared" ca="1" si="13"/>
        <v>0</v>
      </c>
      <c r="H42" s="53">
        <f t="shared" ca="1" si="13"/>
        <v>0</v>
      </c>
      <c r="I42" s="53">
        <f t="shared" ca="1" si="13"/>
        <v>0</v>
      </c>
      <c r="J42" s="53">
        <f t="shared" ca="1" si="13"/>
        <v>0</v>
      </c>
      <c r="K42" s="53">
        <f t="shared" ca="1" si="13"/>
        <v>0</v>
      </c>
      <c r="L42" s="53">
        <f t="shared" ca="1" si="13"/>
        <v>191.76618890350676</v>
      </c>
      <c r="M42" s="53">
        <f t="shared" ca="1" si="13"/>
        <v>563.53924542668983</v>
      </c>
      <c r="N42" s="53">
        <f t="shared" ca="1" si="13"/>
        <v>796.69889153572217</v>
      </c>
      <c r="O42" s="53">
        <f t="shared" ca="1" si="13"/>
        <v>951.95594538930538</v>
      </c>
      <c r="P42" s="53">
        <f t="shared" ca="1" si="13"/>
        <v>1154.8525860322491</v>
      </c>
      <c r="Q42" s="53">
        <f t="shared" ca="1" si="13"/>
        <v>1365.1822845041243</v>
      </c>
      <c r="R42" s="53">
        <f t="shared" ca="1" si="13"/>
        <v>1220.1999220869138</v>
      </c>
      <c r="S42" s="53">
        <f t="shared" ca="1" si="13"/>
        <v>1739.4611096277449</v>
      </c>
      <c r="T42" s="53">
        <f t="shared" ca="1" si="13"/>
        <v>1999.331613246841</v>
      </c>
      <c r="U42" s="53">
        <f t="shared" ca="1" si="13"/>
        <v>2154.8462752960713</v>
      </c>
      <c r="V42" s="53">
        <f ca="1">SUM(V33,V40)</f>
        <v>2261.0636114087793</v>
      </c>
      <c r="W42" s="53">
        <f ca="1">SUM(W33,W40)</f>
        <v>2441.9072091868156</v>
      </c>
      <c r="X42" s="53">
        <f ca="1">SUM(X33,X40)</f>
        <v>823.76009466164032</v>
      </c>
      <c r="Y42" s="423">
        <f ca="1">SUM(D42:X42)</f>
        <v>17664.564977306403</v>
      </c>
    </row>
    <row r="43" spans="1:25">
      <c r="A43" s="137" t="s">
        <v>551</v>
      </c>
      <c r="B43" s="130" t="str">
        <f>IF(Assm!$L$29=1,"On","Off")</f>
        <v>On</v>
      </c>
      <c r="C43" s="8"/>
      <c r="D43" s="368">
        <f>IF(D$7&gt;Assm!$I$33,0,HLOOKUP(D$7,Sudam_Table,Assm!$M$35))*Assm!$L$29</f>
        <v>0.375</v>
      </c>
      <c r="E43" s="368">
        <f>IF(E$7&gt;Assm!$I$33,0,HLOOKUP(E$7,Sudam_Table,Assm!$M$35))*Assm!$L$29</f>
        <v>0.375</v>
      </c>
      <c r="F43" s="368">
        <f>IF(F$7&gt;Assm!$I$33,0,HLOOKUP(F$7,Sudam_Table,Assm!$M$35))*Assm!$L$29</f>
        <v>0.375</v>
      </c>
      <c r="G43" s="368">
        <f>IF(G$7&gt;Assm!$I$33,0,HLOOKUP(G$7,Sudam_Table,Assm!$M$35))*Assm!$L$29</f>
        <v>0.375</v>
      </c>
      <c r="H43" s="368">
        <f>IF(H$7&gt;Assm!$I$33,0,HLOOKUP(H$7,Sudam_Table,Assm!$M$35))*Assm!$L$29</f>
        <v>0.375</v>
      </c>
      <c r="I43" s="368">
        <f>IF(I$7&gt;Assm!$I$33,0,HLOOKUP(I$7,Sudam_Table,Assm!$M$35))*Assm!$L$29</f>
        <v>0.25</v>
      </c>
      <c r="J43" s="368">
        <f>IF(J$7&gt;Assm!$I$33,0,HLOOKUP(J$7,Sudam_Table,Assm!$M$35))*Assm!$L$29</f>
        <v>0.25</v>
      </c>
      <c r="K43" s="368">
        <f>IF(K$7&gt;Assm!$I$33,0,HLOOKUP(K$7,Sudam_Table,Assm!$M$35))*Assm!$L$29</f>
        <v>0.25</v>
      </c>
      <c r="L43" s="368">
        <f>IF(L$7&gt;Assm!$I$33,0,HLOOKUP(L$7,Sudam_Table,Assm!$M$35))*Assm!$L$29</f>
        <v>0.25</v>
      </c>
      <c r="M43" s="368">
        <f>IF(M$7&gt;Assm!$I$33,0,HLOOKUP(M$7,Sudam_Table,Assm!$M$35))*Assm!$L$29</f>
        <v>0.25</v>
      </c>
      <c r="N43" s="368">
        <f>IF(N$7&gt;Assm!$I$33,0,HLOOKUP(N$7,Sudam_Table,Assm!$M$35))*Assm!$L$29</f>
        <v>0.125</v>
      </c>
      <c r="O43" s="368">
        <f>IF(O$7&gt;Assm!$I$33,0,HLOOKUP(O$7,Sudam_Table,Assm!$M$35))*Assm!$L$29</f>
        <v>0.125</v>
      </c>
      <c r="P43" s="368">
        <f>IF(P$7&gt;Assm!$I$33,0,HLOOKUP(P$7,Sudam_Table,Assm!$M$35))*Assm!$L$29</f>
        <v>0.125</v>
      </c>
      <c r="Q43" s="368">
        <f>IF(Q$7&gt;Assm!$I$33,0,HLOOKUP(Q$7,Sudam_Table,Assm!$M$35))*Assm!$L$29</f>
        <v>0.125</v>
      </c>
      <c r="R43" s="368">
        <f>IF(R$7&gt;Assm!$I$33,0,HLOOKUP(R$7,Sudam_Table,Assm!$M$35))*Assm!$L$29</f>
        <v>0.125</v>
      </c>
      <c r="S43" s="368">
        <f>IF(S$7&gt;Assm!$I$33,0,HLOOKUP(S$7,Sudam_Table,Assm!$M$35))*Assm!$L$29</f>
        <v>0</v>
      </c>
      <c r="T43" s="368">
        <f>IF(T$7&gt;Assm!$I$33,0,HLOOKUP(T$7,Sudam_Table,Assm!$M$35))*Assm!$L$29</f>
        <v>0</v>
      </c>
      <c r="U43" s="368">
        <f>IF(U$7&gt;Assm!$I$33,0,HLOOKUP(U$7,Sudam_Table,Assm!$M$35))*Assm!$L$29</f>
        <v>0</v>
      </c>
      <c r="V43" s="368">
        <f>IF(V$7&gt;Assm!$I$33,0,HLOOKUP(V$7,Sudam_Table,Assm!$M$35))*Assm!$L$29</f>
        <v>0</v>
      </c>
      <c r="W43" s="368">
        <f>IF(W$7&gt;Assm!$I$33,0,HLOOKUP(W$7,Sudam_Table,Assm!$M$35))*Assm!$L$29</f>
        <v>0</v>
      </c>
      <c r="X43" s="368">
        <f>IF(X$7&gt;Assm!$I$33,0,HLOOKUP(X$7,Sudam_Table,Assm!$M$35))*Assm!$L$29</f>
        <v>0</v>
      </c>
      <c r="Y43" s="419"/>
    </row>
    <row r="44" spans="1:25" ht="13.8" thickBot="1">
      <c r="A44" s="139" t="s">
        <v>552</v>
      </c>
      <c r="B44" s="145" t="s">
        <v>553</v>
      </c>
      <c r="C44" s="77"/>
      <c r="D44" s="397">
        <f ca="1">D42*D43</f>
        <v>0</v>
      </c>
      <c r="E44" s="397">
        <f t="shared" ref="E44:U44" ca="1" si="14">E42*E43</f>
        <v>0</v>
      </c>
      <c r="F44" s="397">
        <f t="shared" ca="1" si="14"/>
        <v>0</v>
      </c>
      <c r="G44" s="397">
        <f t="shared" ca="1" si="14"/>
        <v>0</v>
      </c>
      <c r="H44" s="397">
        <f t="shared" ca="1" si="14"/>
        <v>0</v>
      </c>
      <c r="I44" s="397">
        <f t="shared" ca="1" si="14"/>
        <v>0</v>
      </c>
      <c r="J44" s="397">
        <f t="shared" ca="1" si="14"/>
        <v>0</v>
      </c>
      <c r="K44" s="397">
        <f t="shared" ca="1" si="14"/>
        <v>0</v>
      </c>
      <c r="L44" s="397">
        <f t="shared" ca="1" si="14"/>
        <v>47.94154722587669</v>
      </c>
      <c r="M44" s="397">
        <f t="shared" ca="1" si="14"/>
        <v>140.88481135667246</v>
      </c>
      <c r="N44" s="397">
        <f t="shared" ca="1" si="14"/>
        <v>99.587361441965271</v>
      </c>
      <c r="O44" s="397">
        <f t="shared" ca="1" si="14"/>
        <v>118.99449317366317</v>
      </c>
      <c r="P44" s="397">
        <f t="shared" ca="1" si="14"/>
        <v>144.35657325403113</v>
      </c>
      <c r="Q44" s="397">
        <f t="shared" ca="1" si="14"/>
        <v>170.64778556301553</v>
      </c>
      <c r="R44" s="397">
        <f t="shared" ca="1" si="14"/>
        <v>152.52499026086423</v>
      </c>
      <c r="S44" s="397">
        <f t="shared" ca="1" si="14"/>
        <v>0</v>
      </c>
      <c r="T44" s="397">
        <f t="shared" ca="1" si="14"/>
        <v>0</v>
      </c>
      <c r="U44" s="397">
        <f t="shared" ca="1" si="14"/>
        <v>0</v>
      </c>
      <c r="V44" s="397">
        <f ca="1">V42*V43</f>
        <v>0</v>
      </c>
      <c r="W44" s="397">
        <f ca="1">W42*W43</f>
        <v>0</v>
      </c>
      <c r="X44" s="397">
        <f ca="1">X42*X43</f>
        <v>0</v>
      </c>
      <c r="Y44" s="555">
        <f ca="1">SUM(D44:X44)</f>
        <v>874.93756227608844</v>
      </c>
    </row>
    <row r="45" spans="1:25">
      <c r="A45" s="8" t="s">
        <v>554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1055"/>
    </row>
    <row r="46" spans="1:25">
      <c r="Y46" s="28"/>
    </row>
    <row r="47" spans="1:25" ht="13.8" thickBot="1">
      <c r="Y47" s="981"/>
    </row>
    <row r="48" spans="1:25">
      <c r="A48" s="215" t="s">
        <v>742</v>
      </c>
      <c r="B48" s="79"/>
      <c r="C48" s="74"/>
      <c r="D48" s="1053"/>
      <c r="E48" s="1053"/>
      <c r="F48" s="1053"/>
      <c r="G48" s="1053"/>
      <c r="H48" s="1053"/>
      <c r="I48" s="1053"/>
      <c r="J48" s="1053"/>
      <c r="K48" s="1053"/>
      <c r="L48" s="1053"/>
      <c r="M48" s="1053"/>
      <c r="N48" s="1053"/>
      <c r="O48" s="1053"/>
      <c r="P48" s="1053"/>
      <c r="Q48" s="1053"/>
      <c r="R48" s="1053"/>
      <c r="S48" s="1053"/>
      <c r="T48" s="1053"/>
      <c r="U48" s="1053"/>
      <c r="V48" s="1053"/>
      <c r="W48" s="1053"/>
      <c r="X48" s="1053"/>
      <c r="Y48" s="1054"/>
    </row>
    <row r="49" spans="1:25">
      <c r="A49" s="137" t="s">
        <v>1015</v>
      </c>
      <c r="B49" s="32"/>
      <c r="C49" s="8"/>
      <c r="D49" s="53">
        <f ca="1">HLOOKUP(D$7-1,BS_Table,BS_IS!$AE$27)</f>
        <v>6637.9700856495137</v>
      </c>
      <c r="E49" s="53">
        <f ca="1">HLOOKUP(E$7-1,BS_Table,BS_IS!$AE$27)</f>
        <v>29130.512827231709</v>
      </c>
      <c r="F49" s="53">
        <f ca="1">HLOOKUP(F$7-1,BS_Table,BS_IS!$AE$27)</f>
        <v>29130.512827231709</v>
      </c>
      <c r="G49" s="53">
        <f ca="1">HLOOKUP(G$7-1,BS_Table,BS_IS!$AE$27)</f>
        <v>29130.512827231709</v>
      </c>
      <c r="H49" s="53">
        <f ca="1">HLOOKUP(H$7-1,BS_Table,BS_IS!$AE$27)</f>
        <v>29130.512827231709</v>
      </c>
      <c r="I49" s="53">
        <f ca="1">HLOOKUP(I$7-1,BS_Table,BS_IS!$AE$27)</f>
        <v>29130.512827231709</v>
      </c>
      <c r="J49" s="53">
        <f ca="1">HLOOKUP(J$7-1,BS_Table,BS_IS!$AE$27)</f>
        <v>29130.512827231709</v>
      </c>
      <c r="K49" s="53">
        <f ca="1">HLOOKUP(K$7-1,BS_Table,BS_IS!$AE$27)</f>
        <v>29130.512827231709</v>
      </c>
      <c r="L49" s="53">
        <f ca="1">HLOOKUP(L$7-1,BS_Table,BS_IS!$AE$27)</f>
        <v>29130.512827231709</v>
      </c>
      <c r="M49" s="53">
        <f ca="1">HLOOKUP(M$7-1,BS_Table,BS_IS!$AE$27)</f>
        <v>29130.512827231709</v>
      </c>
      <c r="N49" s="53">
        <f ca="1">HLOOKUP(N$7-1,BS_Table,BS_IS!$AE$27)</f>
        <v>29130.512827231709</v>
      </c>
      <c r="O49" s="53">
        <f ca="1">HLOOKUP(O$7-1,BS_Table,BS_IS!$AE$27)</f>
        <v>29130.512827231709</v>
      </c>
      <c r="P49" s="53">
        <f ca="1">HLOOKUP(P$7-1,BS_Table,BS_IS!$AE$27)</f>
        <v>29130.512827231709</v>
      </c>
      <c r="Q49" s="53">
        <f ca="1">HLOOKUP(Q$7-1,BS_Table,BS_IS!$AE$27)</f>
        <v>29130.512827231709</v>
      </c>
      <c r="R49" s="53">
        <f ca="1">HLOOKUP(R$7-1,BS_Table,BS_IS!$AE$27)</f>
        <v>29130.512827231709</v>
      </c>
      <c r="S49" s="53">
        <f ca="1">HLOOKUP(S$7-1,BS_Table,BS_IS!$AE$27)</f>
        <v>29130.512827231709</v>
      </c>
      <c r="T49" s="53">
        <f ca="1">HLOOKUP(T$7-1,BS_Table,BS_IS!$AE$27)</f>
        <v>29130.512827231709</v>
      </c>
      <c r="U49" s="53">
        <f ca="1">HLOOKUP(U$7-1,BS_Table,BS_IS!$AE$27)</f>
        <v>29130.512827231709</v>
      </c>
      <c r="V49" s="53">
        <f ca="1">HLOOKUP(V$7-1,BS_Table,BS_IS!$AE$27)</f>
        <v>29130.512827231709</v>
      </c>
      <c r="W49" s="53">
        <f ca="1">HLOOKUP(W$7-1,BS_Table,BS_IS!$AE$27)</f>
        <v>29130.512827231709</v>
      </c>
      <c r="X49" s="53">
        <f ca="1">HLOOKUP(X$7-1,BS_Table,BS_IS!$AE$27)</f>
        <v>29130.512827231709</v>
      </c>
      <c r="Y49" s="423"/>
    </row>
    <row r="50" spans="1:25">
      <c r="A50" s="137" t="s">
        <v>1012</v>
      </c>
      <c r="B50" s="32"/>
      <c r="C50" s="8"/>
      <c r="D50" s="53">
        <f ca="1">HLOOKUP(D$7-1,BS_Table,BS_IS!$AE$29)</f>
        <v>0</v>
      </c>
      <c r="E50" s="53">
        <f ca="1">HLOOKUP(E$7-1,BS_Table,BS_IS!$AE$29)</f>
        <v>0</v>
      </c>
      <c r="F50" s="53">
        <f ca="1">HLOOKUP(F$7-1,BS_Table,BS_IS!$AE$29)</f>
        <v>0</v>
      </c>
      <c r="G50" s="53">
        <f ca="1">HLOOKUP(G$7-1,BS_Table,BS_IS!$AE$29)</f>
        <v>-4849.9561814426543</v>
      </c>
      <c r="H50" s="53">
        <f ca="1">HLOOKUP(H$7-1,BS_Table,BS_IS!$AE$29)</f>
        <v>-14162.239911548757</v>
      </c>
      <c r="I50" s="53">
        <f ca="1">HLOOKUP(I$7-1,BS_Table,BS_IS!$AE$29)</f>
        <v>-23648.138746158649</v>
      </c>
      <c r="J50" s="53">
        <f ca="1">HLOOKUP(J$7-1,BS_Table,BS_IS!$AE$29)</f>
        <v>-28255.533945395466</v>
      </c>
      <c r="K50" s="53">
        <f ca="1">HLOOKUP(K$7-1,BS_Table,BS_IS!$AE$29)</f>
        <v>-31605.077692062107</v>
      </c>
      <c r="L50" s="53">
        <f ca="1">HLOOKUP(L$7-1,BS_Table,BS_IS!$AE$29)</f>
        <v>-33959.266201580402</v>
      </c>
      <c r="M50" s="53">
        <f ca="1">HLOOKUP(M$7-1,BS_Table,BS_IS!$AE$29)</f>
        <v>-35152.762708259448</v>
      </c>
      <c r="N50" s="53">
        <f ca="1">HLOOKUP(N$7-1,BS_Table,BS_IS!$AE$29)</f>
        <v>-34915.120904939722</v>
      </c>
      <c r="O50" s="53">
        <f ca="1">HLOOKUP(O$7-1,BS_Table,BS_IS!$AE$29)</f>
        <v>-33771.458551234042</v>
      </c>
      <c r="P50" s="53">
        <f ca="1">HLOOKUP(P$7-1,BS_Table,BS_IS!$AE$29)</f>
        <v>-31732.470486870181</v>
      </c>
      <c r="Q50" s="53">
        <f ca="1">HLOOKUP(Q$7-1,BS_Table,BS_IS!$AE$29)</f>
        <v>-28795.78312120886</v>
      </c>
      <c r="R50" s="53">
        <f ca="1">HLOOKUP(R$7-1,BS_Table,BS_IS!$AE$29)</f>
        <v>-24704.046001368231</v>
      </c>
      <c r="S50" s="53">
        <f ca="1">HLOOKUP(S$7-1,BS_Table,BS_IS!$AE$29)</f>
        <v>-20848.819137812738</v>
      </c>
      <c r="T50" s="53">
        <f ca="1">HLOOKUP(T$7-1,BS_Table,BS_IS!$AE$29)</f>
        <v>-15424.111625560421</v>
      </c>
      <c r="U50" s="53">
        <f ca="1">HLOOKUP(U$7-1,BS_Table,BS_IS!$AE$29)</f>
        <v>-9172.2756799969939</v>
      </c>
      <c r="V50" s="53">
        <f ca="1">HLOOKUP(V$7-1,BS_Table,BS_IS!$AE$29)</f>
        <v>-2465.9983981489049</v>
      </c>
      <c r="W50" s="53">
        <f ca="1">HLOOKUP(W$7-1,BS_Table,BS_IS!$AE$29)</f>
        <v>4150.3597015779087</v>
      </c>
      <c r="X50" s="53">
        <f ca="1">HLOOKUP(X$7-1,BS_Table,BS_IS!$AE$29)</f>
        <v>11731.72856710206</v>
      </c>
      <c r="Y50" s="423"/>
    </row>
    <row r="51" spans="1:25">
      <c r="A51" s="137" t="s">
        <v>1013</v>
      </c>
      <c r="B51" s="32"/>
      <c r="C51" s="8"/>
      <c r="D51" s="228">
        <f ca="1">HLOOKUP(D$7-1,BS_Table,BS_IS!$AE$30)</f>
        <v>0</v>
      </c>
      <c r="E51" s="228">
        <f ca="1">HLOOKUP(E$7-1,BS_Table,BS_IS!$AE$30)</f>
        <v>0</v>
      </c>
      <c r="F51" s="228">
        <f ca="1">HLOOKUP(F$7-1,BS_Table,BS_IS!$AE$30)</f>
        <v>0</v>
      </c>
      <c r="G51" s="228">
        <f ca="1">HLOOKUP(G$7-1,BS_Table,BS_IS!$AE$30)</f>
        <v>0</v>
      </c>
      <c r="H51" s="228">
        <f ca="1">HLOOKUP(H$7-1,BS_Table,BS_IS!$AE$30)</f>
        <v>0</v>
      </c>
      <c r="I51" s="228">
        <f ca="1">HLOOKUP(I$7-1,BS_Table,BS_IS!$AE$30)</f>
        <v>0</v>
      </c>
      <c r="J51" s="228">
        <f ca="1">HLOOKUP(J$7-1,BS_Table,BS_IS!$AE$30)</f>
        <v>0</v>
      </c>
      <c r="K51" s="228">
        <f ca="1">HLOOKUP(K$7-1,BS_Table,BS_IS!$AE$30)</f>
        <v>0</v>
      </c>
      <c r="L51" s="228">
        <f ca="1">HLOOKUP(L$7-1,BS_Table,BS_IS!$AE$30)</f>
        <v>0</v>
      </c>
      <c r="M51" s="228">
        <f ca="1">HLOOKUP(M$7-1,BS_Table,BS_IS!$AE$30)</f>
        <v>0</v>
      </c>
      <c r="N51" s="228">
        <f ca="1">HLOOKUP(N$7-1,BS_Table,BS_IS!$AE$30)</f>
        <v>0</v>
      </c>
      <c r="O51" s="228">
        <f ca="1">HLOOKUP(O$7-1,BS_Table,BS_IS!$AE$30)</f>
        <v>-9.0949470177292824E-13</v>
      </c>
      <c r="P51" s="228">
        <f ca="1">HLOOKUP(P$7-1,BS_Table,BS_IS!$AE$30)</f>
        <v>-4.5474735088646412E-13</v>
      </c>
      <c r="Q51" s="228">
        <f ca="1">HLOOKUP(Q$7-1,BS_Table,BS_IS!$AE$30)</f>
        <v>-1.3642420526593924E-12</v>
      </c>
      <c r="R51" s="228">
        <f ca="1">HLOOKUP(R$7-1,BS_Table,BS_IS!$AE$30)</f>
        <v>-2.2737367544323206E-12</v>
      </c>
      <c r="S51" s="228">
        <f ca="1">HLOOKUP(S$7-1,BS_Table,BS_IS!$AE$30)</f>
        <v>-3.1832314562052488E-12</v>
      </c>
      <c r="T51" s="228">
        <f ca="1">HLOOKUP(T$7-1,BS_Table,BS_IS!$AE$30)</f>
        <v>-1.3642420526593924E-12</v>
      </c>
      <c r="U51" s="228">
        <f ca="1">HLOOKUP(U$7-1,BS_Table,BS_IS!$AE$30)</f>
        <v>-1.3642420526593924E-12</v>
      </c>
      <c r="V51" s="228">
        <f ca="1">HLOOKUP(V$7-1,BS_Table,BS_IS!$AE$30)</f>
        <v>-1.3642420526593924E-12</v>
      </c>
      <c r="W51" s="228">
        <f ca="1">HLOOKUP(W$7-1,BS_Table,BS_IS!$AE$30)</f>
        <v>-4150.3597015779178</v>
      </c>
      <c r="X51" s="228">
        <f ca="1">HLOOKUP(X$7-1,BS_Table,BS_IS!$AE$30)</f>
        <v>-11731.728567102069</v>
      </c>
      <c r="Y51" s="423"/>
    </row>
    <row r="52" spans="1:25">
      <c r="A52" s="137" t="s">
        <v>1014</v>
      </c>
      <c r="B52" s="32"/>
      <c r="C52" s="8"/>
      <c r="D52" s="53">
        <f ca="1">SUM(D49:D51)</f>
        <v>6637.9700856495137</v>
      </c>
      <c r="E52" s="53">
        <f t="shared" ref="E52:X52" ca="1" si="15">SUM(E49:E51)</f>
        <v>29130.512827231709</v>
      </c>
      <c r="F52" s="53">
        <f t="shared" ca="1" si="15"/>
        <v>29130.512827231709</v>
      </c>
      <c r="G52" s="53">
        <f t="shared" ca="1" si="15"/>
        <v>24280.556645789053</v>
      </c>
      <c r="H52" s="53">
        <f t="shared" ca="1" si="15"/>
        <v>14968.272915682952</v>
      </c>
      <c r="I52" s="53">
        <f t="shared" ca="1" si="15"/>
        <v>5482.3740810730596</v>
      </c>
      <c r="J52" s="53">
        <f t="shared" ca="1" si="15"/>
        <v>874.97888183624309</v>
      </c>
      <c r="K52" s="53">
        <f t="shared" ca="1" si="15"/>
        <v>-2474.5648648303977</v>
      </c>
      <c r="L52" s="53">
        <f t="shared" ca="1" si="15"/>
        <v>-4828.7533743486929</v>
      </c>
      <c r="M52" s="53">
        <f t="shared" ca="1" si="15"/>
        <v>-6022.2498810277393</v>
      </c>
      <c r="N52" s="53">
        <f t="shared" ca="1" si="15"/>
        <v>-5784.6080777080133</v>
      </c>
      <c r="O52" s="53">
        <f t="shared" ca="1" si="15"/>
        <v>-4640.9457240023339</v>
      </c>
      <c r="P52" s="53">
        <f t="shared" ca="1" si="15"/>
        <v>-2601.9576596384727</v>
      </c>
      <c r="Q52" s="53">
        <f t="shared" ca="1" si="15"/>
        <v>334.72970602284704</v>
      </c>
      <c r="R52" s="53">
        <f t="shared" ca="1" si="15"/>
        <v>4426.4668258634756</v>
      </c>
      <c r="S52" s="53">
        <f t="shared" ca="1" si="15"/>
        <v>8281.6936894189676</v>
      </c>
      <c r="T52" s="53">
        <f t="shared" ca="1" si="15"/>
        <v>13706.401201671286</v>
      </c>
      <c r="U52" s="53">
        <f t="shared" ca="1" si="15"/>
        <v>19958.237147234715</v>
      </c>
      <c r="V52" s="53">
        <f t="shared" ca="1" si="15"/>
        <v>26664.514429082803</v>
      </c>
      <c r="W52" s="53">
        <f t="shared" ca="1" si="15"/>
        <v>29130.512827231702</v>
      </c>
      <c r="X52" s="53">
        <f t="shared" ca="1" si="15"/>
        <v>29130.512827231698</v>
      </c>
      <c r="Y52" s="423"/>
    </row>
    <row r="53" spans="1:25">
      <c r="A53" s="137" t="s">
        <v>478</v>
      </c>
      <c r="B53" s="32"/>
      <c r="C53" s="8"/>
      <c r="D53" s="36">
        <f>Assm!$I$65</f>
        <v>0.1</v>
      </c>
      <c r="E53" s="36">
        <f>Assm!$I$65</f>
        <v>0.1</v>
      </c>
      <c r="F53" s="36">
        <f>Assm!$I$65</f>
        <v>0.1</v>
      </c>
      <c r="G53" s="36">
        <f>Assm!$I$65</f>
        <v>0.1</v>
      </c>
      <c r="H53" s="36">
        <f>Assm!$I$65</f>
        <v>0.1</v>
      </c>
      <c r="I53" s="36">
        <f>Assm!$I$65</f>
        <v>0.1</v>
      </c>
      <c r="J53" s="36">
        <f>Assm!$I$65</f>
        <v>0.1</v>
      </c>
      <c r="K53" s="36">
        <f>Assm!$I$65</f>
        <v>0.1</v>
      </c>
      <c r="L53" s="36">
        <f>Assm!$I$65</f>
        <v>0.1</v>
      </c>
      <c r="M53" s="36">
        <f>Assm!$I$65</f>
        <v>0.1</v>
      </c>
      <c r="N53" s="36">
        <f>Assm!$I$65</f>
        <v>0.1</v>
      </c>
      <c r="O53" s="36">
        <f>Assm!$I$65</f>
        <v>0.1</v>
      </c>
      <c r="P53" s="36">
        <f>Assm!$I$65</f>
        <v>0.1</v>
      </c>
      <c r="Q53" s="36">
        <f>Assm!$I$65</f>
        <v>0.1</v>
      </c>
      <c r="R53" s="36">
        <f>Assm!$I$65</f>
        <v>0.1</v>
      </c>
      <c r="S53" s="36">
        <f>Assm!$I$65</f>
        <v>0.1</v>
      </c>
      <c r="T53" s="36">
        <f>Assm!$I$65</f>
        <v>0.1</v>
      </c>
      <c r="U53" s="36">
        <f>Assm!$I$65</f>
        <v>0.1</v>
      </c>
      <c r="V53" s="36">
        <f>Assm!$I$65</f>
        <v>0.1</v>
      </c>
      <c r="W53" s="36">
        <f>Assm!$I$65</f>
        <v>0.1</v>
      </c>
      <c r="X53" s="36">
        <f>Assm!$I$65</f>
        <v>0.1</v>
      </c>
      <c r="Y53" s="451"/>
    </row>
    <row r="54" spans="1:25">
      <c r="A54" s="137" t="s">
        <v>479</v>
      </c>
      <c r="B54" s="278" t="s">
        <v>187</v>
      </c>
      <c r="C54" s="8"/>
      <c r="D54" s="53">
        <f ca="1">D52*D53/D8*D9</f>
        <v>0</v>
      </c>
      <c r="E54" s="53">
        <f t="shared" ref="E54:X54" ca="1" si="16">E52*E53/E8*E9</f>
        <v>0</v>
      </c>
      <c r="F54" s="53">
        <f t="shared" ca="1" si="16"/>
        <v>2427.5427356026426</v>
      </c>
      <c r="G54" s="53">
        <f t="shared" ca="1" si="16"/>
        <v>2428.0556645789052</v>
      </c>
      <c r="H54" s="53">
        <f t="shared" ca="1" si="16"/>
        <v>1496.8272915682953</v>
      </c>
      <c r="I54" s="53">
        <f t="shared" ca="1" si="16"/>
        <v>548.23740810730601</v>
      </c>
      <c r="J54" s="53">
        <f t="shared" ca="1" si="16"/>
        <v>87.497888183624312</v>
      </c>
      <c r="K54" s="53">
        <f t="shared" ca="1" si="16"/>
        <v>-247.45648648303978</v>
      </c>
      <c r="L54" s="53">
        <f t="shared" ca="1" si="16"/>
        <v>-482.87533743486932</v>
      </c>
      <c r="M54" s="53">
        <f t="shared" ca="1" si="16"/>
        <v>-602.22498810277398</v>
      </c>
      <c r="N54" s="53">
        <f t="shared" ca="1" si="16"/>
        <v>-578.46080777080135</v>
      </c>
      <c r="O54" s="53">
        <f t="shared" ca="1" si="16"/>
        <v>-464.09457240023346</v>
      </c>
      <c r="P54" s="53">
        <f t="shared" ca="1" si="16"/>
        <v>-260.19576596384729</v>
      </c>
      <c r="Q54" s="53">
        <f t="shared" ca="1" si="16"/>
        <v>33.472970602284704</v>
      </c>
      <c r="R54" s="53">
        <f t="shared" ca="1" si="16"/>
        <v>442.64668258634765</v>
      </c>
      <c r="S54" s="53">
        <f t="shared" ca="1" si="16"/>
        <v>828.16936894189689</v>
      </c>
      <c r="T54" s="53">
        <f t="shared" ca="1" si="16"/>
        <v>1370.6401201671288</v>
      </c>
      <c r="U54" s="53">
        <f t="shared" ca="1" si="16"/>
        <v>1995.8237147234718</v>
      </c>
      <c r="V54" s="53">
        <f t="shared" ca="1" si="16"/>
        <v>2666.4514429082806</v>
      </c>
      <c r="W54" s="53">
        <f t="shared" ca="1" si="16"/>
        <v>2913.0512827231705</v>
      </c>
      <c r="X54" s="53">
        <f t="shared" ca="1" si="16"/>
        <v>971.01709424105672</v>
      </c>
      <c r="Y54" s="423">
        <f ca="1">SUM(D54:X54)</f>
        <v>15574.125706778847</v>
      </c>
    </row>
    <row r="55" spans="1:25">
      <c r="A55" s="13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19"/>
    </row>
    <row r="56" spans="1:25">
      <c r="A56" s="137" t="s">
        <v>1016</v>
      </c>
      <c r="B56" s="32"/>
      <c r="C56" s="1059" t="s">
        <v>1029</v>
      </c>
      <c r="D56" s="53">
        <f>Trapped!E14</f>
        <v>0</v>
      </c>
      <c r="E56" s="53">
        <f ca="1">Trapped!F14</f>
        <v>0</v>
      </c>
      <c r="F56" s="53">
        <f ca="1">Trapped!G14</f>
        <v>0</v>
      </c>
      <c r="G56" s="53">
        <f ca="1">Trapped!H14</f>
        <v>-4849.9561814426543</v>
      </c>
      <c r="H56" s="53">
        <f ca="1">Trapped!I14</f>
        <v>-14162.239911548757</v>
      </c>
      <c r="I56" s="53">
        <f ca="1">Trapped!J14</f>
        <v>-23648.138746158649</v>
      </c>
      <c r="J56" s="53">
        <f ca="1">Trapped!K14</f>
        <v>-28255.533945395466</v>
      </c>
      <c r="K56" s="53">
        <f ca="1">Trapped!L14</f>
        <v>-31605.077692062103</v>
      </c>
      <c r="L56" s="53">
        <f ca="1">Trapped!M14</f>
        <v>-33959.266201580394</v>
      </c>
      <c r="M56" s="53">
        <f ca="1">Trapped!N14</f>
        <v>-35152.762708259441</v>
      </c>
      <c r="N56" s="53">
        <f ca="1">Trapped!O14</f>
        <v>-34915.120904939715</v>
      </c>
      <c r="O56" s="53">
        <f ca="1">Trapped!P14</f>
        <v>-33771.458551234035</v>
      </c>
      <c r="P56" s="53">
        <f ca="1">Trapped!Q14</f>
        <v>-31732.470486870174</v>
      </c>
      <c r="Q56" s="53">
        <f ca="1">Trapped!R14</f>
        <v>-28795.783121208853</v>
      </c>
      <c r="R56" s="53">
        <f ca="1">Trapped!S14</f>
        <v>-24704.046001368224</v>
      </c>
      <c r="S56" s="53">
        <f ca="1">Trapped!T14</f>
        <v>-20848.81913781273</v>
      </c>
      <c r="T56" s="53">
        <f ca="1">Trapped!U14</f>
        <v>-15424.111625560414</v>
      </c>
      <c r="U56" s="53">
        <f ca="1">Trapped!V14</f>
        <v>-9172.2756799969866</v>
      </c>
      <c r="V56" s="53">
        <f ca="1">Trapped!W14</f>
        <v>-2465.9983981488976</v>
      </c>
      <c r="W56" s="53">
        <f ca="1">Trapped!X14</f>
        <v>4150.359701577916</v>
      </c>
      <c r="X56" s="53">
        <f ca="1">Trapped!Y14</f>
        <v>7581.3688655241513</v>
      </c>
      <c r="Y56" s="423">
        <f ca="1">SUM(D56:X56)</f>
        <v>-361731.33072648535</v>
      </c>
    </row>
    <row r="57" spans="1:25">
      <c r="A57" s="137" t="s">
        <v>1027</v>
      </c>
      <c r="B57" s="32"/>
      <c r="C57" s="1059" t="s">
        <v>1028</v>
      </c>
      <c r="D57" s="53">
        <f ca="1">CF!E51</f>
        <v>0</v>
      </c>
      <c r="E57" s="53">
        <f ca="1">CF!F51</f>
        <v>0</v>
      </c>
      <c r="F57" s="53">
        <f ca="1">CF!G51</f>
        <v>-4849.9561814426543</v>
      </c>
      <c r="G57" s="53">
        <f ca="1">CF!H51</f>
        <v>-9312.2837301061027</v>
      </c>
      <c r="H57" s="53">
        <f ca="1">CF!I51</f>
        <v>-9485.8988346098904</v>
      </c>
      <c r="I57" s="53">
        <f ca="1">CF!J51</f>
        <v>-4607.3951992368184</v>
      </c>
      <c r="J57" s="53">
        <f ca="1">CF!K51</f>
        <v>-3349.5437466666385</v>
      </c>
      <c r="K57" s="53">
        <f ca="1">CF!L51</f>
        <v>-2354.1885095182952</v>
      </c>
      <c r="L57" s="53">
        <f ca="1">CF!M51</f>
        <v>-1067.1137714144211</v>
      </c>
      <c r="M57" s="53">
        <f ca="1">CF!N51</f>
        <v>60.316137804081563</v>
      </c>
      <c r="N57" s="53">
        <f ca="1">CF!O51</f>
        <v>1291.8395483463783</v>
      </c>
      <c r="O57" s="53">
        <f ca="1">CF!P51</f>
        <v>2339.2827135845141</v>
      </c>
      <c r="P57" s="53">
        <f ca="1">CF!Q51</f>
        <v>3708.7015357433966</v>
      </c>
      <c r="Q57" s="53">
        <f ca="1">CF!R51</f>
        <v>5245.1292370969059</v>
      </c>
      <c r="R57" s="53">
        <f ca="1">CF!S51</f>
        <v>5408.5872160044255</v>
      </c>
      <c r="S57" s="53">
        <f ca="1">CF!T51</f>
        <v>7871.1546525232989</v>
      </c>
      <c r="T57" s="53">
        <f ca="1">CF!U51</f>
        <v>9453.107418224914</v>
      </c>
      <c r="U57" s="53">
        <f ca="1">CF!V51</f>
        <v>10705.34966097818</v>
      </c>
      <c r="V57" s="53">
        <f ca="1">CF!W51</f>
        <v>11800.84673361382</v>
      </c>
      <c r="W57" s="53">
        <f ca="1">CF!X51</f>
        <v>12770.820964540857</v>
      </c>
      <c r="X57" s="53">
        <f ca="1">CF!Y51</f>
        <v>4296.1044212444249</v>
      </c>
      <c r="Y57" s="423">
        <f ca="1">SUM(D57:X57)</f>
        <v>39924.860266710377</v>
      </c>
    </row>
    <row r="58" spans="1:25">
      <c r="A58" s="13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19"/>
    </row>
    <row r="59" spans="1:25">
      <c r="A59" s="137" t="s">
        <v>1030</v>
      </c>
      <c r="B59" s="32"/>
      <c r="C59" s="8"/>
      <c r="D59" s="53">
        <f ca="1">MAX(D56,D57)</f>
        <v>0</v>
      </c>
      <c r="E59" s="53">
        <f t="shared" ref="E59:X59" ca="1" si="17">MAX(E56,E57)</f>
        <v>0</v>
      </c>
      <c r="F59" s="53">
        <f t="shared" ca="1" si="17"/>
        <v>0</v>
      </c>
      <c r="G59" s="53">
        <f t="shared" ca="1" si="17"/>
        <v>-4849.9561814426543</v>
      </c>
      <c r="H59" s="53">
        <f t="shared" ca="1" si="17"/>
        <v>-9485.8988346098904</v>
      </c>
      <c r="I59" s="53">
        <f t="shared" ca="1" si="17"/>
        <v>-4607.3951992368184</v>
      </c>
      <c r="J59" s="53">
        <f t="shared" ca="1" si="17"/>
        <v>-3349.5437466666385</v>
      </c>
      <c r="K59" s="53">
        <f t="shared" ca="1" si="17"/>
        <v>-2354.1885095182952</v>
      </c>
      <c r="L59" s="53">
        <f t="shared" ca="1" si="17"/>
        <v>-1067.1137714144211</v>
      </c>
      <c r="M59" s="53">
        <f t="shared" ca="1" si="17"/>
        <v>60.316137804081563</v>
      </c>
      <c r="N59" s="53">
        <f t="shared" ca="1" si="17"/>
        <v>1291.8395483463783</v>
      </c>
      <c r="O59" s="53">
        <f t="shared" ca="1" si="17"/>
        <v>2339.2827135845141</v>
      </c>
      <c r="P59" s="53">
        <f t="shared" ca="1" si="17"/>
        <v>3708.7015357433966</v>
      </c>
      <c r="Q59" s="53">
        <f t="shared" ca="1" si="17"/>
        <v>5245.1292370969059</v>
      </c>
      <c r="R59" s="53">
        <f t="shared" ca="1" si="17"/>
        <v>5408.5872160044255</v>
      </c>
      <c r="S59" s="53">
        <f t="shared" ca="1" si="17"/>
        <v>7871.1546525232989</v>
      </c>
      <c r="T59" s="53">
        <f t="shared" ca="1" si="17"/>
        <v>9453.107418224914</v>
      </c>
      <c r="U59" s="53">
        <f t="shared" ca="1" si="17"/>
        <v>10705.34966097818</v>
      </c>
      <c r="V59" s="53">
        <f t="shared" ca="1" si="17"/>
        <v>11800.84673361382</v>
      </c>
      <c r="W59" s="53">
        <f t="shared" ca="1" si="17"/>
        <v>12770.820964540857</v>
      </c>
      <c r="X59" s="53">
        <f t="shared" ca="1" si="17"/>
        <v>7581.3688655241513</v>
      </c>
      <c r="Y59" s="423">
        <f ca="1">SUM(D59:X59)</f>
        <v>52522.408441096202</v>
      </c>
    </row>
    <row r="60" spans="1:25">
      <c r="A60" s="137" t="s">
        <v>480</v>
      </c>
      <c r="B60" s="32"/>
      <c r="C60" s="8"/>
      <c r="D60" s="36">
        <f>Assm!$I$64</f>
        <v>0.5</v>
      </c>
      <c r="E60" s="36">
        <f>Assm!$I$64</f>
        <v>0.5</v>
      </c>
      <c r="F60" s="36">
        <f>Assm!$I$64</f>
        <v>0.5</v>
      </c>
      <c r="G60" s="36">
        <f>Assm!$I$64</f>
        <v>0.5</v>
      </c>
      <c r="H60" s="36">
        <f>Assm!$I$64</f>
        <v>0.5</v>
      </c>
      <c r="I60" s="36">
        <f>Assm!$I$64</f>
        <v>0.5</v>
      </c>
      <c r="J60" s="36">
        <f>Assm!$I$64</f>
        <v>0.5</v>
      </c>
      <c r="K60" s="36">
        <f>Assm!$I$64</f>
        <v>0.5</v>
      </c>
      <c r="L60" s="36">
        <f>Assm!$I$64</f>
        <v>0.5</v>
      </c>
      <c r="M60" s="36">
        <f>Assm!$I$64</f>
        <v>0.5</v>
      </c>
      <c r="N60" s="36">
        <f>Assm!$I$64</f>
        <v>0.5</v>
      </c>
      <c r="O60" s="36">
        <f>Assm!$I$64</f>
        <v>0.5</v>
      </c>
      <c r="P60" s="36">
        <f>Assm!$I$64</f>
        <v>0.5</v>
      </c>
      <c r="Q60" s="36">
        <f>Assm!$I$64</f>
        <v>0.5</v>
      </c>
      <c r="R60" s="36">
        <f>Assm!$I$64</f>
        <v>0.5</v>
      </c>
      <c r="S60" s="36">
        <f>Assm!$I$64</f>
        <v>0.5</v>
      </c>
      <c r="T60" s="36">
        <f>Assm!$I$64</f>
        <v>0.5</v>
      </c>
      <c r="U60" s="36">
        <f>Assm!$I$64</f>
        <v>0.5</v>
      </c>
      <c r="V60" s="36">
        <f>Assm!$I$64</f>
        <v>0.5</v>
      </c>
      <c r="W60" s="36">
        <f>Assm!$I$64</f>
        <v>0.5</v>
      </c>
      <c r="X60" s="36">
        <f>Assm!$I$64</f>
        <v>0.5</v>
      </c>
      <c r="Y60" s="451"/>
    </row>
    <row r="61" spans="1:25">
      <c r="A61" s="137" t="s">
        <v>481</v>
      </c>
      <c r="B61" s="278" t="s">
        <v>482</v>
      </c>
      <c r="C61" s="8"/>
      <c r="D61" s="53">
        <f t="shared" ref="D61:X61" ca="1" si="18">D59*D60</f>
        <v>0</v>
      </c>
      <c r="E61" s="53">
        <f t="shared" ca="1" si="18"/>
        <v>0</v>
      </c>
      <c r="F61" s="53">
        <f t="shared" ca="1" si="18"/>
        <v>0</v>
      </c>
      <c r="G61" s="53">
        <f t="shared" ca="1" si="18"/>
        <v>-2424.9780907213271</v>
      </c>
      <c r="H61" s="53">
        <f t="shared" ca="1" si="18"/>
        <v>-4742.9494173049452</v>
      </c>
      <c r="I61" s="53">
        <f t="shared" ca="1" si="18"/>
        <v>-2303.6975996184092</v>
      </c>
      <c r="J61" s="53">
        <f t="shared" ca="1" si="18"/>
        <v>-1674.7718733333193</v>
      </c>
      <c r="K61" s="53">
        <f t="shared" ca="1" si="18"/>
        <v>-1177.0942547591476</v>
      </c>
      <c r="L61" s="53">
        <f t="shared" ca="1" si="18"/>
        <v>-533.55688570721054</v>
      </c>
      <c r="M61" s="53">
        <f t="shared" ca="1" si="18"/>
        <v>30.158068902040782</v>
      </c>
      <c r="N61" s="53">
        <f t="shared" ca="1" si="18"/>
        <v>645.91977417318913</v>
      </c>
      <c r="O61" s="53">
        <f t="shared" ca="1" si="18"/>
        <v>1169.6413567922571</v>
      </c>
      <c r="P61" s="53">
        <f t="shared" ca="1" si="18"/>
        <v>1854.3507678716983</v>
      </c>
      <c r="Q61" s="53">
        <f t="shared" ca="1" si="18"/>
        <v>2622.5646185484529</v>
      </c>
      <c r="R61" s="53">
        <f t="shared" ca="1" si="18"/>
        <v>2704.2936080022127</v>
      </c>
      <c r="S61" s="53">
        <f t="shared" ca="1" si="18"/>
        <v>3935.5773262616494</v>
      </c>
      <c r="T61" s="53">
        <f t="shared" ca="1" si="18"/>
        <v>4726.553709112457</v>
      </c>
      <c r="U61" s="53">
        <f t="shared" ca="1" si="18"/>
        <v>5352.6748304890898</v>
      </c>
      <c r="V61" s="53">
        <f t="shared" ca="1" si="18"/>
        <v>5900.4233668069101</v>
      </c>
      <c r="W61" s="53">
        <f t="shared" ca="1" si="18"/>
        <v>6385.4104822704285</v>
      </c>
      <c r="X61" s="53">
        <f t="shared" ca="1" si="18"/>
        <v>3790.6844327620756</v>
      </c>
      <c r="Y61" s="423">
        <f ca="1">SUM(D61:X61)</f>
        <v>26261.204220548101</v>
      </c>
    </row>
    <row r="62" spans="1:25">
      <c r="A62" s="13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19"/>
    </row>
    <row r="63" spans="1:25" ht="13.8" thickBot="1">
      <c r="A63" s="139" t="s">
        <v>483</v>
      </c>
      <c r="B63" s="557" t="s">
        <v>518</v>
      </c>
      <c r="C63" s="77"/>
      <c r="D63" s="397">
        <f t="shared" ref="D63:X63" ca="1" si="19">IF(D61&lt;D54,MAX(D61,0),D54)</f>
        <v>0</v>
      </c>
      <c r="E63" s="397">
        <f t="shared" ca="1" si="19"/>
        <v>0</v>
      </c>
      <c r="F63" s="397">
        <f t="shared" ca="1" si="19"/>
        <v>0</v>
      </c>
      <c r="G63" s="397">
        <f t="shared" ca="1" si="19"/>
        <v>0</v>
      </c>
      <c r="H63" s="397">
        <f t="shared" ca="1" si="19"/>
        <v>0</v>
      </c>
      <c r="I63" s="397">
        <f t="shared" ca="1" si="19"/>
        <v>0</v>
      </c>
      <c r="J63" s="397">
        <f t="shared" ca="1" si="19"/>
        <v>0</v>
      </c>
      <c r="K63" s="397">
        <f t="shared" ca="1" si="19"/>
        <v>0</v>
      </c>
      <c r="L63" s="397">
        <f t="shared" ca="1" si="19"/>
        <v>0</v>
      </c>
      <c r="M63" s="397">
        <f t="shared" ca="1" si="19"/>
        <v>-602.22498810277398</v>
      </c>
      <c r="N63" s="397">
        <f t="shared" ca="1" si="19"/>
        <v>-578.46080777080135</v>
      </c>
      <c r="O63" s="397">
        <f t="shared" ca="1" si="19"/>
        <v>-464.09457240023346</v>
      </c>
      <c r="P63" s="397">
        <f t="shared" ca="1" si="19"/>
        <v>-260.19576596384729</v>
      </c>
      <c r="Q63" s="397">
        <f t="shared" ca="1" si="19"/>
        <v>33.472970602284704</v>
      </c>
      <c r="R63" s="397">
        <f t="shared" ca="1" si="19"/>
        <v>442.64668258634765</v>
      </c>
      <c r="S63" s="397">
        <f t="shared" ca="1" si="19"/>
        <v>828.16936894189689</v>
      </c>
      <c r="T63" s="397">
        <f t="shared" ca="1" si="19"/>
        <v>1370.6401201671288</v>
      </c>
      <c r="U63" s="397">
        <f t="shared" ca="1" si="19"/>
        <v>1995.8237147234718</v>
      </c>
      <c r="V63" s="397">
        <f t="shared" ca="1" si="19"/>
        <v>2666.4514429082806</v>
      </c>
      <c r="W63" s="397">
        <f t="shared" ca="1" si="19"/>
        <v>2913.0512827231705</v>
      </c>
      <c r="X63" s="397">
        <f t="shared" ca="1" si="19"/>
        <v>971.01709424105672</v>
      </c>
      <c r="Y63" s="555">
        <f ca="1">SUM(D63:X63)</f>
        <v>9316.2965426559804</v>
      </c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90"/>
  <sheetViews>
    <sheetView showGridLines="0" zoomScale="90" zoomScaleNormal="90" workbookViewId="0"/>
  </sheetViews>
  <sheetFormatPr defaultColWidth="9.109375" defaultRowHeight="13.2"/>
  <cols>
    <col min="1" max="1" width="30.6640625" style="8" customWidth="1"/>
    <col min="2" max="2" width="18.6640625" style="5" customWidth="1"/>
    <col min="3" max="3" width="3.6640625" style="5" customWidth="1"/>
    <col min="4" max="24" width="10.6640625" style="5" customWidth="1"/>
    <col min="25" max="25" width="10.6640625" style="8" customWidth="1"/>
    <col min="26" max="16384" width="9.109375" style="5"/>
  </cols>
  <sheetData>
    <row r="1" spans="1:27" s="242" customFormat="1" ht="15.6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79"/>
    </row>
    <row r="2" spans="1:27" s="242" customFormat="1" ht="15.6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79"/>
    </row>
    <row r="3" spans="1:27" s="242" customFormat="1" ht="1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8"/>
      <c r="W3" s="288"/>
      <c r="X3" s="288"/>
      <c r="Y3" s="279"/>
    </row>
    <row r="4" spans="1:27" s="242" customFormat="1" ht="15">
      <c r="A4" s="818" t="s">
        <v>1006</v>
      </c>
      <c r="B4" s="133"/>
      <c r="C4" s="132"/>
      <c r="D4" s="24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79"/>
    </row>
    <row r="5" spans="1:27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AA5" s="1044" t="s">
        <v>951</v>
      </c>
    </row>
    <row r="6" spans="1:27" s="8" customFormat="1">
      <c r="A6" s="400" t="s">
        <v>184</v>
      </c>
      <c r="B6" s="74"/>
      <c r="C6" s="74"/>
      <c r="D6" s="487">
        <f>CF!E6</f>
        <v>1</v>
      </c>
      <c r="E6" s="487">
        <f>CF!F6</f>
        <v>2</v>
      </c>
      <c r="F6" s="487">
        <f>CF!G6</f>
        <v>3</v>
      </c>
      <c r="G6" s="487">
        <f>CF!H6</f>
        <v>4</v>
      </c>
      <c r="H6" s="487">
        <f>CF!I6</f>
        <v>5</v>
      </c>
      <c r="I6" s="487">
        <f>CF!J6</f>
        <v>6</v>
      </c>
      <c r="J6" s="487">
        <f>CF!K6</f>
        <v>7</v>
      </c>
      <c r="K6" s="487">
        <f>CF!L6</f>
        <v>8</v>
      </c>
      <c r="L6" s="487">
        <f>CF!M6</f>
        <v>9</v>
      </c>
      <c r="M6" s="487">
        <f>CF!N6</f>
        <v>10</v>
      </c>
      <c r="N6" s="487">
        <f>CF!O6</f>
        <v>11</v>
      </c>
      <c r="O6" s="487">
        <f>CF!P6</f>
        <v>12</v>
      </c>
      <c r="P6" s="487">
        <f>CF!Q6</f>
        <v>13</v>
      </c>
      <c r="Q6" s="487">
        <f>CF!R6</f>
        <v>14</v>
      </c>
      <c r="R6" s="487">
        <f>CF!S6</f>
        <v>15</v>
      </c>
      <c r="S6" s="487">
        <f>CF!T6</f>
        <v>16</v>
      </c>
      <c r="T6" s="487">
        <f>CF!U6</f>
        <v>17</v>
      </c>
      <c r="U6" s="487">
        <f>CF!V6</f>
        <v>18</v>
      </c>
      <c r="V6" s="487">
        <f>CF!W6</f>
        <v>19</v>
      </c>
      <c r="W6" s="487">
        <f>CF!X6</f>
        <v>20</v>
      </c>
      <c r="X6" s="487">
        <f>CF!Y6</f>
        <v>21</v>
      </c>
      <c r="Y6" s="416"/>
      <c r="AA6" s="45" t="s">
        <v>958</v>
      </c>
    </row>
    <row r="7" spans="1:27" s="8" customFormat="1" ht="13.8" thickBot="1">
      <c r="A7" s="76" t="s">
        <v>185</v>
      </c>
      <c r="B7" s="77"/>
      <c r="C7" s="77"/>
      <c r="D7" s="264">
        <f>CF!E7</f>
        <v>1999</v>
      </c>
      <c r="E7" s="264">
        <f>CF!F7</f>
        <v>2000</v>
      </c>
      <c r="F7" s="264">
        <f>CF!G7</f>
        <v>2001</v>
      </c>
      <c r="G7" s="264">
        <f>CF!H7</f>
        <v>2002</v>
      </c>
      <c r="H7" s="264">
        <f>CF!I7</f>
        <v>2003</v>
      </c>
      <c r="I7" s="264">
        <f>CF!J7</f>
        <v>2004</v>
      </c>
      <c r="J7" s="264">
        <f>CF!K7</f>
        <v>2005</v>
      </c>
      <c r="K7" s="264">
        <f>CF!L7</f>
        <v>2006</v>
      </c>
      <c r="L7" s="264">
        <f>CF!M7</f>
        <v>2007</v>
      </c>
      <c r="M7" s="264">
        <f>CF!N7</f>
        <v>2008</v>
      </c>
      <c r="N7" s="264">
        <f>CF!O7</f>
        <v>2009</v>
      </c>
      <c r="O7" s="264">
        <f>CF!P7</f>
        <v>2010</v>
      </c>
      <c r="P7" s="264">
        <f>CF!Q7</f>
        <v>2011</v>
      </c>
      <c r="Q7" s="264">
        <f>CF!R7</f>
        <v>2012</v>
      </c>
      <c r="R7" s="264">
        <f>CF!S7</f>
        <v>2013</v>
      </c>
      <c r="S7" s="264">
        <f>CF!T7</f>
        <v>2014</v>
      </c>
      <c r="T7" s="264">
        <f>CF!U7</f>
        <v>2015</v>
      </c>
      <c r="U7" s="264">
        <f>CF!V7</f>
        <v>2016</v>
      </c>
      <c r="V7" s="264">
        <f>CF!W7</f>
        <v>2017</v>
      </c>
      <c r="W7" s="264">
        <f>CF!X7</f>
        <v>2018</v>
      </c>
      <c r="X7" s="264">
        <f>CF!Y7</f>
        <v>2019</v>
      </c>
      <c r="Y7" s="417" t="s">
        <v>229</v>
      </c>
      <c r="AA7" s="868">
        <v>1</v>
      </c>
    </row>
    <row r="8" spans="1:27">
      <c r="A8" s="40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19"/>
      <c r="AA8" s="130">
        <f t="shared" ref="AA8:AA72" si="0">AA7+1</f>
        <v>2</v>
      </c>
    </row>
    <row r="9" spans="1:27" s="8" customFormat="1">
      <c r="A9" s="137" t="s">
        <v>340</v>
      </c>
      <c r="D9" s="8">
        <f>CF!E9</f>
        <v>0</v>
      </c>
      <c r="E9" s="8">
        <f>CF!F9</f>
        <v>0</v>
      </c>
      <c r="F9" s="8">
        <f>CF!G9</f>
        <v>10</v>
      </c>
      <c r="G9" s="8">
        <f>CF!H9</f>
        <v>12</v>
      </c>
      <c r="H9" s="8">
        <f>CF!I9</f>
        <v>12</v>
      </c>
      <c r="I9" s="8">
        <f>CF!J9</f>
        <v>12</v>
      </c>
      <c r="J9" s="8">
        <f>CF!K9</f>
        <v>12</v>
      </c>
      <c r="K9" s="8">
        <f>CF!L9</f>
        <v>12</v>
      </c>
      <c r="L9" s="8">
        <f>CF!M9</f>
        <v>12</v>
      </c>
      <c r="M9" s="8">
        <f>CF!N9</f>
        <v>12</v>
      </c>
      <c r="N9" s="8">
        <f>CF!O9</f>
        <v>12</v>
      </c>
      <c r="O9" s="8">
        <f>CF!P9</f>
        <v>12</v>
      </c>
      <c r="P9" s="8">
        <f>CF!Q9</f>
        <v>12</v>
      </c>
      <c r="Q9" s="8">
        <f>CF!R9</f>
        <v>12</v>
      </c>
      <c r="R9" s="8">
        <f>CF!S9</f>
        <v>12</v>
      </c>
      <c r="S9" s="8">
        <f>CF!T9</f>
        <v>12</v>
      </c>
      <c r="T9" s="8">
        <f>CF!U9</f>
        <v>12</v>
      </c>
      <c r="U9" s="8">
        <f>CF!V9</f>
        <v>12</v>
      </c>
      <c r="V9" s="8">
        <f>CF!W9</f>
        <v>12</v>
      </c>
      <c r="W9" s="8">
        <f>CF!X9</f>
        <v>12</v>
      </c>
      <c r="X9" s="8">
        <f>CF!Y9</f>
        <v>4</v>
      </c>
      <c r="Y9" s="419">
        <f>CF!Z9</f>
        <v>218</v>
      </c>
      <c r="AA9" s="130">
        <f t="shared" si="0"/>
        <v>3</v>
      </c>
    </row>
    <row r="10" spans="1:27">
      <c r="A10" s="13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9"/>
      <c r="AA10" s="130">
        <f t="shared" si="0"/>
        <v>4</v>
      </c>
    </row>
    <row r="11" spans="1:27" s="8" customFormat="1">
      <c r="A11" s="75" t="s">
        <v>497</v>
      </c>
      <c r="Y11" s="419"/>
      <c r="AA11" s="130">
        <f t="shared" si="0"/>
        <v>5</v>
      </c>
    </row>
    <row r="12" spans="1:27" s="8" customFormat="1">
      <c r="A12" s="144" t="s">
        <v>590</v>
      </c>
      <c r="B12" s="32"/>
      <c r="Y12" s="419"/>
      <c r="AA12" s="130">
        <f t="shared" si="0"/>
        <v>6</v>
      </c>
    </row>
    <row r="13" spans="1:27" s="8" customFormat="1">
      <c r="A13" s="137" t="s">
        <v>591</v>
      </c>
      <c r="D13" s="53">
        <f ca="1">CF!E43</f>
        <v>0</v>
      </c>
      <c r="E13" s="53">
        <f ca="1">CF!F43</f>
        <v>0</v>
      </c>
      <c r="F13" s="53">
        <f ca="1">CF!G43</f>
        <v>5065.6980665294723</v>
      </c>
      <c r="G13" s="53">
        <f ca="1">CF!H43</f>
        <v>8103.0273687033459</v>
      </c>
      <c r="H13" s="53">
        <f ca="1">CF!I43</f>
        <v>7652.96520800094</v>
      </c>
      <c r="I13" s="53">
        <f ca="1">CF!J43</f>
        <v>12076.096375240726</v>
      </c>
      <c r="J13" s="53">
        <f ca="1">CF!K43</f>
        <v>12539.669253035134</v>
      </c>
      <c r="K13" s="53">
        <f ca="1">CF!L43</f>
        <v>12569.159436727305</v>
      </c>
      <c r="L13" s="53">
        <f ca="1">CF!M43</f>
        <v>12751.960675846753</v>
      </c>
      <c r="M13" s="53">
        <f ca="1">CF!N43</f>
        <v>12715.053345006339</v>
      </c>
      <c r="N13" s="53">
        <f ca="1">CF!O43</f>
        <v>13083.338115201666</v>
      </c>
      <c r="O13" s="53">
        <f ca="1">CF!P43</f>
        <v>13341.833429499657</v>
      </c>
      <c r="P13" s="53">
        <f ca="1">CF!Q43</f>
        <v>13880.419662020908</v>
      </c>
      <c r="Q13" s="53">
        <f ca="1">CF!R43</f>
        <v>14371.679768858832</v>
      </c>
      <c r="R13" s="53">
        <f ca="1">CF!S43</f>
        <v>13501.587178515414</v>
      </c>
      <c r="S13" s="53">
        <f ca="1">CF!T43</f>
        <v>15264.817762375646</v>
      </c>
      <c r="T13" s="53">
        <f ca="1">CF!U43</f>
        <v>16100.395624536439</v>
      </c>
      <c r="U13" s="53">
        <f ca="1">CF!V43</f>
        <v>17025.9498931628</v>
      </c>
      <c r="V13" s="53">
        <f ca="1">CF!W43</f>
        <v>18121.446965798441</v>
      </c>
      <c r="W13" s="53">
        <f ca="1">CF!X43</f>
        <v>19091.421196725478</v>
      </c>
      <c r="X13" s="53">
        <f ca="1">CF!Y43</f>
        <v>6402.9711653059658</v>
      </c>
      <c r="Y13" s="423">
        <f t="shared" ref="Y13:Y19" ca="1" si="1">SUM(D13:X13)</f>
        <v>243659.49049109124</v>
      </c>
      <c r="AA13" s="130">
        <f t="shared" si="0"/>
        <v>7</v>
      </c>
    </row>
    <row r="14" spans="1:27">
      <c r="A14" s="137" t="s">
        <v>839</v>
      </c>
      <c r="B14" s="8"/>
      <c r="C14" s="8"/>
      <c r="D14" s="53">
        <f ca="1">Trapped!F65</f>
        <v>0</v>
      </c>
      <c r="E14" s="53">
        <f ca="1">Trapped!G65</f>
        <v>0</v>
      </c>
      <c r="F14" s="53">
        <f ca="1">Trapped!H65</f>
        <v>0</v>
      </c>
      <c r="G14" s="53">
        <f ca="1">Trapped!I65</f>
        <v>0</v>
      </c>
      <c r="H14" s="53">
        <f ca="1">Trapped!J65</f>
        <v>0</v>
      </c>
      <c r="I14" s="53">
        <f ca="1">Trapped!K65</f>
        <v>0</v>
      </c>
      <c r="J14" s="53">
        <f ca="1">Trapped!L65</f>
        <v>0</v>
      </c>
      <c r="K14" s="53">
        <f ca="1">Trapped!M65</f>
        <v>0</v>
      </c>
      <c r="L14" s="53">
        <f ca="1">Trapped!N65</f>
        <v>0</v>
      </c>
      <c r="M14" s="53">
        <f ca="1">Trapped!O65</f>
        <v>0</v>
      </c>
      <c r="N14" s="53">
        <f ca="1">Trapped!P65</f>
        <v>0</v>
      </c>
      <c r="O14" s="53">
        <f ca="1">Trapped!Q65</f>
        <v>0</v>
      </c>
      <c r="P14" s="53">
        <f ca="1">Trapped!R65</f>
        <v>0</v>
      </c>
      <c r="Q14" s="53">
        <f ca="1">Trapped!S65</f>
        <v>0</v>
      </c>
      <c r="R14" s="53">
        <f ca="1">Trapped!T65</f>
        <v>0</v>
      </c>
      <c r="S14" s="53">
        <f ca="1">Trapped!U65</f>
        <v>0</v>
      </c>
      <c r="T14" s="53">
        <f ca="1">Trapped!V65</f>
        <v>0</v>
      </c>
      <c r="U14" s="53">
        <f ca="1">Trapped!W65</f>
        <v>0</v>
      </c>
      <c r="V14" s="53">
        <f ca="1">Trapped!X65</f>
        <v>0</v>
      </c>
      <c r="W14" s="53">
        <f ca="1">Trapped!Y65</f>
        <v>0</v>
      </c>
      <c r="X14" s="53">
        <f ca="1">Trapped!Z65</f>
        <v>0</v>
      </c>
      <c r="Y14" s="423">
        <f ca="1">SUM(D14:X14)</f>
        <v>0</v>
      </c>
      <c r="AA14" s="130">
        <f t="shared" si="0"/>
        <v>8</v>
      </c>
    </row>
    <row r="15" spans="1:27" s="8" customFormat="1">
      <c r="A15" s="390" t="s">
        <v>592</v>
      </c>
      <c r="B15" s="373"/>
      <c r="C15" s="373"/>
      <c r="D15" s="53">
        <f ca="1">-Depr!H21</f>
        <v>0</v>
      </c>
      <c r="E15" s="53">
        <f ca="1">-Depr!I21</f>
        <v>0</v>
      </c>
      <c r="F15" s="53">
        <f ca="1">-Depr!J21</f>
        <v>-5267.1668601538513</v>
      </c>
      <c r="G15" s="53">
        <f ca="1">-Depr!K21</f>
        <v>-6320.6002321846217</v>
      </c>
      <c r="H15" s="53">
        <f ca="1">-Depr!L21</f>
        <v>-6320.6002321846217</v>
      </c>
      <c r="I15" s="53">
        <f ca="1">-Depr!M21</f>
        <v>-6320.6002321846217</v>
      </c>
      <c r="J15" s="53">
        <f ca="1">-Depr!N21</f>
        <v>-6320.6002321846217</v>
      </c>
      <c r="K15" s="53">
        <f ca="1">-Depr!O21</f>
        <v>-6320.6002321846217</v>
      </c>
      <c r="L15" s="53">
        <f ca="1">-Depr!P21</f>
        <v>-6320.6002321846217</v>
      </c>
      <c r="M15" s="53">
        <f ca="1">-Depr!Q21</f>
        <v>-6320.6002321846217</v>
      </c>
      <c r="N15" s="53">
        <f ca="1">-Depr!R21</f>
        <v>-6320.6002321846217</v>
      </c>
      <c r="O15" s="53">
        <f ca="1">-Depr!S21</f>
        <v>-6320.6002321846217</v>
      </c>
      <c r="P15" s="53">
        <f ca="1">-Depr!T21</f>
        <v>-6320.6002321846217</v>
      </c>
      <c r="Q15" s="53">
        <f ca="1">-Depr!U21</f>
        <v>-6320.6002321846217</v>
      </c>
      <c r="R15" s="53">
        <f ca="1">-Depr!V21</f>
        <v>-6320.6002321846217</v>
      </c>
      <c r="S15" s="53">
        <f ca="1">-Depr!W21</f>
        <v>-6320.6002321846217</v>
      </c>
      <c r="T15" s="53">
        <f ca="1">-Depr!X21</f>
        <v>-6320.6002321846217</v>
      </c>
      <c r="U15" s="53">
        <f ca="1">-Depr!Y21</f>
        <v>-6320.6002321846217</v>
      </c>
      <c r="V15" s="53">
        <f ca="1">-Depr!Z21</f>
        <v>-6320.6002321846217</v>
      </c>
      <c r="W15" s="53">
        <f ca="1">-Depr!AA21</f>
        <v>-6320.6002321846217</v>
      </c>
      <c r="X15" s="53">
        <f ca="1">-Depr!AB21</f>
        <v>-2106.8667440615404</v>
      </c>
      <c r="Y15" s="423">
        <f t="shared" ca="1" si="1"/>
        <v>-114824.23755135393</v>
      </c>
      <c r="AA15" s="130">
        <f t="shared" si="0"/>
        <v>9</v>
      </c>
    </row>
    <row r="16" spans="1:27" s="8" customFormat="1">
      <c r="A16" s="408" t="s">
        <v>327</v>
      </c>
      <c r="B16" s="373"/>
      <c r="C16" s="373"/>
      <c r="D16" s="53">
        <f ca="1">CF!E47</f>
        <v>0</v>
      </c>
      <c r="E16" s="53">
        <f ca="1">CF!F47</f>
        <v>0</v>
      </c>
      <c r="F16" s="53">
        <f ca="1">CF!G47</f>
        <v>-3484.300065346657</v>
      </c>
      <c r="G16" s="53">
        <f ca="1">CF!H47</f>
        <v>-8330.9644427867697</v>
      </c>
      <c r="H16" s="53">
        <f ca="1">CF!I47</f>
        <v>-8183.736836797003</v>
      </c>
      <c r="I16" s="53">
        <f ca="1">CF!J47</f>
        <v>-7874.9282995768517</v>
      </c>
      <c r="J16" s="53">
        <f ca="1">CF!K47</f>
        <v>-7246.8861993410301</v>
      </c>
      <c r="K16" s="53">
        <f ca="1">CF!L47</f>
        <v>-6469.5707112199325</v>
      </c>
      <c r="L16" s="53">
        <f ca="1">CF!M47</f>
        <v>-5579.1548429776813</v>
      </c>
      <c r="M16" s="53">
        <f ca="1">CF!N47</f>
        <v>-4657.3802741473091</v>
      </c>
      <c r="N16" s="53">
        <f ca="1">CF!O47</f>
        <v>-4069.2622795745342</v>
      </c>
      <c r="O16" s="53">
        <f ca="1">CF!P47</f>
        <v>-3592.3631430876248</v>
      </c>
      <c r="P16" s="53">
        <f ca="1">CF!Q47</f>
        <v>-3115.464006600715</v>
      </c>
      <c r="Q16" s="53">
        <f ca="1">CF!R47</f>
        <v>-2471.7365829850069</v>
      </c>
      <c r="R16" s="53">
        <f ca="1">CF!S47</f>
        <v>-1772.3997303263664</v>
      </c>
      <c r="S16" s="53">
        <f ca="1">CF!T47</f>
        <v>-1073.0628776677256</v>
      </c>
      <c r="T16" s="53">
        <f ca="1">CF!U47</f>
        <v>-326.68797412690321</v>
      </c>
      <c r="U16" s="53">
        <f ca="1">CF!V47</f>
        <v>0</v>
      </c>
      <c r="V16" s="53">
        <f ca="1">CF!W47</f>
        <v>0</v>
      </c>
      <c r="W16" s="53">
        <f ca="1">CF!X47</f>
        <v>0</v>
      </c>
      <c r="X16" s="53">
        <f ca="1">CF!Y47</f>
        <v>0</v>
      </c>
      <c r="Y16" s="423">
        <f t="shared" ca="1" si="1"/>
        <v>-68247.898266562115</v>
      </c>
      <c r="AA16" s="130">
        <f t="shared" si="0"/>
        <v>10</v>
      </c>
    </row>
    <row r="17" spans="1:27" s="8" customFormat="1">
      <c r="A17" s="408" t="s">
        <v>328</v>
      </c>
      <c r="B17" s="373"/>
      <c r="C17" s="373"/>
      <c r="D17" s="53">
        <f ca="1">CF!E49</f>
        <v>0</v>
      </c>
      <c r="E17" s="53">
        <f ca="1">CF!F49</f>
        <v>0</v>
      </c>
      <c r="F17" s="53">
        <f ca="1">CF!G49</f>
        <v>0</v>
      </c>
      <c r="G17" s="53">
        <f ca="1">CF!H49</f>
        <v>0</v>
      </c>
      <c r="H17" s="53">
        <f ca="1">CF!I49</f>
        <v>0</v>
      </c>
      <c r="I17" s="53">
        <f ca="1">CF!J49</f>
        <v>0</v>
      </c>
      <c r="J17" s="53">
        <f ca="1">CF!K49</f>
        <v>0</v>
      </c>
      <c r="K17" s="53">
        <f ca="1">CF!L49</f>
        <v>0</v>
      </c>
      <c r="L17" s="53">
        <f ca="1">CF!M49</f>
        <v>0</v>
      </c>
      <c r="M17" s="53">
        <f ca="1">CF!N49</f>
        <v>0</v>
      </c>
      <c r="N17" s="53">
        <f ca="1">CF!O49</f>
        <v>0</v>
      </c>
      <c r="O17" s="53">
        <f ca="1">CF!P49</f>
        <v>0</v>
      </c>
      <c r="P17" s="53">
        <f ca="1">CF!Q49</f>
        <v>0</v>
      </c>
      <c r="Q17" s="53">
        <f ca="1">CF!R49</f>
        <v>0</v>
      </c>
      <c r="R17" s="53">
        <f ca="1">CF!S49</f>
        <v>0</v>
      </c>
      <c r="S17" s="53">
        <f ca="1">CF!T49</f>
        <v>0</v>
      </c>
      <c r="T17" s="53">
        <f ca="1">CF!U49</f>
        <v>0</v>
      </c>
      <c r="U17" s="53">
        <f ca="1">CF!V49</f>
        <v>0</v>
      </c>
      <c r="V17" s="53">
        <f ca="1">CF!W49</f>
        <v>0</v>
      </c>
      <c r="W17" s="53">
        <f ca="1">CF!X49</f>
        <v>0</v>
      </c>
      <c r="X17" s="53">
        <f ca="1">CF!Y49</f>
        <v>0</v>
      </c>
      <c r="Y17" s="423">
        <f t="shared" ca="1" si="1"/>
        <v>0</v>
      </c>
      <c r="AA17" s="130">
        <f t="shared" si="0"/>
        <v>11</v>
      </c>
    </row>
    <row r="18" spans="1:27" s="8" customFormat="1">
      <c r="A18" s="408" t="s">
        <v>485</v>
      </c>
      <c r="B18" s="373"/>
      <c r="C18" s="373"/>
      <c r="D18" s="228">
        <f ca="1">CF!E52</f>
        <v>0</v>
      </c>
      <c r="E18" s="228">
        <f ca="1">CF!F52</f>
        <v>0</v>
      </c>
      <c r="F18" s="228">
        <f ca="1">CF!G52</f>
        <v>0</v>
      </c>
      <c r="G18" s="228">
        <f ca="1">CF!H52</f>
        <v>0</v>
      </c>
      <c r="H18" s="228">
        <f ca="1">CF!I52</f>
        <v>0</v>
      </c>
      <c r="I18" s="228">
        <f ca="1">CF!J52</f>
        <v>0</v>
      </c>
      <c r="J18" s="228">
        <f ca="1">CF!K52</f>
        <v>0</v>
      </c>
      <c r="K18" s="228">
        <f ca="1">CF!L52</f>
        <v>0</v>
      </c>
      <c r="L18" s="228">
        <f ca="1">CF!M52</f>
        <v>0</v>
      </c>
      <c r="M18" s="228">
        <f ca="1">CF!N52</f>
        <v>602.22498810277398</v>
      </c>
      <c r="N18" s="228">
        <f ca="1">CF!O52</f>
        <v>578.46080777080135</v>
      </c>
      <c r="O18" s="228">
        <f ca="1">CF!P52</f>
        <v>464.09457240023346</v>
      </c>
      <c r="P18" s="228">
        <f ca="1">CF!Q52</f>
        <v>260.19576596384729</v>
      </c>
      <c r="Q18" s="228">
        <f ca="1">CF!R52</f>
        <v>-33.472970602284704</v>
      </c>
      <c r="R18" s="228">
        <f ca="1">CF!S52</f>
        <v>-442.64668258634765</v>
      </c>
      <c r="S18" s="228">
        <f ca="1">CF!T52</f>
        <v>-828.16936894189689</v>
      </c>
      <c r="T18" s="228">
        <f ca="1">CF!U52</f>
        <v>-1370.6401201671288</v>
      </c>
      <c r="U18" s="228">
        <f ca="1">CF!V52</f>
        <v>-1995.8237147234718</v>
      </c>
      <c r="V18" s="228">
        <f ca="1">CF!W52</f>
        <v>-2666.4514429082806</v>
      </c>
      <c r="W18" s="228">
        <f ca="1">CF!X52</f>
        <v>-2913.0512827231705</v>
      </c>
      <c r="X18" s="228">
        <f ca="1">CF!Y52</f>
        <v>-971.01709424105672</v>
      </c>
      <c r="Y18" s="424">
        <f t="shared" ca="1" si="1"/>
        <v>-9316.2965426559804</v>
      </c>
      <c r="AA18" s="130">
        <f t="shared" si="0"/>
        <v>12</v>
      </c>
    </row>
    <row r="19" spans="1:27" s="8" customFormat="1">
      <c r="A19" s="137" t="s">
        <v>542</v>
      </c>
      <c r="D19" s="53">
        <f ca="1">SUM(D13:D18)</f>
        <v>0</v>
      </c>
      <c r="E19" s="53">
        <f t="shared" ref="E19:U19" ca="1" si="2">SUM(E13:E18)</f>
        <v>0</v>
      </c>
      <c r="F19" s="53">
        <f t="shared" ca="1" si="2"/>
        <v>-3685.768858971036</v>
      </c>
      <c r="G19" s="53">
        <f t="shared" ca="1" si="2"/>
        <v>-6548.5373062680455</v>
      </c>
      <c r="H19" s="53">
        <f t="shared" ca="1" si="2"/>
        <v>-6851.3718609806847</v>
      </c>
      <c r="I19" s="53">
        <f t="shared" ca="1" si="2"/>
        <v>-2119.4321565207474</v>
      </c>
      <c r="J19" s="53">
        <f t="shared" ca="1" si="2"/>
        <v>-1027.817178490518</v>
      </c>
      <c r="K19" s="53">
        <f t="shared" ca="1" si="2"/>
        <v>-221.0115066772496</v>
      </c>
      <c r="L19" s="53">
        <f t="shared" ca="1" si="2"/>
        <v>852.20560068444956</v>
      </c>
      <c r="M19" s="53">
        <f t="shared" ca="1" si="2"/>
        <v>2339.2978267771823</v>
      </c>
      <c r="N19" s="53">
        <f t="shared" ca="1" si="2"/>
        <v>3271.9364112133117</v>
      </c>
      <c r="O19" s="53">
        <f t="shared" ca="1" si="2"/>
        <v>3892.9646266276436</v>
      </c>
      <c r="P19" s="53">
        <f t="shared" ca="1" si="2"/>
        <v>4704.5511891994183</v>
      </c>
      <c r="Q19" s="53">
        <f t="shared" ca="1" si="2"/>
        <v>5545.8699830869191</v>
      </c>
      <c r="R19" s="53">
        <f t="shared" ca="1" si="2"/>
        <v>4965.9405334180774</v>
      </c>
      <c r="S19" s="53">
        <f t="shared" ca="1" si="2"/>
        <v>7042.9852835814017</v>
      </c>
      <c r="T19" s="53">
        <f t="shared" ca="1" si="2"/>
        <v>8082.4672980577852</v>
      </c>
      <c r="U19" s="53">
        <f t="shared" ca="1" si="2"/>
        <v>8709.5259462547074</v>
      </c>
      <c r="V19" s="53">
        <f ca="1">SUM(V13:V18)</f>
        <v>9134.3952907055391</v>
      </c>
      <c r="W19" s="53">
        <f ca="1">SUM(W13:W18)</f>
        <v>9857.7696818176864</v>
      </c>
      <c r="X19" s="53">
        <f ca="1">SUM(X13:X18)</f>
        <v>3325.087327003368</v>
      </c>
      <c r="Y19" s="423">
        <f t="shared" ca="1" si="1"/>
        <v>51271.05813051921</v>
      </c>
      <c r="AA19" s="130">
        <f t="shared" si="0"/>
        <v>13</v>
      </c>
    </row>
    <row r="20" spans="1:27" s="8" customFormat="1">
      <c r="A20" s="137" t="s">
        <v>543</v>
      </c>
      <c r="B20" s="130" t="s">
        <v>544</v>
      </c>
      <c r="D20" s="228">
        <f ca="1">-D$26</f>
        <v>0</v>
      </c>
      <c r="E20" s="228">
        <f t="shared" ref="E20:X20" ca="1" si="3">-E$26</f>
        <v>0</v>
      </c>
      <c r="F20" s="228">
        <f t="shared" ca="1" si="3"/>
        <v>0</v>
      </c>
      <c r="G20" s="228">
        <f t="shared" ca="1" si="3"/>
        <v>0</v>
      </c>
      <c r="H20" s="228">
        <f t="shared" ca="1" si="3"/>
        <v>0</v>
      </c>
      <c r="I20" s="228">
        <f t="shared" ca="1" si="3"/>
        <v>0</v>
      </c>
      <c r="J20" s="228">
        <f t="shared" ca="1" si="3"/>
        <v>0</v>
      </c>
      <c r="K20" s="228">
        <f t="shared" ca="1" si="3"/>
        <v>0</v>
      </c>
      <c r="L20" s="228">
        <f t="shared" ca="1" si="3"/>
        <v>-255.66168020533485</v>
      </c>
      <c r="M20" s="228">
        <f t="shared" ca="1" si="3"/>
        <v>-701.78934803315462</v>
      </c>
      <c r="N20" s="228">
        <f t="shared" ca="1" si="3"/>
        <v>-981.58092336399341</v>
      </c>
      <c r="O20" s="228">
        <f t="shared" ca="1" si="3"/>
        <v>-1167.889387988293</v>
      </c>
      <c r="P20" s="228">
        <f t="shared" ca="1" si="3"/>
        <v>-1411.3653567598255</v>
      </c>
      <c r="Q20" s="228">
        <f t="shared" ca="1" si="3"/>
        <v>-1663.7609949260757</v>
      </c>
      <c r="R20" s="228">
        <f t="shared" ca="1" si="3"/>
        <v>-1489.7821600254231</v>
      </c>
      <c r="S20" s="228">
        <f t="shared" ca="1" si="3"/>
        <v>-2112.8955850744205</v>
      </c>
      <c r="T20" s="228">
        <f t="shared" ca="1" si="3"/>
        <v>-2424.7401894173354</v>
      </c>
      <c r="U20" s="228">
        <f t="shared" ca="1" si="3"/>
        <v>-2612.8577838764122</v>
      </c>
      <c r="V20" s="228">
        <f t="shared" ca="1" si="3"/>
        <v>-2740.3185872116615</v>
      </c>
      <c r="W20" s="228">
        <f t="shared" ca="1" si="3"/>
        <v>-2891.2968710263517</v>
      </c>
      <c r="X20" s="228">
        <f t="shared" ca="1" si="3"/>
        <v>0</v>
      </c>
      <c r="Y20" s="424"/>
      <c r="AA20" s="130">
        <f t="shared" si="0"/>
        <v>14</v>
      </c>
    </row>
    <row r="21" spans="1:27" s="8" customFormat="1">
      <c r="A21" s="137" t="s">
        <v>545</v>
      </c>
      <c r="D21" s="53">
        <f t="shared" ref="D21:U21" ca="1" si="4">IF(D19&lt;0,0,SUM(D19:D20))</f>
        <v>0</v>
      </c>
      <c r="E21" s="53">
        <f t="shared" ca="1" si="4"/>
        <v>0</v>
      </c>
      <c r="F21" s="53">
        <f t="shared" ca="1" si="4"/>
        <v>0</v>
      </c>
      <c r="G21" s="53">
        <f t="shared" ca="1" si="4"/>
        <v>0</v>
      </c>
      <c r="H21" s="53">
        <f t="shared" ca="1" si="4"/>
        <v>0</v>
      </c>
      <c r="I21" s="53">
        <f t="shared" ca="1" si="4"/>
        <v>0</v>
      </c>
      <c r="J21" s="53">
        <f t="shared" ca="1" si="4"/>
        <v>0</v>
      </c>
      <c r="K21" s="53">
        <f t="shared" ca="1" si="4"/>
        <v>0</v>
      </c>
      <c r="L21" s="53">
        <f t="shared" ca="1" si="4"/>
        <v>596.54392047911472</v>
      </c>
      <c r="M21" s="53">
        <f t="shared" ca="1" si="4"/>
        <v>1637.5084787440278</v>
      </c>
      <c r="N21" s="53">
        <f t="shared" ca="1" si="4"/>
        <v>2290.3554878493183</v>
      </c>
      <c r="O21" s="53">
        <f t="shared" ca="1" si="4"/>
        <v>2725.0752386393506</v>
      </c>
      <c r="P21" s="53">
        <f t="shared" ca="1" si="4"/>
        <v>3293.1858324395926</v>
      </c>
      <c r="Q21" s="53">
        <f t="shared" ca="1" si="4"/>
        <v>3882.1089881608432</v>
      </c>
      <c r="R21" s="53">
        <f t="shared" ca="1" si="4"/>
        <v>3476.1583733926545</v>
      </c>
      <c r="S21" s="53">
        <f t="shared" ca="1" si="4"/>
        <v>4930.0896985069812</v>
      </c>
      <c r="T21" s="53">
        <f t="shared" ca="1" si="4"/>
        <v>5657.7271086404498</v>
      </c>
      <c r="U21" s="53">
        <f t="shared" ca="1" si="4"/>
        <v>6096.6681623782952</v>
      </c>
      <c r="V21" s="53">
        <f ca="1">IF(V19&lt;0,0,SUM(V19:V20))</f>
        <v>6394.0767034938781</v>
      </c>
      <c r="W21" s="53">
        <f ca="1">IF(W19&lt;0,0,SUM(W19:W20))</f>
        <v>6966.4728107913343</v>
      </c>
      <c r="X21" s="53">
        <f ca="1">IF(X19&lt;0,0,SUM(X19:X20))</f>
        <v>3325.087327003368</v>
      </c>
      <c r="Y21" s="423">
        <f ca="1">SUM(D21:X21)</f>
        <v>51271.05813051921</v>
      </c>
      <c r="AA21" s="130">
        <f t="shared" si="0"/>
        <v>15</v>
      </c>
    </row>
    <row r="22" spans="1:27" s="8" customFormat="1">
      <c r="A22" s="390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3"/>
      <c r="W22" s="373"/>
      <c r="X22" s="373"/>
      <c r="Y22" s="554"/>
      <c r="AA22" s="130">
        <f t="shared" si="0"/>
        <v>16</v>
      </c>
    </row>
    <row r="23" spans="1:27" s="8" customFormat="1">
      <c r="A23" s="1012" t="s">
        <v>546</v>
      </c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554"/>
      <c r="AA23" s="130">
        <f t="shared" si="0"/>
        <v>17</v>
      </c>
    </row>
    <row r="24" spans="1:27" s="8" customFormat="1">
      <c r="A24" s="137" t="s">
        <v>547</v>
      </c>
      <c r="D24" s="825">
        <v>0</v>
      </c>
      <c r="E24" s="53">
        <f t="shared" ref="E24:U24" ca="1" si="5">D27</f>
        <v>0</v>
      </c>
      <c r="F24" s="53">
        <f t="shared" ca="1" si="5"/>
        <v>0</v>
      </c>
      <c r="G24" s="53">
        <f t="shared" ca="1" si="5"/>
        <v>0</v>
      </c>
      <c r="H24" s="53">
        <f t="shared" ca="1" si="5"/>
        <v>-3685.768858971036</v>
      </c>
      <c r="I24" s="53">
        <f t="shared" ca="1" si="5"/>
        <v>-10234.306165239082</v>
      </c>
      <c r="J24" s="53">
        <f t="shared" ca="1" si="5"/>
        <v>-17085.678026219768</v>
      </c>
      <c r="K24" s="53">
        <f t="shared" ca="1" si="5"/>
        <v>-19205.110182740515</v>
      </c>
      <c r="L24" s="53">
        <f t="shared" ca="1" si="5"/>
        <v>-20232.927361231032</v>
      </c>
      <c r="M24" s="53">
        <f t="shared" ca="1" si="5"/>
        <v>-20198.277187702945</v>
      </c>
      <c r="N24" s="53">
        <f t="shared" ca="1" si="5"/>
        <v>-19496.48783966979</v>
      </c>
      <c r="O24" s="53">
        <f t="shared" ca="1" si="5"/>
        <v>-18514.906916305797</v>
      </c>
      <c r="P24" s="53">
        <f t="shared" ca="1" si="5"/>
        <v>-17347.017528317505</v>
      </c>
      <c r="Q24" s="53">
        <f t="shared" ca="1" si="5"/>
        <v>-15935.65217155768</v>
      </c>
      <c r="R24" s="53">
        <f t="shared" ca="1" si="5"/>
        <v>-14271.891176631605</v>
      </c>
      <c r="S24" s="53">
        <f t="shared" ca="1" si="5"/>
        <v>-12782.109016606182</v>
      </c>
      <c r="T24" s="53">
        <f t="shared" ca="1" si="5"/>
        <v>-10669.213431531762</v>
      </c>
      <c r="U24" s="53">
        <f t="shared" ca="1" si="5"/>
        <v>-8244.4732421144254</v>
      </c>
      <c r="V24" s="53">
        <f ca="1">U27</f>
        <v>-5631.6154582380132</v>
      </c>
      <c r="W24" s="53">
        <f ca="1">V27</f>
        <v>-2891.2968710263517</v>
      </c>
      <c r="X24" s="53">
        <f ca="1">W27</f>
        <v>0</v>
      </c>
      <c r="Y24" s="423">
        <f>D24</f>
        <v>0</v>
      </c>
      <c r="AA24" s="130">
        <f t="shared" si="0"/>
        <v>18</v>
      </c>
    </row>
    <row r="25" spans="1:27" s="8" customFormat="1">
      <c r="A25" s="137" t="s">
        <v>548</v>
      </c>
      <c r="D25" s="53">
        <f t="shared" ref="D25:U25" si="6">IF(C19&lt;0,C19,0)</f>
        <v>0</v>
      </c>
      <c r="E25" s="53">
        <f t="shared" ca="1" si="6"/>
        <v>0</v>
      </c>
      <c r="F25" s="53">
        <f t="shared" ca="1" si="6"/>
        <v>0</v>
      </c>
      <c r="G25" s="53">
        <f t="shared" ca="1" si="6"/>
        <v>-3685.768858971036</v>
      </c>
      <c r="H25" s="53">
        <f t="shared" ca="1" si="6"/>
        <v>-6548.5373062680455</v>
      </c>
      <c r="I25" s="53">
        <f t="shared" ca="1" si="6"/>
        <v>-6851.3718609806847</v>
      </c>
      <c r="J25" s="53">
        <f t="shared" ca="1" si="6"/>
        <v>-2119.4321565207474</v>
      </c>
      <c r="K25" s="53">
        <f t="shared" ca="1" si="6"/>
        <v>-1027.817178490518</v>
      </c>
      <c r="L25" s="53">
        <f t="shared" ca="1" si="6"/>
        <v>-221.0115066772496</v>
      </c>
      <c r="M25" s="53">
        <f t="shared" ca="1" si="6"/>
        <v>0</v>
      </c>
      <c r="N25" s="53">
        <f t="shared" ca="1" si="6"/>
        <v>0</v>
      </c>
      <c r="O25" s="53">
        <f t="shared" ca="1" si="6"/>
        <v>0</v>
      </c>
      <c r="P25" s="53">
        <f t="shared" ca="1" si="6"/>
        <v>0</v>
      </c>
      <c r="Q25" s="53">
        <f t="shared" ca="1" si="6"/>
        <v>0</v>
      </c>
      <c r="R25" s="53">
        <f t="shared" ca="1" si="6"/>
        <v>0</v>
      </c>
      <c r="S25" s="53">
        <f t="shared" ca="1" si="6"/>
        <v>0</v>
      </c>
      <c r="T25" s="53">
        <f t="shared" ca="1" si="6"/>
        <v>0</v>
      </c>
      <c r="U25" s="53">
        <f t="shared" ca="1" si="6"/>
        <v>0</v>
      </c>
      <c r="V25" s="53">
        <f ca="1">IF(U19&lt;0,U19,0)</f>
        <v>0</v>
      </c>
      <c r="W25" s="53">
        <f ca="1">IF(V19&lt;0,V19,0)</f>
        <v>0</v>
      </c>
      <c r="X25" s="53">
        <f ca="1">IF(W19&lt;0,W19,0)</f>
        <v>0</v>
      </c>
      <c r="Y25" s="423">
        <f ca="1">SUM(D25:X25)</f>
        <v>-20453.93886790828</v>
      </c>
      <c r="AA25" s="130">
        <f t="shared" si="0"/>
        <v>19</v>
      </c>
    </row>
    <row r="26" spans="1:27">
      <c r="A26" s="137" t="s">
        <v>543</v>
      </c>
      <c r="B26" s="375" t="str">
        <f>CONCATENATE("Capped @ ",TEXT(Nol,"0%"))</f>
        <v>Capped @ 30%</v>
      </c>
      <c r="C26" s="92"/>
      <c r="D26" s="228">
        <f t="shared" ref="D26:U26" ca="1" si="7">IF(D19&gt;0,-MAX(-Nol*D19,SUM(D24:D25)),0)</f>
        <v>0</v>
      </c>
      <c r="E26" s="228">
        <f t="shared" ca="1" si="7"/>
        <v>0</v>
      </c>
      <c r="F26" s="228">
        <f t="shared" ca="1" si="7"/>
        <v>0</v>
      </c>
      <c r="G26" s="228">
        <f t="shared" ca="1" si="7"/>
        <v>0</v>
      </c>
      <c r="H26" s="228">
        <f t="shared" ca="1" si="7"/>
        <v>0</v>
      </c>
      <c r="I26" s="228">
        <f t="shared" ca="1" si="7"/>
        <v>0</v>
      </c>
      <c r="J26" s="228">
        <f t="shared" ca="1" si="7"/>
        <v>0</v>
      </c>
      <c r="K26" s="228">
        <f t="shared" ca="1" si="7"/>
        <v>0</v>
      </c>
      <c r="L26" s="228">
        <f t="shared" ca="1" si="7"/>
        <v>255.66168020533485</v>
      </c>
      <c r="M26" s="228">
        <f t="shared" ca="1" si="7"/>
        <v>701.78934803315462</v>
      </c>
      <c r="N26" s="228">
        <f t="shared" ca="1" si="7"/>
        <v>981.58092336399341</v>
      </c>
      <c r="O26" s="228">
        <f t="shared" ca="1" si="7"/>
        <v>1167.889387988293</v>
      </c>
      <c r="P26" s="228">
        <f t="shared" ca="1" si="7"/>
        <v>1411.3653567598255</v>
      </c>
      <c r="Q26" s="228">
        <f t="shared" ca="1" si="7"/>
        <v>1663.7609949260757</v>
      </c>
      <c r="R26" s="228">
        <f t="shared" ca="1" si="7"/>
        <v>1489.7821600254231</v>
      </c>
      <c r="S26" s="228">
        <f t="shared" ca="1" si="7"/>
        <v>2112.8955850744205</v>
      </c>
      <c r="T26" s="228">
        <f t="shared" ca="1" si="7"/>
        <v>2424.7401894173354</v>
      </c>
      <c r="U26" s="228">
        <f t="shared" ca="1" si="7"/>
        <v>2612.8577838764122</v>
      </c>
      <c r="V26" s="228">
        <f ca="1">IF(V19&gt;0,-MAX(-Nol*V19,SUM(V24:V25)),0)</f>
        <v>2740.3185872116615</v>
      </c>
      <c r="W26" s="228">
        <f ca="1">IF(W19&gt;0,-MAX(-Nol*W19,SUM(W24:W25)),0)</f>
        <v>2891.2968710263517</v>
      </c>
      <c r="X26" s="228">
        <f ca="1">IF(X19&gt;0,-MAX(-Nol*X19,SUM(X24:X25)),0)</f>
        <v>0</v>
      </c>
      <c r="Y26" s="424">
        <f ca="1">SUM(D26:X26)</f>
        <v>20453.93886790828</v>
      </c>
      <c r="AA26" s="130">
        <f t="shared" si="0"/>
        <v>20</v>
      </c>
    </row>
    <row r="27" spans="1:27">
      <c r="A27" s="406" t="s">
        <v>549</v>
      </c>
      <c r="B27" s="10"/>
      <c r="C27" s="374"/>
      <c r="D27" s="64">
        <f t="shared" ref="D27:Y27" ca="1" si="8">SUM(D24:D26)</f>
        <v>0</v>
      </c>
      <c r="E27" s="64">
        <f t="shared" ca="1" si="8"/>
        <v>0</v>
      </c>
      <c r="F27" s="64">
        <f t="shared" ca="1" si="8"/>
        <v>0</v>
      </c>
      <c r="G27" s="64">
        <f t="shared" ca="1" si="8"/>
        <v>-3685.768858971036</v>
      </c>
      <c r="H27" s="64">
        <f t="shared" ca="1" si="8"/>
        <v>-10234.306165239082</v>
      </c>
      <c r="I27" s="64">
        <f t="shared" ca="1" si="8"/>
        <v>-17085.678026219768</v>
      </c>
      <c r="J27" s="64">
        <f t="shared" ca="1" si="8"/>
        <v>-19205.110182740515</v>
      </c>
      <c r="K27" s="64">
        <f t="shared" ca="1" si="8"/>
        <v>-20232.927361231032</v>
      </c>
      <c r="L27" s="64">
        <f t="shared" ca="1" si="8"/>
        <v>-20198.277187702945</v>
      </c>
      <c r="M27" s="64">
        <f t="shared" ca="1" si="8"/>
        <v>-19496.48783966979</v>
      </c>
      <c r="N27" s="64">
        <f t="shared" ca="1" si="8"/>
        <v>-18514.906916305797</v>
      </c>
      <c r="O27" s="64">
        <f t="shared" ca="1" si="8"/>
        <v>-17347.017528317505</v>
      </c>
      <c r="P27" s="64">
        <f t="shared" ca="1" si="8"/>
        <v>-15935.65217155768</v>
      </c>
      <c r="Q27" s="64">
        <f t="shared" ca="1" si="8"/>
        <v>-14271.891176631605</v>
      </c>
      <c r="R27" s="64">
        <f t="shared" ca="1" si="8"/>
        <v>-12782.109016606182</v>
      </c>
      <c r="S27" s="64">
        <f t="shared" ca="1" si="8"/>
        <v>-10669.213431531762</v>
      </c>
      <c r="T27" s="64">
        <f t="shared" ca="1" si="8"/>
        <v>-8244.4732421144254</v>
      </c>
      <c r="U27" s="64">
        <f t="shared" ca="1" si="8"/>
        <v>-5631.6154582380132</v>
      </c>
      <c r="V27" s="64">
        <f ca="1">SUM(V24:V26)</f>
        <v>-2891.2968710263517</v>
      </c>
      <c r="W27" s="64">
        <f ca="1">SUM(W24:W26)</f>
        <v>0</v>
      </c>
      <c r="X27" s="64">
        <f ca="1">SUM(X24:X26)</f>
        <v>0</v>
      </c>
      <c r="Y27" s="542">
        <f t="shared" ca="1" si="8"/>
        <v>0</v>
      </c>
      <c r="AA27" s="130">
        <f t="shared" si="0"/>
        <v>21</v>
      </c>
    </row>
    <row r="28" spans="1:27">
      <c r="A28" s="13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19"/>
      <c r="AA28" s="130">
        <f t="shared" si="0"/>
        <v>22</v>
      </c>
    </row>
    <row r="29" spans="1:27" s="8" customFormat="1">
      <c r="A29" s="75" t="s">
        <v>486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451"/>
      <c r="AA29" s="130">
        <f t="shared" si="0"/>
        <v>23</v>
      </c>
    </row>
    <row r="30" spans="1:27" s="8" customFormat="1">
      <c r="A30" s="137" t="s">
        <v>557</v>
      </c>
      <c r="D30" s="53">
        <f ca="1">D$21</f>
        <v>0</v>
      </c>
      <c r="E30" s="53">
        <f t="shared" ref="E30:X30" ca="1" si="9">E$21</f>
        <v>0</v>
      </c>
      <c r="F30" s="53">
        <f t="shared" ca="1" si="9"/>
        <v>0</v>
      </c>
      <c r="G30" s="53">
        <f t="shared" ca="1" si="9"/>
        <v>0</v>
      </c>
      <c r="H30" s="53">
        <f t="shared" ca="1" si="9"/>
        <v>0</v>
      </c>
      <c r="I30" s="53">
        <f t="shared" ca="1" si="9"/>
        <v>0</v>
      </c>
      <c r="J30" s="53">
        <f t="shared" ca="1" si="9"/>
        <v>0</v>
      </c>
      <c r="K30" s="53">
        <f t="shared" ca="1" si="9"/>
        <v>0</v>
      </c>
      <c r="L30" s="53">
        <f t="shared" ca="1" si="9"/>
        <v>596.54392047911472</v>
      </c>
      <c r="M30" s="53">
        <f t="shared" ca="1" si="9"/>
        <v>1637.5084787440278</v>
      </c>
      <c r="N30" s="53">
        <f t="shared" ca="1" si="9"/>
        <v>2290.3554878493183</v>
      </c>
      <c r="O30" s="53">
        <f t="shared" ca="1" si="9"/>
        <v>2725.0752386393506</v>
      </c>
      <c r="P30" s="53">
        <f t="shared" ca="1" si="9"/>
        <v>3293.1858324395926</v>
      </c>
      <c r="Q30" s="53">
        <f t="shared" ca="1" si="9"/>
        <v>3882.1089881608432</v>
      </c>
      <c r="R30" s="53">
        <f t="shared" ca="1" si="9"/>
        <v>3476.1583733926545</v>
      </c>
      <c r="S30" s="53">
        <f t="shared" ca="1" si="9"/>
        <v>4930.0896985069812</v>
      </c>
      <c r="T30" s="53">
        <f t="shared" ca="1" si="9"/>
        <v>5657.7271086404498</v>
      </c>
      <c r="U30" s="53">
        <f t="shared" ca="1" si="9"/>
        <v>6096.6681623782952</v>
      </c>
      <c r="V30" s="53">
        <f t="shared" ca="1" si="9"/>
        <v>6394.0767034938781</v>
      </c>
      <c r="W30" s="53">
        <f t="shared" ca="1" si="9"/>
        <v>6966.4728107913343</v>
      </c>
      <c r="X30" s="53">
        <f t="shared" ca="1" si="9"/>
        <v>3325.087327003368</v>
      </c>
      <c r="Y30" s="423">
        <f ca="1">SUM(D30:X30)</f>
        <v>51271.05813051921</v>
      </c>
      <c r="AA30" s="130">
        <f t="shared" si="0"/>
        <v>24</v>
      </c>
    </row>
    <row r="31" spans="1:27" s="8" customFormat="1">
      <c r="A31" s="137" t="s">
        <v>238</v>
      </c>
      <c r="D31" s="35">
        <f t="shared" ref="D31:X31" si="10">Tax</f>
        <v>0.15</v>
      </c>
      <c r="E31" s="35">
        <f t="shared" si="10"/>
        <v>0.15</v>
      </c>
      <c r="F31" s="35">
        <f t="shared" si="10"/>
        <v>0.15</v>
      </c>
      <c r="G31" s="35">
        <f t="shared" si="10"/>
        <v>0.15</v>
      </c>
      <c r="H31" s="35">
        <f t="shared" si="10"/>
        <v>0.15</v>
      </c>
      <c r="I31" s="35">
        <f t="shared" si="10"/>
        <v>0.15</v>
      </c>
      <c r="J31" s="35">
        <f t="shared" si="10"/>
        <v>0.15</v>
      </c>
      <c r="K31" s="35">
        <f t="shared" si="10"/>
        <v>0.15</v>
      </c>
      <c r="L31" s="35">
        <f t="shared" si="10"/>
        <v>0.15</v>
      </c>
      <c r="M31" s="35">
        <f t="shared" si="10"/>
        <v>0.15</v>
      </c>
      <c r="N31" s="35">
        <f t="shared" si="10"/>
        <v>0.15</v>
      </c>
      <c r="O31" s="35">
        <f t="shared" si="10"/>
        <v>0.15</v>
      </c>
      <c r="P31" s="35">
        <f t="shared" si="10"/>
        <v>0.15</v>
      </c>
      <c r="Q31" s="35">
        <f t="shared" si="10"/>
        <v>0.15</v>
      </c>
      <c r="R31" s="35">
        <f t="shared" si="10"/>
        <v>0.15</v>
      </c>
      <c r="S31" s="35">
        <f t="shared" si="10"/>
        <v>0.15</v>
      </c>
      <c r="T31" s="35">
        <f t="shared" si="10"/>
        <v>0.15</v>
      </c>
      <c r="U31" s="35">
        <f t="shared" si="10"/>
        <v>0.15</v>
      </c>
      <c r="V31" s="35">
        <f t="shared" si="10"/>
        <v>0.15</v>
      </c>
      <c r="W31" s="35">
        <f t="shared" si="10"/>
        <v>0.15</v>
      </c>
      <c r="X31" s="35">
        <f t="shared" si="10"/>
        <v>0.15</v>
      </c>
      <c r="Y31" s="451"/>
      <c r="AA31" s="130">
        <f t="shared" si="0"/>
        <v>25</v>
      </c>
    </row>
    <row r="32" spans="1:27" s="8" customFormat="1">
      <c r="A32" s="137" t="s">
        <v>519</v>
      </c>
      <c r="D32" s="53">
        <f t="shared" ref="D32:U32" ca="1" si="11">D31*D30</f>
        <v>0</v>
      </c>
      <c r="E32" s="53">
        <f t="shared" ca="1" si="11"/>
        <v>0</v>
      </c>
      <c r="F32" s="53">
        <f t="shared" ca="1" si="11"/>
        <v>0</v>
      </c>
      <c r="G32" s="53">
        <f t="shared" ca="1" si="11"/>
        <v>0</v>
      </c>
      <c r="H32" s="53">
        <f t="shared" ca="1" si="11"/>
        <v>0</v>
      </c>
      <c r="I32" s="53">
        <f t="shared" ca="1" si="11"/>
        <v>0</v>
      </c>
      <c r="J32" s="53">
        <f t="shared" ca="1" si="11"/>
        <v>0</v>
      </c>
      <c r="K32" s="53">
        <f t="shared" ca="1" si="11"/>
        <v>0</v>
      </c>
      <c r="L32" s="53">
        <f t="shared" ca="1" si="11"/>
        <v>89.481588071867208</v>
      </c>
      <c r="M32" s="53">
        <f t="shared" ca="1" si="11"/>
        <v>245.62627181160417</v>
      </c>
      <c r="N32" s="53">
        <f t="shared" ca="1" si="11"/>
        <v>343.55332317739771</v>
      </c>
      <c r="O32" s="53">
        <f t="shared" ca="1" si="11"/>
        <v>408.76128579590255</v>
      </c>
      <c r="P32" s="53">
        <f t="shared" ca="1" si="11"/>
        <v>493.97787486593887</v>
      </c>
      <c r="Q32" s="53">
        <f t="shared" ca="1" si="11"/>
        <v>582.3163482241265</v>
      </c>
      <c r="R32" s="53">
        <f t="shared" ca="1" si="11"/>
        <v>521.42375600889818</v>
      </c>
      <c r="S32" s="53">
        <f t="shared" ca="1" si="11"/>
        <v>739.51345477604718</v>
      </c>
      <c r="T32" s="53">
        <f t="shared" ca="1" si="11"/>
        <v>848.65906629606741</v>
      </c>
      <c r="U32" s="53">
        <f t="shared" ca="1" si="11"/>
        <v>914.5002243567443</v>
      </c>
      <c r="V32" s="53">
        <f ca="1">V31*V30</f>
        <v>959.11150552408162</v>
      </c>
      <c r="W32" s="53">
        <f ca="1">W31*W30</f>
        <v>1044.9709216187</v>
      </c>
      <c r="X32" s="53">
        <f ca="1">X31*X30</f>
        <v>498.76309905050516</v>
      </c>
      <c r="Y32" s="423">
        <f ca="1">SUM(D32:X32)</f>
        <v>7690.6587195778811</v>
      </c>
      <c r="AA32" s="130">
        <f t="shared" si="0"/>
        <v>26</v>
      </c>
    </row>
    <row r="33" spans="1:27" s="8" customFormat="1">
      <c r="A33" s="13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451"/>
      <c r="AA33" s="130">
        <f t="shared" si="0"/>
        <v>27</v>
      </c>
    </row>
    <row r="34" spans="1:27" s="8" customFormat="1">
      <c r="A34" s="75" t="s">
        <v>461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451"/>
      <c r="AA34" s="130">
        <f t="shared" si="0"/>
        <v>28</v>
      </c>
    </row>
    <row r="35" spans="1:27" s="8" customFormat="1">
      <c r="A35" s="137" t="s">
        <v>557</v>
      </c>
      <c r="D35" s="53">
        <f ca="1">D$30</f>
        <v>0</v>
      </c>
      <c r="E35" s="53">
        <f t="shared" ref="E35:X35" ca="1" si="12">E$30</f>
        <v>0</v>
      </c>
      <c r="F35" s="53">
        <f t="shared" ca="1" si="12"/>
        <v>0</v>
      </c>
      <c r="G35" s="53">
        <f t="shared" ca="1" si="12"/>
        <v>0</v>
      </c>
      <c r="H35" s="53">
        <f t="shared" ca="1" si="12"/>
        <v>0</v>
      </c>
      <c r="I35" s="53">
        <f t="shared" ca="1" si="12"/>
        <v>0</v>
      </c>
      <c r="J35" s="53">
        <f t="shared" ca="1" si="12"/>
        <v>0</v>
      </c>
      <c r="K35" s="53">
        <f t="shared" ca="1" si="12"/>
        <v>0</v>
      </c>
      <c r="L35" s="53">
        <f t="shared" ca="1" si="12"/>
        <v>596.54392047911472</v>
      </c>
      <c r="M35" s="53">
        <f t="shared" ca="1" si="12"/>
        <v>1637.5084787440278</v>
      </c>
      <c r="N35" s="53">
        <f t="shared" ca="1" si="12"/>
        <v>2290.3554878493183</v>
      </c>
      <c r="O35" s="53">
        <f t="shared" ca="1" si="12"/>
        <v>2725.0752386393506</v>
      </c>
      <c r="P35" s="53">
        <f t="shared" ca="1" si="12"/>
        <v>3293.1858324395926</v>
      </c>
      <c r="Q35" s="53">
        <f t="shared" ca="1" si="12"/>
        <v>3882.1089881608432</v>
      </c>
      <c r="R35" s="53">
        <f t="shared" ca="1" si="12"/>
        <v>3476.1583733926545</v>
      </c>
      <c r="S35" s="53">
        <f t="shared" ca="1" si="12"/>
        <v>4930.0896985069812</v>
      </c>
      <c r="T35" s="53">
        <f t="shared" ca="1" si="12"/>
        <v>5657.7271086404498</v>
      </c>
      <c r="U35" s="53">
        <f t="shared" ca="1" si="12"/>
        <v>6096.6681623782952</v>
      </c>
      <c r="V35" s="53">
        <f t="shared" ca="1" si="12"/>
        <v>6394.0767034938781</v>
      </c>
      <c r="W35" s="53">
        <f t="shared" ca="1" si="12"/>
        <v>6966.4728107913343</v>
      </c>
      <c r="X35" s="53">
        <f t="shared" ca="1" si="12"/>
        <v>3325.087327003368</v>
      </c>
      <c r="Y35" s="423">
        <f ca="1">SUM(D35:X35)</f>
        <v>51271.05813051921</v>
      </c>
      <c r="AA35" s="130">
        <f t="shared" si="0"/>
        <v>29</v>
      </c>
    </row>
    <row r="36" spans="1:27" s="8" customFormat="1">
      <c r="A36" s="137" t="s">
        <v>487</v>
      </c>
      <c r="D36" s="228">
        <f ca="1">IF(D35&lt;=Assm!$L$9/CF!E$13,0,-Assm!$L$9/CF!E$13*D$9/12)</f>
        <v>0</v>
      </c>
      <c r="E36" s="228">
        <f ca="1">IF(E35&lt;=Assm!$L$9/CF!F$13,0,-Assm!$L$9/CF!F$13*E$9/12)</f>
        <v>0</v>
      </c>
      <c r="F36" s="228">
        <f ca="1">IF(F35&lt;=Assm!$L$9/CF!G$13,0,-Assm!$L$9/CF!G$13*F$9/12)</f>
        <v>0</v>
      </c>
      <c r="G36" s="228">
        <f ca="1">IF(G35&lt;=Assm!$L$9/CF!H$13,0,-Assm!$L$9/CF!H$13*G$9/12)</f>
        <v>0</v>
      </c>
      <c r="H36" s="228">
        <f ca="1">IF(H35&lt;=Assm!$L$9/CF!I$13,0,-Assm!$L$9/CF!I$13*H$9/12)</f>
        <v>0</v>
      </c>
      <c r="I36" s="228">
        <f ca="1">IF(I35&lt;=Assm!$L$9/CF!J$13,0,-Assm!$L$9/CF!J$13*I$9/12)</f>
        <v>0</v>
      </c>
      <c r="J36" s="228">
        <f ca="1">IF(J35&lt;=Assm!$L$9/CF!K$13,0,-Assm!$L$9/CF!K$13*J$9/12)</f>
        <v>0</v>
      </c>
      <c r="K36" s="228">
        <f ca="1">IF(K35&lt;=Assm!$L$9/CF!L$13,0,-Assm!$L$9/CF!L$13*K$9/12)</f>
        <v>0</v>
      </c>
      <c r="L36" s="228">
        <f ca="1">IF(L35&lt;=Assm!$L$9/CF!M$13,0,-Assm!$L$9/CF!M$13*L$9/12)</f>
        <v>-225.35211267605635</v>
      </c>
      <c r="M36" s="228">
        <f ca="1">IF(M35&lt;=Assm!$L$9/CF!N$13,0,-Assm!$L$9/CF!N$13*M$9/12)</f>
        <v>-225.35211267605635</v>
      </c>
      <c r="N36" s="228">
        <f ca="1">IF(N35&lt;=Assm!$L$9/CF!O$13,0,-Assm!$L$9/CF!O$13*N$9/12)</f>
        <v>-225.35211267605635</v>
      </c>
      <c r="O36" s="228">
        <f ca="1">IF(O35&lt;=Assm!$L$9/CF!P$13,0,-Assm!$L$9/CF!P$13*O$9/12)</f>
        <v>-225.35211267605635</v>
      </c>
      <c r="P36" s="228">
        <f ca="1">IF(P35&lt;=Assm!$L$9/CF!Q$13,0,-Assm!$L$9/CF!Q$13*P$9/12)</f>
        <v>-225.35211267605635</v>
      </c>
      <c r="Q36" s="228">
        <f ca="1">IF(Q35&lt;=Assm!$L$9/CF!R$13,0,-Assm!$L$9/CF!R$13*Q$9/12)</f>
        <v>-225.35211267605635</v>
      </c>
      <c r="R36" s="228">
        <f ca="1">IF(R35&lt;=Assm!$L$9/CF!S$13,0,-Assm!$L$9/CF!S$13*R$9/12)</f>
        <v>-225.35211267605635</v>
      </c>
      <c r="S36" s="228">
        <f ca="1">IF(S35&lt;=Assm!$L$9/CF!T$13,0,-Assm!$L$9/CF!T$13*S$9/12)</f>
        <v>-225.35211267605635</v>
      </c>
      <c r="T36" s="228">
        <f ca="1">IF(T35&lt;=Assm!$L$9/CF!U$13,0,-Assm!$L$9/CF!U$13*T$9/12)</f>
        <v>-225.35211267605635</v>
      </c>
      <c r="U36" s="228">
        <f ca="1">IF(U35&lt;=Assm!$L$9/CF!V$13,0,-Assm!$L$9/CF!V$13*U$9/12)</f>
        <v>-225.35211267605635</v>
      </c>
      <c r="V36" s="228">
        <f ca="1">IF(V35&lt;=Assm!$L$9/CF!W$13,0,-Assm!$L$9/CF!W$13*V$9/12)</f>
        <v>-225.35211267605635</v>
      </c>
      <c r="W36" s="228">
        <f ca="1">IF(W35&lt;=Assm!$L$9/CF!X$13,0,-Assm!$L$9/CF!X$13*W$9/12)</f>
        <v>-225.35211267605635</v>
      </c>
      <c r="X36" s="228">
        <f ca="1">IF(X35&lt;=Assm!$L$9/CF!Y$13,0,-Assm!$L$9/CF!Y$13*X$9/12)</f>
        <v>-75.117370892018783</v>
      </c>
      <c r="Y36" s="424">
        <f ca="1">SUM(D36:X36)</f>
        <v>-2779.3427230046955</v>
      </c>
      <c r="AA36" s="130">
        <f t="shared" si="0"/>
        <v>30</v>
      </c>
    </row>
    <row r="37" spans="1:27" s="8" customFormat="1">
      <c r="A37" s="137" t="s">
        <v>520</v>
      </c>
      <c r="D37" s="53">
        <f ca="1">SUM(D35:D36)</f>
        <v>0</v>
      </c>
      <c r="E37" s="53">
        <f t="shared" ref="E37:U37" ca="1" si="13">SUM(E35:E36)</f>
        <v>0</v>
      </c>
      <c r="F37" s="53">
        <f t="shared" ca="1" si="13"/>
        <v>0</v>
      </c>
      <c r="G37" s="53">
        <f t="shared" ca="1" si="13"/>
        <v>0</v>
      </c>
      <c r="H37" s="53">
        <f t="shared" ca="1" si="13"/>
        <v>0</v>
      </c>
      <c r="I37" s="53">
        <f t="shared" ca="1" si="13"/>
        <v>0</v>
      </c>
      <c r="J37" s="53">
        <f t="shared" ca="1" si="13"/>
        <v>0</v>
      </c>
      <c r="K37" s="53">
        <f t="shared" ca="1" si="13"/>
        <v>0</v>
      </c>
      <c r="L37" s="53">
        <f t="shared" ca="1" si="13"/>
        <v>371.1918078030584</v>
      </c>
      <c r="M37" s="53">
        <f t="shared" ca="1" si="13"/>
        <v>1412.1563660679715</v>
      </c>
      <c r="N37" s="53">
        <f t="shared" ca="1" si="13"/>
        <v>2065.0033751732617</v>
      </c>
      <c r="O37" s="53">
        <f t="shared" ca="1" si="13"/>
        <v>2499.723125963294</v>
      </c>
      <c r="P37" s="53">
        <f t="shared" ca="1" si="13"/>
        <v>3067.833719763536</v>
      </c>
      <c r="Q37" s="53">
        <f t="shared" ca="1" si="13"/>
        <v>3656.7568754847866</v>
      </c>
      <c r="R37" s="53">
        <f t="shared" ca="1" si="13"/>
        <v>3250.806260716598</v>
      </c>
      <c r="S37" s="53">
        <f t="shared" ca="1" si="13"/>
        <v>4704.7375858309251</v>
      </c>
      <c r="T37" s="53">
        <f t="shared" ca="1" si="13"/>
        <v>5432.3749959643937</v>
      </c>
      <c r="U37" s="53">
        <f t="shared" ca="1" si="13"/>
        <v>5871.3160497022391</v>
      </c>
      <c r="V37" s="53">
        <f ca="1">SUM(V35:V36)</f>
        <v>6168.724590817822</v>
      </c>
      <c r="W37" s="53">
        <f ca="1">SUM(W35:W36)</f>
        <v>6741.1206981152782</v>
      </c>
      <c r="X37" s="53">
        <f ca="1">SUM(X35:X36)</f>
        <v>3249.9699561113493</v>
      </c>
      <c r="Y37" s="423">
        <f ca="1">SUM(D37:X37)</f>
        <v>48491.715407514515</v>
      </c>
      <c r="AA37" s="130">
        <f t="shared" si="0"/>
        <v>31</v>
      </c>
    </row>
    <row r="38" spans="1:27" s="8" customFormat="1">
      <c r="A38" s="137" t="s">
        <v>521</v>
      </c>
      <c r="D38" s="35">
        <f>Add_Tax</f>
        <v>0.1</v>
      </c>
      <c r="E38" s="35">
        <f t="shared" ref="E38:X38" si="14">Add_Tax</f>
        <v>0.1</v>
      </c>
      <c r="F38" s="35">
        <f t="shared" si="14"/>
        <v>0.1</v>
      </c>
      <c r="G38" s="35">
        <f t="shared" si="14"/>
        <v>0.1</v>
      </c>
      <c r="H38" s="35">
        <f t="shared" si="14"/>
        <v>0.1</v>
      </c>
      <c r="I38" s="35">
        <f t="shared" si="14"/>
        <v>0.1</v>
      </c>
      <c r="J38" s="35">
        <f t="shared" si="14"/>
        <v>0.1</v>
      </c>
      <c r="K38" s="35">
        <f t="shared" si="14"/>
        <v>0.1</v>
      </c>
      <c r="L38" s="35">
        <f t="shared" si="14"/>
        <v>0.1</v>
      </c>
      <c r="M38" s="35">
        <f t="shared" si="14"/>
        <v>0.1</v>
      </c>
      <c r="N38" s="35">
        <f t="shared" si="14"/>
        <v>0.1</v>
      </c>
      <c r="O38" s="35">
        <f t="shared" si="14"/>
        <v>0.1</v>
      </c>
      <c r="P38" s="35">
        <f t="shared" si="14"/>
        <v>0.1</v>
      </c>
      <c r="Q38" s="35">
        <f t="shared" si="14"/>
        <v>0.1</v>
      </c>
      <c r="R38" s="35">
        <f t="shared" si="14"/>
        <v>0.1</v>
      </c>
      <c r="S38" s="35">
        <f t="shared" si="14"/>
        <v>0.1</v>
      </c>
      <c r="T38" s="35">
        <f t="shared" si="14"/>
        <v>0.1</v>
      </c>
      <c r="U38" s="35">
        <f t="shared" si="14"/>
        <v>0.1</v>
      </c>
      <c r="V38" s="35">
        <f t="shared" si="14"/>
        <v>0.1</v>
      </c>
      <c r="W38" s="35">
        <f t="shared" si="14"/>
        <v>0.1</v>
      </c>
      <c r="X38" s="35">
        <f t="shared" si="14"/>
        <v>0.1</v>
      </c>
      <c r="Y38" s="451"/>
      <c r="AA38" s="130">
        <f t="shared" si="0"/>
        <v>32</v>
      </c>
    </row>
    <row r="39" spans="1:27" s="8" customFormat="1">
      <c r="A39" s="137" t="s">
        <v>522</v>
      </c>
      <c r="D39" s="53">
        <f t="shared" ref="D39:U39" ca="1" si="15">D38*D37</f>
        <v>0</v>
      </c>
      <c r="E39" s="53">
        <f t="shared" ca="1" si="15"/>
        <v>0</v>
      </c>
      <c r="F39" s="53">
        <f t="shared" ca="1" si="15"/>
        <v>0</v>
      </c>
      <c r="G39" s="53">
        <f t="shared" ca="1" si="15"/>
        <v>0</v>
      </c>
      <c r="H39" s="53">
        <f t="shared" ca="1" si="15"/>
        <v>0</v>
      </c>
      <c r="I39" s="53">
        <f t="shared" ca="1" si="15"/>
        <v>0</v>
      </c>
      <c r="J39" s="53">
        <f t="shared" ca="1" si="15"/>
        <v>0</v>
      </c>
      <c r="K39" s="53">
        <f t="shared" ca="1" si="15"/>
        <v>0</v>
      </c>
      <c r="L39" s="53">
        <f t="shared" ca="1" si="15"/>
        <v>37.11918078030584</v>
      </c>
      <c r="M39" s="53">
        <f t="shared" ca="1" si="15"/>
        <v>141.21563660679715</v>
      </c>
      <c r="N39" s="53">
        <f t="shared" ca="1" si="15"/>
        <v>206.50033751732619</v>
      </c>
      <c r="O39" s="53">
        <f t="shared" ca="1" si="15"/>
        <v>249.9723125963294</v>
      </c>
      <c r="P39" s="53">
        <f t="shared" ca="1" si="15"/>
        <v>306.78337197635364</v>
      </c>
      <c r="Q39" s="53">
        <f t="shared" ca="1" si="15"/>
        <v>365.67568754847866</v>
      </c>
      <c r="R39" s="53">
        <f t="shared" ca="1" si="15"/>
        <v>325.08062607165982</v>
      </c>
      <c r="S39" s="53">
        <f t="shared" ca="1" si="15"/>
        <v>470.47375858309255</v>
      </c>
      <c r="T39" s="53">
        <f t="shared" ca="1" si="15"/>
        <v>543.23749959643942</v>
      </c>
      <c r="U39" s="53">
        <f t="shared" ca="1" si="15"/>
        <v>587.13160497022398</v>
      </c>
      <c r="V39" s="53">
        <f ca="1">V38*V37</f>
        <v>616.87245908178227</v>
      </c>
      <c r="W39" s="53">
        <f ca="1">W38*W37</f>
        <v>674.11206981152782</v>
      </c>
      <c r="X39" s="53">
        <f ca="1">X38*X37</f>
        <v>324.99699561113493</v>
      </c>
      <c r="Y39" s="423">
        <f ca="1">SUM(D39:X39)</f>
        <v>4849.1715407514512</v>
      </c>
      <c r="AA39" s="130">
        <f t="shared" si="0"/>
        <v>33</v>
      </c>
    </row>
    <row r="40" spans="1:27" s="8" customFormat="1">
      <c r="A40" s="13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451"/>
      <c r="AA40" s="130">
        <f t="shared" si="0"/>
        <v>34</v>
      </c>
    </row>
    <row r="41" spans="1:27" s="8" customFormat="1">
      <c r="A41" s="137" t="s">
        <v>558</v>
      </c>
      <c r="D41" s="53">
        <f ca="1">SUM(D32,D39)</f>
        <v>0</v>
      </c>
      <c r="E41" s="53">
        <f t="shared" ref="E41:U41" ca="1" si="16">SUM(E32,E39)</f>
        <v>0</v>
      </c>
      <c r="F41" s="53">
        <f t="shared" ca="1" si="16"/>
        <v>0</v>
      </c>
      <c r="G41" s="53">
        <f t="shared" ca="1" si="16"/>
        <v>0</v>
      </c>
      <c r="H41" s="53">
        <f t="shared" ca="1" si="16"/>
        <v>0</v>
      </c>
      <c r="I41" s="53">
        <f t="shared" ca="1" si="16"/>
        <v>0</v>
      </c>
      <c r="J41" s="53">
        <f t="shared" ca="1" si="16"/>
        <v>0</v>
      </c>
      <c r="K41" s="53">
        <f t="shared" ca="1" si="16"/>
        <v>0</v>
      </c>
      <c r="L41" s="53">
        <f t="shared" ca="1" si="16"/>
        <v>126.60076885217305</v>
      </c>
      <c r="M41" s="53">
        <f t="shared" ca="1" si="16"/>
        <v>386.84190841840132</v>
      </c>
      <c r="N41" s="53">
        <f t="shared" ca="1" si="16"/>
        <v>550.05366069472393</v>
      </c>
      <c r="O41" s="53">
        <f t="shared" ca="1" si="16"/>
        <v>658.7335983922319</v>
      </c>
      <c r="P41" s="53">
        <f t="shared" ca="1" si="16"/>
        <v>800.76124684229251</v>
      </c>
      <c r="Q41" s="53">
        <f t="shared" ca="1" si="16"/>
        <v>947.99203577260516</v>
      </c>
      <c r="R41" s="53">
        <f t="shared" ca="1" si="16"/>
        <v>846.504382080558</v>
      </c>
      <c r="S41" s="53">
        <f t="shared" ca="1" si="16"/>
        <v>1209.9872133591398</v>
      </c>
      <c r="T41" s="53">
        <f t="shared" ca="1" si="16"/>
        <v>1391.8965658925067</v>
      </c>
      <c r="U41" s="53">
        <f t="shared" ca="1" si="16"/>
        <v>1501.6318293269683</v>
      </c>
      <c r="V41" s="53">
        <f ca="1">SUM(V32,V39)</f>
        <v>1575.983964605864</v>
      </c>
      <c r="W41" s="53">
        <f ca="1">SUM(W32,W39)</f>
        <v>1719.0829914302278</v>
      </c>
      <c r="X41" s="53">
        <f ca="1">SUM(X32,X39)</f>
        <v>823.7600946616401</v>
      </c>
      <c r="Y41" s="423">
        <f ca="1">SUM(D41:X41)</f>
        <v>12539.830260329334</v>
      </c>
      <c r="AA41" s="130">
        <f t="shared" si="0"/>
        <v>35</v>
      </c>
    </row>
    <row r="42" spans="1:27" s="8" customFormat="1">
      <c r="A42" s="137" t="s">
        <v>910</v>
      </c>
      <c r="D42" s="228">
        <f ca="1">-Sudam!D44</f>
        <v>0</v>
      </c>
      <c r="E42" s="228">
        <f ca="1">-Sudam!E44</f>
        <v>0</v>
      </c>
      <c r="F42" s="228">
        <f ca="1">-Sudam!F44</f>
        <v>0</v>
      </c>
      <c r="G42" s="228">
        <f ca="1">-Sudam!G44</f>
        <v>0</v>
      </c>
      <c r="H42" s="228">
        <f ca="1">-Sudam!H44</f>
        <v>0</v>
      </c>
      <c r="I42" s="228">
        <f ca="1">-Sudam!I44</f>
        <v>0</v>
      </c>
      <c r="J42" s="228">
        <f ca="1">-Sudam!J44</f>
        <v>0</v>
      </c>
      <c r="K42" s="228">
        <f ca="1">-Sudam!K44</f>
        <v>0</v>
      </c>
      <c r="L42" s="228">
        <f ca="1">-Sudam!L44</f>
        <v>-47.94154722587669</v>
      </c>
      <c r="M42" s="228">
        <f ca="1">-Sudam!M44</f>
        <v>-140.88481135667246</v>
      </c>
      <c r="N42" s="228">
        <f ca="1">-Sudam!N44</f>
        <v>-99.587361441965271</v>
      </c>
      <c r="O42" s="228">
        <f ca="1">-Sudam!O44</f>
        <v>-118.99449317366317</v>
      </c>
      <c r="P42" s="228">
        <f ca="1">-Sudam!P44</f>
        <v>-144.35657325403113</v>
      </c>
      <c r="Q42" s="228">
        <f ca="1">-Sudam!Q44</f>
        <v>-170.64778556301553</v>
      </c>
      <c r="R42" s="228">
        <f ca="1">-Sudam!R44</f>
        <v>-152.52499026086423</v>
      </c>
      <c r="S42" s="228">
        <f ca="1">-Sudam!S44</f>
        <v>0</v>
      </c>
      <c r="T42" s="228">
        <f ca="1">-Sudam!T44</f>
        <v>0</v>
      </c>
      <c r="U42" s="228">
        <f ca="1">-Sudam!U44</f>
        <v>0</v>
      </c>
      <c r="V42" s="228">
        <f ca="1">-Sudam!V44</f>
        <v>0</v>
      </c>
      <c r="W42" s="228">
        <f ca="1">-Sudam!W44</f>
        <v>0</v>
      </c>
      <c r="X42" s="228">
        <f ca="1">-Sudam!X44</f>
        <v>0</v>
      </c>
      <c r="Y42" s="424">
        <f ca="1">SUM(D42:X42)</f>
        <v>-874.93756227608844</v>
      </c>
      <c r="AA42" s="130">
        <f t="shared" si="0"/>
        <v>36</v>
      </c>
    </row>
    <row r="43" spans="1:27" s="8" customFormat="1">
      <c r="A43" s="137" t="s">
        <v>559</v>
      </c>
      <c r="D43" s="53">
        <f ca="1">SUM(D41:D42)</f>
        <v>0</v>
      </c>
      <c r="E43" s="53">
        <f t="shared" ref="E43:U43" ca="1" si="17">SUM(E41:E42)</f>
        <v>0</v>
      </c>
      <c r="F43" s="53">
        <f t="shared" ca="1" si="17"/>
        <v>0</v>
      </c>
      <c r="G43" s="53">
        <f t="shared" ca="1" si="17"/>
        <v>0</v>
      </c>
      <c r="H43" s="53">
        <f t="shared" ca="1" si="17"/>
        <v>0</v>
      </c>
      <c r="I43" s="53">
        <f t="shared" ca="1" si="17"/>
        <v>0</v>
      </c>
      <c r="J43" s="53">
        <f t="shared" ca="1" si="17"/>
        <v>0</v>
      </c>
      <c r="K43" s="53">
        <f t="shared" ca="1" si="17"/>
        <v>0</v>
      </c>
      <c r="L43" s="53">
        <f t="shared" ca="1" si="17"/>
        <v>78.659221626296357</v>
      </c>
      <c r="M43" s="53">
        <f t="shared" ca="1" si="17"/>
        <v>245.95709706172886</v>
      </c>
      <c r="N43" s="53">
        <f t="shared" ca="1" si="17"/>
        <v>450.46629925275863</v>
      </c>
      <c r="O43" s="53">
        <f t="shared" ca="1" si="17"/>
        <v>539.73910521856874</v>
      </c>
      <c r="P43" s="53">
        <f t="shared" ca="1" si="17"/>
        <v>656.4046735882614</v>
      </c>
      <c r="Q43" s="53">
        <f t="shared" ca="1" si="17"/>
        <v>777.34425020958963</v>
      </c>
      <c r="R43" s="53">
        <f t="shared" ca="1" si="17"/>
        <v>693.97939181969377</v>
      </c>
      <c r="S43" s="53">
        <f t="shared" ca="1" si="17"/>
        <v>1209.9872133591398</v>
      </c>
      <c r="T43" s="53">
        <f t="shared" ca="1" si="17"/>
        <v>1391.8965658925067</v>
      </c>
      <c r="U43" s="53">
        <f t="shared" ca="1" si="17"/>
        <v>1501.6318293269683</v>
      </c>
      <c r="V43" s="53">
        <f ca="1">SUM(V41:V42)</f>
        <v>1575.983964605864</v>
      </c>
      <c r="W43" s="53">
        <f ca="1">SUM(W41:W42)</f>
        <v>1719.0829914302278</v>
      </c>
      <c r="X43" s="53">
        <f ca="1">SUM(X41:X42)</f>
        <v>823.7600946616401</v>
      </c>
      <c r="Y43" s="423">
        <f ca="1">SUM(D43:X43)</f>
        <v>11664.892698053245</v>
      </c>
      <c r="AA43" s="130">
        <f t="shared" si="0"/>
        <v>37</v>
      </c>
    </row>
    <row r="44" spans="1:27" s="8" customFormat="1">
      <c r="A44" s="13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451"/>
      <c r="AA44" s="130">
        <f t="shared" si="0"/>
        <v>38</v>
      </c>
    </row>
    <row r="45" spans="1:27" s="8" customFormat="1">
      <c r="A45" s="75" t="s">
        <v>488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51"/>
      <c r="AA45" s="130">
        <f t="shared" si="0"/>
        <v>39</v>
      </c>
    </row>
    <row r="46" spans="1:27" s="8" customFormat="1">
      <c r="A46" s="137" t="s">
        <v>557</v>
      </c>
      <c r="D46" s="53">
        <f t="shared" ref="D46:X46" ca="1" si="18">D$30</f>
        <v>0</v>
      </c>
      <c r="E46" s="53">
        <f t="shared" ca="1" si="18"/>
        <v>0</v>
      </c>
      <c r="F46" s="53">
        <f t="shared" ca="1" si="18"/>
        <v>0</v>
      </c>
      <c r="G46" s="53">
        <f t="shared" ca="1" si="18"/>
        <v>0</v>
      </c>
      <c r="H46" s="53">
        <f t="shared" ca="1" si="18"/>
        <v>0</v>
      </c>
      <c r="I46" s="53">
        <f t="shared" ca="1" si="18"/>
        <v>0</v>
      </c>
      <c r="J46" s="53">
        <f t="shared" ca="1" si="18"/>
        <v>0</v>
      </c>
      <c r="K46" s="53">
        <f t="shared" ca="1" si="18"/>
        <v>0</v>
      </c>
      <c r="L46" s="53">
        <f t="shared" ca="1" si="18"/>
        <v>596.54392047911472</v>
      </c>
      <c r="M46" s="53">
        <f t="shared" ca="1" si="18"/>
        <v>1637.5084787440278</v>
      </c>
      <c r="N46" s="53">
        <f t="shared" ca="1" si="18"/>
        <v>2290.3554878493183</v>
      </c>
      <c r="O46" s="53">
        <f t="shared" ca="1" si="18"/>
        <v>2725.0752386393506</v>
      </c>
      <c r="P46" s="53">
        <f t="shared" ca="1" si="18"/>
        <v>3293.1858324395926</v>
      </c>
      <c r="Q46" s="53">
        <f t="shared" ca="1" si="18"/>
        <v>3882.1089881608432</v>
      </c>
      <c r="R46" s="53">
        <f t="shared" ca="1" si="18"/>
        <v>3476.1583733926545</v>
      </c>
      <c r="S46" s="53">
        <f t="shared" ca="1" si="18"/>
        <v>4930.0896985069812</v>
      </c>
      <c r="T46" s="53">
        <f t="shared" ca="1" si="18"/>
        <v>5657.7271086404498</v>
      </c>
      <c r="U46" s="53">
        <f t="shared" ca="1" si="18"/>
        <v>6096.6681623782952</v>
      </c>
      <c r="V46" s="53">
        <f t="shared" ca="1" si="18"/>
        <v>6394.0767034938781</v>
      </c>
      <c r="W46" s="53">
        <f t="shared" ca="1" si="18"/>
        <v>6966.4728107913343</v>
      </c>
      <c r="X46" s="53">
        <f t="shared" ca="1" si="18"/>
        <v>3325.087327003368</v>
      </c>
      <c r="Y46" s="423">
        <f ca="1">SUM(D46:X46)</f>
        <v>51271.05813051921</v>
      </c>
      <c r="AA46" s="130">
        <f t="shared" si="0"/>
        <v>40</v>
      </c>
    </row>
    <row r="47" spans="1:27" s="8" customFormat="1">
      <c r="A47" s="137" t="s">
        <v>523</v>
      </c>
      <c r="D47" s="35">
        <f>Soc_Tax</f>
        <v>0.08</v>
      </c>
      <c r="E47" s="35">
        <f t="shared" ref="E47:X47" si="19">Soc_Tax</f>
        <v>0.08</v>
      </c>
      <c r="F47" s="35">
        <f t="shared" si="19"/>
        <v>0.08</v>
      </c>
      <c r="G47" s="35">
        <f t="shared" si="19"/>
        <v>0.08</v>
      </c>
      <c r="H47" s="35">
        <f t="shared" si="19"/>
        <v>0.08</v>
      </c>
      <c r="I47" s="35">
        <f t="shared" si="19"/>
        <v>0.08</v>
      </c>
      <c r="J47" s="35">
        <f t="shared" si="19"/>
        <v>0.08</v>
      </c>
      <c r="K47" s="35">
        <f t="shared" si="19"/>
        <v>0.08</v>
      </c>
      <c r="L47" s="35">
        <f t="shared" si="19"/>
        <v>0.08</v>
      </c>
      <c r="M47" s="35">
        <f t="shared" si="19"/>
        <v>0.08</v>
      </c>
      <c r="N47" s="35">
        <f t="shared" si="19"/>
        <v>0.08</v>
      </c>
      <c r="O47" s="35">
        <f t="shared" si="19"/>
        <v>0.08</v>
      </c>
      <c r="P47" s="35">
        <f t="shared" si="19"/>
        <v>0.08</v>
      </c>
      <c r="Q47" s="35">
        <f t="shared" si="19"/>
        <v>0.08</v>
      </c>
      <c r="R47" s="35">
        <f t="shared" si="19"/>
        <v>0.08</v>
      </c>
      <c r="S47" s="35">
        <f t="shared" si="19"/>
        <v>0.08</v>
      </c>
      <c r="T47" s="35">
        <f t="shared" si="19"/>
        <v>0.08</v>
      </c>
      <c r="U47" s="35">
        <f t="shared" si="19"/>
        <v>0.08</v>
      </c>
      <c r="V47" s="35">
        <f t="shared" si="19"/>
        <v>0.08</v>
      </c>
      <c r="W47" s="35">
        <f t="shared" si="19"/>
        <v>0.08</v>
      </c>
      <c r="X47" s="35">
        <f t="shared" si="19"/>
        <v>0.08</v>
      </c>
      <c r="Y47" s="451"/>
      <c r="AA47" s="130">
        <f t="shared" si="0"/>
        <v>41</v>
      </c>
    </row>
    <row r="48" spans="1:27" s="8" customFormat="1">
      <c r="A48" s="137" t="s">
        <v>524</v>
      </c>
      <c r="D48" s="53">
        <f t="shared" ref="D48:X48" ca="1" si="20">D47*D46</f>
        <v>0</v>
      </c>
      <c r="E48" s="53">
        <f t="shared" ca="1" si="20"/>
        <v>0</v>
      </c>
      <c r="F48" s="53">
        <f t="shared" ca="1" si="20"/>
        <v>0</v>
      </c>
      <c r="G48" s="53">
        <f t="shared" ca="1" si="20"/>
        <v>0</v>
      </c>
      <c r="H48" s="53">
        <f t="shared" ca="1" si="20"/>
        <v>0</v>
      </c>
      <c r="I48" s="53">
        <f t="shared" ca="1" si="20"/>
        <v>0</v>
      </c>
      <c r="J48" s="53">
        <f t="shared" ca="1" si="20"/>
        <v>0</v>
      </c>
      <c r="K48" s="53">
        <f t="shared" ca="1" si="20"/>
        <v>0</v>
      </c>
      <c r="L48" s="53">
        <f t="shared" ca="1" si="20"/>
        <v>47.72351363832918</v>
      </c>
      <c r="M48" s="53">
        <f t="shared" ca="1" si="20"/>
        <v>131.00067829952224</v>
      </c>
      <c r="N48" s="53">
        <f t="shared" ca="1" si="20"/>
        <v>183.22843902794546</v>
      </c>
      <c r="O48" s="53">
        <f t="shared" ca="1" si="20"/>
        <v>218.00601909114806</v>
      </c>
      <c r="P48" s="53">
        <f t="shared" ca="1" si="20"/>
        <v>263.4548665951674</v>
      </c>
      <c r="Q48" s="53">
        <f t="shared" ca="1" si="20"/>
        <v>310.56871905286744</v>
      </c>
      <c r="R48" s="53">
        <f t="shared" ca="1" si="20"/>
        <v>278.0926698714124</v>
      </c>
      <c r="S48" s="53">
        <f t="shared" ca="1" si="20"/>
        <v>394.4071758805585</v>
      </c>
      <c r="T48" s="53">
        <f t="shared" ca="1" si="20"/>
        <v>452.61816869123601</v>
      </c>
      <c r="U48" s="53">
        <f t="shared" ca="1" si="20"/>
        <v>487.73345299026363</v>
      </c>
      <c r="V48" s="53">
        <f t="shared" ca="1" si="20"/>
        <v>511.52613627951024</v>
      </c>
      <c r="W48" s="53">
        <f t="shared" ca="1" si="20"/>
        <v>557.31782486330678</v>
      </c>
      <c r="X48" s="53">
        <f t="shared" ca="1" si="20"/>
        <v>266.00698616026943</v>
      </c>
      <c r="Y48" s="423">
        <f ca="1">SUM(D48:X48)</f>
        <v>4101.6846504415371</v>
      </c>
      <c r="AA48" s="130">
        <f t="shared" si="0"/>
        <v>42</v>
      </c>
    </row>
    <row r="49" spans="1:27" s="8" customFormat="1">
      <c r="A49" s="13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451"/>
      <c r="AA49" s="130">
        <f t="shared" si="0"/>
        <v>43</v>
      </c>
    </row>
    <row r="50" spans="1:27" s="8" customFormat="1">
      <c r="A50" s="160" t="s">
        <v>560</v>
      </c>
      <c r="D50" s="53">
        <f t="shared" ref="D50:X50" ca="1" si="21">SUM(D32,D39,D48)</f>
        <v>0</v>
      </c>
      <c r="E50" s="53">
        <f t="shared" ca="1" si="21"/>
        <v>0</v>
      </c>
      <c r="F50" s="53">
        <f t="shared" ca="1" si="21"/>
        <v>0</v>
      </c>
      <c r="G50" s="53">
        <f t="shared" ca="1" si="21"/>
        <v>0</v>
      </c>
      <c r="H50" s="53">
        <f t="shared" ca="1" si="21"/>
        <v>0</v>
      </c>
      <c r="I50" s="53">
        <f t="shared" ca="1" si="21"/>
        <v>0</v>
      </c>
      <c r="J50" s="53">
        <f t="shared" ca="1" si="21"/>
        <v>0</v>
      </c>
      <c r="K50" s="53">
        <f t="shared" ca="1" si="21"/>
        <v>0</v>
      </c>
      <c r="L50" s="53">
        <f t="shared" ca="1" si="21"/>
        <v>174.32428249050224</v>
      </c>
      <c r="M50" s="53">
        <f t="shared" ca="1" si="21"/>
        <v>517.8425867179235</v>
      </c>
      <c r="N50" s="53">
        <f t="shared" ca="1" si="21"/>
        <v>733.28209972266939</v>
      </c>
      <c r="O50" s="53">
        <f t="shared" ca="1" si="21"/>
        <v>876.73961748338002</v>
      </c>
      <c r="P50" s="53">
        <f t="shared" ca="1" si="21"/>
        <v>1064.2161134374599</v>
      </c>
      <c r="Q50" s="53">
        <f t="shared" ca="1" si="21"/>
        <v>1258.5607548254725</v>
      </c>
      <c r="R50" s="53">
        <f t="shared" ca="1" si="21"/>
        <v>1124.5970519519703</v>
      </c>
      <c r="S50" s="53">
        <f t="shared" ca="1" si="21"/>
        <v>1604.3943892396983</v>
      </c>
      <c r="T50" s="53">
        <f t="shared" ca="1" si="21"/>
        <v>1844.5147345837427</v>
      </c>
      <c r="U50" s="53">
        <f t="shared" ca="1" si="21"/>
        <v>1989.365282317232</v>
      </c>
      <c r="V50" s="53">
        <f t="shared" ca="1" si="21"/>
        <v>2087.5101008853744</v>
      </c>
      <c r="W50" s="53">
        <f t="shared" ca="1" si="21"/>
        <v>2276.4008162935347</v>
      </c>
      <c r="X50" s="53">
        <f t="shared" ca="1" si="21"/>
        <v>1089.7670808219095</v>
      </c>
      <c r="Y50" s="423">
        <f ca="1">SUM(D50:X50)</f>
        <v>16641.514910770871</v>
      </c>
      <c r="AA50" s="130">
        <f t="shared" si="0"/>
        <v>44</v>
      </c>
    </row>
    <row r="51" spans="1:27" s="8" customFormat="1">
      <c r="A51" s="160" t="s">
        <v>561</v>
      </c>
      <c r="D51" s="228">
        <f t="shared" ref="D51:X51" ca="1" si="22">D42</f>
        <v>0</v>
      </c>
      <c r="E51" s="228">
        <f t="shared" ca="1" si="22"/>
        <v>0</v>
      </c>
      <c r="F51" s="228">
        <f t="shared" ca="1" si="22"/>
        <v>0</v>
      </c>
      <c r="G51" s="228">
        <f t="shared" ca="1" si="22"/>
        <v>0</v>
      </c>
      <c r="H51" s="228">
        <f t="shared" ca="1" si="22"/>
        <v>0</v>
      </c>
      <c r="I51" s="228">
        <f t="shared" ca="1" si="22"/>
        <v>0</v>
      </c>
      <c r="J51" s="228">
        <f t="shared" ca="1" si="22"/>
        <v>0</v>
      </c>
      <c r="K51" s="228">
        <f t="shared" ca="1" si="22"/>
        <v>0</v>
      </c>
      <c r="L51" s="228">
        <f t="shared" ca="1" si="22"/>
        <v>-47.94154722587669</v>
      </c>
      <c r="M51" s="228">
        <f t="shared" ca="1" si="22"/>
        <v>-140.88481135667246</v>
      </c>
      <c r="N51" s="228">
        <f t="shared" ca="1" si="22"/>
        <v>-99.587361441965271</v>
      </c>
      <c r="O51" s="228">
        <f t="shared" ca="1" si="22"/>
        <v>-118.99449317366317</v>
      </c>
      <c r="P51" s="228">
        <f t="shared" ca="1" si="22"/>
        <v>-144.35657325403113</v>
      </c>
      <c r="Q51" s="228">
        <f t="shared" ca="1" si="22"/>
        <v>-170.64778556301553</v>
      </c>
      <c r="R51" s="228">
        <f t="shared" ca="1" si="22"/>
        <v>-152.52499026086423</v>
      </c>
      <c r="S51" s="228">
        <f t="shared" ca="1" si="22"/>
        <v>0</v>
      </c>
      <c r="T51" s="228">
        <f t="shared" ca="1" si="22"/>
        <v>0</v>
      </c>
      <c r="U51" s="228">
        <f t="shared" ca="1" si="22"/>
        <v>0</v>
      </c>
      <c r="V51" s="228">
        <f t="shared" ca="1" si="22"/>
        <v>0</v>
      </c>
      <c r="W51" s="228">
        <f t="shared" ca="1" si="22"/>
        <v>0</v>
      </c>
      <c r="X51" s="228">
        <f t="shared" ca="1" si="22"/>
        <v>0</v>
      </c>
      <c r="Y51" s="424">
        <f ca="1">SUM(D51:X51)</f>
        <v>-874.93756227608844</v>
      </c>
      <c r="AA51" s="130">
        <f t="shared" si="0"/>
        <v>45</v>
      </c>
    </row>
    <row r="52" spans="1:27">
      <c r="A52" s="75" t="s">
        <v>239</v>
      </c>
      <c r="B52" s="8"/>
      <c r="C52" s="8"/>
      <c r="D52" s="234">
        <f ca="1">SUM(D50:D51)</f>
        <v>0</v>
      </c>
      <c r="E52" s="234">
        <f t="shared" ref="E52:U52" ca="1" si="23">SUM(E50:E51)</f>
        <v>0</v>
      </c>
      <c r="F52" s="234">
        <f t="shared" ca="1" si="23"/>
        <v>0</v>
      </c>
      <c r="G52" s="234">
        <f t="shared" ca="1" si="23"/>
        <v>0</v>
      </c>
      <c r="H52" s="234">
        <f t="shared" ca="1" si="23"/>
        <v>0</v>
      </c>
      <c r="I52" s="234">
        <f t="shared" ca="1" si="23"/>
        <v>0</v>
      </c>
      <c r="J52" s="234">
        <f t="shared" ca="1" si="23"/>
        <v>0</v>
      </c>
      <c r="K52" s="234">
        <f t="shared" ca="1" si="23"/>
        <v>0</v>
      </c>
      <c r="L52" s="234">
        <f t="shared" ca="1" si="23"/>
        <v>126.38273526462555</v>
      </c>
      <c r="M52" s="234">
        <f t="shared" ca="1" si="23"/>
        <v>376.95777536125104</v>
      </c>
      <c r="N52" s="234">
        <f t="shared" ca="1" si="23"/>
        <v>633.69473828070409</v>
      </c>
      <c r="O52" s="234">
        <f t="shared" ca="1" si="23"/>
        <v>757.74512430971686</v>
      </c>
      <c r="P52" s="234">
        <f t="shared" ca="1" si="23"/>
        <v>919.85954018342875</v>
      </c>
      <c r="Q52" s="234">
        <f t="shared" ca="1" si="23"/>
        <v>1087.912969262457</v>
      </c>
      <c r="R52" s="234">
        <f t="shared" ca="1" si="23"/>
        <v>972.07206169110611</v>
      </c>
      <c r="S52" s="234">
        <f t="shared" ca="1" si="23"/>
        <v>1604.3943892396983</v>
      </c>
      <c r="T52" s="234">
        <f t="shared" ca="1" si="23"/>
        <v>1844.5147345837427</v>
      </c>
      <c r="U52" s="234">
        <f t="shared" ca="1" si="23"/>
        <v>1989.365282317232</v>
      </c>
      <c r="V52" s="234">
        <f ca="1">SUM(V50:V51)</f>
        <v>2087.5101008853744</v>
      </c>
      <c r="W52" s="234">
        <f ca="1">SUM(W50:W51)</f>
        <v>2276.4008162935347</v>
      </c>
      <c r="X52" s="234">
        <f ca="1">SUM(X50:X51)</f>
        <v>1089.7670808219095</v>
      </c>
      <c r="Y52" s="425">
        <f ca="1">SUM(D52:X52)</f>
        <v>15766.577348494782</v>
      </c>
      <c r="AA52" s="130">
        <f t="shared" si="0"/>
        <v>46</v>
      </c>
    </row>
    <row r="53" spans="1:27">
      <c r="A53" s="137"/>
      <c r="B53" s="8"/>
      <c r="C53" s="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451"/>
      <c r="AA53" s="130">
        <f t="shared" si="0"/>
        <v>47</v>
      </c>
    </row>
    <row r="54" spans="1:27">
      <c r="A54" s="406" t="s">
        <v>378</v>
      </c>
      <c r="B54" s="10"/>
      <c r="C54" s="10"/>
      <c r="D54" s="112">
        <f t="shared" ref="D54:X54" ca="1" si="24">IF(D30&lt;=0,0,D52/D30)</f>
        <v>0</v>
      </c>
      <c r="E54" s="112">
        <f t="shared" ca="1" si="24"/>
        <v>0</v>
      </c>
      <c r="F54" s="112">
        <f t="shared" ca="1" si="24"/>
        <v>0</v>
      </c>
      <c r="G54" s="112">
        <f t="shared" ca="1" si="24"/>
        <v>0</v>
      </c>
      <c r="H54" s="112">
        <f t="shared" ca="1" si="24"/>
        <v>0</v>
      </c>
      <c r="I54" s="112">
        <f t="shared" ca="1" si="24"/>
        <v>0</v>
      </c>
      <c r="J54" s="112">
        <f t="shared" ca="1" si="24"/>
        <v>0</v>
      </c>
      <c r="K54" s="112">
        <f t="shared" ca="1" si="24"/>
        <v>0</v>
      </c>
      <c r="L54" s="112">
        <f t="shared" ca="1" si="24"/>
        <v>0.21185822355396927</v>
      </c>
      <c r="M54" s="112">
        <f t="shared" ca="1" si="24"/>
        <v>0.23020202964101805</v>
      </c>
      <c r="N54" s="112">
        <f t="shared" ca="1" si="24"/>
        <v>0.276679642807656</v>
      </c>
      <c r="O54" s="112">
        <f t="shared" ca="1" si="24"/>
        <v>0.27806392776445482</v>
      </c>
      <c r="P54" s="112">
        <f t="shared" ca="1" si="24"/>
        <v>0.27932208717841978</v>
      </c>
      <c r="Q54" s="112">
        <f t="shared" ca="1" si="24"/>
        <v>0.28023761635240896</v>
      </c>
      <c r="R54" s="112">
        <f t="shared" ca="1" si="24"/>
        <v>0.27963975091916915</v>
      </c>
      <c r="S54" s="112">
        <f t="shared" ca="1" si="24"/>
        <v>0.32542904639758785</v>
      </c>
      <c r="T54" s="112">
        <f t="shared" ca="1" si="24"/>
        <v>0.32601691441900932</v>
      </c>
      <c r="U54" s="112">
        <f t="shared" ca="1" si="24"/>
        <v>0.32630368413247957</v>
      </c>
      <c r="V54" s="112">
        <f t="shared" ca="1" si="24"/>
        <v>0.32647561136461006</v>
      </c>
      <c r="W54" s="112">
        <f t="shared" ca="1" si="24"/>
        <v>0.32676519066683246</v>
      </c>
      <c r="X54" s="112">
        <f t="shared" ca="1" si="24"/>
        <v>0.32774089028333231</v>
      </c>
      <c r="Y54" s="421"/>
      <c r="AA54" s="130">
        <f t="shared" si="0"/>
        <v>48</v>
      </c>
    </row>
    <row r="55" spans="1:27">
      <c r="A55" s="137"/>
      <c r="B55" s="8"/>
      <c r="C55" s="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558"/>
      <c r="AA55" s="130">
        <f t="shared" si="0"/>
        <v>49</v>
      </c>
    </row>
    <row r="56" spans="1:27" s="8" customFormat="1">
      <c r="A56" s="75" t="s">
        <v>240</v>
      </c>
      <c r="B56" s="32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559"/>
      <c r="AA56" s="130">
        <f t="shared" si="0"/>
        <v>50</v>
      </c>
    </row>
    <row r="57" spans="1:27">
      <c r="A57" s="137" t="s">
        <v>562</v>
      </c>
      <c r="B57" s="8"/>
      <c r="C57" s="8"/>
      <c r="D57" s="53">
        <f t="shared" ref="D57:X57" ca="1" si="25">D32</f>
        <v>0</v>
      </c>
      <c r="E57" s="53">
        <f t="shared" ca="1" si="25"/>
        <v>0</v>
      </c>
      <c r="F57" s="53">
        <f t="shared" ca="1" si="25"/>
        <v>0</v>
      </c>
      <c r="G57" s="53">
        <f t="shared" ca="1" si="25"/>
        <v>0</v>
      </c>
      <c r="H57" s="53">
        <f t="shared" ca="1" si="25"/>
        <v>0</v>
      </c>
      <c r="I57" s="53">
        <f t="shared" ca="1" si="25"/>
        <v>0</v>
      </c>
      <c r="J57" s="53">
        <f t="shared" ca="1" si="25"/>
        <v>0</v>
      </c>
      <c r="K57" s="53">
        <f t="shared" ca="1" si="25"/>
        <v>0</v>
      </c>
      <c r="L57" s="53">
        <f t="shared" ca="1" si="25"/>
        <v>89.481588071867208</v>
      </c>
      <c r="M57" s="53">
        <f t="shared" ca="1" si="25"/>
        <v>245.62627181160417</v>
      </c>
      <c r="N57" s="53">
        <f t="shared" ca="1" si="25"/>
        <v>343.55332317739771</v>
      </c>
      <c r="O57" s="53">
        <f t="shared" ca="1" si="25"/>
        <v>408.76128579590255</v>
      </c>
      <c r="P57" s="53">
        <f t="shared" ca="1" si="25"/>
        <v>493.97787486593887</v>
      </c>
      <c r="Q57" s="53">
        <f t="shared" ca="1" si="25"/>
        <v>582.3163482241265</v>
      </c>
      <c r="R57" s="53">
        <f t="shared" ca="1" si="25"/>
        <v>521.42375600889818</v>
      </c>
      <c r="S57" s="53">
        <f t="shared" ca="1" si="25"/>
        <v>739.51345477604718</v>
      </c>
      <c r="T57" s="53">
        <f t="shared" ca="1" si="25"/>
        <v>848.65906629606741</v>
      </c>
      <c r="U57" s="53">
        <f t="shared" ca="1" si="25"/>
        <v>914.5002243567443</v>
      </c>
      <c r="V57" s="53">
        <f t="shared" ca="1" si="25"/>
        <v>959.11150552408162</v>
      </c>
      <c r="W57" s="53">
        <f t="shared" ca="1" si="25"/>
        <v>1044.9709216187</v>
      </c>
      <c r="X57" s="53">
        <f t="shared" ca="1" si="25"/>
        <v>498.76309905050516</v>
      </c>
      <c r="Y57" s="423">
        <f ca="1">SUM(D57:X57)</f>
        <v>7690.6587195778811</v>
      </c>
      <c r="AA57" s="130">
        <f t="shared" si="0"/>
        <v>51</v>
      </c>
    </row>
    <row r="58" spans="1:27">
      <c r="A58" s="137" t="s">
        <v>563</v>
      </c>
      <c r="B58" s="8"/>
      <c r="C58" s="8"/>
      <c r="D58" s="53">
        <f ca="1">D39</f>
        <v>0</v>
      </c>
      <c r="E58" s="53">
        <f t="shared" ref="E58:U58" ca="1" si="26">E39</f>
        <v>0</v>
      </c>
      <c r="F58" s="53">
        <f t="shared" ca="1" si="26"/>
        <v>0</v>
      </c>
      <c r="G58" s="53">
        <f t="shared" ca="1" si="26"/>
        <v>0</v>
      </c>
      <c r="H58" s="53">
        <f t="shared" ca="1" si="26"/>
        <v>0</v>
      </c>
      <c r="I58" s="53">
        <f t="shared" ca="1" si="26"/>
        <v>0</v>
      </c>
      <c r="J58" s="53">
        <f t="shared" ca="1" si="26"/>
        <v>0</v>
      </c>
      <c r="K58" s="53">
        <f t="shared" ca="1" si="26"/>
        <v>0</v>
      </c>
      <c r="L58" s="53">
        <f t="shared" ca="1" si="26"/>
        <v>37.11918078030584</v>
      </c>
      <c r="M58" s="53">
        <f t="shared" ca="1" si="26"/>
        <v>141.21563660679715</v>
      </c>
      <c r="N58" s="53">
        <f t="shared" ca="1" si="26"/>
        <v>206.50033751732619</v>
      </c>
      <c r="O58" s="53">
        <f t="shared" ca="1" si="26"/>
        <v>249.9723125963294</v>
      </c>
      <c r="P58" s="53">
        <f t="shared" ca="1" si="26"/>
        <v>306.78337197635364</v>
      </c>
      <c r="Q58" s="53">
        <f t="shared" ca="1" si="26"/>
        <v>365.67568754847866</v>
      </c>
      <c r="R58" s="53">
        <f t="shared" ca="1" si="26"/>
        <v>325.08062607165982</v>
      </c>
      <c r="S58" s="53">
        <f t="shared" ca="1" si="26"/>
        <v>470.47375858309255</v>
      </c>
      <c r="T58" s="53">
        <f t="shared" ca="1" si="26"/>
        <v>543.23749959643942</v>
      </c>
      <c r="U58" s="53">
        <f t="shared" ca="1" si="26"/>
        <v>587.13160497022398</v>
      </c>
      <c r="V58" s="53">
        <f ca="1">V39</f>
        <v>616.87245908178227</v>
      </c>
      <c r="W58" s="53">
        <f ca="1">W39</f>
        <v>674.11206981152782</v>
      </c>
      <c r="X58" s="53">
        <f ca="1">X39</f>
        <v>324.99699561113493</v>
      </c>
      <c r="Y58" s="423">
        <f ca="1">SUM(D58:X58)</f>
        <v>4849.1715407514512</v>
      </c>
      <c r="AA58" s="130">
        <f t="shared" si="0"/>
        <v>52</v>
      </c>
    </row>
    <row r="59" spans="1:27">
      <c r="A59" s="137" t="s">
        <v>488</v>
      </c>
      <c r="B59" s="8"/>
      <c r="C59" s="8"/>
      <c r="D59" s="228">
        <f t="shared" ref="D59:X59" ca="1" si="27">D48</f>
        <v>0</v>
      </c>
      <c r="E59" s="228">
        <f t="shared" ca="1" si="27"/>
        <v>0</v>
      </c>
      <c r="F59" s="228">
        <f t="shared" ca="1" si="27"/>
        <v>0</v>
      </c>
      <c r="G59" s="228">
        <f t="shared" ca="1" si="27"/>
        <v>0</v>
      </c>
      <c r="H59" s="228">
        <f t="shared" ca="1" si="27"/>
        <v>0</v>
      </c>
      <c r="I59" s="228">
        <f t="shared" ca="1" si="27"/>
        <v>0</v>
      </c>
      <c r="J59" s="228">
        <f t="shared" ca="1" si="27"/>
        <v>0</v>
      </c>
      <c r="K59" s="228">
        <f t="shared" ca="1" si="27"/>
        <v>0</v>
      </c>
      <c r="L59" s="228">
        <f t="shared" ca="1" si="27"/>
        <v>47.72351363832918</v>
      </c>
      <c r="M59" s="228">
        <f t="shared" ca="1" si="27"/>
        <v>131.00067829952224</v>
      </c>
      <c r="N59" s="228">
        <f t="shared" ca="1" si="27"/>
        <v>183.22843902794546</v>
      </c>
      <c r="O59" s="228">
        <f t="shared" ca="1" si="27"/>
        <v>218.00601909114806</v>
      </c>
      <c r="P59" s="228">
        <f t="shared" ca="1" si="27"/>
        <v>263.4548665951674</v>
      </c>
      <c r="Q59" s="228">
        <f t="shared" ca="1" si="27"/>
        <v>310.56871905286744</v>
      </c>
      <c r="R59" s="228">
        <f t="shared" ca="1" si="27"/>
        <v>278.0926698714124</v>
      </c>
      <c r="S59" s="228">
        <f t="shared" ca="1" si="27"/>
        <v>394.4071758805585</v>
      </c>
      <c r="T59" s="228">
        <f t="shared" ca="1" si="27"/>
        <v>452.61816869123601</v>
      </c>
      <c r="U59" s="228">
        <f t="shared" ca="1" si="27"/>
        <v>487.73345299026363</v>
      </c>
      <c r="V59" s="228">
        <f t="shared" ca="1" si="27"/>
        <v>511.52613627951024</v>
      </c>
      <c r="W59" s="228">
        <f t="shared" ca="1" si="27"/>
        <v>557.31782486330678</v>
      </c>
      <c r="X59" s="228">
        <f t="shared" ca="1" si="27"/>
        <v>266.00698616026943</v>
      </c>
      <c r="Y59" s="423">
        <f ca="1">SUM(D59:X59)</f>
        <v>4101.6846504415371</v>
      </c>
      <c r="AA59" s="130">
        <f t="shared" si="0"/>
        <v>53</v>
      </c>
    </row>
    <row r="60" spans="1:27">
      <c r="A60" s="137" t="s">
        <v>560</v>
      </c>
      <c r="B60" s="8"/>
      <c r="C60" s="8"/>
      <c r="D60" s="53">
        <f t="shared" ref="D60:X60" ca="1" si="28">SUM(D57:D59)</f>
        <v>0</v>
      </c>
      <c r="E60" s="53">
        <f t="shared" ca="1" si="28"/>
        <v>0</v>
      </c>
      <c r="F60" s="53">
        <f t="shared" ca="1" si="28"/>
        <v>0</v>
      </c>
      <c r="G60" s="53">
        <f t="shared" ca="1" si="28"/>
        <v>0</v>
      </c>
      <c r="H60" s="53">
        <f t="shared" ca="1" si="28"/>
        <v>0</v>
      </c>
      <c r="I60" s="53">
        <f t="shared" ca="1" si="28"/>
        <v>0</v>
      </c>
      <c r="J60" s="53">
        <f t="shared" ca="1" si="28"/>
        <v>0</v>
      </c>
      <c r="K60" s="53">
        <f t="shared" ca="1" si="28"/>
        <v>0</v>
      </c>
      <c r="L60" s="53">
        <f t="shared" ca="1" si="28"/>
        <v>174.32428249050224</v>
      </c>
      <c r="M60" s="53">
        <f t="shared" ca="1" si="28"/>
        <v>517.8425867179235</v>
      </c>
      <c r="N60" s="53">
        <f t="shared" ca="1" si="28"/>
        <v>733.28209972266939</v>
      </c>
      <c r="O60" s="53">
        <f t="shared" ca="1" si="28"/>
        <v>876.73961748338002</v>
      </c>
      <c r="P60" s="53">
        <f t="shared" ca="1" si="28"/>
        <v>1064.2161134374599</v>
      </c>
      <c r="Q60" s="53">
        <f t="shared" ca="1" si="28"/>
        <v>1258.5607548254725</v>
      </c>
      <c r="R60" s="53">
        <f t="shared" ca="1" si="28"/>
        <v>1124.5970519519703</v>
      </c>
      <c r="S60" s="53">
        <f t="shared" ca="1" si="28"/>
        <v>1604.3943892396983</v>
      </c>
      <c r="T60" s="53">
        <f t="shared" ca="1" si="28"/>
        <v>1844.5147345837427</v>
      </c>
      <c r="U60" s="53">
        <f t="shared" ca="1" si="28"/>
        <v>1989.365282317232</v>
      </c>
      <c r="V60" s="53">
        <f t="shared" ca="1" si="28"/>
        <v>2087.5101008853744</v>
      </c>
      <c r="W60" s="53">
        <f t="shared" ca="1" si="28"/>
        <v>2276.4008162935347</v>
      </c>
      <c r="X60" s="53">
        <f t="shared" ca="1" si="28"/>
        <v>1089.7670808219095</v>
      </c>
      <c r="Y60" s="423">
        <f ca="1">SUM(D60:X60)</f>
        <v>16641.514910770871</v>
      </c>
      <c r="AA60" s="130">
        <f t="shared" si="0"/>
        <v>54</v>
      </c>
    </row>
    <row r="61" spans="1:27" s="8" customFormat="1">
      <c r="A61" s="13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451"/>
      <c r="AA61" s="130">
        <f t="shared" si="0"/>
        <v>55</v>
      </c>
    </row>
    <row r="62" spans="1:27">
      <c r="A62" s="137" t="s">
        <v>564</v>
      </c>
      <c r="B62" s="8"/>
      <c r="C62" s="8"/>
      <c r="D62" s="53">
        <f ca="1">Depr!H21</f>
        <v>0</v>
      </c>
      <c r="E62" s="53">
        <f ca="1">Depr!I21</f>
        <v>0</v>
      </c>
      <c r="F62" s="53">
        <f ca="1">Depr!J21</f>
        <v>5267.1668601538513</v>
      </c>
      <c r="G62" s="53">
        <f ca="1">Depr!K21</f>
        <v>6320.6002321846217</v>
      </c>
      <c r="H62" s="53">
        <f ca="1">Depr!L21</f>
        <v>6320.6002321846217</v>
      </c>
      <c r="I62" s="53">
        <f ca="1">Depr!M21</f>
        <v>6320.6002321846217</v>
      </c>
      <c r="J62" s="53">
        <f ca="1">Depr!N21</f>
        <v>6320.6002321846217</v>
      </c>
      <c r="K62" s="53">
        <f ca="1">Depr!O21</f>
        <v>6320.6002321846217</v>
      </c>
      <c r="L62" s="53">
        <f ca="1">Depr!P21</f>
        <v>6320.6002321846217</v>
      </c>
      <c r="M62" s="53">
        <f ca="1">Depr!Q21</f>
        <v>6320.6002321846217</v>
      </c>
      <c r="N62" s="53">
        <f ca="1">Depr!R21</f>
        <v>6320.6002321846217</v>
      </c>
      <c r="O62" s="53">
        <f ca="1">Depr!S21</f>
        <v>6320.6002321846217</v>
      </c>
      <c r="P62" s="53">
        <f ca="1">Depr!T21</f>
        <v>6320.6002321846217</v>
      </c>
      <c r="Q62" s="53">
        <f ca="1">Depr!U21</f>
        <v>6320.6002321846217</v>
      </c>
      <c r="R62" s="53">
        <f ca="1">Depr!V21</f>
        <v>6320.6002321846217</v>
      </c>
      <c r="S62" s="53">
        <f ca="1">Depr!W21</f>
        <v>6320.6002321846217</v>
      </c>
      <c r="T62" s="53">
        <f ca="1">Depr!X21</f>
        <v>6320.6002321846217</v>
      </c>
      <c r="U62" s="53">
        <f ca="1">Depr!Y21</f>
        <v>6320.6002321846217</v>
      </c>
      <c r="V62" s="53">
        <f ca="1">Depr!Z21</f>
        <v>6320.6002321846217</v>
      </c>
      <c r="W62" s="53">
        <f ca="1">Depr!AA21</f>
        <v>6320.6002321846217</v>
      </c>
      <c r="X62" s="53">
        <f ca="1">Depr!AB21</f>
        <v>2106.8667440615404</v>
      </c>
      <c r="Y62" s="423">
        <f ca="1">SUM(D62:X62)</f>
        <v>114824.23755135393</v>
      </c>
      <c r="AA62" s="130">
        <f t="shared" si="0"/>
        <v>56</v>
      </c>
    </row>
    <row r="63" spans="1:27">
      <c r="A63" s="137" t="s">
        <v>565</v>
      </c>
      <c r="B63" s="8"/>
      <c r="C63" s="8"/>
      <c r="D63" s="53">
        <f ca="1">-Depr!H31</f>
        <v>0</v>
      </c>
      <c r="E63" s="53">
        <f ca="1">-Depr!I31</f>
        <v>0</v>
      </c>
      <c r="F63" s="53">
        <f ca="1">-Depr!J31</f>
        <v>-5267.1668601538513</v>
      </c>
      <c r="G63" s="53">
        <f ca="1">-Depr!K31</f>
        <v>-6320.6002321846217</v>
      </c>
      <c r="H63" s="53">
        <f ca="1">-Depr!L31</f>
        <v>-6320.6002321846217</v>
      </c>
      <c r="I63" s="53">
        <f ca="1">-Depr!M31</f>
        <v>-6320.6002321846217</v>
      </c>
      <c r="J63" s="53">
        <f ca="1">-Depr!N31</f>
        <v>-6320.6002321846217</v>
      </c>
      <c r="K63" s="53">
        <f ca="1">-Depr!O31</f>
        <v>-6320.6002321846217</v>
      </c>
      <c r="L63" s="53">
        <f ca="1">-Depr!P31</f>
        <v>-6320.6002321846217</v>
      </c>
      <c r="M63" s="53">
        <f ca="1">-Depr!Q31</f>
        <v>-6320.6002321846217</v>
      </c>
      <c r="N63" s="53">
        <f ca="1">-Depr!R31</f>
        <v>-6320.6002321846217</v>
      </c>
      <c r="O63" s="53">
        <f ca="1">-Depr!S31</f>
        <v>-6320.6002321846217</v>
      </c>
      <c r="P63" s="53">
        <f ca="1">-Depr!T31</f>
        <v>-6320.6002321846217</v>
      </c>
      <c r="Q63" s="53">
        <f ca="1">-Depr!U31</f>
        <v>-6320.6002321846217</v>
      </c>
      <c r="R63" s="53">
        <f ca="1">-Depr!V31</f>
        <v>-6320.6002321846217</v>
      </c>
      <c r="S63" s="53">
        <f ca="1">-Depr!W31</f>
        <v>-6320.6002321846217</v>
      </c>
      <c r="T63" s="53">
        <f ca="1">-Depr!X31</f>
        <v>-6320.6002321846217</v>
      </c>
      <c r="U63" s="53">
        <f ca="1">-Depr!Y31</f>
        <v>-6320.6002321846217</v>
      </c>
      <c r="V63" s="53">
        <f ca="1">-Depr!Z31</f>
        <v>-6320.6002321846217</v>
      </c>
      <c r="W63" s="53">
        <f ca="1">-Depr!AA31</f>
        <v>-6320.6002321846217</v>
      </c>
      <c r="X63" s="53">
        <f ca="1">-Depr!AB31</f>
        <v>-2106.8667440615404</v>
      </c>
      <c r="Y63" s="423">
        <f ca="1">SUM(D63:X63)</f>
        <v>-114824.23755135393</v>
      </c>
      <c r="AA63" s="130">
        <f t="shared" si="0"/>
        <v>57</v>
      </c>
    </row>
    <row r="64" spans="1:27">
      <c r="A64" s="137" t="s">
        <v>566</v>
      </c>
      <c r="B64" s="8"/>
      <c r="C64" s="8"/>
      <c r="D64" s="228">
        <f ca="1">-Trapped!F65</f>
        <v>0</v>
      </c>
      <c r="E64" s="228">
        <f ca="1">-Trapped!G65</f>
        <v>0</v>
      </c>
      <c r="F64" s="228">
        <f ca="1">-Trapped!H65</f>
        <v>0</v>
      </c>
      <c r="G64" s="228">
        <f ca="1">-Trapped!I65</f>
        <v>0</v>
      </c>
      <c r="H64" s="228">
        <f ca="1">-Trapped!J65</f>
        <v>0</v>
      </c>
      <c r="I64" s="228">
        <f ca="1">-Trapped!K65</f>
        <v>0</v>
      </c>
      <c r="J64" s="228">
        <f ca="1">-Trapped!L65</f>
        <v>0</v>
      </c>
      <c r="K64" s="228">
        <f ca="1">-Trapped!M65</f>
        <v>0</v>
      </c>
      <c r="L64" s="228">
        <f ca="1">-Trapped!N65</f>
        <v>0</v>
      </c>
      <c r="M64" s="228">
        <f ca="1">-Trapped!O65</f>
        <v>0</v>
      </c>
      <c r="N64" s="228">
        <f ca="1">-Trapped!P65</f>
        <v>0</v>
      </c>
      <c r="O64" s="228">
        <f ca="1">-Trapped!Q65</f>
        <v>0</v>
      </c>
      <c r="P64" s="228">
        <f ca="1">-Trapped!R65</f>
        <v>0</v>
      </c>
      <c r="Q64" s="228">
        <f ca="1">-Trapped!S65</f>
        <v>0</v>
      </c>
      <c r="R64" s="228">
        <f ca="1">-Trapped!T65</f>
        <v>0</v>
      </c>
      <c r="S64" s="228">
        <f ca="1">-Trapped!U65</f>
        <v>0</v>
      </c>
      <c r="T64" s="228">
        <f ca="1">-Trapped!V65</f>
        <v>0</v>
      </c>
      <c r="U64" s="228">
        <f ca="1">-Trapped!W65</f>
        <v>0</v>
      </c>
      <c r="V64" s="228">
        <f ca="1">-Trapped!X65</f>
        <v>0</v>
      </c>
      <c r="W64" s="228">
        <f ca="1">-Trapped!Y65</f>
        <v>0</v>
      </c>
      <c r="X64" s="228">
        <f ca="1">-Trapped!Z65</f>
        <v>0</v>
      </c>
      <c r="Y64" s="423">
        <f ca="1">SUM(D64:X64)</f>
        <v>0</v>
      </c>
      <c r="AA64" s="130">
        <f t="shared" si="0"/>
        <v>58</v>
      </c>
    </row>
    <row r="65" spans="1:27">
      <c r="A65" s="137" t="s">
        <v>567</v>
      </c>
      <c r="B65" s="8"/>
      <c r="C65" s="8"/>
      <c r="D65" s="53">
        <f t="shared" ref="D65:U65" ca="1" si="29">SUM(D62:D64)</f>
        <v>0</v>
      </c>
      <c r="E65" s="53">
        <f t="shared" ca="1" si="29"/>
        <v>0</v>
      </c>
      <c r="F65" s="53">
        <f t="shared" ca="1" si="29"/>
        <v>0</v>
      </c>
      <c r="G65" s="53">
        <f t="shared" ca="1" si="29"/>
        <v>0</v>
      </c>
      <c r="H65" s="53">
        <f t="shared" ca="1" si="29"/>
        <v>0</v>
      </c>
      <c r="I65" s="53">
        <f t="shared" ca="1" si="29"/>
        <v>0</v>
      </c>
      <c r="J65" s="53">
        <f t="shared" ca="1" si="29"/>
        <v>0</v>
      </c>
      <c r="K65" s="53">
        <f t="shared" ca="1" si="29"/>
        <v>0</v>
      </c>
      <c r="L65" s="53">
        <f t="shared" ca="1" si="29"/>
        <v>0</v>
      </c>
      <c r="M65" s="53">
        <f t="shared" ca="1" si="29"/>
        <v>0</v>
      </c>
      <c r="N65" s="53">
        <f t="shared" ca="1" si="29"/>
        <v>0</v>
      </c>
      <c r="O65" s="53">
        <f t="shared" ca="1" si="29"/>
        <v>0</v>
      </c>
      <c r="P65" s="53">
        <f t="shared" ca="1" si="29"/>
        <v>0</v>
      </c>
      <c r="Q65" s="53">
        <f t="shared" ca="1" si="29"/>
        <v>0</v>
      </c>
      <c r="R65" s="53">
        <f t="shared" ca="1" si="29"/>
        <v>0</v>
      </c>
      <c r="S65" s="53">
        <f t="shared" ca="1" si="29"/>
        <v>0</v>
      </c>
      <c r="T65" s="53">
        <f t="shared" ca="1" si="29"/>
        <v>0</v>
      </c>
      <c r="U65" s="53">
        <f t="shared" ca="1" si="29"/>
        <v>0</v>
      </c>
      <c r="V65" s="53">
        <f ca="1">SUM(V62:V64)</f>
        <v>0</v>
      </c>
      <c r="W65" s="53">
        <f ca="1">SUM(W62:W64)</f>
        <v>0</v>
      </c>
      <c r="X65" s="53">
        <f ca="1">SUM(X62:X64)</f>
        <v>0</v>
      </c>
      <c r="Y65" s="423">
        <f ca="1">SUM(D65:X65)</f>
        <v>0</v>
      </c>
      <c r="AA65" s="130">
        <f t="shared" si="0"/>
        <v>59</v>
      </c>
    </row>
    <row r="66" spans="1:27" s="8" customFormat="1">
      <c r="A66" s="13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451"/>
      <c r="AA66" s="130">
        <f t="shared" si="0"/>
        <v>60</v>
      </c>
    </row>
    <row r="67" spans="1:27" s="8" customFormat="1">
      <c r="A67" s="75" t="s">
        <v>486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451"/>
      <c r="AA67" s="130">
        <f t="shared" si="0"/>
        <v>61</v>
      </c>
    </row>
    <row r="68" spans="1:27" s="8" customFormat="1">
      <c r="A68" s="137" t="s">
        <v>567</v>
      </c>
      <c r="D68" s="53">
        <f ca="1">D$65</f>
        <v>0</v>
      </c>
      <c r="E68" s="53">
        <f t="shared" ref="E68:X68" ca="1" si="30">E$65</f>
        <v>0</v>
      </c>
      <c r="F68" s="53">
        <f t="shared" ca="1" si="30"/>
        <v>0</v>
      </c>
      <c r="G68" s="53">
        <f t="shared" ca="1" si="30"/>
        <v>0</v>
      </c>
      <c r="H68" s="53">
        <f t="shared" ca="1" si="30"/>
        <v>0</v>
      </c>
      <c r="I68" s="53">
        <f t="shared" ca="1" si="30"/>
        <v>0</v>
      </c>
      <c r="J68" s="53">
        <f t="shared" ca="1" si="30"/>
        <v>0</v>
      </c>
      <c r="K68" s="53">
        <f t="shared" ca="1" si="30"/>
        <v>0</v>
      </c>
      <c r="L68" s="53">
        <f t="shared" ca="1" si="30"/>
        <v>0</v>
      </c>
      <c r="M68" s="53">
        <f t="shared" ca="1" si="30"/>
        <v>0</v>
      </c>
      <c r="N68" s="53">
        <f t="shared" ca="1" si="30"/>
        <v>0</v>
      </c>
      <c r="O68" s="53">
        <f t="shared" ca="1" si="30"/>
        <v>0</v>
      </c>
      <c r="P68" s="53">
        <f t="shared" ca="1" si="30"/>
        <v>0</v>
      </c>
      <c r="Q68" s="53">
        <f t="shared" ca="1" si="30"/>
        <v>0</v>
      </c>
      <c r="R68" s="53">
        <f t="shared" ca="1" si="30"/>
        <v>0</v>
      </c>
      <c r="S68" s="53">
        <f t="shared" ca="1" si="30"/>
        <v>0</v>
      </c>
      <c r="T68" s="53">
        <f t="shared" ca="1" si="30"/>
        <v>0</v>
      </c>
      <c r="U68" s="53">
        <f t="shared" ca="1" si="30"/>
        <v>0</v>
      </c>
      <c r="V68" s="53">
        <f t="shared" ca="1" si="30"/>
        <v>0</v>
      </c>
      <c r="W68" s="53">
        <f t="shared" ca="1" si="30"/>
        <v>0</v>
      </c>
      <c r="X68" s="53">
        <f t="shared" ca="1" si="30"/>
        <v>0</v>
      </c>
      <c r="Y68" s="423">
        <f ca="1">SUM(D68:X68)</f>
        <v>0</v>
      </c>
      <c r="AA68" s="130">
        <f t="shared" si="0"/>
        <v>62</v>
      </c>
    </row>
    <row r="69" spans="1:27" s="8" customFormat="1">
      <c r="A69" s="137" t="s">
        <v>238</v>
      </c>
      <c r="D69" s="35">
        <f t="shared" ref="D69:X69" si="31">Tax</f>
        <v>0.15</v>
      </c>
      <c r="E69" s="35">
        <f t="shared" si="31"/>
        <v>0.15</v>
      </c>
      <c r="F69" s="35">
        <f t="shared" si="31"/>
        <v>0.15</v>
      </c>
      <c r="G69" s="35">
        <f t="shared" si="31"/>
        <v>0.15</v>
      </c>
      <c r="H69" s="35">
        <f t="shared" si="31"/>
        <v>0.15</v>
      </c>
      <c r="I69" s="35">
        <f t="shared" si="31"/>
        <v>0.15</v>
      </c>
      <c r="J69" s="35">
        <f t="shared" si="31"/>
        <v>0.15</v>
      </c>
      <c r="K69" s="35">
        <f t="shared" si="31"/>
        <v>0.15</v>
      </c>
      <c r="L69" s="35">
        <f t="shared" si="31"/>
        <v>0.15</v>
      </c>
      <c r="M69" s="35">
        <f t="shared" si="31"/>
        <v>0.15</v>
      </c>
      <c r="N69" s="35">
        <f t="shared" si="31"/>
        <v>0.15</v>
      </c>
      <c r="O69" s="35">
        <f t="shared" si="31"/>
        <v>0.15</v>
      </c>
      <c r="P69" s="35">
        <f t="shared" si="31"/>
        <v>0.15</v>
      </c>
      <c r="Q69" s="35">
        <f t="shared" si="31"/>
        <v>0.15</v>
      </c>
      <c r="R69" s="35">
        <f t="shared" si="31"/>
        <v>0.15</v>
      </c>
      <c r="S69" s="35">
        <f t="shared" si="31"/>
        <v>0.15</v>
      </c>
      <c r="T69" s="35">
        <f t="shared" si="31"/>
        <v>0.15</v>
      </c>
      <c r="U69" s="35">
        <f t="shared" si="31"/>
        <v>0.15</v>
      </c>
      <c r="V69" s="35">
        <f t="shared" si="31"/>
        <v>0.15</v>
      </c>
      <c r="W69" s="35">
        <f t="shared" si="31"/>
        <v>0.15</v>
      </c>
      <c r="X69" s="35">
        <f t="shared" si="31"/>
        <v>0.15</v>
      </c>
      <c r="Y69" s="451"/>
      <c r="AA69" s="130">
        <f t="shared" si="0"/>
        <v>63</v>
      </c>
    </row>
    <row r="70" spans="1:27" s="8" customFormat="1">
      <c r="A70" s="137" t="s">
        <v>519</v>
      </c>
      <c r="D70" s="53">
        <f t="shared" ref="D70:U70" ca="1" si="32">D69*D68</f>
        <v>0</v>
      </c>
      <c r="E70" s="53">
        <f t="shared" ca="1" si="32"/>
        <v>0</v>
      </c>
      <c r="F70" s="53">
        <f t="shared" ca="1" si="32"/>
        <v>0</v>
      </c>
      <c r="G70" s="53">
        <f t="shared" ca="1" si="32"/>
        <v>0</v>
      </c>
      <c r="H70" s="53">
        <f t="shared" ca="1" si="32"/>
        <v>0</v>
      </c>
      <c r="I70" s="53">
        <f t="shared" ca="1" si="32"/>
        <v>0</v>
      </c>
      <c r="J70" s="53">
        <f t="shared" ca="1" si="32"/>
        <v>0</v>
      </c>
      <c r="K70" s="53">
        <f t="shared" ca="1" si="32"/>
        <v>0</v>
      </c>
      <c r="L70" s="53">
        <f t="shared" ca="1" si="32"/>
        <v>0</v>
      </c>
      <c r="M70" s="53">
        <f t="shared" ca="1" si="32"/>
        <v>0</v>
      </c>
      <c r="N70" s="53">
        <f t="shared" ca="1" si="32"/>
        <v>0</v>
      </c>
      <c r="O70" s="53">
        <f t="shared" ca="1" si="32"/>
        <v>0</v>
      </c>
      <c r="P70" s="53">
        <f t="shared" ca="1" si="32"/>
        <v>0</v>
      </c>
      <c r="Q70" s="53">
        <f t="shared" ca="1" si="32"/>
        <v>0</v>
      </c>
      <c r="R70" s="53">
        <f t="shared" ca="1" si="32"/>
        <v>0</v>
      </c>
      <c r="S70" s="53">
        <f t="shared" ca="1" si="32"/>
        <v>0</v>
      </c>
      <c r="T70" s="53">
        <f t="shared" ca="1" si="32"/>
        <v>0</v>
      </c>
      <c r="U70" s="53">
        <f t="shared" ca="1" si="32"/>
        <v>0</v>
      </c>
      <c r="V70" s="53">
        <f ca="1">V69*V68</f>
        <v>0</v>
      </c>
      <c r="W70" s="53">
        <f ca="1">W69*W68</f>
        <v>0</v>
      </c>
      <c r="X70" s="53">
        <f ca="1">X69*X68</f>
        <v>0</v>
      </c>
      <c r="Y70" s="423">
        <f ca="1">SUM(D70:X70)</f>
        <v>0</v>
      </c>
      <c r="AA70" s="130">
        <f t="shared" si="0"/>
        <v>64</v>
      </c>
    </row>
    <row r="71" spans="1:27" s="8" customFormat="1">
      <c r="A71" s="13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451"/>
      <c r="AA71" s="130">
        <f t="shared" si="0"/>
        <v>65</v>
      </c>
    </row>
    <row r="72" spans="1:27" s="8" customFormat="1">
      <c r="A72" s="75" t="s">
        <v>461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451"/>
      <c r="AA72" s="130">
        <f t="shared" si="0"/>
        <v>66</v>
      </c>
    </row>
    <row r="73" spans="1:27" s="8" customFormat="1">
      <c r="A73" s="137" t="s">
        <v>567</v>
      </c>
      <c r="D73" s="53">
        <f t="shared" ref="D73:X73" ca="1" si="33">D$65</f>
        <v>0</v>
      </c>
      <c r="E73" s="53">
        <f t="shared" ca="1" si="33"/>
        <v>0</v>
      </c>
      <c r="F73" s="53">
        <f t="shared" ca="1" si="33"/>
        <v>0</v>
      </c>
      <c r="G73" s="53">
        <f t="shared" ca="1" si="33"/>
        <v>0</v>
      </c>
      <c r="H73" s="53">
        <f t="shared" ca="1" si="33"/>
        <v>0</v>
      </c>
      <c r="I73" s="53">
        <f t="shared" ca="1" si="33"/>
        <v>0</v>
      </c>
      <c r="J73" s="53">
        <f t="shared" ca="1" si="33"/>
        <v>0</v>
      </c>
      <c r="K73" s="53">
        <f t="shared" ca="1" si="33"/>
        <v>0</v>
      </c>
      <c r="L73" s="53">
        <f t="shared" ca="1" si="33"/>
        <v>0</v>
      </c>
      <c r="M73" s="53">
        <f t="shared" ca="1" si="33"/>
        <v>0</v>
      </c>
      <c r="N73" s="53">
        <f t="shared" ca="1" si="33"/>
        <v>0</v>
      </c>
      <c r="O73" s="53">
        <f t="shared" ca="1" si="33"/>
        <v>0</v>
      </c>
      <c r="P73" s="53">
        <f t="shared" ca="1" si="33"/>
        <v>0</v>
      </c>
      <c r="Q73" s="53">
        <f t="shared" ca="1" si="33"/>
        <v>0</v>
      </c>
      <c r="R73" s="53">
        <f t="shared" ca="1" si="33"/>
        <v>0</v>
      </c>
      <c r="S73" s="53">
        <f t="shared" ca="1" si="33"/>
        <v>0</v>
      </c>
      <c r="T73" s="53">
        <f t="shared" ca="1" si="33"/>
        <v>0</v>
      </c>
      <c r="U73" s="53">
        <f t="shared" ca="1" si="33"/>
        <v>0</v>
      </c>
      <c r="V73" s="53">
        <f t="shared" ca="1" si="33"/>
        <v>0</v>
      </c>
      <c r="W73" s="53">
        <f t="shared" ca="1" si="33"/>
        <v>0</v>
      </c>
      <c r="X73" s="53">
        <f t="shared" ca="1" si="33"/>
        <v>0</v>
      </c>
      <c r="Y73" s="423">
        <f ca="1">SUM(D73:X73)</f>
        <v>0</v>
      </c>
      <c r="AA73" s="130">
        <f t="shared" ref="AA73:AA90" si="34">AA72+1</f>
        <v>67</v>
      </c>
    </row>
    <row r="74" spans="1:27" s="8" customFormat="1">
      <c r="A74" s="137" t="s">
        <v>521</v>
      </c>
      <c r="D74" s="35">
        <f>Add_Tax</f>
        <v>0.1</v>
      </c>
      <c r="E74" s="35">
        <f t="shared" ref="E74:X74" si="35">Add_Tax</f>
        <v>0.1</v>
      </c>
      <c r="F74" s="35">
        <f t="shared" si="35"/>
        <v>0.1</v>
      </c>
      <c r="G74" s="35">
        <f t="shared" si="35"/>
        <v>0.1</v>
      </c>
      <c r="H74" s="35">
        <f t="shared" si="35"/>
        <v>0.1</v>
      </c>
      <c r="I74" s="35">
        <f t="shared" si="35"/>
        <v>0.1</v>
      </c>
      <c r="J74" s="35">
        <f t="shared" si="35"/>
        <v>0.1</v>
      </c>
      <c r="K74" s="35">
        <f t="shared" si="35"/>
        <v>0.1</v>
      </c>
      <c r="L74" s="35">
        <f t="shared" si="35"/>
        <v>0.1</v>
      </c>
      <c r="M74" s="35">
        <f t="shared" si="35"/>
        <v>0.1</v>
      </c>
      <c r="N74" s="35">
        <f t="shared" si="35"/>
        <v>0.1</v>
      </c>
      <c r="O74" s="35">
        <f t="shared" si="35"/>
        <v>0.1</v>
      </c>
      <c r="P74" s="35">
        <f t="shared" si="35"/>
        <v>0.1</v>
      </c>
      <c r="Q74" s="35">
        <f t="shared" si="35"/>
        <v>0.1</v>
      </c>
      <c r="R74" s="35">
        <f t="shared" si="35"/>
        <v>0.1</v>
      </c>
      <c r="S74" s="35">
        <f t="shared" si="35"/>
        <v>0.1</v>
      </c>
      <c r="T74" s="35">
        <f t="shared" si="35"/>
        <v>0.1</v>
      </c>
      <c r="U74" s="35">
        <f t="shared" si="35"/>
        <v>0.1</v>
      </c>
      <c r="V74" s="35">
        <f t="shared" si="35"/>
        <v>0.1</v>
      </c>
      <c r="W74" s="35">
        <f t="shared" si="35"/>
        <v>0.1</v>
      </c>
      <c r="X74" s="35">
        <f t="shared" si="35"/>
        <v>0.1</v>
      </c>
      <c r="Y74" s="451"/>
      <c r="AA74" s="130">
        <f t="shared" si="34"/>
        <v>68</v>
      </c>
    </row>
    <row r="75" spans="1:27" s="8" customFormat="1">
      <c r="A75" s="137" t="s">
        <v>522</v>
      </c>
      <c r="D75" s="53">
        <f t="shared" ref="D75:U75" ca="1" si="36">D74*D73</f>
        <v>0</v>
      </c>
      <c r="E75" s="53">
        <f t="shared" ca="1" si="36"/>
        <v>0</v>
      </c>
      <c r="F75" s="53">
        <f t="shared" ca="1" si="36"/>
        <v>0</v>
      </c>
      <c r="G75" s="53">
        <f t="shared" ca="1" si="36"/>
        <v>0</v>
      </c>
      <c r="H75" s="53">
        <f t="shared" ca="1" si="36"/>
        <v>0</v>
      </c>
      <c r="I75" s="53">
        <f t="shared" ca="1" si="36"/>
        <v>0</v>
      </c>
      <c r="J75" s="53">
        <f t="shared" ca="1" si="36"/>
        <v>0</v>
      </c>
      <c r="K75" s="53">
        <f t="shared" ca="1" si="36"/>
        <v>0</v>
      </c>
      <c r="L75" s="53">
        <f t="shared" ca="1" si="36"/>
        <v>0</v>
      </c>
      <c r="M75" s="53">
        <f t="shared" ca="1" si="36"/>
        <v>0</v>
      </c>
      <c r="N75" s="53">
        <f t="shared" ca="1" si="36"/>
        <v>0</v>
      </c>
      <c r="O75" s="53">
        <f t="shared" ca="1" si="36"/>
        <v>0</v>
      </c>
      <c r="P75" s="53">
        <f t="shared" ca="1" si="36"/>
        <v>0</v>
      </c>
      <c r="Q75" s="53">
        <f t="shared" ca="1" si="36"/>
        <v>0</v>
      </c>
      <c r="R75" s="53">
        <f t="shared" ca="1" si="36"/>
        <v>0</v>
      </c>
      <c r="S75" s="53">
        <f t="shared" ca="1" si="36"/>
        <v>0</v>
      </c>
      <c r="T75" s="53">
        <f t="shared" ca="1" si="36"/>
        <v>0</v>
      </c>
      <c r="U75" s="53">
        <f t="shared" ca="1" si="36"/>
        <v>0</v>
      </c>
      <c r="V75" s="53">
        <f ca="1">V74*V73</f>
        <v>0</v>
      </c>
      <c r="W75" s="53">
        <f ca="1">W74*W73</f>
        <v>0</v>
      </c>
      <c r="X75" s="53">
        <f ca="1">X74*X73</f>
        <v>0</v>
      </c>
      <c r="Y75" s="423">
        <f ca="1">SUM(D75:X75)</f>
        <v>0</v>
      </c>
      <c r="AA75" s="130">
        <f t="shared" si="34"/>
        <v>69</v>
      </c>
    </row>
    <row r="76" spans="1:27" s="8" customFormat="1">
      <c r="A76" s="13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451"/>
      <c r="AA76" s="130">
        <f t="shared" si="34"/>
        <v>70</v>
      </c>
    </row>
    <row r="77" spans="1:27" s="8" customFormat="1">
      <c r="A77" s="75" t="s">
        <v>488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451"/>
      <c r="AA77" s="130">
        <f t="shared" si="34"/>
        <v>71</v>
      </c>
    </row>
    <row r="78" spans="1:27" s="8" customFormat="1">
      <c r="A78" s="137" t="s">
        <v>567</v>
      </c>
      <c r="D78" s="53">
        <f t="shared" ref="D78:X78" ca="1" si="37">D$65</f>
        <v>0</v>
      </c>
      <c r="E78" s="53">
        <f t="shared" ca="1" si="37"/>
        <v>0</v>
      </c>
      <c r="F78" s="53">
        <f t="shared" ca="1" si="37"/>
        <v>0</v>
      </c>
      <c r="G78" s="53">
        <f t="shared" ca="1" si="37"/>
        <v>0</v>
      </c>
      <c r="H78" s="53">
        <f t="shared" ca="1" si="37"/>
        <v>0</v>
      </c>
      <c r="I78" s="53">
        <f t="shared" ca="1" si="37"/>
        <v>0</v>
      </c>
      <c r="J78" s="53">
        <f t="shared" ca="1" si="37"/>
        <v>0</v>
      </c>
      <c r="K78" s="53">
        <f t="shared" ca="1" si="37"/>
        <v>0</v>
      </c>
      <c r="L78" s="53">
        <f t="shared" ca="1" si="37"/>
        <v>0</v>
      </c>
      <c r="M78" s="53">
        <f t="shared" ca="1" si="37"/>
        <v>0</v>
      </c>
      <c r="N78" s="53">
        <f t="shared" ca="1" si="37"/>
        <v>0</v>
      </c>
      <c r="O78" s="53">
        <f t="shared" ca="1" si="37"/>
        <v>0</v>
      </c>
      <c r="P78" s="53">
        <f t="shared" ca="1" si="37"/>
        <v>0</v>
      </c>
      <c r="Q78" s="53">
        <f t="shared" ca="1" si="37"/>
        <v>0</v>
      </c>
      <c r="R78" s="53">
        <f t="shared" ca="1" si="37"/>
        <v>0</v>
      </c>
      <c r="S78" s="53">
        <f t="shared" ca="1" si="37"/>
        <v>0</v>
      </c>
      <c r="T78" s="53">
        <f t="shared" ca="1" si="37"/>
        <v>0</v>
      </c>
      <c r="U78" s="53">
        <f t="shared" ca="1" si="37"/>
        <v>0</v>
      </c>
      <c r="V78" s="53">
        <f t="shared" ca="1" si="37"/>
        <v>0</v>
      </c>
      <c r="W78" s="53">
        <f t="shared" ca="1" si="37"/>
        <v>0</v>
      </c>
      <c r="X78" s="53">
        <f t="shared" ca="1" si="37"/>
        <v>0</v>
      </c>
      <c r="Y78" s="423">
        <f ca="1">SUM(D78:X78)</f>
        <v>0</v>
      </c>
      <c r="AA78" s="130">
        <f t="shared" si="34"/>
        <v>72</v>
      </c>
    </row>
    <row r="79" spans="1:27" s="8" customFormat="1">
      <c r="A79" s="137" t="s">
        <v>523</v>
      </c>
      <c r="D79" s="35">
        <f>Soc_Tax</f>
        <v>0.08</v>
      </c>
      <c r="E79" s="35">
        <f t="shared" ref="E79:X79" si="38">Soc_Tax</f>
        <v>0.08</v>
      </c>
      <c r="F79" s="35">
        <f t="shared" si="38"/>
        <v>0.08</v>
      </c>
      <c r="G79" s="35">
        <f t="shared" si="38"/>
        <v>0.08</v>
      </c>
      <c r="H79" s="35">
        <f t="shared" si="38"/>
        <v>0.08</v>
      </c>
      <c r="I79" s="35">
        <f t="shared" si="38"/>
        <v>0.08</v>
      </c>
      <c r="J79" s="35">
        <f t="shared" si="38"/>
        <v>0.08</v>
      </c>
      <c r="K79" s="35">
        <f t="shared" si="38"/>
        <v>0.08</v>
      </c>
      <c r="L79" s="35">
        <f t="shared" si="38"/>
        <v>0.08</v>
      </c>
      <c r="M79" s="35">
        <f t="shared" si="38"/>
        <v>0.08</v>
      </c>
      <c r="N79" s="35">
        <f t="shared" si="38"/>
        <v>0.08</v>
      </c>
      <c r="O79" s="35">
        <f t="shared" si="38"/>
        <v>0.08</v>
      </c>
      <c r="P79" s="35">
        <f t="shared" si="38"/>
        <v>0.08</v>
      </c>
      <c r="Q79" s="35">
        <f t="shared" si="38"/>
        <v>0.08</v>
      </c>
      <c r="R79" s="35">
        <f t="shared" si="38"/>
        <v>0.08</v>
      </c>
      <c r="S79" s="35">
        <f t="shared" si="38"/>
        <v>0.08</v>
      </c>
      <c r="T79" s="35">
        <f t="shared" si="38"/>
        <v>0.08</v>
      </c>
      <c r="U79" s="35">
        <f t="shared" si="38"/>
        <v>0.08</v>
      </c>
      <c r="V79" s="35">
        <f t="shared" si="38"/>
        <v>0.08</v>
      </c>
      <c r="W79" s="35">
        <f t="shared" si="38"/>
        <v>0.08</v>
      </c>
      <c r="X79" s="35">
        <f t="shared" si="38"/>
        <v>0.08</v>
      </c>
      <c r="Y79" s="451"/>
      <c r="AA79" s="130">
        <f t="shared" si="34"/>
        <v>73</v>
      </c>
    </row>
    <row r="80" spans="1:27" s="8" customFormat="1">
      <c r="A80" s="137" t="s">
        <v>524</v>
      </c>
      <c r="D80" s="53">
        <f t="shared" ref="D80:U80" ca="1" si="39">D79*D78</f>
        <v>0</v>
      </c>
      <c r="E80" s="53">
        <f t="shared" ca="1" si="39"/>
        <v>0</v>
      </c>
      <c r="F80" s="53">
        <f t="shared" ca="1" si="39"/>
        <v>0</v>
      </c>
      <c r="G80" s="53">
        <f t="shared" ca="1" si="39"/>
        <v>0</v>
      </c>
      <c r="H80" s="53">
        <f t="shared" ca="1" si="39"/>
        <v>0</v>
      </c>
      <c r="I80" s="53">
        <f t="shared" ca="1" si="39"/>
        <v>0</v>
      </c>
      <c r="J80" s="53">
        <f t="shared" ca="1" si="39"/>
        <v>0</v>
      </c>
      <c r="K80" s="53">
        <f t="shared" ca="1" si="39"/>
        <v>0</v>
      </c>
      <c r="L80" s="53">
        <f t="shared" ca="1" si="39"/>
        <v>0</v>
      </c>
      <c r="M80" s="53">
        <f t="shared" ca="1" si="39"/>
        <v>0</v>
      </c>
      <c r="N80" s="53">
        <f t="shared" ca="1" si="39"/>
        <v>0</v>
      </c>
      <c r="O80" s="53">
        <f t="shared" ca="1" si="39"/>
        <v>0</v>
      </c>
      <c r="P80" s="53">
        <f t="shared" ca="1" si="39"/>
        <v>0</v>
      </c>
      <c r="Q80" s="53">
        <f t="shared" ca="1" si="39"/>
        <v>0</v>
      </c>
      <c r="R80" s="53">
        <f t="shared" ca="1" si="39"/>
        <v>0</v>
      </c>
      <c r="S80" s="53">
        <f t="shared" ca="1" si="39"/>
        <v>0</v>
      </c>
      <c r="T80" s="53">
        <f t="shared" ca="1" si="39"/>
        <v>0</v>
      </c>
      <c r="U80" s="53">
        <f t="shared" ca="1" si="39"/>
        <v>0</v>
      </c>
      <c r="V80" s="53">
        <f ca="1">V79*V78</f>
        <v>0</v>
      </c>
      <c r="W80" s="53">
        <f ca="1">W79*W78</f>
        <v>0</v>
      </c>
      <c r="X80" s="53">
        <f ca="1">X79*X78</f>
        <v>0</v>
      </c>
      <c r="Y80" s="423">
        <f ca="1">SUM(D80:X80)</f>
        <v>0</v>
      </c>
      <c r="AA80" s="130">
        <f t="shared" si="34"/>
        <v>74</v>
      </c>
    </row>
    <row r="81" spans="1:27" s="8" customFormat="1">
      <c r="A81" s="13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451"/>
      <c r="AA81" s="130">
        <f t="shared" si="34"/>
        <v>75</v>
      </c>
    </row>
    <row r="82" spans="1:27">
      <c r="A82" s="137" t="s">
        <v>568</v>
      </c>
      <c r="B82" s="8"/>
      <c r="C82" s="8"/>
      <c r="D82" s="53">
        <f ca="1">D60</f>
        <v>0</v>
      </c>
      <c r="E82" s="53">
        <f t="shared" ref="E82:U82" ca="1" si="40">E60</f>
        <v>0</v>
      </c>
      <c r="F82" s="53">
        <f t="shared" ca="1" si="40"/>
        <v>0</v>
      </c>
      <c r="G82" s="53">
        <f t="shared" ca="1" si="40"/>
        <v>0</v>
      </c>
      <c r="H82" s="53">
        <f t="shared" ca="1" si="40"/>
        <v>0</v>
      </c>
      <c r="I82" s="53">
        <f t="shared" ca="1" si="40"/>
        <v>0</v>
      </c>
      <c r="J82" s="53">
        <f t="shared" ca="1" si="40"/>
        <v>0</v>
      </c>
      <c r="K82" s="53">
        <f t="shared" ca="1" si="40"/>
        <v>0</v>
      </c>
      <c r="L82" s="53">
        <f t="shared" ca="1" si="40"/>
        <v>174.32428249050224</v>
      </c>
      <c r="M82" s="53">
        <f t="shared" ca="1" si="40"/>
        <v>517.8425867179235</v>
      </c>
      <c r="N82" s="53">
        <f t="shared" ca="1" si="40"/>
        <v>733.28209972266939</v>
      </c>
      <c r="O82" s="53">
        <f t="shared" ca="1" si="40"/>
        <v>876.73961748338002</v>
      </c>
      <c r="P82" s="53">
        <f t="shared" ca="1" si="40"/>
        <v>1064.2161134374599</v>
      </c>
      <c r="Q82" s="53">
        <f t="shared" ca="1" si="40"/>
        <v>1258.5607548254725</v>
      </c>
      <c r="R82" s="53">
        <f t="shared" ca="1" si="40"/>
        <v>1124.5970519519703</v>
      </c>
      <c r="S82" s="53">
        <f t="shared" ca="1" si="40"/>
        <v>1604.3943892396983</v>
      </c>
      <c r="T82" s="53">
        <f t="shared" ca="1" si="40"/>
        <v>1844.5147345837427</v>
      </c>
      <c r="U82" s="53">
        <f t="shared" ca="1" si="40"/>
        <v>1989.365282317232</v>
      </c>
      <c r="V82" s="53">
        <f ca="1">V60</f>
        <v>2087.5101008853744</v>
      </c>
      <c r="W82" s="53">
        <f ca="1">W60</f>
        <v>2276.4008162935347</v>
      </c>
      <c r="X82" s="53">
        <f ca="1">X60</f>
        <v>1089.7670808219095</v>
      </c>
      <c r="Y82" s="423">
        <f ca="1">SUM(D82:X82)</f>
        <v>16641.514910770871</v>
      </c>
      <c r="AA82" s="130">
        <f t="shared" si="34"/>
        <v>76</v>
      </c>
    </row>
    <row r="83" spans="1:27" s="8" customFormat="1">
      <c r="A83" s="137" t="s">
        <v>569</v>
      </c>
      <c r="D83" s="228">
        <f ca="1">SUM(D70,D75,D80)</f>
        <v>0</v>
      </c>
      <c r="E83" s="228">
        <f t="shared" ref="E83:U83" ca="1" si="41">SUM(E70,E75,E80)</f>
        <v>0</v>
      </c>
      <c r="F83" s="228">
        <f t="shared" ca="1" si="41"/>
        <v>0</v>
      </c>
      <c r="G83" s="228">
        <f t="shared" ca="1" si="41"/>
        <v>0</v>
      </c>
      <c r="H83" s="228">
        <f t="shared" ca="1" si="41"/>
        <v>0</v>
      </c>
      <c r="I83" s="228">
        <f t="shared" ca="1" si="41"/>
        <v>0</v>
      </c>
      <c r="J83" s="228">
        <f t="shared" ca="1" si="41"/>
        <v>0</v>
      </c>
      <c r="K83" s="228">
        <f t="shared" ca="1" si="41"/>
        <v>0</v>
      </c>
      <c r="L83" s="228">
        <f t="shared" ca="1" si="41"/>
        <v>0</v>
      </c>
      <c r="M83" s="228">
        <f t="shared" ca="1" si="41"/>
        <v>0</v>
      </c>
      <c r="N83" s="228">
        <f t="shared" ca="1" si="41"/>
        <v>0</v>
      </c>
      <c r="O83" s="228">
        <f t="shared" ca="1" si="41"/>
        <v>0</v>
      </c>
      <c r="P83" s="228">
        <f t="shared" ca="1" si="41"/>
        <v>0</v>
      </c>
      <c r="Q83" s="228">
        <f t="shared" ca="1" si="41"/>
        <v>0</v>
      </c>
      <c r="R83" s="228">
        <f t="shared" ca="1" si="41"/>
        <v>0</v>
      </c>
      <c r="S83" s="228">
        <f t="shared" ca="1" si="41"/>
        <v>0</v>
      </c>
      <c r="T83" s="228">
        <f t="shared" ca="1" si="41"/>
        <v>0</v>
      </c>
      <c r="U83" s="228">
        <f t="shared" ca="1" si="41"/>
        <v>0</v>
      </c>
      <c r="V83" s="228">
        <f ca="1">SUM(V70,V75,V80)</f>
        <v>0</v>
      </c>
      <c r="W83" s="228">
        <f ca="1">SUM(W70,W75,W80)</f>
        <v>0</v>
      </c>
      <c r="X83" s="228">
        <f ca="1">SUM(X70,X75,X80)</f>
        <v>0</v>
      </c>
      <c r="Y83" s="424">
        <f ca="1">SUM(D83:X83)</f>
        <v>0</v>
      </c>
      <c r="AA83" s="130">
        <f t="shared" si="34"/>
        <v>77</v>
      </c>
    </row>
    <row r="84" spans="1:27">
      <c r="A84" s="556" t="s">
        <v>379</v>
      </c>
      <c r="B84" s="40"/>
      <c r="C84" s="10"/>
      <c r="D84" s="301">
        <f ca="1">SUM(D82:D83)</f>
        <v>0</v>
      </c>
      <c r="E84" s="301">
        <f t="shared" ref="E84:U84" ca="1" si="42">SUM(E82:E83)</f>
        <v>0</v>
      </c>
      <c r="F84" s="301">
        <f t="shared" ca="1" si="42"/>
        <v>0</v>
      </c>
      <c r="G84" s="301">
        <f t="shared" ca="1" si="42"/>
        <v>0</v>
      </c>
      <c r="H84" s="301">
        <f t="shared" ca="1" si="42"/>
        <v>0</v>
      </c>
      <c r="I84" s="301">
        <f t="shared" ca="1" si="42"/>
        <v>0</v>
      </c>
      <c r="J84" s="301">
        <f t="shared" ca="1" si="42"/>
        <v>0</v>
      </c>
      <c r="K84" s="301">
        <f t="shared" ca="1" si="42"/>
        <v>0</v>
      </c>
      <c r="L84" s="301">
        <f t="shared" ca="1" si="42"/>
        <v>174.32428249050224</v>
      </c>
      <c r="M84" s="301">
        <f t="shared" ca="1" si="42"/>
        <v>517.8425867179235</v>
      </c>
      <c r="N84" s="301">
        <f t="shared" ca="1" si="42"/>
        <v>733.28209972266939</v>
      </c>
      <c r="O84" s="301">
        <f t="shared" ca="1" si="42"/>
        <v>876.73961748338002</v>
      </c>
      <c r="P84" s="301">
        <f t="shared" ca="1" si="42"/>
        <v>1064.2161134374599</v>
      </c>
      <c r="Q84" s="301">
        <f t="shared" ca="1" si="42"/>
        <v>1258.5607548254725</v>
      </c>
      <c r="R84" s="301">
        <f t="shared" ca="1" si="42"/>
        <v>1124.5970519519703</v>
      </c>
      <c r="S84" s="301">
        <f t="shared" ca="1" si="42"/>
        <v>1604.3943892396983</v>
      </c>
      <c r="T84" s="301">
        <f t="shared" ca="1" si="42"/>
        <v>1844.5147345837427</v>
      </c>
      <c r="U84" s="301">
        <f t="shared" ca="1" si="42"/>
        <v>1989.365282317232</v>
      </c>
      <c r="V84" s="301">
        <f ca="1">SUM(V82:V83)</f>
        <v>2087.5101008853744</v>
      </c>
      <c r="W84" s="301">
        <f ca="1">SUM(W82:W83)</f>
        <v>2276.4008162935347</v>
      </c>
      <c r="X84" s="301">
        <f ca="1">SUM(X82:X83)</f>
        <v>1089.7670808219095</v>
      </c>
      <c r="Y84" s="543">
        <f ca="1">SUM(D84:X84)</f>
        <v>16641.514910770871</v>
      </c>
      <c r="AA84" s="130">
        <f t="shared" si="34"/>
        <v>78</v>
      </c>
    </row>
    <row r="85" spans="1:27">
      <c r="A85" s="75"/>
      <c r="B85" s="32"/>
      <c r="C85" s="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560"/>
      <c r="AA85" s="130">
        <f t="shared" si="34"/>
        <v>79</v>
      </c>
    </row>
    <row r="86" spans="1:27" s="8" customFormat="1">
      <c r="A86" s="144" t="s">
        <v>489</v>
      </c>
      <c r="B86" s="3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560"/>
      <c r="AA86" s="130">
        <f t="shared" si="34"/>
        <v>80</v>
      </c>
    </row>
    <row r="87" spans="1:27" s="8" customFormat="1">
      <c r="A87" s="137" t="s">
        <v>382</v>
      </c>
      <c r="D87" s="825">
        <v>0</v>
      </c>
      <c r="E87" s="53">
        <f t="shared" ref="E87:U87" ca="1" si="43">D90</f>
        <v>0</v>
      </c>
      <c r="F87" s="53">
        <f t="shared" ca="1" si="43"/>
        <v>0</v>
      </c>
      <c r="G87" s="53">
        <f t="shared" ca="1" si="43"/>
        <v>0</v>
      </c>
      <c r="H87" s="53">
        <f t="shared" ca="1" si="43"/>
        <v>0</v>
      </c>
      <c r="I87" s="53">
        <f t="shared" ca="1" si="43"/>
        <v>0</v>
      </c>
      <c r="J87" s="53">
        <f t="shared" ca="1" si="43"/>
        <v>0</v>
      </c>
      <c r="K87" s="53">
        <f t="shared" ca="1" si="43"/>
        <v>0</v>
      </c>
      <c r="L87" s="53">
        <f t="shared" ca="1" si="43"/>
        <v>0</v>
      </c>
      <c r="M87" s="53">
        <f t="shared" ca="1" si="43"/>
        <v>0</v>
      </c>
      <c r="N87" s="53">
        <f t="shared" ca="1" si="43"/>
        <v>0</v>
      </c>
      <c r="O87" s="53">
        <f t="shared" ca="1" si="43"/>
        <v>0</v>
      </c>
      <c r="P87" s="53">
        <f t="shared" ca="1" si="43"/>
        <v>0</v>
      </c>
      <c r="Q87" s="53">
        <f t="shared" ca="1" si="43"/>
        <v>0</v>
      </c>
      <c r="R87" s="53">
        <f t="shared" ca="1" si="43"/>
        <v>0</v>
      </c>
      <c r="S87" s="53">
        <f t="shared" ca="1" si="43"/>
        <v>0</v>
      </c>
      <c r="T87" s="53">
        <f t="shared" ca="1" si="43"/>
        <v>0</v>
      </c>
      <c r="U87" s="53">
        <f t="shared" ca="1" si="43"/>
        <v>0</v>
      </c>
      <c r="V87" s="53">
        <f ca="1">U90</f>
        <v>0</v>
      </c>
      <c r="W87" s="53">
        <f ca="1">V90</f>
        <v>0</v>
      </c>
      <c r="X87" s="53">
        <f ca="1">W90</f>
        <v>0</v>
      </c>
      <c r="Y87" s="423">
        <f>D87</f>
        <v>0</v>
      </c>
      <c r="AA87" s="130">
        <f t="shared" si="34"/>
        <v>81</v>
      </c>
    </row>
    <row r="88" spans="1:27">
      <c r="A88" s="137" t="s">
        <v>570</v>
      </c>
      <c r="B88" s="32"/>
      <c r="C88" s="8"/>
      <c r="D88" s="53">
        <f ca="1">D60</f>
        <v>0</v>
      </c>
      <c r="E88" s="53">
        <f t="shared" ref="E88:U88" ca="1" si="44">E60</f>
        <v>0</v>
      </c>
      <c r="F88" s="53">
        <f t="shared" ca="1" si="44"/>
        <v>0</v>
      </c>
      <c r="G88" s="53">
        <f t="shared" ca="1" si="44"/>
        <v>0</v>
      </c>
      <c r="H88" s="53">
        <f t="shared" ca="1" si="44"/>
        <v>0</v>
      </c>
      <c r="I88" s="53">
        <f t="shared" ca="1" si="44"/>
        <v>0</v>
      </c>
      <c r="J88" s="53">
        <f t="shared" ca="1" si="44"/>
        <v>0</v>
      </c>
      <c r="K88" s="53">
        <f t="shared" ca="1" si="44"/>
        <v>0</v>
      </c>
      <c r="L88" s="53">
        <f t="shared" ca="1" si="44"/>
        <v>174.32428249050224</v>
      </c>
      <c r="M88" s="53">
        <f t="shared" ca="1" si="44"/>
        <v>517.8425867179235</v>
      </c>
      <c r="N88" s="53">
        <f t="shared" ca="1" si="44"/>
        <v>733.28209972266939</v>
      </c>
      <c r="O88" s="53">
        <f t="shared" ca="1" si="44"/>
        <v>876.73961748338002</v>
      </c>
      <c r="P88" s="53">
        <f t="shared" ca="1" si="44"/>
        <v>1064.2161134374599</v>
      </c>
      <c r="Q88" s="53">
        <f t="shared" ca="1" si="44"/>
        <v>1258.5607548254725</v>
      </c>
      <c r="R88" s="53">
        <f t="shared" ca="1" si="44"/>
        <v>1124.5970519519703</v>
      </c>
      <c r="S88" s="53">
        <f t="shared" ca="1" si="44"/>
        <v>1604.3943892396983</v>
      </c>
      <c r="T88" s="53">
        <f t="shared" ca="1" si="44"/>
        <v>1844.5147345837427</v>
      </c>
      <c r="U88" s="53">
        <f t="shared" ca="1" si="44"/>
        <v>1989.365282317232</v>
      </c>
      <c r="V88" s="53">
        <f ca="1">V60</f>
        <v>2087.5101008853744</v>
      </c>
      <c r="W88" s="53">
        <f ca="1">W60</f>
        <v>2276.4008162935347</v>
      </c>
      <c r="X88" s="53">
        <f ca="1">X60</f>
        <v>1089.7670808219095</v>
      </c>
      <c r="Y88" s="423">
        <f ca="1">SUM(D88:X88)</f>
        <v>16641.514910770871</v>
      </c>
      <c r="AA88" s="130">
        <f t="shared" si="34"/>
        <v>82</v>
      </c>
    </row>
    <row r="89" spans="1:27">
      <c r="A89" s="137" t="s">
        <v>380</v>
      </c>
      <c r="B89" s="32"/>
      <c r="C89" s="8"/>
      <c r="D89" s="228">
        <f ca="1">D84</f>
        <v>0</v>
      </c>
      <c r="E89" s="228">
        <f t="shared" ref="E89:U89" ca="1" si="45">E84</f>
        <v>0</v>
      </c>
      <c r="F89" s="228">
        <f t="shared" ca="1" si="45"/>
        <v>0</v>
      </c>
      <c r="G89" s="228">
        <f t="shared" ca="1" si="45"/>
        <v>0</v>
      </c>
      <c r="H89" s="228">
        <f t="shared" ca="1" si="45"/>
        <v>0</v>
      </c>
      <c r="I89" s="228">
        <f t="shared" ca="1" si="45"/>
        <v>0</v>
      </c>
      <c r="J89" s="228">
        <f t="shared" ca="1" si="45"/>
        <v>0</v>
      </c>
      <c r="K89" s="228">
        <f t="shared" ca="1" si="45"/>
        <v>0</v>
      </c>
      <c r="L89" s="228">
        <f t="shared" ca="1" si="45"/>
        <v>174.32428249050224</v>
      </c>
      <c r="M89" s="228">
        <f t="shared" ca="1" si="45"/>
        <v>517.8425867179235</v>
      </c>
      <c r="N89" s="228">
        <f t="shared" ca="1" si="45"/>
        <v>733.28209972266939</v>
      </c>
      <c r="O89" s="228">
        <f t="shared" ca="1" si="45"/>
        <v>876.73961748338002</v>
      </c>
      <c r="P89" s="228">
        <f t="shared" ca="1" si="45"/>
        <v>1064.2161134374599</v>
      </c>
      <c r="Q89" s="228">
        <f t="shared" ca="1" si="45"/>
        <v>1258.5607548254725</v>
      </c>
      <c r="R89" s="228">
        <f t="shared" ca="1" si="45"/>
        <v>1124.5970519519703</v>
      </c>
      <c r="S89" s="228">
        <f t="shared" ca="1" si="45"/>
        <v>1604.3943892396983</v>
      </c>
      <c r="T89" s="228">
        <f t="shared" ca="1" si="45"/>
        <v>1844.5147345837427</v>
      </c>
      <c r="U89" s="228">
        <f t="shared" ca="1" si="45"/>
        <v>1989.365282317232</v>
      </c>
      <c r="V89" s="228">
        <f ca="1">V84</f>
        <v>2087.5101008853744</v>
      </c>
      <c r="W89" s="228">
        <f ca="1">W84</f>
        <v>2276.4008162935347</v>
      </c>
      <c r="X89" s="228">
        <f ca="1">X84</f>
        <v>1089.7670808219095</v>
      </c>
      <c r="Y89" s="424">
        <f ca="1">SUM(D89:X89)</f>
        <v>16641.514910770871</v>
      </c>
      <c r="AA89" s="130">
        <f t="shared" si="34"/>
        <v>83</v>
      </c>
    </row>
    <row r="90" spans="1:27">
      <c r="A90" s="406" t="s">
        <v>381</v>
      </c>
      <c r="B90" s="10"/>
      <c r="C90" s="10"/>
      <c r="D90" s="64">
        <f ca="1">SUM(D87,D88,-D89)</f>
        <v>0</v>
      </c>
      <c r="E90" s="64">
        <f t="shared" ref="E90:U90" ca="1" si="46">SUM(E87,E88,-E89)</f>
        <v>0</v>
      </c>
      <c r="F90" s="64">
        <f t="shared" ca="1" si="46"/>
        <v>0</v>
      </c>
      <c r="G90" s="64">
        <f t="shared" ca="1" si="46"/>
        <v>0</v>
      </c>
      <c r="H90" s="64">
        <f t="shared" ca="1" si="46"/>
        <v>0</v>
      </c>
      <c r="I90" s="64">
        <f t="shared" ca="1" si="46"/>
        <v>0</v>
      </c>
      <c r="J90" s="64">
        <f t="shared" ca="1" si="46"/>
        <v>0</v>
      </c>
      <c r="K90" s="64">
        <f t="shared" ca="1" si="46"/>
        <v>0</v>
      </c>
      <c r="L90" s="64">
        <f t="shared" ca="1" si="46"/>
        <v>0</v>
      </c>
      <c r="M90" s="64">
        <f t="shared" ca="1" si="46"/>
        <v>0</v>
      </c>
      <c r="N90" s="64">
        <f t="shared" ca="1" si="46"/>
        <v>0</v>
      </c>
      <c r="O90" s="64">
        <f t="shared" ca="1" si="46"/>
        <v>0</v>
      </c>
      <c r="P90" s="64">
        <f t="shared" ca="1" si="46"/>
        <v>0</v>
      </c>
      <c r="Q90" s="64">
        <f t="shared" ca="1" si="46"/>
        <v>0</v>
      </c>
      <c r="R90" s="64">
        <f t="shared" ca="1" si="46"/>
        <v>0</v>
      </c>
      <c r="S90" s="64">
        <f t="shared" ca="1" si="46"/>
        <v>0</v>
      </c>
      <c r="T90" s="64">
        <f t="shared" ca="1" si="46"/>
        <v>0</v>
      </c>
      <c r="U90" s="64">
        <f t="shared" ca="1" si="46"/>
        <v>0</v>
      </c>
      <c r="V90" s="64">
        <f ca="1">SUM(V87,V88,-V89)</f>
        <v>0</v>
      </c>
      <c r="W90" s="64">
        <f ca="1">SUM(W87,W88,-W89)</f>
        <v>0</v>
      </c>
      <c r="X90" s="64">
        <f ca="1">SUM(X87,X88,-X89)</f>
        <v>0</v>
      </c>
      <c r="Y90" s="542">
        <f ca="1">SUM(Y87,Y88,-Y89)</f>
        <v>0</v>
      </c>
      <c r="AA90" s="130">
        <f t="shared" si="34"/>
        <v>84</v>
      </c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D47"/>
  <sheetViews>
    <sheetView showGridLines="0" zoomScale="90" workbookViewId="0"/>
  </sheetViews>
  <sheetFormatPr defaultColWidth="9.109375" defaultRowHeight="13.2"/>
  <cols>
    <col min="1" max="1" width="1.6640625" style="5" customWidth="1"/>
    <col min="2" max="2" width="30.6640625" style="5" customWidth="1"/>
    <col min="3" max="3" width="1.6640625" style="5" customWidth="1"/>
    <col min="4" max="4" width="10.6640625" style="5" customWidth="1"/>
    <col min="5" max="5" width="1.6640625" style="5" customWidth="1"/>
    <col min="6" max="6" width="10.6640625" style="5" customWidth="1"/>
    <col min="7" max="7" width="1.6640625" style="5" customWidth="1"/>
    <col min="8" max="29" width="10.6640625" style="5" customWidth="1"/>
    <col min="30" max="16384" width="9.109375" style="5"/>
  </cols>
  <sheetData>
    <row r="1" spans="1:30" s="242" customFormat="1" ht="15.6">
      <c r="A1" s="998" t="str">
        <f>Assm!A1</f>
        <v>GASOCIDENTE DO MATO GROSSO LTDA (GASMAT) *** DRAFT COPY ***</v>
      </c>
      <c r="B1" s="241"/>
      <c r="C1" s="283"/>
      <c r="D1" s="241"/>
      <c r="E1" s="283"/>
      <c r="F1" s="132"/>
      <c r="G1" s="283"/>
      <c r="H1" s="283"/>
      <c r="I1" s="283"/>
      <c r="J1" s="284"/>
      <c r="K1" s="283"/>
      <c r="L1" s="283"/>
      <c r="M1" s="285"/>
      <c r="N1" s="283"/>
      <c r="O1" s="283"/>
      <c r="P1" s="283"/>
      <c r="Q1" s="283"/>
      <c r="R1" s="283"/>
      <c r="S1" s="283"/>
      <c r="T1" s="283"/>
      <c r="U1" s="286"/>
      <c r="V1" s="283"/>
      <c r="W1" s="283"/>
      <c r="X1" s="283"/>
      <c r="Y1" s="283"/>
      <c r="Z1" s="283"/>
      <c r="AA1" s="283"/>
      <c r="AB1" s="283"/>
    </row>
    <row r="2" spans="1:30" s="242" customFormat="1" ht="15.6">
      <c r="A2" s="998" t="str">
        <f>Assm!A2</f>
        <v>257 KM PIPELINE SPUR FOR CUIABA POWER PLANT (BRAZIL)</v>
      </c>
      <c r="B2" s="241"/>
      <c r="C2" s="283"/>
      <c r="D2" s="241"/>
      <c r="E2" s="283"/>
      <c r="F2" s="132"/>
      <c r="G2" s="283"/>
      <c r="H2" s="283"/>
      <c r="I2" s="283"/>
      <c r="J2" s="284"/>
      <c r="K2" s="283"/>
      <c r="L2" s="283"/>
      <c r="M2" s="285"/>
      <c r="N2" s="283"/>
      <c r="O2" s="283"/>
      <c r="P2" s="283"/>
      <c r="Q2" s="283"/>
      <c r="R2" s="283"/>
      <c r="S2" s="283"/>
      <c r="T2" s="283"/>
      <c r="U2" s="286"/>
      <c r="V2" s="283"/>
      <c r="W2" s="283"/>
      <c r="X2" s="283"/>
      <c r="Y2" s="283"/>
      <c r="Z2" s="283"/>
      <c r="AA2" s="283"/>
      <c r="AB2" s="283"/>
    </row>
    <row r="3" spans="1:30" s="242" customFormat="1" ht="15">
      <c r="A3" s="246" t="str">
        <f>Assm!A3</f>
        <v>ENRON INTERNATIONAL</v>
      </c>
      <c r="B3" s="246"/>
      <c r="C3" s="283"/>
      <c r="D3" s="246"/>
      <c r="E3" s="283"/>
      <c r="F3" s="132"/>
      <c r="G3" s="283"/>
      <c r="H3" s="287"/>
      <c r="I3" s="283"/>
      <c r="J3" s="284"/>
      <c r="K3" s="283"/>
      <c r="L3" s="283"/>
      <c r="M3" s="285"/>
      <c r="N3" s="283"/>
      <c r="O3" s="283"/>
      <c r="P3" s="283"/>
      <c r="Q3" s="283"/>
      <c r="R3" s="283"/>
      <c r="S3" s="283"/>
      <c r="T3" s="283"/>
      <c r="U3" s="283"/>
      <c r="V3" s="288"/>
      <c r="W3" s="288"/>
      <c r="X3" s="283"/>
      <c r="Y3" s="283"/>
      <c r="Z3" s="283"/>
      <c r="AA3" s="283"/>
      <c r="AB3" s="283"/>
    </row>
    <row r="4" spans="1:30" s="242" customFormat="1" ht="15">
      <c r="A4" s="818" t="s">
        <v>1007</v>
      </c>
      <c r="B4" s="818"/>
      <c r="C4" s="283"/>
      <c r="D4" s="133"/>
      <c r="E4" s="283"/>
      <c r="F4" s="132"/>
      <c r="G4" s="283"/>
      <c r="H4" s="287"/>
      <c r="I4" s="283"/>
      <c r="J4" s="284"/>
      <c r="K4" s="283"/>
      <c r="L4" s="283"/>
      <c r="M4" s="285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spans="1:30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30" s="8" customFormat="1">
      <c r="A6" s="400" t="s">
        <v>184</v>
      </c>
      <c r="B6" s="74"/>
      <c r="C6" s="74"/>
      <c r="D6" s="74"/>
      <c r="E6" s="74"/>
      <c r="F6" s="74"/>
      <c r="G6" s="74"/>
      <c r="H6" s="74">
        <f>CF!E6</f>
        <v>1</v>
      </c>
      <c r="I6" s="74">
        <f>CF!F6</f>
        <v>2</v>
      </c>
      <c r="J6" s="74">
        <f>CF!G6</f>
        <v>3</v>
      </c>
      <c r="K6" s="74">
        <f>CF!H6</f>
        <v>4</v>
      </c>
      <c r="L6" s="74">
        <f>CF!I6</f>
        <v>5</v>
      </c>
      <c r="M6" s="74">
        <f>CF!J6</f>
        <v>6</v>
      </c>
      <c r="N6" s="74">
        <f>CF!K6</f>
        <v>7</v>
      </c>
      <c r="O6" s="74">
        <f>CF!L6</f>
        <v>8</v>
      </c>
      <c r="P6" s="74">
        <f>CF!M6</f>
        <v>9</v>
      </c>
      <c r="Q6" s="74">
        <f>CF!N6</f>
        <v>10</v>
      </c>
      <c r="R6" s="74">
        <f>CF!O6</f>
        <v>11</v>
      </c>
      <c r="S6" s="74">
        <f>CF!P6</f>
        <v>12</v>
      </c>
      <c r="T6" s="74">
        <f>CF!Q6</f>
        <v>13</v>
      </c>
      <c r="U6" s="74">
        <f>CF!R6</f>
        <v>14</v>
      </c>
      <c r="V6" s="74">
        <f>CF!S6</f>
        <v>15</v>
      </c>
      <c r="W6" s="74">
        <f>CF!T6</f>
        <v>16</v>
      </c>
      <c r="X6" s="74">
        <f>CF!U6</f>
        <v>17</v>
      </c>
      <c r="Y6" s="74">
        <f>CF!V6</f>
        <v>18</v>
      </c>
      <c r="Z6" s="74">
        <f>CF!W6</f>
        <v>19</v>
      </c>
      <c r="AA6" s="74">
        <f>CF!X6</f>
        <v>20</v>
      </c>
      <c r="AB6" s="74">
        <f>CF!Y6</f>
        <v>21</v>
      </c>
      <c r="AC6" s="416"/>
    </row>
    <row r="7" spans="1:30" s="8" customFormat="1" ht="13.8" thickBot="1">
      <c r="A7" s="401" t="s">
        <v>185</v>
      </c>
      <c r="B7" s="77"/>
      <c r="C7" s="77"/>
      <c r="D7" s="77"/>
      <c r="E7" s="77"/>
      <c r="F7" s="77"/>
      <c r="G7" s="77"/>
      <c r="H7" s="230">
        <f>CF!E7</f>
        <v>1999</v>
      </c>
      <c r="I7" s="230">
        <f>CF!F7</f>
        <v>2000</v>
      </c>
      <c r="J7" s="230">
        <f>CF!G7</f>
        <v>2001</v>
      </c>
      <c r="K7" s="230">
        <f>CF!H7</f>
        <v>2002</v>
      </c>
      <c r="L7" s="230">
        <f>CF!I7</f>
        <v>2003</v>
      </c>
      <c r="M7" s="230">
        <f>CF!J7</f>
        <v>2004</v>
      </c>
      <c r="N7" s="230">
        <f>CF!K7</f>
        <v>2005</v>
      </c>
      <c r="O7" s="230">
        <f>CF!L7</f>
        <v>2006</v>
      </c>
      <c r="P7" s="230">
        <f>CF!M7</f>
        <v>2007</v>
      </c>
      <c r="Q7" s="230">
        <f>CF!N7</f>
        <v>2008</v>
      </c>
      <c r="R7" s="230">
        <f>CF!O7</f>
        <v>2009</v>
      </c>
      <c r="S7" s="230">
        <f>CF!P7</f>
        <v>2010</v>
      </c>
      <c r="T7" s="230">
        <f>CF!Q7</f>
        <v>2011</v>
      </c>
      <c r="U7" s="230">
        <f>CF!R7</f>
        <v>2012</v>
      </c>
      <c r="V7" s="230">
        <f>CF!S7</f>
        <v>2013</v>
      </c>
      <c r="W7" s="230">
        <f>CF!T7</f>
        <v>2014</v>
      </c>
      <c r="X7" s="230">
        <f>CF!U7</f>
        <v>2015</v>
      </c>
      <c r="Y7" s="230">
        <f>CF!V7</f>
        <v>2016</v>
      </c>
      <c r="Z7" s="230">
        <f>CF!W7</f>
        <v>2017</v>
      </c>
      <c r="AA7" s="230">
        <f>CF!X7</f>
        <v>2018</v>
      </c>
      <c r="AB7" s="230">
        <f>CF!Y7</f>
        <v>2019</v>
      </c>
      <c r="AC7" s="417" t="s">
        <v>229</v>
      </c>
    </row>
    <row r="8" spans="1:30" s="8" customFormat="1">
      <c r="A8" s="403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18"/>
    </row>
    <row r="9" spans="1:30" s="8" customFormat="1">
      <c r="A9" s="137" t="s">
        <v>340</v>
      </c>
      <c r="H9" s="8">
        <f>CF!E9</f>
        <v>0</v>
      </c>
      <c r="I9" s="8">
        <f>CF!F9</f>
        <v>0</v>
      </c>
      <c r="J9" s="8">
        <f>CF!G9</f>
        <v>10</v>
      </c>
      <c r="K9" s="8">
        <f>CF!H9</f>
        <v>12</v>
      </c>
      <c r="L9" s="8">
        <f>CF!I9</f>
        <v>12</v>
      </c>
      <c r="M9" s="8">
        <f>CF!J9</f>
        <v>12</v>
      </c>
      <c r="N9" s="8">
        <f>CF!K9</f>
        <v>12</v>
      </c>
      <c r="O9" s="8">
        <f>CF!L9</f>
        <v>12</v>
      </c>
      <c r="P9" s="8">
        <f>CF!M9</f>
        <v>12</v>
      </c>
      <c r="Q9" s="8">
        <f>CF!N9</f>
        <v>12</v>
      </c>
      <c r="R9" s="8">
        <f>CF!O9</f>
        <v>12</v>
      </c>
      <c r="S9" s="8">
        <f>CF!P9</f>
        <v>12</v>
      </c>
      <c r="T9" s="8">
        <f>CF!Q9</f>
        <v>12</v>
      </c>
      <c r="U9" s="8">
        <f>CF!R9</f>
        <v>12</v>
      </c>
      <c r="V9" s="8">
        <f>CF!S9</f>
        <v>12</v>
      </c>
      <c r="W9" s="8">
        <f>CF!T9</f>
        <v>12</v>
      </c>
      <c r="X9" s="8">
        <f>CF!U9</f>
        <v>12</v>
      </c>
      <c r="Y9" s="8">
        <f>CF!V9</f>
        <v>12</v>
      </c>
      <c r="Z9" s="8">
        <f>CF!W9</f>
        <v>12</v>
      </c>
      <c r="AA9" s="8">
        <f>CF!X9</f>
        <v>12</v>
      </c>
      <c r="AB9" s="8">
        <f>CF!Y9</f>
        <v>4</v>
      </c>
      <c r="AC9" s="419">
        <f>CF!Z9</f>
        <v>218</v>
      </c>
    </row>
    <row r="10" spans="1:30">
      <c r="A10" s="13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419"/>
      <c r="AD10" s="8"/>
    </row>
    <row r="11" spans="1:30">
      <c r="A11" s="464"/>
      <c r="B11" s="269"/>
      <c r="C11" s="269"/>
      <c r="D11" s="314" t="s">
        <v>242</v>
      </c>
      <c r="E11" s="269"/>
      <c r="F11" s="317" t="s">
        <v>243</v>
      </c>
      <c r="G11" s="269"/>
      <c r="H11" s="531" t="s">
        <v>153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419"/>
    </row>
    <row r="12" spans="1:30">
      <c r="A12" s="490" t="s">
        <v>244</v>
      </c>
      <c r="B12" s="274"/>
      <c r="C12" s="274"/>
      <c r="D12" s="315">
        <f ca="1">Cost</f>
        <v>126558.00464369243</v>
      </c>
      <c r="E12" s="274"/>
      <c r="F12" s="318">
        <f ca="1">D12</f>
        <v>126558.00464369243</v>
      </c>
      <c r="G12" s="274"/>
      <c r="H12" s="532">
        <f ca="1">D12</f>
        <v>126558.00464369243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419"/>
    </row>
    <row r="13" spans="1:30">
      <c r="A13" s="490" t="s">
        <v>245</v>
      </c>
      <c r="B13" s="274"/>
      <c r="C13" s="274"/>
      <c r="D13" s="315">
        <f>-Linefill</f>
        <v>-146</v>
      </c>
      <c r="E13" s="274"/>
      <c r="F13" s="318">
        <f>D13</f>
        <v>-146</v>
      </c>
      <c r="G13" s="274"/>
      <c r="H13" s="532">
        <f>F13</f>
        <v>-146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419"/>
    </row>
    <row r="14" spans="1:30">
      <c r="A14" s="490" t="s">
        <v>328</v>
      </c>
      <c r="B14" s="274"/>
      <c r="C14" s="274"/>
      <c r="D14" s="315">
        <f ca="1">-IDC!AO56</f>
        <v>0</v>
      </c>
      <c r="E14" s="274"/>
      <c r="F14" s="318">
        <f ca="1">D14</f>
        <v>0</v>
      </c>
      <c r="G14" s="274"/>
      <c r="H14" s="532">
        <f ca="1">F14</f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419"/>
    </row>
    <row r="15" spans="1:30">
      <c r="A15" s="490" t="s">
        <v>389</v>
      </c>
      <c r="B15" s="274"/>
      <c r="C15" s="274"/>
      <c r="D15" s="316">
        <f>-Wcap</f>
        <v>0</v>
      </c>
      <c r="E15" s="274"/>
      <c r="F15" s="319">
        <f>D15</f>
        <v>0</v>
      </c>
      <c r="G15" s="274"/>
      <c r="H15" s="564">
        <f>D15</f>
        <v>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419"/>
    </row>
    <row r="16" spans="1:30">
      <c r="A16" s="491" t="s">
        <v>246</v>
      </c>
      <c r="B16" s="483"/>
      <c r="C16" s="483"/>
      <c r="D16" s="565">
        <f ca="1">SUM(D12:D15)</f>
        <v>126412.00464369243</v>
      </c>
      <c r="E16" s="483"/>
      <c r="F16" s="566">
        <f ca="1">SUM(F12:F15)</f>
        <v>126412.00464369243</v>
      </c>
      <c r="G16" s="483"/>
      <c r="H16" s="567">
        <f ca="1">SUM(H12:H15)</f>
        <v>126412.00464369243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419"/>
    </row>
    <row r="17" spans="1:30">
      <c r="A17" s="13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419"/>
    </row>
    <row r="18" spans="1:30">
      <c r="A18" s="13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419"/>
    </row>
    <row r="19" spans="1:30">
      <c r="A19" s="539" t="s">
        <v>247</v>
      </c>
      <c r="B19" s="33"/>
      <c r="C19" s="50" t="s">
        <v>391</v>
      </c>
      <c r="D19" s="51"/>
      <c r="E19" s="50" t="s">
        <v>248</v>
      </c>
      <c r="F19" s="52"/>
      <c r="G19" s="7"/>
      <c r="H19" s="671"/>
      <c r="I19" s="671"/>
      <c r="J19" s="671"/>
      <c r="K19" s="671"/>
      <c r="L19" s="671"/>
      <c r="M19" s="671"/>
      <c r="N19" s="671"/>
      <c r="O19" s="671"/>
      <c r="P19" s="671"/>
      <c r="Q19" s="671"/>
      <c r="R19" s="671"/>
      <c r="S19" s="671"/>
      <c r="T19" s="671"/>
      <c r="U19" s="671"/>
      <c r="V19" s="671"/>
      <c r="W19" s="671"/>
      <c r="X19" s="671"/>
      <c r="Y19" s="671"/>
      <c r="Z19" s="671"/>
      <c r="AA19" s="671"/>
      <c r="AB19" s="671"/>
      <c r="AC19" s="672"/>
      <c r="AD19" s="8"/>
    </row>
    <row r="20" spans="1:30">
      <c r="A20" s="137" t="s">
        <v>249</v>
      </c>
      <c r="B20" s="8"/>
      <c r="C20" s="321" t="s">
        <v>390</v>
      </c>
      <c r="D20" s="92"/>
      <c r="E20" s="321" t="s">
        <v>250</v>
      </c>
      <c r="F20" s="323"/>
      <c r="G20" s="8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423"/>
      <c r="AD20" s="8"/>
    </row>
    <row r="21" spans="1:30">
      <c r="A21" s="137"/>
      <c r="B21" s="8" t="s">
        <v>251</v>
      </c>
      <c r="C21" s="322">
        <f>Assm!$K$44</f>
        <v>20</v>
      </c>
      <c r="D21" s="92"/>
      <c r="E21" s="670">
        <f ca="1">Assm!$J$44</f>
        <v>126412.00464369243</v>
      </c>
      <c r="F21" s="323"/>
      <c r="G21" s="8"/>
      <c r="H21" s="53">
        <f ca="1">IF($C21&lt;Term,IF(H$6&gt;=$C21,$E21-SUM($G21:G21), SLN($E21,0,$C21)*H$9/12),$E21/Term*H$9/12)</f>
        <v>0</v>
      </c>
      <c r="I21" s="53">
        <f ca="1">IF($C21&lt;Term,IF(I$6&gt;=$C21,$E21-SUM($G21:H21), SLN($E21,0,$C21)*I$9/12),$E21/Term*I$9/12)</f>
        <v>0</v>
      </c>
      <c r="J21" s="53">
        <f ca="1">IF($C21&lt;Term,IF(J$6&gt;=$C21,$E21-SUM($G21:I21), SLN($E21,0,$C21)*J$9/12),$E21/Term*J$9/12)</f>
        <v>5267.1668601538513</v>
      </c>
      <c r="K21" s="53">
        <f ca="1">IF($C21&lt;Term,IF(K$6&gt;=$C21,$E21-SUM($G21:J21), SLN($E21,0,$C21)*K$9/12),$E21/Term*K$9/12)</f>
        <v>6320.6002321846217</v>
      </c>
      <c r="L21" s="53">
        <f ca="1">IF($C21&lt;Term,IF(L$6&gt;=$C21,$E21-SUM($G21:K21), SLN($E21,0,$C21)*L$9/12),$E21/Term*L$9/12)</f>
        <v>6320.6002321846217</v>
      </c>
      <c r="M21" s="53">
        <f ca="1">IF($C21&lt;Term,IF(M$6&gt;=$C21,$E21-SUM($G21:L21), SLN($E21,0,$C21)*M$9/12),$E21/Term*M$9/12)</f>
        <v>6320.6002321846217</v>
      </c>
      <c r="N21" s="53">
        <f ca="1">IF($C21&lt;Term,IF(N$6&gt;=$C21,$E21-SUM($G21:M21), SLN($E21,0,$C21)*N$9/12),$E21/Term*N$9/12)</f>
        <v>6320.6002321846217</v>
      </c>
      <c r="O21" s="53">
        <f ca="1">IF($C21&lt;Term,IF(O$6&gt;=$C21,$E21-SUM($G21:N21), SLN($E21,0,$C21)*O$9/12),$E21/Term*O$9/12)</f>
        <v>6320.6002321846217</v>
      </c>
      <c r="P21" s="53">
        <f ca="1">IF($C21&lt;Term,IF(P$6&gt;=$C21,$E21-SUM($G21:O21), SLN($E21,0,$C21)*P$9/12),$E21/Term*P$9/12)</f>
        <v>6320.6002321846217</v>
      </c>
      <c r="Q21" s="53">
        <f ca="1">IF($C21&lt;Term,IF(Q$6&gt;=$C21,$E21-SUM($G21:P21), SLN($E21,0,$C21)*Q$9/12),$E21/Term*Q$9/12)</f>
        <v>6320.6002321846217</v>
      </c>
      <c r="R21" s="53">
        <f ca="1">IF($C21&lt;Term,IF(R$6&gt;=$C21,$E21-SUM($G21:Q21), SLN($E21,0,$C21)*R$9/12),$E21/Term*R$9/12)</f>
        <v>6320.6002321846217</v>
      </c>
      <c r="S21" s="53">
        <f ca="1">IF($C21&lt;Term,IF(S$6&gt;=$C21,$E21-SUM($G21:R21), SLN($E21,0,$C21)*S$9/12),$E21/Term*S$9/12)</f>
        <v>6320.6002321846217</v>
      </c>
      <c r="T21" s="53">
        <f ca="1">IF($C21&lt;Term,IF(T$6&gt;=$C21,$E21-SUM($G21:S21), SLN($E21,0,$C21)*T$9/12),$E21/Term*T$9/12)</f>
        <v>6320.6002321846217</v>
      </c>
      <c r="U21" s="53">
        <f ca="1">IF($C21&lt;Term,IF(U$6&gt;=$C21,$E21-SUM($G21:T21), SLN($E21,0,$C21)*U$9/12),$E21/Term*U$9/12)</f>
        <v>6320.6002321846217</v>
      </c>
      <c r="V21" s="53">
        <f ca="1">IF($C21&lt;Term,IF(V$6&gt;=$C21,$E21-SUM($G21:U21), SLN($E21,0,$C21)*V$9/12),$E21/Term*V$9/12)</f>
        <v>6320.6002321846217</v>
      </c>
      <c r="W21" s="53">
        <f ca="1">IF($C21&lt;Term,IF(W$6&gt;=$C21,$E21-SUM($G21:V21), SLN($E21,0,$C21)*W$9/12),$E21/Term*W$9/12)</f>
        <v>6320.6002321846217</v>
      </c>
      <c r="X21" s="53">
        <f ca="1">IF($C21&lt;Term,IF(X$6&gt;=$C21,$E21-SUM($G21:W21), SLN($E21,0,$C21)*X$9/12),$E21/Term*X$9/12)</f>
        <v>6320.6002321846217</v>
      </c>
      <c r="Y21" s="53">
        <f ca="1">IF($C21&lt;Term,IF(Y$6&gt;=$C21,$E21-SUM($G21:X21), SLN($E21,0,$C21)*Y$9/12),$E21/Term*Y$9/12)</f>
        <v>6320.6002321846217</v>
      </c>
      <c r="Z21" s="53">
        <f ca="1">IF($C21&lt;Term,IF(Z$6&gt;=$C21,$E21-SUM($G21:Y21), SLN($E21,0,$C21)*Z$9/12),$E21/Term*Z$9/12)</f>
        <v>6320.6002321846217</v>
      </c>
      <c r="AA21" s="53">
        <f ca="1">IF($C21&lt;Term,IF(AA$6&gt;=$C21,$E21-SUM($G21:Z21), SLN($E21,0,$C21)*AA$9/12),$E21/Term*AA$9/12)</f>
        <v>6320.6002321846217</v>
      </c>
      <c r="AB21" s="53">
        <f ca="1">IF($C21&lt;Term,IF(AB$6&gt;=$C21,$E21-SUM($G21:AA21), SLN($E21,0,$C21)*AB$9/12),$E21/Term*AB$9/12)</f>
        <v>2106.8667440615404</v>
      </c>
      <c r="AC21" s="423">
        <f ca="1">SUM(H21:AB21)</f>
        <v>114824.23755135393</v>
      </c>
      <c r="AD21" s="8"/>
    </row>
    <row r="22" spans="1:30">
      <c r="A22" s="137"/>
      <c r="B22" s="8" t="s">
        <v>252</v>
      </c>
      <c r="C22" s="3"/>
      <c r="D22" s="42"/>
      <c r="E22" s="8"/>
      <c r="F22" s="42"/>
      <c r="G22" s="8"/>
      <c r="H22" s="53">
        <f ca="1">SUM($H21:H21)</f>
        <v>0</v>
      </c>
      <c r="I22" s="53">
        <f ca="1">SUM($H21:I21)</f>
        <v>0</v>
      </c>
      <c r="J22" s="53">
        <f ca="1">SUM($H21:J21)</f>
        <v>5267.1668601538513</v>
      </c>
      <c r="K22" s="53">
        <f ca="1">SUM($H21:K21)</f>
        <v>11587.767092338472</v>
      </c>
      <c r="L22" s="53">
        <f ca="1">SUM($H21:L21)</f>
        <v>17908.367324523093</v>
      </c>
      <c r="M22" s="53">
        <f ca="1">SUM($H21:M21)</f>
        <v>24228.967556707714</v>
      </c>
      <c r="N22" s="53">
        <f ca="1">SUM($H21:N21)</f>
        <v>30549.567788892335</v>
      </c>
      <c r="O22" s="53">
        <f ca="1">SUM($H21:O21)</f>
        <v>36870.168021076955</v>
      </c>
      <c r="P22" s="53">
        <f ca="1">SUM($H21:P21)</f>
        <v>43190.76825326158</v>
      </c>
      <c r="Q22" s="53">
        <f ca="1">SUM($H21:Q21)</f>
        <v>49511.368485446204</v>
      </c>
      <c r="R22" s="53">
        <f ca="1">SUM($H21:R21)</f>
        <v>55831.968717630829</v>
      </c>
      <c r="S22" s="53">
        <f ca="1">SUM($H21:S21)</f>
        <v>62152.568949815453</v>
      </c>
      <c r="T22" s="53">
        <f ca="1">SUM($H21:T21)</f>
        <v>68473.169182000071</v>
      </c>
      <c r="U22" s="53">
        <f ca="1">SUM($H21:U21)</f>
        <v>74793.769414184688</v>
      </c>
      <c r="V22" s="53">
        <f ca="1">SUM($H21:V21)</f>
        <v>81114.369646369305</v>
      </c>
      <c r="W22" s="53">
        <f ca="1">SUM($H21:W21)</f>
        <v>87434.969878553922</v>
      </c>
      <c r="X22" s="53">
        <f ca="1">SUM($H21:X21)</f>
        <v>93755.570110738539</v>
      </c>
      <c r="Y22" s="53">
        <f ca="1">SUM($H21:Y21)</f>
        <v>100076.17034292316</v>
      </c>
      <c r="Z22" s="53">
        <f ca="1">SUM($H21:Z21)</f>
        <v>106396.77057510777</v>
      </c>
      <c r="AA22" s="53">
        <f ca="1">SUM($H21:AA21)</f>
        <v>112717.37080729239</v>
      </c>
      <c r="AB22" s="53">
        <f ca="1">SUM($H21:AB21)</f>
        <v>114824.23755135393</v>
      </c>
      <c r="AC22" s="423"/>
      <c r="AD22" s="8"/>
    </row>
    <row r="23" spans="1:30">
      <c r="A23" s="137"/>
      <c r="B23" s="8"/>
      <c r="C23" s="3"/>
      <c r="D23" s="42"/>
      <c r="E23" s="8"/>
      <c r="F23" s="42"/>
      <c r="G23" s="8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423"/>
      <c r="AD23" s="8"/>
    </row>
    <row r="24" spans="1:30">
      <c r="A24" s="137"/>
      <c r="B24" s="8" t="s">
        <v>253</v>
      </c>
      <c r="C24" s="3"/>
      <c r="D24" s="42"/>
      <c r="E24" s="8"/>
      <c r="F24" s="42"/>
      <c r="G24" s="8"/>
      <c r="H24" s="825">
        <v>0</v>
      </c>
      <c r="I24" s="53">
        <f t="shared" ref="I24:Y24" ca="1" si="0">H27</f>
        <v>0</v>
      </c>
      <c r="J24" s="53">
        <f t="shared" ca="1" si="0"/>
        <v>0</v>
      </c>
      <c r="K24" s="53">
        <f t="shared" ca="1" si="0"/>
        <v>121144.83778353858</v>
      </c>
      <c r="L24" s="53">
        <f t="shared" ca="1" si="0"/>
        <v>114824.23755135396</v>
      </c>
      <c r="M24" s="53">
        <f t="shared" ca="1" si="0"/>
        <v>108503.63731916934</v>
      </c>
      <c r="N24" s="53">
        <f t="shared" ca="1" si="0"/>
        <v>102183.03708698472</v>
      </c>
      <c r="O24" s="53">
        <f t="shared" ca="1" si="0"/>
        <v>95862.436854800108</v>
      </c>
      <c r="P24" s="53">
        <f t="shared" ca="1" si="0"/>
        <v>89541.83662261549</v>
      </c>
      <c r="Q24" s="53">
        <f t="shared" ca="1" si="0"/>
        <v>83221.236390430873</v>
      </c>
      <c r="R24" s="53">
        <f t="shared" ca="1" si="0"/>
        <v>76900.636158246256</v>
      </c>
      <c r="S24" s="53">
        <f t="shared" ca="1" si="0"/>
        <v>70580.035926061639</v>
      </c>
      <c r="T24" s="53">
        <f t="shared" ca="1" si="0"/>
        <v>64259.435693877014</v>
      </c>
      <c r="U24" s="53">
        <f t="shared" ca="1" si="0"/>
        <v>57938.83546169239</v>
      </c>
      <c r="V24" s="53">
        <f t="shared" ca="1" si="0"/>
        <v>51618.235229507765</v>
      </c>
      <c r="W24" s="53">
        <f t="shared" ca="1" si="0"/>
        <v>45297.634997323141</v>
      </c>
      <c r="X24" s="53">
        <f t="shared" ca="1" si="0"/>
        <v>38977.034765138516</v>
      </c>
      <c r="Y24" s="53">
        <f t="shared" ca="1" si="0"/>
        <v>32656.434532953896</v>
      </c>
      <c r="Z24" s="53">
        <f ca="1">Y27</f>
        <v>26335.834300769275</v>
      </c>
      <c r="AA24" s="53">
        <f ca="1">Z27</f>
        <v>20015.234068584654</v>
      </c>
      <c r="AB24" s="53">
        <f ca="1">AA27</f>
        <v>13694.633836400033</v>
      </c>
      <c r="AC24" s="423">
        <f>H24</f>
        <v>0</v>
      </c>
      <c r="AD24" s="8"/>
    </row>
    <row r="25" spans="1:30">
      <c r="A25" s="137"/>
      <c r="B25" s="8" t="s">
        <v>392</v>
      </c>
      <c r="C25" s="3"/>
      <c r="D25" s="42"/>
      <c r="E25" s="8"/>
      <c r="F25" s="42"/>
      <c r="G25" s="8"/>
      <c r="H25" s="53">
        <f t="shared" ref="H25:AB25" si="1">IF(H$7=YEAR(Startops1),$E21,0)</f>
        <v>0</v>
      </c>
      <c r="I25" s="53">
        <f t="shared" si="1"/>
        <v>0</v>
      </c>
      <c r="J25" s="53">
        <f t="shared" ca="1" si="1"/>
        <v>126412.00464369243</v>
      </c>
      <c r="K25" s="53">
        <f t="shared" si="1"/>
        <v>0</v>
      </c>
      <c r="L25" s="53">
        <f t="shared" si="1"/>
        <v>0</v>
      </c>
      <c r="M25" s="53">
        <f t="shared" si="1"/>
        <v>0</v>
      </c>
      <c r="N25" s="53">
        <f t="shared" si="1"/>
        <v>0</v>
      </c>
      <c r="O25" s="53">
        <f t="shared" si="1"/>
        <v>0</v>
      </c>
      <c r="P25" s="53">
        <f t="shared" si="1"/>
        <v>0</v>
      </c>
      <c r="Q25" s="53">
        <f t="shared" si="1"/>
        <v>0</v>
      </c>
      <c r="R25" s="53">
        <f t="shared" si="1"/>
        <v>0</v>
      </c>
      <c r="S25" s="53">
        <f t="shared" si="1"/>
        <v>0</v>
      </c>
      <c r="T25" s="53">
        <f t="shared" si="1"/>
        <v>0</v>
      </c>
      <c r="U25" s="53">
        <f t="shared" si="1"/>
        <v>0</v>
      </c>
      <c r="V25" s="53">
        <f t="shared" si="1"/>
        <v>0</v>
      </c>
      <c r="W25" s="53">
        <f t="shared" si="1"/>
        <v>0</v>
      </c>
      <c r="X25" s="53">
        <f t="shared" si="1"/>
        <v>0</v>
      </c>
      <c r="Y25" s="53">
        <f t="shared" si="1"/>
        <v>0</v>
      </c>
      <c r="Z25" s="53">
        <f t="shared" si="1"/>
        <v>0</v>
      </c>
      <c r="AA25" s="53">
        <f t="shared" si="1"/>
        <v>0</v>
      </c>
      <c r="AB25" s="53">
        <f t="shared" si="1"/>
        <v>0</v>
      </c>
      <c r="AC25" s="423">
        <f ca="1">SUM(H25:AB25)</f>
        <v>126412.00464369243</v>
      </c>
      <c r="AD25" s="8"/>
    </row>
    <row r="26" spans="1:30">
      <c r="A26" s="137"/>
      <c r="B26" s="8" t="s">
        <v>254</v>
      </c>
      <c r="C26" s="3"/>
      <c r="D26" s="42"/>
      <c r="E26" s="8"/>
      <c r="F26" s="42"/>
      <c r="G26" s="8"/>
      <c r="H26" s="228">
        <f ca="1">-H21</f>
        <v>0</v>
      </c>
      <c r="I26" s="228">
        <f ca="1">-I21</f>
        <v>0</v>
      </c>
      <c r="J26" s="228">
        <f ca="1">-J21</f>
        <v>-5267.1668601538513</v>
      </c>
      <c r="K26" s="228">
        <f t="shared" ref="K26:T26" ca="1" si="2">-K21</f>
        <v>-6320.6002321846217</v>
      </c>
      <c r="L26" s="228">
        <f t="shared" ca="1" si="2"/>
        <v>-6320.6002321846217</v>
      </c>
      <c r="M26" s="228">
        <f t="shared" ca="1" si="2"/>
        <v>-6320.6002321846217</v>
      </c>
      <c r="N26" s="228">
        <f t="shared" ca="1" si="2"/>
        <v>-6320.6002321846217</v>
      </c>
      <c r="O26" s="228">
        <f t="shared" ca="1" si="2"/>
        <v>-6320.6002321846217</v>
      </c>
      <c r="P26" s="228">
        <f t="shared" ca="1" si="2"/>
        <v>-6320.6002321846217</v>
      </c>
      <c r="Q26" s="228">
        <f t="shared" ca="1" si="2"/>
        <v>-6320.6002321846217</v>
      </c>
      <c r="R26" s="228">
        <f t="shared" ca="1" si="2"/>
        <v>-6320.6002321846217</v>
      </c>
      <c r="S26" s="228">
        <f t="shared" ca="1" si="2"/>
        <v>-6320.6002321846217</v>
      </c>
      <c r="T26" s="228">
        <f t="shared" ca="1" si="2"/>
        <v>-6320.6002321846217</v>
      </c>
      <c r="U26" s="228">
        <f t="shared" ref="U26:AB26" ca="1" si="3">-U21</f>
        <v>-6320.6002321846217</v>
      </c>
      <c r="V26" s="228">
        <f t="shared" ca="1" si="3"/>
        <v>-6320.6002321846217</v>
      </c>
      <c r="W26" s="228">
        <f t="shared" ca="1" si="3"/>
        <v>-6320.6002321846217</v>
      </c>
      <c r="X26" s="228">
        <f t="shared" ca="1" si="3"/>
        <v>-6320.6002321846217</v>
      </c>
      <c r="Y26" s="228">
        <f t="shared" ca="1" si="3"/>
        <v>-6320.6002321846217</v>
      </c>
      <c r="Z26" s="228">
        <f t="shared" ca="1" si="3"/>
        <v>-6320.6002321846217</v>
      </c>
      <c r="AA26" s="228">
        <f t="shared" ca="1" si="3"/>
        <v>-6320.6002321846217</v>
      </c>
      <c r="AB26" s="228">
        <f t="shared" ca="1" si="3"/>
        <v>-2106.8667440615404</v>
      </c>
      <c r="AC26" s="424">
        <f ca="1">SUM(H26:AB26)</f>
        <v>-114824.23755135393</v>
      </c>
      <c r="AD26" s="8"/>
    </row>
    <row r="27" spans="1:30">
      <c r="A27" s="406"/>
      <c r="B27" s="10" t="s">
        <v>255</v>
      </c>
      <c r="C27" s="12"/>
      <c r="D27" s="320"/>
      <c r="E27" s="10"/>
      <c r="F27" s="320"/>
      <c r="G27" s="10"/>
      <c r="H27" s="64">
        <f ca="1">SUM(H24:H26)</f>
        <v>0</v>
      </c>
      <c r="I27" s="64">
        <f ca="1">SUM(I24:I26)</f>
        <v>0</v>
      </c>
      <c r="J27" s="64">
        <f ca="1">SUM(J24:J26)</f>
        <v>121144.83778353858</v>
      </c>
      <c r="K27" s="64">
        <f t="shared" ref="K27:T27" ca="1" si="4">SUM(K24:K26)</f>
        <v>114824.23755135396</v>
      </c>
      <c r="L27" s="64">
        <f t="shared" ca="1" si="4"/>
        <v>108503.63731916934</v>
      </c>
      <c r="M27" s="64">
        <f t="shared" ca="1" si="4"/>
        <v>102183.03708698472</v>
      </c>
      <c r="N27" s="64">
        <f t="shared" ca="1" si="4"/>
        <v>95862.436854800108</v>
      </c>
      <c r="O27" s="64">
        <f t="shared" ca="1" si="4"/>
        <v>89541.83662261549</v>
      </c>
      <c r="P27" s="64">
        <f t="shared" ca="1" si="4"/>
        <v>83221.236390430873</v>
      </c>
      <c r="Q27" s="64">
        <f t="shared" ca="1" si="4"/>
        <v>76900.636158246256</v>
      </c>
      <c r="R27" s="64">
        <f t="shared" ca="1" si="4"/>
        <v>70580.035926061639</v>
      </c>
      <c r="S27" s="64">
        <f t="shared" ca="1" si="4"/>
        <v>64259.435693877014</v>
      </c>
      <c r="T27" s="64">
        <f t="shared" ca="1" si="4"/>
        <v>57938.83546169239</v>
      </c>
      <c r="U27" s="64">
        <f t="shared" ref="U27:AC27" ca="1" si="5">SUM(U24:U26)</f>
        <v>51618.235229507765</v>
      </c>
      <c r="V27" s="64">
        <f t="shared" ca="1" si="5"/>
        <v>45297.634997323141</v>
      </c>
      <c r="W27" s="64">
        <f t="shared" ca="1" si="5"/>
        <v>38977.034765138516</v>
      </c>
      <c r="X27" s="64">
        <f t="shared" ca="1" si="5"/>
        <v>32656.434532953896</v>
      </c>
      <c r="Y27" s="64">
        <f t="shared" ca="1" si="5"/>
        <v>26335.834300769275</v>
      </c>
      <c r="Z27" s="64">
        <f t="shared" ca="1" si="5"/>
        <v>20015.234068584654</v>
      </c>
      <c r="AA27" s="64">
        <f t="shared" ca="1" si="5"/>
        <v>13694.633836400033</v>
      </c>
      <c r="AB27" s="64">
        <f t="shared" ca="1" si="5"/>
        <v>11587.767092338492</v>
      </c>
      <c r="AC27" s="542">
        <f t="shared" ca="1" si="5"/>
        <v>11587.767092338501</v>
      </c>
      <c r="AD27" s="8"/>
    </row>
    <row r="28" spans="1:30">
      <c r="A28" s="405"/>
      <c r="B28" s="8"/>
      <c r="C28" s="3"/>
      <c r="D28" s="42"/>
      <c r="E28" s="8"/>
      <c r="F28" s="42"/>
      <c r="G28" s="8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423"/>
      <c r="AD28" s="8"/>
    </row>
    <row r="29" spans="1:30" s="8" customFormat="1">
      <c r="A29" s="75" t="s">
        <v>256</v>
      </c>
      <c r="B29" s="32"/>
      <c r="C29" s="110" t="s">
        <v>391</v>
      </c>
      <c r="D29" s="92"/>
      <c r="E29" s="110" t="s">
        <v>248</v>
      </c>
      <c r="F29" s="32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423"/>
    </row>
    <row r="30" spans="1:30">
      <c r="A30" s="137" t="s">
        <v>257</v>
      </c>
      <c r="B30" s="8"/>
      <c r="C30" s="321" t="s">
        <v>390</v>
      </c>
      <c r="D30" s="92"/>
      <c r="E30" s="321" t="s">
        <v>250</v>
      </c>
      <c r="F30" s="323"/>
      <c r="G30" s="8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423"/>
      <c r="AD30" s="8"/>
    </row>
    <row r="31" spans="1:30">
      <c r="A31" s="137"/>
      <c r="B31" s="8" t="s">
        <v>258</v>
      </c>
      <c r="C31" s="322">
        <f>Assm!$K$45</f>
        <v>20</v>
      </c>
      <c r="D31" s="92"/>
      <c r="E31" s="670">
        <f ca="1">Assm!$J$45</f>
        <v>126412.00464369243</v>
      </c>
      <c r="F31" s="323"/>
      <c r="G31" s="8"/>
      <c r="H31" s="53">
        <f ca="1">IF($C31&lt;Term,IF(H$6&gt;=$C31,$E31-SUM($G31:G31), SLN($E31,0,$C31)*H$9/12),$E31/Term*H$9/12)</f>
        <v>0</v>
      </c>
      <c r="I31" s="53">
        <f ca="1">IF($C31&lt;Term,IF(I$6&gt;=$C31,$E31-SUM($G31:H31), SLN($E31,0,$C31)*I$9/12),$E31/Term*I$9/12)</f>
        <v>0</v>
      </c>
      <c r="J31" s="53">
        <f ca="1">IF($C31&lt;Term,IF(J$6&gt;=$C31,$E31-SUM($G31:I31), SLN($E31,0,$C31)*J$9/12),$E31/Term*J$9/12)</f>
        <v>5267.1668601538513</v>
      </c>
      <c r="K31" s="53">
        <f ca="1">IF($C31&lt;Term,IF(K$6&gt;=$C31,$E31-SUM($G31:J31), SLN($E31,0,$C31)*K$9/12),$E31/Term*K$9/12)</f>
        <v>6320.6002321846217</v>
      </c>
      <c r="L31" s="53">
        <f ca="1">IF($C31&lt;Term,IF(L$6&gt;=$C31,$E31-SUM($G31:K31), SLN($E31,0,$C31)*L$9/12),$E31/Term*L$9/12)</f>
        <v>6320.6002321846217</v>
      </c>
      <c r="M31" s="53">
        <f ca="1">IF($C31&lt;Term,IF(M$6&gt;=$C31,$E31-SUM($G31:L31), SLN($E31,0,$C31)*M$9/12),$E31/Term*M$9/12)</f>
        <v>6320.6002321846217</v>
      </c>
      <c r="N31" s="53">
        <f ca="1">IF($C31&lt;Term,IF(N$6&gt;=$C31,$E31-SUM($G31:M31), SLN($E31,0,$C31)*N$9/12),$E31/Term*N$9/12)</f>
        <v>6320.6002321846217</v>
      </c>
      <c r="O31" s="53">
        <f ca="1">IF($C31&lt;Term,IF(O$6&gt;=$C31,$E31-SUM($G31:N31), SLN($E31,0,$C31)*O$9/12),$E31/Term*O$9/12)</f>
        <v>6320.6002321846217</v>
      </c>
      <c r="P31" s="53">
        <f ca="1">IF($C31&lt;Term,IF(P$6&gt;=$C31,$E31-SUM($G31:O31), SLN($E31,0,$C31)*P$9/12),$E31/Term*P$9/12)</f>
        <v>6320.6002321846217</v>
      </c>
      <c r="Q31" s="53">
        <f ca="1">IF($C31&lt;Term,IF(Q$6&gt;=$C31,$E31-SUM($G31:P31), SLN($E31,0,$C31)*Q$9/12),$E31/Term*Q$9/12)</f>
        <v>6320.6002321846217</v>
      </c>
      <c r="R31" s="53">
        <f ca="1">IF($C31&lt;Term,IF(R$6&gt;=$C31,$E31-SUM($G31:Q31), SLN($E31,0,$C31)*R$9/12),$E31/Term*R$9/12)</f>
        <v>6320.6002321846217</v>
      </c>
      <c r="S31" s="53">
        <f ca="1">IF($C31&lt;Term,IF(S$6&gt;=$C31,$E31-SUM($G31:R31), SLN($E31,0,$C31)*S$9/12),$E31/Term*S$9/12)</f>
        <v>6320.6002321846217</v>
      </c>
      <c r="T31" s="53">
        <f ca="1">IF($C31&lt;Term,IF(T$6&gt;=$C31,$E31-SUM($G31:S31), SLN($E31,0,$C31)*T$9/12),$E31/Term*T$9/12)</f>
        <v>6320.6002321846217</v>
      </c>
      <c r="U31" s="53">
        <f ca="1">IF($C31&lt;Term,IF(U$6&gt;=$C31,$E31-SUM($G31:T31), SLN($E31,0,$C31)*U$9/12),$E31/Term*U$9/12)</f>
        <v>6320.6002321846217</v>
      </c>
      <c r="V31" s="53">
        <f ca="1">IF($C31&lt;Term,IF(V$6&gt;=$C31,$E31-SUM($G31:U31), SLN($E31,0,$C31)*V$9/12),$E31/Term*V$9/12)</f>
        <v>6320.6002321846217</v>
      </c>
      <c r="W31" s="53">
        <f ca="1">IF($C31&lt;Term,IF(W$6&gt;=$C31,$E31-SUM($G31:V31), SLN($E31,0,$C31)*W$9/12),$E31/Term*W$9/12)</f>
        <v>6320.6002321846217</v>
      </c>
      <c r="X31" s="53">
        <f ca="1">IF($C31&lt;Term,IF(X$6&gt;=$C31,$E31-SUM($G31:W31), SLN($E31,0,$C31)*X$9/12),$E31/Term*X$9/12)</f>
        <v>6320.6002321846217</v>
      </c>
      <c r="Y31" s="53">
        <f ca="1">IF($C31&lt;Term,IF(Y$6&gt;=$C31,$E31-SUM($G31:X31), SLN($E31,0,$C31)*Y$9/12),$E31/Term*Y$9/12)</f>
        <v>6320.6002321846217</v>
      </c>
      <c r="Z31" s="53">
        <f ca="1">IF($C31&lt;Term,IF(Z$6&gt;=$C31,$E31-SUM($G31:Y31), SLN($E31,0,$C31)*Z$9/12),$E31/Term*Z$9/12)</f>
        <v>6320.6002321846217</v>
      </c>
      <c r="AA31" s="53">
        <f ca="1">IF($C31&lt;Term,IF(AA$6&gt;=$C31,$E31-SUM($G31:Z31), SLN($E31,0,$C31)*AA$9/12),$E31/Term*AA$9/12)</f>
        <v>6320.6002321846217</v>
      </c>
      <c r="AB31" s="53">
        <f ca="1">IF($C31&lt;Term,IF(AB$6&gt;=$C31,$E31-SUM($G31:AA31), SLN($E31,0,$C31)*AB$9/12),$E31/Term*AB$9/12)</f>
        <v>2106.8667440615404</v>
      </c>
      <c r="AC31" s="423">
        <f ca="1">SUM(H31:AB31)</f>
        <v>114824.23755135393</v>
      </c>
      <c r="AD31" s="8"/>
    </row>
    <row r="32" spans="1:30">
      <c r="A32" s="137"/>
      <c r="B32" s="8" t="s">
        <v>259</v>
      </c>
      <c r="C32" s="3"/>
      <c r="D32" s="42"/>
      <c r="E32" s="8"/>
      <c r="F32" s="42"/>
      <c r="G32" s="8"/>
      <c r="H32" s="53">
        <f ca="1">SUM($H31:H31)</f>
        <v>0</v>
      </c>
      <c r="I32" s="53">
        <f ca="1">SUM($H31:I31)</f>
        <v>0</v>
      </c>
      <c r="J32" s="53">
        <f ca="1">SUM($H31:J31)</f>
        <v>5267.1668601538513</v>
      </c>
      <c r="K32" s="53">
        <f ca="1">SUM($H31:K31)</f>
        <v>11587.767092338472</v>
      </c>
      <c r="L32" s="53">
        <f ca="1">SUM($H31:L31)</f>
        <v>17908.367324523093</v>
      </c>
      <c r="M32" s="53">
        <f ca="1">SUM($H31:M31)</f>
        <v>24228.967556707714</v>
      </c>
      <c r="N32" s="53">
        <f ca="1">SUM($H31:N31)</f>
        <v>30549.567788892335</v>
      </c>
      <c r="O32" s="53">
        <f ca="1">SUM($H31:O31)</f>
        <v>36870.168021076955</v>
      </c>
      <c r="P32" s="53">
        <f ca="1">SUM($H31:P31)</f>
        <v>43190.76825326158</v>
      </c>
      <c r="Q32" s="53">
        <f ca="1">SUM($H31:Q31)</f>
        <v>49511.368485446204</v>
      </c>
      <c r="R32" s="53">
        <f ca="1">SUM($H31:R31)</f>
        <v>55831.968717630829</v>
      </c>
      <c r="S32" s="53">
        <f ca="1">SUM($H31:S31)</f>
        <v>62152.568949815453</v>
      </c>
      <c r="T32" s="53">
        <f ca="1">SUM($H31:T31)</f>
        <v>68473.169182000071</v>
      </c>
      <c r="U32" s="53">
        <f ca="1">SUM($H31:U31)</f>
        <v>74793.769414184688</v>
      </c>
      <c r="V32" s="53">
        <f ca="1">SUM($H31:V31)</f>
        <v>81114.369646369305</v>
      </c>
      <c r="W32" s="53">
        <f ca="1">SUM($H31:W31)</f>
        <v>87434.969878553922</v>
      </c>
      <c r="X32" s="53">
        <f ca="1">SUM($H31:X31)</f>
        <v>93755.570110738539</v>
      </c>
      <c r="Y32" s="53">
        <f ca="1">SUM($H31:Y31)</f>
        <v>100076.17034292316</v>
      </c>
      <c r="Z32" s="53">
        <f ca="1">SUM($H31:Z31)</f>
        <v>106396.77057510777</v>
      </c>
      <c r="AA32" s="53">
        <f ca="1">SUM($H31:AA31)</f>
        <v>112717.37080729239</v>
      </c>
      <c r="AB32" s="53">
        <f ca="1">SUM($H31:AB31)</f>
        <v>114824.23755135393</v>
      </c>
      <c r="AC32" s="423"/>
      <c r="AD32" s="8"/>
    </row>
    <row r="33" spans="1:30">
      <c r="A33" s="137"/>
      <c r="B33" s="8"/>
      <c r="C33" s="3"/>
      <c r="D33" s="42"/>
      <c r="E33" s="8"/>
      <c r="F33" s="42"/>
      <c r="G33" s="8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423"/>
      <c r="AD33" s="8"/>
    </row>
    <row r="34" spans="1:30">
      <c r="A34" s="137"/>
      <c r="B34" s="8" t="s">
        <v>260</v>
      </c>
      <c r="C34" s="3"/>
      <c r="D34" s="42"/>
      <c r="E34" s="8"/>
      <c r="F34" s="42"/>
      <c r="G34" s="8"/>
      <c r="H34" s="825">
        <v>0</v>
      </c>
      <c r="I34" s="53">
        <f t="shared" ref="I34:Y34" ca="1" si="6">H37</f>
        <v>0</v>
      </c>
      <c r="J34" s="53">
        <f t="shared" ca="1" si="6"/>
        <v>0</v>
      </c>
      <c r="K34" s="53">
        <f t="shared" ca="1" si="6"/>
        <v>121144.83778353858</v>
      </c>
      <c r="L34" s="53">
        <f t="shared" ca="1" si="6"/>
        <v>114824.23755135396</v>
      </c>
      <c r="M34" s="53">
        <f t="shared" ca="1" si="6"/>
        <v>108503.63731916934</v>
      </c>
      <c r="N34" s="53">
        <f t="shared" ca="1" si="6"/>
        <v>102183.03708698472</v>
      </c>
      <c r="O34" s="53">
        <f t="shared" ca="1" si="6"/>
        <v>95862.436854800108</v>
      </c>
      <c r="P34" s="53">
        <f t="shared" ca="1" si="6"/>
        <v>89541.83662261549</v>
      </c>
      <c r="Q34" s="53">
        <f t="shared" ca="1" si="6"/>
        <v>83221.236390430873</v>
      </c>
      <c r="R34" s="53">
        <f t="shared" ca="1" si="6"/>
        <v>76900.636158246256</v>
      </c>
      <c r="S34" s="53">
        <f t="shared" ca="1" si="6"/>
        <v>70580.035926061639</v>
      </c>
      <c r="T34" s="53">
        <f t="shared" ca="1" si="6"/>
        <v>64259.435693877014</v>
      </c>
      <c r="U34" s="53">
        <f t="shared" ca="1" si="6"/>
        <v>57938.83546169239</v>
      </c>
      <c r="V34" s="53">
        <f t="shared" ca="1" si="6"/>
        <v>51618.235229507765</v>
      </c>
      <c r="W34" s="53">
        <f t="shared" ca="1" si="6"/>
        <v>45297.634997323141</v>
      </c>
      <c r="X34" s="53">
        <f t="shared" ca="1" si="6"/>
        <v>38977.034765138516</v>
      </c>
      <c r="Y34" s="53">
        <f t="shared" ca="1" si="6"/>
        <v>32656.434532953896</v>
      </c>
      <c r="Z34" s="53">
        <f ca="1">Y37</f>
        <v>26335.834300769275</v>
      </c>
      <c r="AA34" s="53">
        <f ca="1">Z37</f>
        <v>20015.234068584654</v>
      </c>
      <c r="AB34" s="53">
        <f ca="1">AA37</f>
        <v>13694.633836400033</v>
      </c>
      <c r="AC34" s="423">
        <f>H34</f>
        <v>0</v>
      </c>
      <c r="AD34" s="8"/>
    </row>
    <row r="35" spans="1:30">
      <c r="A35" s="137"/>
      <c r="B35" s="8" t="s">
        <v>392</v>
      </c>
      <c r="C35" s="3"/>
      <c r="D35" s="42"/>
      <c r="E35" s="8"/>
      <c r="F35" s="42"/>
      <c r="G35" s="8"/>
      <c r="H35" s="53">
        <f t="shared" ref="H35:AB35" si="7">IF(H$7=YEAR(Startops1),$E31,0)</f>
        <v>0</v>
      </c>
      <c r="I35" s="53">
        <f t="shared" si="7"/>
        <v>0</v>
      </c>
      <c r="J35" s="53">
        <f t="shared" ca="1" si="7"/>
        <v>126412.00464369243</v>
      </c>
      <c r="K35" s="53">
        <f t="shared" si="7"/>
        <v>0</v>
      </c>
      <c r="L35" s="53">
        <f t="shared" si="7"/>
        <v>0</v>
      </c>
      <c r="M35" s="53">
        <f t="shared" si="7"/>
        <v>0</v>
      </c>
      <c r="N35" s="53">
        <f t="shared" si="7"/>
        <v>0</v>
      </c>
      <c r="O35" s="53">
        <f t="shared" si="7"/>
        <v>0</v>
      </c>
      <c r="P35" s="53">
        <f t="shared" si="7"/>
        <v>0</v>
      </c>
      <c r="Q35" s="53">
        <f t="shared" si="7"/>
        <v>0</v>
      </c>
      <c r="R35" s="53">
        <f t="shared" si="7"/>
        <v>0</v>
      </c>
      <c r="S35" s="53">
        <f t="shared" si="7"/>
        <v>0</v>
      </c>
      <c r="T35" s="53">
        <f t="shared" si="7"/>
        <v>0</v>
      </c>
      <c r="U35" s="53">
        <f t="shared" si="7"/>
        <v>0</v>
      </c>
      <c r="V35" s="53">
        <f t="shared" si="7"/>
        <v>0</v>
      </c>
      <c r="W35" s="53">
        <f t="shared" si="7"/>
        <v>0</v>
      </c>
      <c r="X35" s="53">
        <f t="shared" si="7"/>
        <v>0</v>
      </c>
      <c r="Y35" s="53">
        <f t="shared" si="7"/>
        <v>0</v>
      </c>
      <c r="Z35" s="53">
        <f t="shared" si="7"/>
        <v>0</v>
      </c>
      <c r="AA35" s="53">
        <f t="shared" si="7"/>
        <v>0</v>
      </c>
      <c r="AB35" s="53">
        <f t="shared" si="7"/>
        <v>0</v>
      </c>
      <c r="AC35" s="423">
        <f ca="1">SUM(H35:AB35)</f>
        <v>126412.00464369243</v>
      </c>
      <c r="AD35" s="8"/>
    </row>
    <row r="36" spans="1:30">
      <c r="A36" s="137"/>
      <c r="B36" s="8" t="s">
        <v>254</v>
      </c>
      <c r="C36" s="3"/>
      <c r="D36" s="42"/>
      <c r="E36" s="8"/>
      <c r="F36" s="42"/>
      <c r="G36" s="8"/>
      <c r="H36" s="228">
        <f ca="1">-H31</f>
        <v>0</v>
      </c>
      <c r="I36" s="228">
        <f ca="1">-I31</f>
        <v>0</v>
      </c>
      <c r="J36" s="228">
        <f ca="1">-J31</f>
        <v>-5267.1668601538513</v>
      </c>
      <c r="K36" s="228">
        <f t="shared" ref="K36:Y36" ca="1" si="8">-K31</f>
        <v>-6320.6002321846217</v>
      </c>
      <c r="L36" s="228">
        <f t="shared" ca="1" si="8"/>
        <v>-6320.6002321846217</v>
      </c>
      <c r="M36" s="228">
        <f t="shared" ca="1" si="8"/>
        <v>-6320.6002321846217</v>
      </c>
      <c r="N36" s="228">
        <f t="shared" ca="1" si="8"/>
        <v>-6320.6002321846217</v>
      </c>
      <c r="O36" s="228">
        <f t="shared" ca="1" si="8"/>
        <v>-6320.6002321846217</v>
      </c>
      <c r="P36" s="228">
        <f t="shared" ca="1" si="8"/>
        <v>-6320.6002321846217</v>
      </c>
      <c r="Q36" s="228">
        <f t="shared" ca="1" si="8"/>
        <v>-6320.6002321846217</v>
      </c>
      <c r="R36" s="228">
        <f t="shared" ca="1" si="8"/>
        <v>-6320.6002321846217</v>
      </c>
      <c r="S36" s="228">
        <f t="shared" ca="1" si="8"/>
        <v>-6320.6002321846217</v>
      </c>
      <c r="T36" s="228">
        <f t="shared" ca="1" si="8"/>
        <v>-6320.6002321846217</v>
      </c>
      <c r="U36" s="228">
        <f t="shared" ca="1" si="8"/>
        <v>-6320.6002321846217</v>
      </c>
      <c r="V36" s="228">
        <f t="shared" ca="1" si="8"/>
        <v>-6320.6002321846217</v>
      </c>
      <c r="W36" s="228">
        <f t="shared" ca="1" si="8"/>
        <v>-6320.6002321846217</v>
      </c>
      <c r="X36" s="228">
        <f t="shared" ca="1" si="8"/>
        <v>-6320.6002321846217</v>
      </c>
      <c r="Y36" s="228">
        <f t="shared" ca="1" si="8"/>
        <v>-6320.6002321846217</v>
      </c>
      <c r="Z36" s="228">
        <f ca="1">-Z31</f>
        <v>-6320.6002321846217</v>
      </c>
      <c r="AA36" s="228">
        <f ca="1">-AA31</f>
        <v>-6320.6002321846217</v>
      </c>
      <c r="AB36" s="228">
        <f ca="1">-AB31</f>
        <v>-2106.8667440615404</v>
      </c>
      <c r="AC36" s="424">
        <f ca="1">SUM(H36:AB36)</f>
        <v>-114824.23755135393</v>
      </c>
      <c r="AD36" s="8"/>
    </row>
    <row r="37" spans="1:30">
      <c r="A37" s="406"/>
      <c r="B37" s="10" t="s">
        <v>261</v>
      </c>
      <c r="C37" s="12"/>
      <c r="D37" s="320"/>
      <c r="E37" s="10"/>
      <c r="F37" s="320"/>
      <c r="G37" s="10"/>
      <c r="H37" s="64">
        <f t="shared" ref="H37:AC37" ca="1" si="9">SUM(H34:H36)</f>
        <v>0</v>
      </c>
      <c r="I37" s="64">
        <f t="shared" ca="1" si="9"/>
        <v>0</v>
      </c>
      <c r="J37" s="64">
        <f t="shared" ca="1" si="9"/>
        <v>121144.83778353858</v>
      </c>
      <c r="K37" s="64">
        <f t="shared" ca="1" si="9"/>
        <v>114824.23755135396</v>
      </c>
      <c r="L37" s="64">
        <f t="shared" ca="1" si="9"/>
        <v>108503.63731916934</v>
      </c>
      <c r="M37" s="64">
        <f t="shared" ca="1" si="9"/>
        <v>102183.03708698472</v>
      </c>
      <c r="N37" s="64">
        <f t="shared" ca="1" si="9"/>
        <v>95862.436854800108</v>
      </c>
      <c r="O37" s="64">
        <f t="shared" ca="1" si="9"/>
        <v>89541.83662261549</v>
      </c>
      <c r="P37" s="64">
        <f t="shared" ca="1" si="9"/>
        <v>83221.236390430873</v>
      </c>
      <c r="Q37" s="64">
        <f t="shared" ca="1" si="9"/>
        <v>76900.636158246256</v>
      </c>
      <c r="R37" s="64">
        <f t="shared" ca="1" si="9"/>
        <v>70580.035926061639</v>
      </c>
      <c r="S37" s="64">
        <f t="shared" ca="1" si="9"/>
        <v>64259.435693877014</v>
      </c>
      <c r="T37" s="64">
        <f t="shared" ca="1" si="9"/>
        <v>57938.83546169239</v>
      </c>
      <c r="U37" s="64">
        <f t="shared" ca="1" si="9"/>
        <v>51618.235229507765</v>
      </c>
      <c r="V37" s="64">
        <f t="shared" ca="1" si="9"/>
        <v>45297.634997323141</v>
      </c>
      <c r="W37" s="64">
        <f t="shared" ca="1" si="9"/>
        <v>38977.034765138516</v>
      </c>
      <c r="X37" s="64">
        <f t="shared" ca="1" si="9"/>
        <v>32656.434532953896</v>
      </c>
      <c r="Y37" s="64">
        <f t="shared" ca="1" si="9"/>
        <v>26335.834300769275</v>
      </c>
      <c r="Z37" s="64">
        <f ca="1">SUM(Z34:Z36)</f>
        <v>20015.234068584654</v>
      </c>
      <c r="AA37" s="64">
        <f ca="1">SUM(AA34:AA36)</f>
        <v>13694.633836400033</v>
      </c>
      <c r="AB37" s="64">
        <f ca="1">SUM(AB34:AB36)</f>
        <v>11587.767092338492</v>
      </c>
      <c r="AC37" s="542">
        <f t="shared" ca="1" si="9"/>
        <v>11587.767092338501</v>
      </c>
      <c r="AD37" s="8"/>
    </row>
    <row r="38" spans="1:30">
      <c r="A38" s="405"/>
      <c r="B38" s="8"/>
      <c r="C38" s="3"/>
      <c r="D38" s="42"/>
      <c r="E38" s="8"/>
      <c r="F38" s="42"/>
      <c r="G38" s="8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423"/>
      <c r="AD38" s="8"/>
    </row>
    <row r="39" spans="1:30" s="8" customFormat="1">
      <c r="A39" s="75" t="s">
        <v>262</v>
      </c>
      <c r="C39" s="110" t="s">
        <v>391</v>
      </c>
      <c r="D39" s="92"/>
      <c r="E39" s="110" t="s">
        <v>248</v>
      </c>
      <c r="F39" s="32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423"/>
    </row>
    <row r="40" spans="1:30">
      <c r="A40" s="137" t="s">
        <v>263</v>
      </c>
      <c r="B40" s="8"/>
      <c r="C40" s="321" t="s">
        <v>390</v>
      </c>
      <c r="D40" s="92"/>
      <c r="E40" s="321" t="s">
        <v>250</v>
      </c>
      <c r="F40" s="323"/>
      <c r="G40" s="8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423"/>
      <c r="AD40" s="8"/>
    </row>
    <row r="41" spans="1:30">
      <c r="A41" s="137"/>
      <c r="B41" s="8" t="s">
        <v>395</v>
      </c>
      <c r="C41" s="322">
        <f>Assm!$K$46</f>
        <v>20</v>
      </c>
      <c r="D41" s="92"/>
      <c r="E41" s="670">
        <f ca="1">Assm!$J$46</f>
        <v>126412.00464369243</v>
      </c>
      <c r="F41" s="323"/>
      <c r="G41" s="8"/>
      <c r="H41" s="53">
        <f ca="1">IF($C41&lt;Term,IF(H$6&gt;=$C41,$E41-SUM($G41:G41), SLN($E41,0,$C41)*H$9/12),$E41/Term*H$9/12)</f>
        <v>0</v>
      </c>
      <c r="I41" s="53">
        <f ca="1">IF($C41&lt;Term,IF(I$6&gt;=$C41,$E41-SUM($G41:H41), SLN($E41,0,$C41)*I$9/12),$E41/Term*I$9/12)</f>
        <v>0</v>
      </c>
      <c r="J41" s="53">
        <f ca="1">IF($C41&lt;Term,IF(J$6&gt;=$C41,$E41-SUM($G41:I41), SLN($E41,0,$C41)*J$9/12),$E41/Term*J$9/12)</f>
        <v>5267.1668601538513</v>
      </c>
      <c r="K41" s="53">
        <f ca="1">IF($C41&lt;Term,IF(K$6&gt;=$C41,$E41-SUM($G41:J41), SLN($E41,0,$C41)*K$9/12),$E41/Term*K$9/12)</f>
        <v>6320.6002321846217</v>
      </c>
      <c r="L41" s="53">
        <f ca="1">IF($C41&lt;Term,IF(L$6&gt;=$C41,$E41-SUM($G41:K41), SLN($E41,0,$C41)*L$9/12),$E41/Term*L$9/12)</f>
        <v>6320.6002321846217</v>
      </c>
      <c r="M41" s="53">
        <f ca="1">IF($C41&lt;Term,IF(M$6&gt;=$C41,$E41-SUM($G41:L41), SLN($E41,0,$C41)*M$9/12),$E41/Term*M$9/12)</f>
        <v>6320.6002321846217</v>
      </c>
      <c r="N41" s="53">
        <f ca="1">IF($C41&lt;Term,IF(N$6&gt;=$C41,$E41-SUM($G41:M41), SLN($E41,0,$C41)*N$9/12),$E41/Term*N$9/12)</f>
        <v>6320.6002321846217</v>
      </c>
      <c r="O41" s="53">
        <f ca="1">IF($C41&lt;Term,IF(O$6&gt;=$C41,$E41-SUM($G41:N41), SLN($E41,0,$C41)*O$9/12),$E41/Term*O$9/12)</f>
        <v>6320.6002321846217</v>
      </c>
      <c r="P41" s="53">
        <f ca="1">IF($C41&lt;Term,IF(P$6&gt;=$C41,$E41-SUM($G41:O41), SLN($E41,0,$C41)*P$9/12),$E41/Term*P$9/12)</f>
        <v>6320.6002321846217</v>
      </c>
      <c r="Q41" s="53">
        <f ca="1">IF($C41&lt;Term,IF(Q$6&gt;=$C41,$E41-SUM($G41:P41), SLN($E41,0,$C41)*Q$9/12),$E41/Term*Q$9/12)</f>
        <v>6320.6002321846217</v>
      </c>
      <c r="R41" s="53">
        <f ca="1">IF($C41&lt;Term,IF(R$6&gt;=$C41,$E41-SUM($G41:Q41), SLN($E41,0,$C41)*R$9/12),$E41/Term*R$9/12)</f>
        <v>6320.6002321846217</v>
      </c>
      <c r="S41" s="53">
        <f ca="1">IF($C41&lt;Term,IF(S$6&gt;=$C41,$E41-SUM($G41:R41), SLN($E41,0,$C41)*S$9/12),$E41/Term*S$9/12)</f>
        <v>6320.6002321846217</v>
      </c>
      <c r="T41" s="53">
        <f ca="1">IF($C41&lt;Term,IF(T$6&gt;=$C41,$E41-SUM($G41:S41), SLN($E41,0,$C41)*T$9/12),$E41/Term*T$9/12)</f>
        <v>6320.6002321846217</v>
      </c>
      <c r="U41" s="53">
        <f ca="1">IF($C41&lt;Term,IF(U$6&gt;=$C41,$E41-SUM($G41:T41), SLN($E41,0,$C41)*U$9/12),$E41/Term*U$9/12)</f>
        <v>6320.6002321846217</v>
      </c>
      <c r="V41" s="53">
        <f ca="1">IF($C41&lt;Term,IF(V$6&gt;=$C41,$E41-SUM($G41:U41), SLN($E41,0,$C41)*V$9/12),$E41/Term*V$9/12)</f>
        <v>6320.6002321846217</v>
      </c>
      <c r="W41" s="53">
        <f ca="1">IF($C41&lt;Term,IF(W$6&gt;=$C41,$E41-SUM($G41:V41), SLN($E41,0,$C41)*W$9/12),$E41/Term*W$9/12)</f>
        <v>6320.6002321846217</v>
      </c>
      <c r="X41" s="53">
        <f ca="1">IF($C41&lt;Term,IF(X$6&gt;=$C41,$E41-SUM($G41:W41), SLN($E41,0,$C41)*X$9/12),$E41/Term*X$9/12)</f>
        <v>6320.6002321846217</v>
      </c>
      <c r="Y41" s="53">
        <f ca="1">IF($C41&lt;Term,IF(Y$6&gt;=$C41,$E41-SUM($G41:X41), SLN($E41,0,$C41)*Y$9/12),$E41/Term*Y$9/12)</f>
        <v>6320.6002321846217</v>
      </c>
      <c r="Z41" s="53">
        <f ca="1">IF($C41&lt;Term,IF(Z$6&gt;=$C41,$E41-SUM($G41:Y41), SLN($E41,0,$C41)*Z$9/12),$E41/Term*Z$9/12)</f>
        <v>6320.6002321846217</v>
      </c>
      <c r="AA41" s="53">
        <f ca="1">IF($C41&lt;Term,IF(AA$6&gt;=$C41,$E41-SUM($G41:Z41), SLN($E41,0,$C41)*AA$9/12),$E41/Term*AA$9/12)</f>
        <v>6320.6002321846217</v>
      </c>
      <c r="AB41" s="53">
        <f ca="1">IF($C41&lt;Term,IF(AB$6&gt;=$C41,$E41-SUM($G41:AA41), SLN($E41,0,$C41)*AB$9/12),$E41/Term*AB$9/12)</f>
        <v>2106.8667440615404</v>
      </c>
      <c r="AC41" s="423">
        <f ca="1">SUM(H41:AB41)</f>
        <v>114824.23755135393</v>
      </c>
    </row>
    <row r="42" spans="1:30">
      <c r="A42" s="137"/>
      <c r="B42" s="8" t="s">
        <v>396</v>
      </c>
      <c r="C42" s="3"/>
      <c r="D42" s="42"/>
      <c r="E42" s="8"/>
      <c r="F42" s="42"/>
      <c r="G42" s="8"/>
      <c r="H42" s="53">
        <f ca="1">SUM($H41:H41)</f>
        <v>0</v>
      </c>
      <c r="I42" s="53">
        <f ca="1">SUM($H41:I41)</f>
        <v>0</v>
      </c>
      <c r="J42" s="53">
        <f ca="1">SUM($H41:J41)</f>
        <v>5267.1668601538513</v>
      </c>
      <c r="K42" s="53">
        <f ca="1">SUM($H41:K41)</f>
        <v>11587.767092338472</v>
      </c>
      <c r="L42" s="53">
        <f ca="1">SUM($H41:L41)</f>
        <v>17908.367324523093</v>
      </c>
      <c r="M42" s="53">
        <f ca="1">SUM($H41:M41)</f>
        <v>24228.967556707714</v>
      </c>
      <c r="N42" s="53">
        <f ca="1">SUM($H41:N41)</f>
        <v>30549.567788892335</v>
      </c>
      <c r="O42" s="53">
        <f ca="1">SUM($H41:O41)</f>
        <v>36870.168021076955</v>
      </c>
      <c r="P42" s="53">
        <f ca="1">SUM($H41:P41)</f>
        <v>43190.76825326158</v>
      </c>
      <c r="Q42" s="53">
        <f ca="1">SUM($H41:Q41)</f>
        <v>49511.368485446204</v>
      </c>
      <c r="R42" s="53">
        <f ca="1">SUM($H41:R41)</f>
        <v>55831.968717630829</v>
      </c>
      <c r="S42" s="53">
        <f ca="1">SUM($H41:S41)</f>
        <v>62152.568949815453</v>
      </c>
      <c r="T42" s="53">
        <f ca="1">SUM($H41:T41)</f>
        <v>68473.169182000071</v>
      </c>
      <c r="U42" s="53">
        <f ca="1">SUM($H41:U41)</f>
        <v>74793.769414184688</v>
      </c>
      <c r="V42" s="53">
        <f ca="1">SUM($H41:V41)</f>
        <v>81114.369646369305</v>
      </c>
      <c r="W42" s="53">
        <f ca="1">SUM($H41:W41)</f>
        <v>87434.969878553922</v>
      </c>
      <c r="X42" s="53">
        <f ca="1">SUM($H41:X41)</f>
        <v>93755.570110738539</v>
      </c>
      <c r="Y42" s="53">
        <f ca="1">SUM($H41:Y41)</f>
        <v>100076.17034292316</v>
      </c>
      <c r="Z42" s="53">
        <f ca="1">SUM($H41:Z41)</f>
        <v>106396.77057510777</v>
      </c>
      <c r="AA42" s="53">
        <f ca="1">SUM($H41:AA41)</f>
        <v>112717.37080729239</v>
      </c>
      <c r="AB42" s="53">
        <f ca="1">SUM($H41:AB41)</f>
        <v>114824.23755135393</v>
      </c>
      <c r="AC42" s="423"/>
    </row>
    <row r="43" spans="1:30">
      <c r="A43" s="137"/>
      <c r="B43" s="8"/>
      <c r="C43" s="3"/>
      <c r="D43" s="42"/>
      <c r="E43" s="8"/>
      <c r="F43" s="42"/>
      <c r="G43" s="8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423"/>
    </row>
    <row r="44" spans="1:30">
      <c r="A44" s="137"/>
      <c r="B44" s="8" t="s">
        <v>393</v>
      </c>
      <c r="C44" s="3"/>
      <c r="D44" s="42"/>
      <c r="E44" s="8"/>
      <c r="F44" s="42"/>
      <c r="G44" s="8"/>
      <c r="H44" s="825">
        <v>0</v>
      </c>
      <c r="I44" s="53">
        <f t="shared" ref="I44:Y44" ca="1" si="10">H47</f>
        <v>0</v>
      </c>
      <c r="J44" s="53">
        <f t="shared" ca="1" si="10"/>
        <v>0</v>
      </c>
      <c r="K44" s="53">
        <f t="shared" ca="1" si="10"/>
        <v>121144.83778353858</v>
      </c>
      <c r="L44" s="53">
        <f t="shared" ca="1" si="10"/>
        <v>114824.23755135396</v>
      </c>
      <c r="M44" s="53">
        <f t="shared" ca="1" si="10"/>
        <v>108503.63731916934</v>
      </c>
      <c r="N44" s="53">
        <f t="shared" ca="1" si="10"/>
        <v>102183.03708698472</v>
      </c>
      <c r="O44" s="53">
        <f t="shared" ca="1" si="10"/>
        <v>95862.436854800108</v>
      </c>
      <c r="P44" s="53">
        <f t="shared" ca="1" si="10"/>
        <v>89541.83662261549</v>
      </c>
      <c r="Q44" s="53">
        <f t="shared" ca="1" si="10"/>
        <v>83221.236390430873</v>
      </c>
      <c r="R44" s="53">
        <f t="shared" ca="1" si="10"/>
        <v>76900.636158246256</v>
      </c>
      <c r="S44" s="53">
        <f t="shared" ca="1" si="10"/>
        <v>70580.035926061639</v>
      </c>
      <c r="T44" s="53">
        <f t="shared" ca="1" si="10"/>
        <v>64259.435693877014</v>
      </c>
      <c r="U44" s="53">
        <f t="shared" ca="1" si="10"/>
        <v>57938.83546169239</v>
      </c>
      <c r="V44" s="53">
        <f t="shared" ca="1" si="10"/>
        <v>51618.235229507765</v>
      </c>
      <c r="W44" s="53">
        <f t="shared" ca="1" si="10"/>
        <v>45297.634997323141</v>
      </c>
      <c r="X44" s="53">
        <f t="shared" ca="1" si="10"/>
        <v>38977.034765138516</v>
      </c>
      <c r="Y44" s="53">
        <f t="shared" ca="1" si="10"/>
        <v>32656.434532953896</v>
      </c>
      <c r="Z44" s="53">
        <f ca="1">Y47</f>
        <v>26335.834300769275</v>
      </c>
      <c r="AA44" s="53">
        <f ca="1">Z47</f>
        <v>20015.234068584654</v>
      </c>
      <c r="AB44" s="53">
        <f ca="1">AA47</f>
        <v>13694.633836400033</v>
      </c>
      <c r="AC44" s="423">
        <f>H44</f>
        <v>0</v>
      </c>
    </row>
    <row r="45" spans="1:30">
      <c r="A45" s="137"/>
      <c r="B45" s="8" t="s">
        <v>392</v>
      </c>
      <c r="C45" s="3"/>
      <c r="D45" s="42"/>
      <c r="E45" s="8"/>
      <c r="F45" s="42"/>
      <c r="G45" s="8"/>
      <c r="H45" s="53">
        <f t="shared" ref="H45:AB45" si="11">IF(H$7=YEAR(Startops1),$E41,0)</f>
        <v>0</v>
      </c>
      <c r="I45" s="53">
        <f t="shared" si="11"/>
        <v>0</v>
      </c>
      <c r="J45" s="53">
        <f t="shared" ca="1" si="11"/>
        <v>126412.00464369243</v>
      </c>
      <c r="K45" s="53">
        <f t="shared" si="11"/>
        <v>0</v>
      </c>
      <c r="L45" s="53">
        <f t="shared" si="11"/>
        <v>0</v>
      </c>
      <c r="M45" s="53">
        <f t="shared" si="11"/>
        <v>0</v>
      </c>
      <c r="N45" s="53">
        <f t="shared" si="11"/>
        <v>0</v>
      </c>
      <c r="O45" s="53">
        <f t="shared" si="11"/>
        <v>0</v>
      </c>
      <c r="P45" s="53">
        <f t="shared" si="11"/>
        <v>0</v>
      </c>
      <c r="Q45" s="53">
        <f t="shared" si="11"/>
        <v>0</v>
      </c>
      <c r="R45" s="53">
        <f t="shared" si="11"/>
        <v>0</v>
      </c>
      <c r="S45" s="53">
        <f t="shared" si="11"/>
        <v>0</v>
      </c>
      <c r="T45" s="53">
        <f t="shared" si="11"/>
        <v>0</v>
      </c>
      <c r="U45" s="53">
        <f t="shared" si="11"/>
        <v>0</v>
      </c>
      <c r="V45" s="53">
        <f t="shared" si="11"/>
        <v>0</v>
      </c>
      <c r="W45" s="53">
        <f t="shared" si="11"/>
        <v>0</v>
      </c>
      <c r="X45" s="53">
        <f t="shared" si="11"/>
        <v>0</v>
      </c>
      <c r="Y45" s="53">
        <f t="shared" si="11"/>
        <v>0</v>
      </c>
      <c r="Z45" s="53">
        <f t="shared" si="11"/>
        <v>0</v>
      </c>
      <c r="AA45" s="53">
        <f t="shared" si="11"/>
        <v>0</v>
      </c>
      <c r="AB45" s="53">
        <f t="shared" si="11"/>
        <v>0</v>
      </c>
      <c r="AC45" s="423">
        <f ca="1">SUM(H45:AB45)</f>
        <v>126412.00464369243</v>
      </c>
    </row>
    <row r="46" spans="1:30">
      <c r="A46" s="137"/>
      <c r="B46" s="8" t="s">
        <v>254</v>
      </c>
      <c r="C46" s="3"/>
      <c r="D46" s="42"/>
      <c r="E46" s="8"/>
      <c r="F46" s="42"/>
      <c r="G46" s="8"/>
      <c r="H46" s="228">
        <f ca="1">-H41</f>
        <v>0</v>
      </c>
      <c r="I46" s="228">
        <f ca="1">-I41</f>
        <v>0</v>
      </c>
      <c r="J46" s="228">
        <f ca="1">-J41</f>
        <v>-5267.1668601538513</v>
      </c>
      <c r="K46" s="228">
        <f t="shared" ref="K46:Y46" ca="1" si="12">-K41</f>
        <v>-6320.6002321846217</v>
      </c>
      <c r="L46" s="228">
        <f t="shared" ca="1" si="12"/>
        <v>-6320.6002321846217</v>
      </c>
      <c r="M46" s="228">
        <f t="shared" ca="1" si="12"/>
        <v>-6320.6002321846217</v>
      </c>
      <c r="N46" s="228">
        <f t="shared" ca="1" si="12"/>
        <v>-6320.6002321846217</v>
      </c>
      <c r="O46" s="228">
        <f t="shared" ca="1" si="12"/>
        <v>-6320.6002321846217</v>
      </c>
      <c r="P46" s="228">
        <f t="shared" ca="1" si="12"/>
        <v>-6320.6002321846217</v>
      </c>
      <c r="Q46" s="228">
        <f t="shared" ca="1" si="12"/>
        <v>-6320.6002321846217</v>
      </c>
      <c r="R46" s="228">
        <f t="shared" ca="1" si="12"/>
        <v>-6320.6002321846217</v>
      </c>
      <c r="S46" s="228">
        <f t="shared" ca="1" si="12"/>
        <v>-6320.6002321846217</v>
      </c>
      <c r="T46" s="228">
        <f t="shared" ca="1" si="12"/>
        <v>-6320.6002321846217</v>
      </c>
      <c r="U46" s="228">
        <f t="shared" ca="1" si="12"/>
        <v>-6320.6002321846217</v>
      </c>
      <c r="V46" s="228">
        <f t="shared" ca="1" si="12"/>
        <v>-6320.6002321846217</v>
      </c>
      <c r="W46" s="228">
        <f t="shared" ca="1" si="12"/>
        <v>-6320.6002321846217</v>
      </c>
      <c r="X46" s="228">
        <f t="shared" ca="1" si="12"/>
        <v>-6320.6002321846217</v>
      </c>
      <c r="Y46" s="228">
        <f t="shared" ca="1" si="12"/>
        <v>-6320.6002321846217</v>
      </c>
      <c r="Z46" s="228">
        <f ca="1">-Z41</f>
        <v>-6320.6002321846217</v>
      </c>
      <c r="AA46" s="228">
        <f ca="1">-AA41</f>
        <v>-6320.6002321846217</v>
      </c>
      <c r="AB46" s="228">
        <f ca="1">-AB41</f>
        <v>-2106.8667440615404</v>
      </c>
      <c r="AC46" s="424">
        <f ca="1">SUM(H46:AB46)</f>
        <v>-114824.23755135393</v>
      </c>
    </row>
    <row r="47" spans="1:30" ht="13.8" thickBot="1">
      <c r="A47" s="139"/>
      <c r="B47" s="77" t="s">
        <v>394</v>
      </c>
      <c r="C47" s="568"/>
      <c r="D47" s="569"/>
      <c r="E47" s="77"/>
      <c r="F47" s="569"/>
      <c r="G47" s="77"/>
      <c r="H47" s="397">
        <f t="shared" ref="H47:AC47" ca="1" si="13">SUM(H44:H46)</f>
        <v>0</v>
      </c>
      <c r="I47" s="397">
        <f t="shared" ca="1" si="13"/>
        <v>0</v>
      </c>
      <c r="J47" s="397">
        <f t="shared" ca="1" si="13"/>
        <v>121144.83778353858</v>
      </c>
      <c r="K47" s="397">
        <f t="shared" ca="1" si="13"/>
        <v>114824.23755135396</v>
      </c>
      <c r="L47" s="397">
        <f t="shared" ca="1" si="13"/>
        <v>108503.63731916934</v>
      </c>
      <c r="M47" s="397">
        <f t="shared" ca="1" si="13"/>
        <v>102183.03708698472</v>
      </c>
      <c r="N47" s="397">
        <f t="shared" ca="1" si="13"/>
        <v>95862.436854800108</v>
      </c>
      <c r="O47" s="397">
        <f t="shared" ca="1" si="13"/>
        <v>89541.83662261549</v>
      </c>
      <c r="P47" s="397">
        <f t="shared" ca="1" si="13"/>
        <v>83221.236390430873</v>
      </c>
      <c r="Q47" s="397">
        <f t="shared" ca="1" si="13"/>
        <v>76900.636158246256</v>
      </c>
      <c r="R47" s="397">
        <f t="shared" ca="1" si="13"/>
        <v>70580.035926061639</v>
      </c>
      <c r="S47" s="397">
        <f t="shared" ca="1" si="13"/>
        <v>64259.435693877014</v>
      </c>
      <c r="T47" s="397">
        <f t="shared" ca="1" si="13"/>
        <v>57938.83546169239</v>
      </c>
      <c r="U47" s="397">
        <f t="shared" ca="1" si="13"/>
        <v>51618.235229507765</v>
      </c>
      <c r="V47" s="397">
        <f t="shared" ca="1" si="13"/>
        <v>45297.634997323141</v>
      </c>
      <c r="W47" s="397">
        <f t="shared" ca="1" si="13"/>
        <v>38977.034765138516</v>
      </c>
      <c r="X47" s="397">
        <f t="shared" ca="1" si="13"/>
        <v>32656.434532953896</v>
      </c>
      <c r="Y47" s="397">
        <f t="shared" ca="1" si="13"/>
        <v>26335.834300769275</v>
      </c>
      <c r="Z47" s="397">
        <f ca="1">SUM(Z44:Z46)</f>
        <v>20015.234068584654</v>
      </c>
      <c r="AA47" s="397">
        <f ca="1">SUM(AA44:AA46)</f>
        <v>13694.633836400033</v>
      </c>
      <c r="AB47" s="397">
        <f ca="1">SUM(AB44:AB46)</f>
        <v>11587.767092338492</v>
      </c>
      <c r="AC47" s="555">
        <f t="shared" ca="1" si="13"/>
        <v>11587.767092338501</v>
      </c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Z92"/>
  <sheetViews>
    <sheetView zoomScale="80" workbookViewId="0">
      <pane ySplit="3" topLeftCell="A70" activePane="bottomLeft" state="frozen"/>
      <selection pane="bottomLeft" activeCell="I92" sqref="I92"/>
    </sheetView>
  </sheetViews>
  <sheetFormatPr defaultColWidth="9.109375" defaultRowHeight="13.2"/>
  <cols>
    <col min="1" max="2" width="1.6640625" style="39" customWidth="1"/>
    <col min="3" max="4" width="10.6640625" style="39" customWidth="1"/>
    <col min="5" max="5" width="18.44140625" style="39" customWidth="1"/>
    <col min="6" max="6" width="10.33203125" style="1200" bestFit="1" customWidth="1"/>
    <col min="7" max="28" width="11.6640625" style="1200" customWidth="1"/>
    <col min="29" max="30" width="9.109375" style="1200"/>
    <col min="31" max="31" width="9.44140625" style="1200" customWidth="1"/>
    <col min="32" max="16384" width="9.109375" style="1200"/>
  </cols>
  <sheetData>
    <row r="1" spans="1:31" s="1196" customFormat="1" ht="15.6">
      <c r="A1" s="1194" t="s">
        <v>44</v>
      </c>
      <c r="B1" s="1195"/>
      <c r="C1" s="1195"/>
      <c r="D1" s="1195"/>
      <c r="E1" s="1195"/>
    </row>
    <row r="2" spans="1:31" s="1196" customFormat="1" ht="15.6">
      <c r="A2" s="1194" t="s">
        <v>76</v>
      </c>
      <c r="B2" s="1195"/>
      <c r="C2" s="1195"/>
      <c r="D2" s="1195"/>
      <c r="E2" s="1195"/>
    </row>
    <row r="3" spans="1:31" s="1196" customFormat="1" ht="13.8">
      <c r="A3" s="1197"/>
      <c r="B3" s="1195"/>
      <c r="C3" s="1195"/>
      <c r="D3" s="1195"/>
      <c r="E3" s="1195"/>
      <c r="G3" s="1245">
        <f>G7</f>
        <v>1998</v>
      </c>
      <c r="H3" s="1245">
        <f t="shared" ref="H3:AB3" si="0">H7</f>
        <v>1999</v>
      </c>
      <c r="I3" s="1245">
        <f t="shared" si="0"/>
        <v>2000</v>
      </c>
      <c r="J3" s="1245">
        <f t="shared" si="0"/>
        <v>2001</v>
      </c>
      <c r="K3" s="1245">
        <f t="shared" si="0"/>
        <v>2002</v>
      </c>
      <c r="L3" s="1245">
        <f t="shared" si="0"/>
        <v>2003</v>
      </c>
      <c r="M3" s="1245">
        <f t="shared" si="0"/>
        <v>2004</v>
      </c>
      <c r="N3" s="1245">
        <f t="shared" si="0"/>
        <v>2005</v>
      </c>
      <c r="O3" s="1245">
        <f t="shared" si="0"/>
        <v>2006</v>
      </c>
      <c r="P3" s="1245">
        <f t="shared" si="0"/>
        <v>2007</v>
      </c>
      <c r="Q3" s="1245">
        <f t="shared" si="0"/>
        <v>2008</v>
      </c>
      <c r="R3" s="1245">
        <f t="shared" si="0"/>
        <v>2009</v>
      </c>
      <c r="S3" s="1245">
        <f t="shared" si="0"/>
        <v>2010</v>
      </c>
      <c r="T3" s="1245">
        <f t="shared" si="0"/>
        <v>2011</v>
      </c>
      <c r="U3" s="1245">
        <f t="shared" si="0"/>
        <v>2012</v>
      </c>
      <c r="V3" s="1245">
        <f t="shared" si="0"/>
        <v>2013</v>
      </c>
      <c r="W3" s="1245">
        <f t="shared" si="0"/>
        <v>2014</v>
      </c>
      <c r="X3" s="1245">
        <f t="shared" si="0"/>
        <v>2015</v>
      </c>
      <c r="Y3" s="1245">
        <f t="shared" si="0"/>
        <v>2016</v>
      </c>
      <c r="Z3" s="1245">
        <f t="shared" si="0"/>
        <v>2017</v>
      </c>
      <c r="AA3" s="1245">
        <f t="shared" si="0"/>
        <v>2018</v>
      </c>
      <c r="AB3" s="1245">
        <f t="shared" si="0"/>
        <v>2019</v>
      </c>
    </row>
    <row r="4" spans="1:31" s="1196" customFormat="1" ht="13.8">
      <c r="A4" s="1198"/>
      <c r="B4" s="1195"/>
      <c r="C4" s="1195"/>
      <c r="D4" s="1195"/>
      <c r="E4" s="1195"/>
    </row>
    <row r="5" spans="1:31" ht="13.8" thickBot="1">
      <c r="C5" s="1199"/>
    </row>
    <row r="6" spans="1:31" s="1206" customFormat="1">
      <c r="A6" s="1201"/>
      <c r="B6" s="1202"/>
      <c r="C6" s="1202"/>
      <c r="D6" s="1202"/>
      <c r="E6" s="1202"/>
      <c r="F6" s="1203" t="s">
        <v>265</v>
      </c>
      <c r="G6" s="1204">
        <v>0</v>
      </c>
      <c r="H6" s="1202">
        <f>IF(H$7&lt;YEAR(Startops1),0,G$6+1)</f>
        <v>0</v>
      </c>
      <c r="I6" s="1202">
        <f t="shared" ref="I6:AB6" si="1">IF(I$7&lt;YEAR(Startops1),0,H$6+1)</f>
        <v>0</v>
      </c>
      <c r="J6" s="1202">
        <f t="shared" si="1"/>
        <v>1</v>
      </c>
      <c r="K6" s="1202">
        <f t="shared" si="1"/>
        <v>2</v>
      </c>
      <c r="L6" s="1202">
        <f t="shared" si="1"/>
        <v>3</v>
      </c>
      <c r="M6" s="1202">
        <f t="shared" si="1"/>
        <v>4</v>
      </c>
      <c r="N6" s="1202">
        <f t="shared" si="1"/>
        <v>5</v>
      </c>
      <c r="O6" s="1202">
        <f t="shared" si="1"/>
        <v>6</v>
      </c>
      <c r="P6" s="1202">
        <f t="shared" si="1"/>
        <v>7</v>
      </c>
      <c r="Q6" s="1202">
        <f t="shared" si="1"/>
        <v>8</v>
      </c>
      <c r="R6" s="1202">
        <f t="shared" si="1"/>
        <v>9</v>
      </c>
      <c r="S6" s="1202">
        <f t="shared" si="1"/>
        <v>10</v>
      </c>
      <c r="T6" s="1202">
        <f t="shared" si="1"/>
        <v>11</v>
      </c>
      <c r="U6" s="1202">
        <f t="shared" si="1"/>
        <v>12</v>
      </c>
      <c r="V6" s="1202">
        <f t="shared" si="1"/>
        <v>13</v>
      </c>
      <c r="W6" s="1202">
        <f t="shared" si="1"/>
        <v>14</v>
      </c>
      <c r="X6" s="1202">
        <f t="shared" si="1"/>
        <v>15</v>
      </c>
      <c r="Y6" s="1202">
        <f t="shared" si="1"/>
        <v>16</v>
      </c>
      <c r="Z6" s="1202">
        <f t="shared" si="1"/>
        <v>17</v>
      </c>
      <c r="AA6" s="1202">
        <f t="shared" si="1"/>
        <v>18</v>
      </c>
      <c r="AB6" s="1202">
        <f t="shared" si="1"/>
        <v>19</v>
      </c>
      <c r="AC6" s="1205"/>
      <c r="AE6" s="1207" t="s">
        <v>959</v>
      </c>
    </row>
    <row r="7" spans="1:31" s="1206" customFormat="1" ht="13.8" thickBot="1">
      <c r="A7" s="1208" t="s">
        <v>264</v>
      </c>
      <c r="B7" s="1209"/>
      <c r="C7" s="1209"/>
      <c r="D7" s="1209"/>
      <c r="E7" s="1209"/>
      <c r="F7" s="1210" t="s">
        <v>266</v>
      </c>
      <c r="G7" s="1211">
        <f>YEAR(Startconst)</f>
        <v>1998</v>
      </c>
      <c r="H7" s="1212">
        <f>G7+1</f>
        <v>1999</v>
      </c>
      <c r="I7" s="1212">
        <f t="shared" ref="I7:AB7" si="2">H7+1</f>
        <v>2000</v>
      </c>
      <c r="J7" s="1212">
        <f t="shared" si="2"/>
        <v>2001</v>
      </c>
      <c r="K7" s="1212">
        <f t="shared" si="2"/>
        <v>2002</v>
      </c>
      <c r="L7" s="1212">
        <f t="shared" si="2"/>
        <v>2003</v>
      </c>
      <c r="M7" s="1212">
        <f t="shared" si="2"/>
        <v>2004</v>
      </c>
      <c r="N7" s="1212">
        <f t="shared" si="2"/>
        <v>2005</v>
      </c>
      <c r="O7" s="1212">
        <f t="shared" si="2"/>
        <v>2006</v>
      </c>
      <c r="P7" s="1212">
        <f t="shared" si="2"/>
        <v>2007</v>
      </c>
      <c r="Q7" s="1212">
        <f t="shared" si="2"/>
        <v>2008</v>
      </c>
      <c r="R7" s="1212">
        <f t="shared" si="2"/>
        <v>2009</v>
      </c>
      <c r="S7" s="1212">
        <f t="shared" si="2"/>
        <v>2010</v>
      </c>
      <c r="T7" s="1212">
        <f t="shared" si="2"/>
        <v>2011</v>
      </c>
      <c r="U7" s="1212">
        <f t="shared" si="2"/>
        <v>2012</v>
      </c>
      <c r="V7" s="1212">
        <f t="shared" si="2"/>
        <v>2013</v>
      </c>
      <c r="W7" s="1212">
        <f t="shared" si="2"/>
        <v>2014</v>
      </c>
      <c r="X7" s="1212">
        <f t="shared" si="2"/>
        <v>2015</v>
      </c>
      <c r="Y7" s="1212">
        <f t="shared" si="2"/>
        <v>2016</v>
      </c>
      <c r="Z7" s="1212">
        <f t="shared" si="2"/>
        <v>2017</v>
      </c>
      <c r="AA7" s="1212">
        <f t="shared" si="2"/>
        <v>2018</v>
      </c>
      <c r="AB7" s="1212">
        <f t="shared" si="2"/>
        <v>2019</v>
      </c>
      <c r="AC7" s="1213" t="s">
        <v>186</v>
      </c>
      <c r="AE7" s="1214">
        <v>1</v>
      </c>
    </row>
    <row r="8" spans="1:31">
      <c r="A8" s="1215" t="s">
        <v>397</v>
      </c>
    </row>
    <row r="9" spans="1:31">
      <c r="A9" s="1216"/>
      <c r="B9" s="39" t="s">
        <v>398</v>
      </c>
      <c r="G9" s="1200">
        <f ca="1">BS_IS!G9/BS_IS!G$17</f>
        <v>0</v>
      </c>
      <c r="H9" s="1200">
        <f ca="1">BS_IS!H9/BS_IS!H$17</f>
        <v>1.2912371749717835E-16</v>
      </c>
      <c r="I9" s="1200">
        <f ca="1">BS_IS!I9/BS_IS!I$17</f>
        <v>-5.8373554039154192E-17</v>
      </c>
      <c r="J9" s="1200">
        <f ca="1">BS_IS!J9/BS_IS!J$17</f>
        <v>-5.9782058015992359E-17</v>
      </c>
      <c r="K9" s="1200">
        <f ca="1">BS_IS!K9/BS_IS!K$17</f>
        <v>-6.5968666965188146E-17</v>
      </c>
      <c r="L9" s="1200">
        <f ca="1">BS_IS!L9/BS_IS!L$17</f>
        <v>-7.440739959278365E-17</v>
      </c>
      <c r="M9" s="1200">
        <f ca="1">BS_IS!M9/BS_IS!M$17</f>
        <v>-8.4099946893898418E-17</v>
      </c>
      <c r="N9" s="1200">
        <f ca="1">BS_IS!N9/BS_IS!N$17</f>
        <v>-9.7173947598218089E-17</v>
      </c>
      <c r="O9" s="1200">
        <f ca="1">BS_IS!O9/BS_IS!O$17</f>
        <v>-1.1525833469054395E-16</v>
      </c>
      <c r="P9" s="1200">
        <f ca="1">BS_IS!P9/BS_IS!P$17</f>
        <v>-1.4058055860658753E-16</v>
      </c>
      <c r="Q9" s="1200">
        <f ca="1">BS_IS!Q9/BS_IS!Q$17</f>
        <v>-1.6671918375405908E-16</v>
      </c>
      <c r="R9" s="1200">
        <f ca="1">BS_IS!R9/BS_IS!R$17</f>
        <v>-1.903542086646972E-16</v>
      </c>
      <c r="S9" s="1200">
        <f ca="1">BS_IS!S9/BS_IS!S$17</f>
        <v>-2.1848741348943503E-16</v>
      </c>
      <c r="T9" s="1200">
        <f ca="1">BS_IS!T9/BS_IS!T$17</f>
        <v>-2.5967687472508206E-16</v>
      </c>
      <c r="U9" s="1200">
        <f ca="1">BS_IS!U9/BS_IS!U$17</f>
        <v>-3.248139413278039E-16</v>
      </c>
      <c r="V9" s="1200">
        <f ca="1">BS_IS!V9/BS_IS!V$17</f>
        <v>-3.6300176482233404E-16</v>
      </c>
      <c r="W9" s="1200">
        <f ca="1">BS_IS!W9/BS_IS!W$17</f>
        <v>-3.8488459110963992E-16</v>
      </c>
      <c r="X9" s="1200">
        <f ca="1">BS_IS!X9/BS_IS!X$17</f>
        <v>-3.5686113829608567E-16</v>
      </c>
      <c r="Y9" s="1200">
        <f ca="1">BS_IS!Y9/BS_IS!Y$17</f>
        <v>-2.6839712901501857E-16</v>
      </c>
      <c r="Z9" s="1200">
        <f ca="1">BS_IS!Z9/BS_IS!Z$17</f>
        <v>-2.4248786536220934E-16</v>
      </c>
      <c r="AA9" s="1200">
        <f ca="1">BS_IS!AA9/BS_IS!AA$17</f>
        <v>-2.4248786536220929E-16</v>
      </c>
      <c r="AB9" s="1200">
        <f ca="1">BS_IS!AB9/BS_IS!AB$17</f>
        <v>-6.2008710049598802E-16</v>
      </c>
    </row>
    <row r="10" spans="1:31">
      <c r="A10" s="1216"/>
      <c r="B10" s="39" t="s">
        <v>45</v>
      </c>
      <c r="G10" s="1200">
        <f ca="1">BS_IS!G10/BS_IS!G$17</f>
        <v>0</v>
      </c>
      <c r="H10" s="1200">
        <f ca="1">BS_IS!H10/BS_IS!H$17</f>
        <v>0</v>
      </c>
      <c r="I10" s="1200">
        <f ca="1">BS_IS!I10/BS_IS!I$17</f>
        <v>0</v>
      </c>
      <c r="J10" s="1200">
        <f ca="1">BS_IS!J10/BS_IS!J$17</f>
        <v>1.1995919895575753E-3</v>
      </c>
      <c r="K10" s="1200">
        <f ca="1">BS_IS!K10/BS_IS!K$17</f>
        <v>1.3237330242472003E-3</v>
      </c>
      <c r="L10" s="1200">
        <f ca="1">BS_IS!L10/BS_IS!L$17</f>
        <v>1.4930653690683451E-3</v>
      </c>
      <c r="M10" s="1200">
        <f ca="1">BS_IS!M10/BS_IS!M$17</f>
        <v>1.6875568684696337E-3</v>
      </c>
      <c r="N10" s="1200">
        <f ca="1">BS_IS!N10/BS_IS!N$17</f>
        <v>1.9499009067457411E-3</v>
      </c>
      <c r="O10" s="1200">
        <f ca="1">BS_IS!O10/BS_IS!O$17</f>
        <v>2.3127837952239055E-3</v>
      </c>
      <c r="P10" s="1200">
        <f ca="1">BS_IS!P10/BS_IS!P$17</f>
        <v>2.8209017485961887E-3</v>
      </c>
      <c r="Q10" s="1200">
        <f ca="1">BS_IS!Q10/BS_IS!Q$17</f>
        <v>3.3454016802741357E-3</v>
      </c>
      <c r="R10" s="1200">
        <f ca="1">BS_IS!R10/BS_IS!R$17</f>
        <v>3.8196641512685376E-3</v>
      </c>
      <c r="S10" s="1200">
        <f ca="1">BS_IS!S10/BS_IS!S$17</f>
        <v>4.3841874926916448E-3</v>
      </c>
      <c r="T10" s="1200">
        <f ca="1">BS_IS!T10/BS_IS!T$17</f>
        <v>5.2106988138518598E-3</v>
      </c>
      <c r="U10" s="1200">
        <f ca="1">BS_IS!U10/BS_IS!U$17</f>
        <v>6.5177448727045109E-3</v>
      </c>
      <c r="V10" s="1200">
        <f ca="1">BS_IS!V10/BS_IS!V$17</f>
        <v>7.2840250691879153E-3</v>
      </c>
      <c r="W10" s="1200">
        <f ca="1">BS_IS!W10/BS_IS!W$17</f>
        <v>7.7231277698027014E-3</v>
      </c>
      <c r="X10" s="1200">
        <f ca="1">BS_IS!X10/BS_IS!X$17</f>
        <v>7.1608067218071388E-3</v>
      </c>
      <c r="Y10" s="1200">
        <f ca="1">BS_IS!Y10/BS_IS!Y$17</f>
        <v>5.3856801969001736E-3</v>
      </c>
      <c r="Z10" s="1200">
        <f ca="1">BS_IS!Z10/BS_IS!Z$17</f>
        <v>4.8657826529760282E-3</v>
      </c>
      <c r="AA10" s="1200">
        <f ca="1">BS_IS!AA10/BS_IS!AA$17</f>
        <v>4.8657826529760273E-3</v>
      </c>
      <c r="AB10" s="1200">
        <f ca="1">BS_IS!AB10/BS_IS!AB$17</f>
        <v>1.2442721834433701E-2</v>
      </c>
    </row>
    <row r="11" spans="1:31">
      <c r="A11" s="1216"/>
      <c r="B11" s="39" t="s">
        <v>46</v>
      </c>
      <c r="G11" s="1200">
        <f ca="1">BS_IS!G11/BS_IS!G$17</f>
        <v>0</v>
      </c>
      <c r="H11" s="1200">
        <f ca="1">BS_IS!H11/BS_IS!H$17</f>
        <v>0</v>
      </c>
      <c r="I11" s="1200">
        <f ca="1">BS_IS!I11/BS_IS!I$17</f>
        <v>0</v>
      </c>
      <c r="J11" s="1200">
        <f ca="1">BS_IS!J11/BS_IS!J$17</f>
        <v>3.427962932464597E-3</v>
      </c>
      <c r="K11" s="1200">
        <f ca="1">BS_IS!K11/BS_IS!K$17</f>
        <v>-4.2396577070361638E-2</v>
      </c>
      <c r="L11" s="1200">
        <f ca="1">BS_IS!L11/BS_IS!L$17</f>
        <v>-0.11110281399374956</v>
      </c>
      <c r="M11" s="1200">
        <f ca="1">BS_IS!M11/BS_IS!M$17</f>
        <v>-0.18278129712345842</v>
      </c>
      <c r="N11" s="1200">
        <f ca="1">BS_IS!N11/BS_IS!N$17</f>
        <v>-0.28223930190695845</v>
      </c>
      <c r="O11" s="1200">
        <f ca="1">BS_IS!O11/BS_IS!O$17</f>
        <v>-0.420743665544344</v>
      </c>
      <c r="P11" s="1200">
        <f ca="1">BS_IS!P11/BS_IS!P$17</f>
        <v>-0.61075878705067255</v>
      </c>
      <c r="Q11" s="1200">
        <f ca="1">BS_IS!Q11/BS_IS!Q$17</f>
        <v>-0.76542428810456808</v>
      </c>
      <c r="R11" s="1200">
        <f ca="1">BS_IS!R11/BS_IS!R$17</f>
        <v>-0.85034043827471406</v>
      </c>
      <c r="S11" s="1200">
        <f ca="1">BS_IS!S11/BS_IS!S$17</f>
        <v>-0.9340103125373389</v>
      </c>
      <c r="T11" s="1200">
        <f ca="1">BS_IS!T11/BS_IS!T$17</f>
        <v>-1.0730313920754853</v>
      </c>
      <c r="U11" s="1200">
        <f ca="1">BS_IS!U11/BS_IS!U$17</f>
        <v>-1.3108635531273585</v>
      </c>
      <c r="V11" s="1200">
        <f ca="1">BS_IS!V11/BS_IS!V$17</f>
        <v>-1.2672094284625139</v>
      </c>
      <c r="W11" s="1200">
        <f ca="1">BS_IS!W11/BS_IS!W$17</f>
        <v>-1.0695355906410808</v>
      </c>
      <c r="X11" s="1200">
        <f ca="1">BS_IS!X11/BS_IS!X$17</f>
        <v>-0.60884858695352673</v>
      </c>
      <c r="Y11" s="1200">
        <f ca="1">BS_IS!Y11/BS_IS!Y$17</f>
        <v>2.3132256361336447E-2</v>
      </c>
      <c r="Z11" s="1200">
        <f ca="1">BS_IS!Z11/BS_IS!Z$17</f>
        <v>0.32808093840062619</v>
      </c>
      <c r="AA11" s="1200">
        <f ca="1">BS_IS!AA11/BS_IS!AA$17</f>
        <v>0.53872934227843561</v>
      </c>
      <c r="AB11" s="1200">
        <f ca="1">BS_IS!AB11/BS_IS!AB$17</f>
        <v>0</v>
      </c>
    </row>
    <row r="12" spans="1:31">
      <c r="A12" s="1216"/>
      <c r="B12" s="39" t="s">
        <v>399</v>
      </c>
      <c r="G12" s="1200">
        <f ca="1">BS_IS!G12/BS_IS!G$17</f>
        <v>0</v>
      </c>
      <c r="H12" s="1200">
        <f ca="1">BS_IS!H12/BS_IS!H$17</f>
        <v>0</v>
      </c>
      <c r="I12" s="1200">
        <f ca="1">BS_IS!I12/BS_IS!I$17</f>
        <v>0</v>
      </c>
      <c r="J12" s="1200">
        <f ca="1">BS_IS!J12/BS_IS!J$17</f>
        <v>0</v>
      </c>
      <c r="K12" s="1200">
        <f ca="1">BS_IS!K12/BS_IS!K$17</f>
        <v>0</v>
      </c>
      <c r="L12" s="1200">
        <f ca="1">BS_IS!L12/BS_IS!L$17</f>
        <v>0</v>
      </c>
      <c r="M12" s="1200">
        <f ca="1">BS_IS!M12/BS_IS!M$17</f>
        <v>0</v>
      </c>
      <c r="N12" s="1200">
        <f ca="1">BS_IS!N12/BS_IS!N$17</f>
        <v>0</v>
      </c>
      <c r="O12" s="1200">
        <f ca="1">BS_IS!O12/BS_IS!O$17</f>
        <v>0</v>
      </c>
      <c r="P12" s="1200">
        <f ca="1">BS_IS!P12/BS_IS!P$17</f>
        <v>0</v>
      </c>
      <c r="Q12" s="1200">
        <f ca="1">BS_IS!Q12/BS_IS!Q$17</f>
        <v>0</v>
      </c>
      <c r="R12" s="1200">
        <f ca="1">BS_IS!R12/BS_IS!R$17</f>
        <v>0</v>
      </c>
      <c r="S12" s="1200">
        <f ca="1">BS_IS!S12/BS_IS!S$17</f>
        <v>0</v>
      </c>
      <c r="T12" s="1200">
        <f ca="1">BS_IS!T12/BS_IS!T$17</f>
        <v>0</v>
      </c>
      <c r="U12" s="1200">
        <f ca="1">BS_IS!U12/BS_IS!U$17</f>
        <v>0</v>
      </c>
      <c r="V12" s="1200">
        <f ca="1">BS_IS!V12/BS_IS!V$17</f>
        <v>0</v>
      </c>
      <c r="W12" s="1200">
        <f ca="1">BS_IS!W12/BS_IS!W$17</f>
        <v>0</v>
      </c>
      <c r="X12" s="1200">
        <f ca="1">BS_IS!X12/BS_IS!X$17</f>
        <v>0</v>
      </c>
      <c r="Y12" s="1200">
        <f ca="1">BS_IS!Y12/BS_IS!Y$17</f>
        <v>0</v>
      </c>
      <c r="Z12" s="1200">
        <f ca="1">BS_IS!Z12/BS_IS!Z$17</f>
        <v>0</v>
      </c>
      <c r="AA12" s="1200">
        <f ca="1">BS_IS!AA12/BS_IS!AA$17</f>
        <v>0</v>
      </c>
      <c r="AB12" s="1200">
        <f ca="1">BS_IS!AB12/BS_IS!AB$17</f>
        <v>0</v>
      </c>
    </row>
    <row r="13" spans="1:31">
      <c r="A13" s="1216"/>
      <c r="C13" s="39" t="s">
        <v>407</v>
      </c>
      <c r="G13" s="1200">
        <f ca="1">BS_IS!G13/BS_IS!G$17</f>
        <v>1</v>
      </c>
      <c r="H13" s="1200">
        <f ca="1">BS_IS!H13/BS_IS!H$17</f>
        <v>0.99999999999999989</v>
      </c>
      <c r="I13" s="1200">
        <f ca="1">BS_IS!I13/BS_IS!I$17</f>
        <v>1</v>
      </c>
      <c r="J13" s="1200">
        <f ca="1">BS_IS!J13/BS_IS!J$17</f>
        <v>1.0386495079074554</v>
      </c>
      <c r="K13" s="1200">
        <f ca="1">BS_IS!K13/BS_IS!K$17</f>
        <v>1.1461352411516856</v>
      </c>
      <c r="L13" s="1200">
        <f ca="1">BS_IS!L13/BS_IS!L$17</f>
        <v>1.2927492216986578</v>
      </c>
      <c r="M13" s="1200">
        <f ca="1">BS_IS!M13/BS_IS!M$17</f>
        <v>1.4611468951608111</v>
      </c>
      <c r="N13" s="1200">
        <f ca="1">BS_IS!N13/BS_IS!N$17</f>
        <v>1.6882937156046762</v>
      </c>
      <c r="O13" s="1200">
        <f ca="1">BS_IS!O13/BS_IS!O$17</f>
        <v>2.0024906565869931</v>
      </c>
      <c r="P13" s="1200">
        <f ca="1">BS_IS!P13/BS_IS!P$17</f>
        <v>2.4424372941297365</v>
      </c>
      <c r="Q13" s="1200">
        <f ca="1">BS_IS!Q13/BS_IS!Q$17</f>
        <v>2.8965680324782914</v>
      </c>
      <c r="R13" s="1200">
        <f ca="1">BS_IS!R13/BS_IS!R$17</f>
        <v>3.3072013864897531</v>
      </c>
      <c r="S13" s="1200">
        <f ca="1">BS_IS!S13/BS_IS!S$17</f>
        <v>3.7959858197599625</v>
      </c>
      <c r="T13" s="1200">
        <f ca="1">BS_IS!T13/BS_IS!T$17</f>
        <v>4.5116087852981099</v>
      </c>
      <c r="U13" s="1200">
        <f ca="1">BS_IS!U13/BS_IS!U$17</f>
        <v>5.6432958569501732</v>
      </c>
      <c r="V13" s="1200">
        <f ca="1">BS_IS!V13/BS_IS!V$17</f>
        <v>6.3067685676092804</v>
      </c>
      <c r="W13" s="1200">
        <f ca="1">BS_IS!W13/BS_IS!W$17</f>
        <v>6.686959339041981</v>
      </c>
      <c r="X13" s="1200">
        <f ca="1">BS_IS!X13/BS_IS!X$17</f>
        <v>6.2000817299292343</v>
      </c>
      <c r="Y13" s="1200">
        <f ca="1">BS_IS!Y13/BS_IS!Y$17</f>
        <v>4.6631139045204604</v>
      </c>
      <c r="Z13" s="1200">
        <f ca="1">BS_IS!Z13/BS_IS!Z$17</f>
        <v>4.2129680775561908</v>
      </c>
      <c r="AA13" s="1200">
        <f ca="1">BS_IS!AA13/BS_IS!AA$17</f>
        <v>4.21296807755619</v>
      </c>
      <c r="AB13" s="1200">
        <f ca="1">BS_IS!AB13/BS_IS!AB$17</f>
        <v>10.773352125442509</v>
      </c>
    </row>
    <row r="14" spans="1:31" s="1218" customFormat="1">
      <c r="A14" s="1217"/>
      <c r="B14" s="35"/>
      <c r="C14" s="39" t="s">
        <v>400</v>
      </c>
      <c r="D14" s="35"/>
      <c r="E14" s="35"/>
      <c r="G14" s="1218">
        <f ca="1">BS_IS!G14/BS_IS!G$17</f>
        <v>0</v>
      </c>
      <c r="H14" s="1218">
        <f ca="1">BS_IS!H14/BS_IS!H$17</f>
        <v>0</v>
      </c>
      <c r="I14" s="1218">
        <f ca="1">BS_IS!I14/BS_IS!I$17</f>
        <v>0</v>
      </c>
      <c r="J14" s="1218">
        <f ca="1">BS_IS!J14/BS_IS!J$17</f>
        <v>-4.3277062829477297E-2</v>
      </c>
      <c r="K14" s="1218">
        <f ca="1">BS_IS!K14/BS_IS!K$17</f>
        <v>-0.10506239710557118</v>
      </c>
      <c r="L14" s="1218">
        <f ca="1">BS_IS!L14/BS_IS!L$17</f>
        <v>-0.18313947307397649</v>
      </c>
      <c r="M14" s="1218">
        <f ca="1">BS_IS!M14/BS_IS!M$17</f>
        <v>-0.28005315490582205</v>
      </c>
      <c r="N14" s="1218">
        <f ca="1">BS_IS!N14/BS_IS!N$17</f>
        <v>-0.40800431460446335</v>
      </c>
      <c r="O14" s="1218">
        <f ca="1">BS_IS!O14/BS_IS!O$17</f>
        <v>-0.58405977483787286</v>
      </c>
      <c r="P14" s="1218">
        <f ca="1">BS_IS!P14/BS_IS!P$17</f>
        <v>-0.83449940882765983</v>
      </c>
      <c r="Q14" s="1218">
        <f ca="1">BS_IS!Q14/BS_IS!Q$17</f>
        <v>-1.1344891460539974</v>
      </c>
      <c r="R14" s="1218">
        <f ca="1">BS_IS!R14/BS_IS!R$17</f>
        <v>-1.4606806123663076</v>
      </c>
      <c r="S14" s="1218">
        <f ca="1">BS_IS!S14/BS_IS!S$17</f>
        <v>-1.8663596947153149</v>
      </c>
      <c r="T14" s="1218">
        <f ca="1">BS_IS!T14/BS_IS!T$17</f>
        <v>-2.4437880920364758</v>
      </c>
      <c r="U14" s="1218">
        <f ca="1">BS_IS!U14/BS_IS!U$17</f>
        <v>-3.3389500486955184</v>
      </c>
      <c r="V14" s="1218">
        <f ca="1">BS_IS!V14/BS_IS!V$17</f>
        <v>-4.0468431642159546</v>
      </c>
      <c r="W14" s="1218">
        <f ca="1">BS_IS!W14/BS_IS!W$17</f>
        <v>-4.6251468761707022</v>
      </c>
      <c r="X14" s="1218">
        <f ca="1">BS_IS!X14/BS_IS!X$17</f>
        <v>-4.5983939496975141</v>
      </c>
      <c r="Y14" s="1218">
        <f ca="1">BS_IS!Y14/BS_IS!Y$17</f>
        <v>-3.6916318410786966</v>
      </c>
      <c r="Z14" s="1218">
        <f ca="1">BS_IS!Z14/BS_IS!Z$17</f>
        <v>-3.5459147986097928</v>
      </c>
      <c r="AA14" s="1218">
        <f ca="1">BS_IS!AA14/BS_IS!AA$17</f>
        <v>-3.7565632024876012</v>
      </c>
      <c r="AB14" s="1218">
        <f ca="1">BS_IS!AB14/BS_IS!AB$17</f>
        <v>-9.7857948472769429</v>
      </c>
    </row>
    <row r="15" spans="1:31">
      <c r="A15" s="1216"/>
      <c r="C15" s="39" t="s">
        <v>401</v>
      </c>
      <c r="G15" s="1200">
        <f ca="1">BS_IS!G15/BS_IS!G$17</f>
        <v>1</v>
      </c>
      <c r="H15" s="1200">
        <f ca="1">BS_IS!H15/BS_IS!H$17</f>
        <v>0.99999999999999989</v>
      </c>
      <c r="I15" s="1200">
        <f ca="1">BS_IS!I15/BS_IS!I$17</f>
        <v>1</v>
      </c>
      <c r="J15" s="1200">
        <f ca="1">BS_IS!J15/BS_IS!J$17</f>
        <v>0.99537244507797795</v>
      </c>
      <c r="K15" s="1200">
        <f ca="1">BS_IS!K15/BS_IS!K$17</f>
        <v>1.0410728440461146</v>
      </c>
      <c r="L15" s="1200">
        <f ca="1">BS_IS!L15/BS_IS!L$17</f>
        <v>1.1096097486246812</v>
      </c>
      <c r="M15" s="1200">
        <f ca="1">BS_IS!M15/BS_IS!M$17</f>
        <v>1.1810937402549888</v>
      </c>
      <c r="N15" s="1200">
        <f ca="1">BS_IS!N15/BS_IS!N$17</f>
        <v>1.2802894010002128</v>
      </c>
      <c r="O15" s="1200">
        <f ca="1">BS_IS!O15/BS_IS!O$17</f>
        <v>1.4184308817491202</v>
      </c>
      <c r="P15" s="1200">
        <f ca="1">BS_IS!P15/BS_IS!P$17</f>
        <v>1.6079378853020765</v>
      </c>
      <c r="Q15" s="1200">
        <f ca="1">BS_IS!Q15/BS_IS!Q$17</f>
        <v>1.7620788864242942</v>
      </c>
      <c r="R15" s="1200">
        <f ca="1">BS_IS!R15/BS_IS!R$17</f>
        <v>1.8465207741234457</v>
      </c>
      <c r="S15" s="1200">
        <f ca="1">BS_IS!S15/BS_IS!S$17</f>
        <v>1.9296261250446476</v>
      </c>
      <c r="T15" s="1200">
        <f ca="1">BS_IS!T15/BS_IS!T$17</f>
        <v>2.0678206932616336</v>
      </c>
      <c r="U15" s="1200">
        <f ca="1">BS_IS!U15/BS_IS!U$17</f>
        <v>2.3043458082546544</v>
      </c>
      <c r="V15" s="1200">
        <f ca="1">BS_IS!V15/BS_IS!V$17</f>
        <v>2.2599254033933263</v>
      </c>
      <c r="W15" s="1200">
        <f ca="1">BS_IS!W15/BS_IS!W$17</f>
        <v>2.0618124628712784</v>
      </c>
      <c r="X15" s="1200">
        <f ca="1">BS_IS!X15/BS_IS!X$17</f>
        <v>1.60168778023172</v>
      </c>
      <c r="Y15" s="1200">
        <f ca="1">BS_IS!Y15/BS_IS!Y$17</f>
        <v>0.97148206344176369</v>
      </c>
      <c r="Z15" s="1200">
        <f ca="1">BS_IS!Z15/BS_IS!Z$17</f>
        <v>0.66705327894639799</v>
      </c>
      <c r="AA15" s="1200">
        <f ca="1">BS_IS!AA15/BS_IS!AA$17</f>
        <v>0.45640487506858857</v>
      </c>
      <c r="AB15" s="1200">
        <f ca="1">BS_IS!AB15/BS_IS!AB$17</f>
        <v>0.98755727816556693</v>
      </c>
    </row>
    <row r="16" spans="1:31">
      <c r="A16" s="1216"/>
      <c r="B16" s="39" t="s">
        <v>47</v>
      </c>
      <c r="G16" s="1200">
        <f ca="1">BS_IS!G16/BS_IS!G$17</f>
        <v>0</v>
      </c>
      <c r="H16" s="1200">
        <f ca="1">BS_IS!H16/BS_IS!H$17</f>
        <v>0</v>
      </c>
      <c r="I16" s="1200">
        <f ca="1">BS_IS!I16/BS_IS!I$17</f>
        <v>0</v>
      </c>
      <c r="J16" s="1200">
        <f ca="1">BS_IS!J16/BS_IS!J$17</f>
        <v>0</v>
      </c>
      <c r="K16" s="1200">
        <f ca="1">BS_IS!K16/BS_IS!K$17</f>
        <v>0</v>
      </c>
      <c r="L16" s="1200">
        <f ca="1">BS_IS!L16/BS_IS!L$17</f>
        <v>0</v>
      </c>
      <c r="M16" s="1200">
        <f ca="1">BS_IS!M16/BS_IS!M$17</f>
        <v>0</v>
      </c>
      <c r="N16" s="1200">
        <f ca="1">BS_IS!N16/BS_IS!N$17</f>
        <v>0</v>
      </c>
      <c r="O16" s="1200">
        <f ca="1">BS_IS!O16/BS_IS!O$17</f>
        <v>0</v>
      </c>
      <c r="P16" s="1200">
        <f ca="1">BS_IS!P16/BS_IS!P$17</f>
        <v>0</v>
      </c>
      <c r="Q16" s="1200">
        <f ca="1">BS_IS!Q16/BS_IS!Q$17</f>
        <v>0</v>
      </c>
      <c r="R16" s="1200">
        <f ca="1">BS_IS!R16/BS_IS!R$17</f>
        <v>0</v>
      </c>
      <c r="S16" s="1200">
        <f ca="1">BS_IS!S16/BS_IS!S$17</f>
        <v>0</v>
      </c>
      <c r="T16" s="1200">
        <f ca="1">BS_IS!T16/BS_IS!T$17</f>
        <v>0</v>
      </c>
      <c r="U16" s="1200">
        <f ca="1">BS_IS!U16/BS_IS!U$17</f>
        <v>0</v>
      </c>
      <c r="V16" s="1200">
        <f ca="1">BS_IS!V16/BS_IS!V$17</f>
        <v>0</v>
      </c>
      <c r="W16" s="1200">
        <f ca="1">BS_IS!W16/BS_IS!W$17</f>
        <v>0</v>
      </c>
      <c r="X16" s="1200">
        <f ca="1">BS_IS!X16/BS_IS!X$17</f>
        <v>0</v>
      </c>
      <c r="Y16" s="1200">
        <f ca="1">BS_IS!Y16/BS_IS!Y$17</f>
        <v>0</v>
      </c>
      <c r="Z16" s="1200">
        <f ca="1">BS_IS!Z16/BS_IS!Z$17</f>
        <v>0</v>
      </c>
      <c r="AA16" s="1200">
        <f ca="1">BS_IS!AA16/BS_IS!AA$17</f>
        <v>0</v>
      </c>
      <c r="AB16" s="1200">
        <f ca="1">BS_IS!AB16/BS_IS!AB$17</f>
        <v>0</v>
      </c>
    </row>
    <row r="17" spans="1:28" s="1218" customFormat="1">
      <c r="A17" s="1217"/>
      <c r="B17" s="39" t="s">
        <v>268</v>
      </c>
      <c r="C17" s="35"/>
      <c r="D17" s="35"/>
      <c r="E17" s="35"/>
      <c r="G17" s="1200">
        <f ca="1">BS_IS!G17/BS_IS!G$17</f>
        <v>1</v>
      </c>
      <c r="H17" s="1200">
        <f ca="1">BS_IS!H17/BS_IS!H$17</f>
        <v>1</v>
      </c>
      <c r="I17" s="1200">
        <f ca="1">BS_IS!I17/BS_IS!I$17</f>
        <v>1</v>
      </c>
      <c r="J17" s="1200">
        <f ca="1">BS_IS!J17/BS_IS!J$17</f>
        <v>1</v>
      </c>
      <c r="K17" s="1200">
        <f ca="1">BS_IS!K17/BS_IS!K$17</f>
        <v>1</v>
      </c>
      <c r="L17" s="1200">
        <f ca="1">BS_IS!L17/BS_IS!L$17</f>
        <v>1</v>
      </c>
      <c r="M17" s="1200">
        <f ca="1">BS_IS!M17/BS_IS!M$17</f>
        <v>1</v>
      </c>
      <c r="N17" s="1200">
        <f ca="1">BS_IS!N17/BS_IS!N$17</f>
        <v>1</v>
      </c>
      <c r="O17" s="1200">
        <f ca="1">BS_IS!O17/BS_IS!O$17</f>
        <v>1</v>
      </c>
      <c r="P17" s="1200">
        <f ca="1">BS_IS!P17/BS_IS!P$17</f>
        <v>1</v>
      </c>
      <c r="Q17" s="1200">
        <f ca="1">BS_IS!Q17/BS_IS!Q$17</f>
        <v>1</v>
      </c>
      <c r="R17" s="1200">
        <f ca="1">BS_IS!R17/BS_IS!R$17</f>
        <v>1</v>
      </c>
      <c r="S17" s="1200">
        <f ca="1">BS_IS!S17/BS_IS!S$17</f>
        <v>1</v>
      </c>
      <c r="T17" s="1200">
        <f ca="1">BS_IS!T17/BS_IS!T$17</f>
        <v>1</v>
      </c>
      <c r="U17" s="1200">
        <f ca="1">BS_IS!U17/BS_IS!U$17</f>
        <v>1</v>
      </c>
      <c r="V17" s="1200">
        <f ca="1">BS_IS!V17/BS_IS!V$17</f>
        <v>1</v>
      </c>
      <c r="W17" s="1200">
        <f ca="1">BS_IS!W17/BS_IS!W$17</f>
        <v>1</v>
      </c>
      <c r="X17" s="1200">
        <f ca="1">BS_IS!X17/BS_IS!X$17</f>
        <v>1</v>
      </c>
      <c r="Y17" s="1200">
        <f ca="1">BS_IS!Y17/BS_IS!Y$17</f>
        <v>1</v>
      </c>
      <c r="Z17" s="1200">
        <f ca="1">BS_IS!Z17/BS_IS!Z$17</f>
        <v>1</v>
      </c>
      <c r="AA17" s="1200">
        <f ca="1">BS_IS!AA17/BS_IS!AA$17</f>
        <v>1</v>
      </c>
      <c r="AB17" s="1200">
        <f ca="1">BS_IS!AB17/BS_IS!AB$17</f>
        <v>1</v>
      </c>
    </row>
    <row r="18" spans="1:28" s="1221" customFormat="1" ht="13.8" thickBot="1">
      <c r="A18" s="1219" t="s">
        <v>269</v>
      </c>
      <c r="B18" s="1220"/>
      <c r="C18" s="1220"/>
      <c r="D18" s="1220"/>
      <c r="E18" s="1220"/>
      <c r="G18" s="1221">
        <f ca="1">BS_IS!G18/BS_IS!G$17</f>
        <v>0</v>
      </c>
      <c r="H18" s="1221">
        <f ca="1">BS_IS!H18/BS_IS!H$17</f>
        <v>0</v>
      </c>
      <c r="I18" s="1221">
        <f ca="1">BS_IS!I18/BS_IS!I$17</f>
        <v>0</v>
      </c>
      <c r="J18" s="1221">
        <f ca="1">BS_IS!J18/BS_IS!J$17</f>
        <v>0</v>
      </c>
      <c r="K18" s="1221">
        <f ca="1">BS_IS!K18/BS_IS!K$17</f>
        <v>0</v>
      </c>
      <c r="L18" s="1221">
        <f ca="1">BS_IS!L18/BS_IS!L$17</f>
        <v>0</v>
      </c>
      <c r="M18" s="1221">
        <f ca="1">BS_IS!M18/BS_IS!M$17</f>
        <v>0</v>
      </c>
      <c r="N18" s="1221">
        <f ca="1">BS_IS!N18/BS_IS!N$17</f>
        <v>0</v>
      </c>
      <c r="O18" s="1221">
        <f ca="1">BS_IS!O18/BS_IS!O$17</f>
        <v>0</v>
      </c>
      <c r="P18" s="1221">
        <f ca="1">BS_IS!P18/BS_IS!P$17</f>
        <v>0</v>
      </c>
      <c r="Q18" s="1221">
        <f ca="1">BS_IS!Q18/BS_IS!Q$17</f>
        <v>0</v>
      </c>
      <c r="R18" s="1221">
        <f ca="1">BS_IS!R18/BS_IS!R$17</f>
        <v>0</v>
      </c>
      <c r="S18" s="1221">
        <f ca="1">BS_IS!S18/BS_IS!S$17</f>
        <v>0</v>
      </c>
      <c r="T18" s="1221">
        <f ca="1">BS_IS!T18/BS_IS!T$17</f>
        <v>0</v>
      </c>
      <c r="U18" s="1221">
        <f ca="1">BS_IS!U18/BS_IS!U$17</f>
        <v>0</v>
      </c>
      <c r="V18" s="1221">
        <f ca="1">BS_IS!V18/BS_IS!V$17</f>
        <v>0</v>
      </c>
      <c r="W18" s="1221">
        <f ca="1">BS_IS!W18/BS_IS!W$17</f>
        <v>0</v>
      </c>
      <c r="X18" s="1221">
        <f ca="1">BS_IS!X18/BS_IS!X$17</f>
        <v>0</v>
      </c>
      <c r="Y18" s="1221">
        <f ca="1">BS_IS!Y18/BS_IS!Y$17</f>
        <v>0</v>
      </c>
      <c r="Z18" s="1221">
        <f ca="1">BS_IS!Z18/BS_IS!Z$17</f>
        <v>0</v>
      </c>
      <c r="AA18" s="1221">
        <f ca="1">BS_IS!AA18/BS_IS!AA$17</f>
        <v>0</v>
      </c>
      <c r="AB18" s="1221">
        <f ca="1">BS_IS!AB18/BS_IS!AB$17</f>
        <v>0</v>
      </c>
    </row>
    <row r="19" spans="1:28" ht="13.8" thickTop="1">
      <c r="A19" s="1216"/>
    </row>
    <row r="20" spans="1:28">
      <c r="A20" s="1222" t="s">
        <v>402</v>
      </c>
    </row>
    <row r="21" spans="1:28">
      <c r="A21" s="1216"/>
      <c r="B21" s="39" t="s">
        <v>270</v>
      </c>
      <c r="G21" s="1200">
        <f ca="1">BS_IS!G20/BS_IS!G$33</f>
        <v>0</v>
      </c>
      <c r="H21" s="1200">
        <f ca="1">BS_IS!H20/BS_IS!H$33</f>
        <v>0</v>
      </c>
      <c r="I21" s="1200">
        <f ca="1">BS_IS!I20/BS_IS!I$33</f>
        <v>0</v>
      </c>
      <c r="J21" s="1200">
        <f ca="1">BS_IS!J20/BS_IS!J$33</f>
        <v>0</v>
      </c>
      <c r="K21" s="1200">
        <f ca="1">BS_IS!K20/BS_IS!K$33</f>
        <v>0</v>
      </c>
      <c r="L21" s="1200">
        <f ca="1">BS_IS!L20/BS_IS!L$33</f>
        <v>0</v>
      </c>
      <c r="M21" s="1200">
        <f ca="1">BS_IS!M20/BS_IS!M$33</f>
        <v>0</v>
      </c>
      <c r="N21" s="1200">
        <f ca="1">BS_IS!N20/BS_IS!N$33</f>
        <v>0</v>
      </c>
      <c r="O21" s="1200">
        <f ca="1">BS_IS!O20/BS_IS!O$33</f>
        <v>0</v>
      </c>
      <c r="P21" s="1200">
        <f ca="1">BS_IS!P20/BS_IS!P$33</f>
        <v>0</v>
      </c>
      <c r="Q21" s="1200">
        <f ca="1">BS_IS!Q20/BS_IS!Q$33</f>
        <v>0</v>
      </c>
      <c r="R21" s="1200">
        <f ca="1">BS_IS!R20/BS_IS!R$33</f>
        <v>0</v>
      </c>
      <c r="S21" s="1200">
        <f ca="1">BS_IS!S20/BS_IS!S$33</f>
        <v>0</v>
      </c>
      <c r="T21" s="1200">
        <f ca="1">BS_IS!T20/BS_IS!T$33</f>
        <v>0</v>
      </c>
      <c r="U21" s="1200">
        <f ca="1">BS_IS!U20/BS_IS!U$33</f>
        <v>0</v>
      </c>
      <c r="V21" s="1200">
        <f ca="1">BS_IS!V20/BS_IS!V$33</f>
        <v>0</v>
      </c>
      <c r="W21" s="1200">
        <f ca="1">BS_IS!W20/BS_IS!W$33</f>
        <v>0</v>
      </c>
      <c r="X21" s="1200">
        <f ca="1">BS_IS!X20/BS_IS!X$33</f>
        <v>0</v>
      </c>
      <c r="Y21" s="1200">
        <f ca="1">BS_IS!Y20/BS_IS!Y$33</f>
        <v>0</v>
      </c>
      <c r="Z21" s="1200">
        <f ca="1">BS_IS!Z20/BS_IS!Z$33</f>
        <v>0</v>
      </c>
      <c r="AA21" s="1200">
        <f ca="1">BS_IS!AA20/BS_IS!AA$33</f>
        <v>0</v>
      </c>
      <c r="AB21" s="1200">
        <f ca="1">BS_IS!AB20/BS_IS!AB$33</f>
        <v>0</v>
      </c>
    </row>
    <row r="22" spans="1:28">
      <c r="A22" s="1216"/>
      <c r="B22" s="39" t="s">
        <v>106</v>
      </c>
      <c r="G22" s="1200">
        <f ca="1">BS_IS!G21/BS_IS!G$33</f>
        <v>0</v>
      </c>
      <c r="H22" s="1200">
        <f ca="1">BS_IS!H21/BS_IS!H$33</f>
        <v>0.48303160789185812</v>
      </c>
      <c r="I22" s="1200">
        <f ca="1">BS_IS!I21/BS_IS!I$33</f>
        <v>0</v>
      </c>
      <c r="J22" s="1200">
        <f ca="1">BS_IS!J21/BS_IS!J$33</f>
        <v>0</v>
      </c>
      <c r="K22" s="1200">
        <f ca="1">BS_IS!K21/BS_IS!K$33</f>
        <v>0</v>
      </c>
      <c r="L22" s="1200">
        <f ca="1">BS_IS!L21/BS_IS!L$33</f>
        <v>0</v>
      </c>
      <c r="M22" s="1200">
        <f ca="1">BS_IS!M21/BS_IS!M$33</f>
        <v>0</v>
      </c>
      <c r="N22" s="1200">
        <f ca="1">BS_IS!N21/BS_IS!N$33</f>
        <v>0</v>
      </c>
      <c r="O22" s="1200">
        <f ca="1">BS_IS!O21/BS_IS!O$33</f>
        <v>0</v>
      </c>
      <c r="P22" s="1200">
        <f ca="1">BS_IS!P21/BS_IS!P$33</f>
        <v>0</v>
      </c>
      <c r="Q22" s="1200">
        <f ca="1">BS_IS!Q21/BS_IS!Q$33</f>
        <v>0</v>
      </c>
      <c r="R22" s="1200">
        <f ca="1">BS_IS!R21/BS_IS!R$33</f>
        <v>0</v>
      </c>
      <c r="S22" s="1200">
        <f ca="1">BS_IS!S21/BS_IS!S$33</f>
        <v>0</v>
      </c>
      <c r="T22" s="1200">
        <f ca="1">BS_IS!T21/BS_IS!T$33</f>
        <v>0</v>
      </c>
      <c r="U22" s="1200">
        <f ca="1">BS_IS!U21/BS_IS!U$33</f>
        <v>0</v>
      </c>
      <c r="V22" s="1200">
        <f ca="1">BS_IS!V21/BS_IS!V$33</f>
        <v>0</v>
      </c>
      <c r="W22" s="1200">
        <f ca="1">BS_IS!W21/BS_IS!W$33</f>
        <v>0</v>
      </c>
      <c r="X22" s="1200">
        <f ca="1">BS_IS!X21/BS_IS!X$33</f>
        <v>0</v>
      </c>
      <c r="Y22" s="1200">
        <f ca="1">BS_IS!Y21/BS_IS!Y$33</f>
        <v>0</v>
      </c>
      <c r="Z22" s="1200">
        <f ca="1">BS_IS!Z21/BS_IS!Z$33</f>
        <v>0</v>
      </c>
      <c r="AA22" s="1200">
        <f ca="1">BS_IS!AA21/BS_IS!AA$33</f>
        <v>0</v>
      </c>
      <c r="AB22" s="1200">
        <f ca="1">BS_IS!AB21/BS_IS!AB$33</f>
        <v>0</v>
      </c>
    </row>
    <row r="23" spans="1:28">
      <c r="A23" s="1216"/>
      <c r="B23" s="39" t="s">
        <v>296</v>
      </c>
      <c r="G23" s="1200">
        <f ca="1">BS_IS!G22/BS_IS!G$33</f>
        <v>0</v>
      </c>
      <c r="H23" s="1200">
        <f ca="1">BS_IS!H22/BS_IS!H$33</f>
        <v>0</v>
      </c>
      <c r="I23" s="1200">
        <f ca="1">BS_IS!I22/BS_IS!I$33</f>
        <v>0.59724631400773132</v>
      </c>
      <c r="J23" s="1200">
        <f ca="1">BS_IS!J22/BS_IS!J$33</f>
        <v>0.62390945993820768</v>
      </c>
      <c r="K23" s="1200">
        <f ca="1">BS_IS!K22/BS_IS!K$33</f>
        <v>0.67814923727423992</v>
      </c>
      <c r="L23" s="1200">
        <f ca="1">BS_IS!L22/BS_IS!L$33</f>
        <v>0.74515186154201041</v>
      </c>
      <c r="M23" s="1200">
        <f ca="1">BS_IS!M22/BS_IS!M$33</f>
        <v>0.7795248357094765</v>
      </c>
      <c r="N23" s="1200">
        <f ca="1">BS_IS!N22/BS_IS!N$33</f>
        <v>0.80874583392139521</v>
      </c>
      <c r="O23" s="1200">
        <f ca="1">BS_IS!O22/BS_IS!O$33</f>
        <v>0.83568455729285551</v>
      </c>
      <c r="P23" s="1200">
        <f ca="1">BS_IS!P22/BS_IS!P$33</f>
        <v>0.85756043303691754</v>
      </c>
      <c r="Q23" s="1200">
        <f ca="1">BS_IS!Q22/BS_IS!Q$33</f>
        <v>0.87149855616724214</v>
      </c>
      <c r="R23" s="1200">
        <f ca="1">BS_IS!R22/BS_IS!R$33</f>
        <v>0.88175139395410995</v>
      </c>
      <c r="S23" s="1200">
        <f ca="1">BS_IS!S22/BS_IS!S$33</f>
        <v>0.88202896080327131</v>
      </c>
      <c r="T23" s="1200">
        <f ca="1">BS_IS!T22/BS_IS!T$33</f>
        <v>0.8577104665166948</v>
      </c>
      <c r="U23" s="1200">
        <f ca="1">BS_IS!U22/BS_IS!U$33</f>
        <v>0.78936290026245615</v>
      </c>
      <c r="V23" s="1200">
        <f ca="1">BS_IS!V22/BS_IS!V$33</f>
        <v>0.56534222899816722</v>
      </c>
      <c r="W23" s="1200">
        <f ca="1">BS_IS!W22/BS_IS!W$33</f>
        <v>0.25144844792061466</v>
      </c>
      <c r="X23" s="1200">
        <f ca="1">BS_IS!X22/BS_IS!X$33</f>
        <v>8.921528457402148E-16</v>
      </c>
      <c r="Y23" s="1200">
        <f ca="1">BS_IS!Y22/BS_IS!Y$33</f>
        <v>6.7099282253754689E-16</v>
      </c>
      <c r="Z23" s="1200">
        <f ca="1">BS_IS!Z22/BS_IS!Z$33</f>
        <v>6.0621966340552385E-16</v>
      </c>
      <c r="AA23" s="1200">
        <f ca="1">BS_IS!AA22/BS_IS!AA$33</f>
        <v>6.0621966340552385E-16</v>
      </c>
      <c r="AB23" s="1200">
        <f ca="1">BS_IS!AB22/BS_IS!AB$33</f>
        <v>1.5502177512399734E-15</v>
      </c>
    </row>
    <row r="24" spans="1:28">
      <c r="A24" s="1216"/>
      <c r="B24" s="39" t="s">
        <v>9</v>
      </c>
      <c r="G24" s="1218">
        <f ca="1">BS_IS!G23/BS_IS!G$33</f>
        <v>0</v>
      </c>
      <c r="H24" s="1218">
        <f ca="1">BS_IS!H23/BS_IS!H$33</f>
        <v>0</v>
      </c>
      <c r="I24" s="1218">
        <f ca="1">BS_IS!I23/BS_IS!I$33</f>
        <v>0.16904540250888223</v>
      </c>
      <c r="J24" s="1218">
        <f ca="1">BS_IS!J23/BS_IS!J$33</f>
        <v>0.17659217530639851</v>
      </c>
      <c r="K24" s="1218">
        <f ca="1">BS_IS!K23/BS_IS!K$33</f>
        <v>0.18613845331182546</v>
      </c>
      <c r="L24" s="1218">
        <f ca="1">BS_IS!L23/BS_IS!L$33</f>
        <v>0.1987827762612219</v>
      </c>
      <c r="M24" s="1218">
        <f ca="1">BS_IS!M23/BS_IS!M$33</f>
        <v>0.21036162578498493</v>
      </c>
      <c r="N24" s="1218">
        <f ca="1">BS_IS!N23/BS_IS!N$33</f>
        <v>0.22430318165212509</v>
      </c>
      <c r="O24" s="1218">
        <f ca="1">BS_IS!O23/BS_IS!O$33</f>
        <v>0.24080765199020204</v>
      </c>
      <c r="P24" s="1218">
        <f ca="1">BS_IS!P23/BS_IS!P$33</f>
        <v>0.25879693148276978</v>
      </c>
      <c r="Q24" s="1218">
        <f ca="1">BS_IS!Q23/BS_IS!Q$33</f>
        <v>0.25994975787554775</v>
      </c>
      <c r="R24" s="1218">
        <f ca="1">BS_IS!R23/BS_IS!R$33</f>
        <v>0.23597957417299562</v>
      </c>
      <c r="S24" s="1218">
        <f ca="1">BS_IS!S23/BS_IS!S$33</f>
        <v>0.19167429831801788</v>
      </c>
      <c r="T24" s="1218">
        <f ca="1">BS_IS!T23/BS_IS!T$33</f>
        <v>0.12106810563402363</v>
      </c>
      <c r="U24" s="1218">
        <f ca="1">BS_IS!U23/BS_IS!U$33</f>
        <v>-1.6240697066390192E-16</v>
      </c>
      <c r="V24" s="1218">
        <f ca="1">BS_IS!V23/BS_IS!V$33</f>
        <v>-1.8150088241116702E-16</v>
      </c>
      <c r="W24" s="1218">
        <f ca="1">BS_IS!W23/BS_IS!W$33</f>
        <v>-1.9244229555481998E-16</v>
      </c>
      <c r="X24" s="1218">
        <f ca="1">BS_IS!X23/BS_IS!X$33</f>
        <v>-1.7843056914804294E-16</v>
      </c>
      <c r="Y24" s="1218">
        <f ca="1">BS_IS!Y23/BS_IS!Y$33</f>
        <v>-1.3419856450750938E-16</v>
      </c>
      <c r="Z24" s="1218">
        <f ca="1">BS_IS!Z23/BS_IS!Z$33</f>
        <v>-1.2124393268110477E-16</v>
      </c>
      <c r="AA24" s="1218">
        <f ca="1">BS_IS!AA23/BS_IS!AA$33</f>
        <v>-1.2124393268110477E-16</v>
      </c>
      <c r="AB24" s="1218">
        <f ca="1">BS_IS!AB23/BS_IS!AB$33</f>
        <v>-3.100435502479947E-16</v>
      </c>
    </row>
    <row r="25" spans="1:28">
      <c r="A25" s="1216"/>
      <c r="C25" s="39" t="s">
        <v>403</v>
      </c>
      <c r="G25" s="1200">
        <f ca="1">BS_IS!G24/BS_IS!G$33</f>
        <v>0</v>
      </c>
      <c r="H25" s="1200">
        <f ca="1">BS_IS!H24/BS_IS!H$33</f>
        <v>0.48303160789185812</v>
      </c>
      <c r="I25" s="1200">
        <f ca="1">BS_IS!I24/BS_IS!I$33</f>
        <v>0.76629171651661343</v>
      </c>
      <c r="J25" s="1200">
        <f ca="1">BS_IS!J24/BS_IS!J$33</f>
        <v>0.80050163524460616</v>
      </c>
      <c r="K25" s="1200">
        <f ca="1">BS_IS!K24/BS_IS!K$33</f>
        <v>0.86428769058606536</v>
      </c>
      <c r="L25" s="1200">
        <f ca="1">BS_IS!L24/BS_IS!L$33</f>
        <v>0.94393463780323228</v>
      </c>
      <c r="M25" s="1200">
        <f ca="1">BS_IS!M24/BS_IS!M$33</f>
        <v>0.98988646149446147</v>
      </c>
      <c r="N25" s="1200">
        <f ca="1">BS_IS!N24/BS_IS!N$33</f>
        <v>1.0330490155735204</v>
      </c>
      <c r="O25" s="1200">
        <f ca="1">BS_IS!O24/BS_IS!O$33</f>
        <v>1.0764922092830576</v>
      </c>
      <c r="P25" s="1200">
        <f ca="1">BS_IS!P24/BS_IS!P$33</f>
        <v>1.1163573645196871</v>
      </c>
      <c r="Q25" s="1200">
        <f ca="1">BS_IS!Q24/BS_IS!Q$33</f>
        <v>1.13144831404279</v>
      </c>
      <c r="R25" s="1200">
        <f ca="1">BS_IS!R24/BS_IS!R$33</f>
        <v>1.1177309681271055</v>
      </c>
      <c r="S25" s="1200">
        <f ca="1">BS_IS!S24/BS_IS!S$33</f>
        <v>1.0737032591212892</v>
      </c>
      <c r="T25" s="1200">
        <f ca="1">BS_IS!T24/BS_IS!T$33</f>
        <v>0.97877857215071851</v>
      </c>
      <c r="U25" s="1200">
        <f ca="1">BS_IS!U24/BS_IS!U$33</f>
        <v>0.78936290026245592</v>
      </c>
      <c r="V25" s="1200">
        <f ca="1">BS_IS!V24/BS_IS!V$33</f>
        <v>0.56534222899816711</v>
      </c>
      <c r="W25" s="1200">
        <f ca="1">BS_IS!W24/BS_IS!W$33</f>
        <v>0.25144844792061444</v>
      </c>
      <c r="X25" s="1200">
        <f ca="1">BS_IS!X24/BS_IS!X$33</f>
        <v>7.1372227659217174E-16</v>
      </c>
      <c r="Y25" s="1200">
        <f ca="1">BS_IS!Y24/BS_IS!Y$33</f>
        <v>5.3679425803003753E-16</v>
      </c>
      <c r="Z25" s="1200">
        <f ca="1">BS_IS!Z24/BS_IS!Z$33</f>
        <v>4.8497573072441908E-16</v>
      </c>
      <c r="AA25" s="1200">
        <f ca="1">BS_IS!AA24/BS_IS!AA$33</f>
        <v>4.8497573072441908E-16</v>
      </c>
      <c r="AB25" s="1200">
        <f ca="1">BS_IS!AB24/BS_IS!AB$33</f>
        <v>1.2401742009919788E-15</v>
      </c>
    </row>
    <row r="26" spans="1:28">
      <c r="A26" s="1216"/>
    </row>
    <row r="27" spans="1:28">
      <c r="A27" s="1222" t="s">
        <v>48</v>
      </c>
      <c r="G27" s="1200">
        <f ca="1">BS_IS!G26/BS_IS!G$33</f>
        <v>0</v>
      </c>
      <c r="H27" s="1200">
        <f ca="1">BS_IS!H26/BS_IS!H$33</f>
        <v>0</v>
      </c>
      <c r="I27" s="1200">
        <f ca="1">BS_IS!I26/BS_IS!I$33</f>
        <v>0</v>
      </c>
      <c r="J27" s="1200">
        <f ca="1">BS_IS!J26/BS_IS!J$33</f>
        <v>0</v>
      </c>
      <c r="K27" s="1200">
        <f ca="1">BS_IS!K26/BS_IS!K$33</f>
        <v>0</v>
      </c>
      <c r="L27" s="1200">
        <f ca="1">BS_IS!L26/BS_IS!L$33</f>
        <v>0</v>
      </c>
      <c r="M27" s="1200">
        <f ca="1">BS_IS!M26/BS_IS!M$33</f>
        <v>0</v>
      </c>
      <c r="N27" s="1200">
        <f ca="1">BS_IS!N26/BS_IS!N$33</f>
        <v>0</v>
      </c>
      <c r="O27" s="1200">
        <f ca="1">BS_IS!O26/BS_IS!O$33</f>
        <v>0</v>
      </c>
      <c r="P27" s="1200">
        <f ca="1">BS_IS!P26/BS_IS!P$33</f>
        <v>0</v>
      </c>
      <c r="Q27" s="1200">
        <f ca="1">BS_IS!Q26/BS_IS!Q$33</f>
        <v>0</v>
      </c>
      <c r="R27" s="1200">
        <f ca="1">BS_IS!R26/BS_IS!R$33</f>
        <v>0</v>
      </c>
      <c r="S27" s="1200">
        <f ca="1">BS_IS!S26/BS_IS!S$33</f>
        <v>0</v>
      </c>
      <c r="T27" s="1200">
        <f ca="1">BS_IS!T26/BS_IS!T$33</f>
        <v>0</v>
      </c>
      <c r="U27" s="1200">
        <f ca="1">BS_IS!U26/BS_IS!U$33</f>
        <v>0</v>
      </c>
      <c r="V27" s="1200">
        <f ca="1">BS_IS!V26/BS_IS!V$33</f>
        <v>0</v>
      </c>
      <c r="W27" s="1200">
        <f ca="1">BS_IS!W26/BS_IS!W$33</f>
        <v>0</v>
      </c>
      <c r="X27" s="1200">
        <f ca="1">BS_IS!X26/BS_IS!X$33</f>
        <v>0</v>
      </c>
      <c r="Y27" s="1200">
        <f ca="1">BS_IS!Y26/BS_IS!Y$33</f>
        <v>0</v>
      </c>
      <c r="Z27" s="1200">
        <f ca="1">BS_IS!Z26/BS_IS!Z$33</f>
        <v>0</v>
      </c>
      <c r="AA27" s="1200">
        <f ca="1">BS_IS!AA26/BS_IS!AA$33</f>
        <v>0</v>
      </c>
      <c r="AB27" s="1200">
        <f ca="1">BS_IS!AB26/BS_IS!AB$33</f>
        <v>0</v>
      </c>
    </row>
    <row r="28" spans="1:28">
      <c r="A28" s="1216"/>
      <c r="B28" s="39" t="s">
        <v>49</v>
      </c>
      <c r="G28" s="1200">
        <f ca="1">BS_IS!G27/BS_IS!G$33</f>
        <v>1</v>
      </c>
      <c r="H28" s="1200">
        <f ca="1">BS_IS!H27/BS_IS!H$33</f>
        <v>0.51696839210814183</v>
      </c>
      <c r="I28" s="1200">
        <f ca="1">BS_IS!I27/BS_IS!I$33</f>
        <v>0.23370828348338654</v>
      </c>
      <c r="J28" s="1200">
        <f ca="1">BS_IS!J27/BS_IS!J$33</f>
        <v>0.2393474646524065</v>
      </c>
      <c r="K28" s="1200">
        <f ca="1">BS_IS!K27/BS_IS!K$33</f>
        <v>0.26411658796344711</v>
      </c>
      <c r="L28" s="1200">
        <f ca="1">BS_IS!L27/BS_IS!L$33</f>
        <v>0.29790246496945805</v>
      </c>
      <c r="M28" s="1200">
        <f ca="1">BS_IS!M27/BS_IS!M$33</f>
        <v>0.33670819865505225</v>
      </c>
      <c r="N28" s="1200">
        <f ca="1">BS_IS!N27/BS_IS!N$33</f>
        <v>0.38905214640950375</v>
      </c>
      <c r="O28" s="1200">
        <f ca="1">BS_IS!O27/BS_IS!O$33</f>
        <v>0.46145601379029866</v>
      </c>
      <c r="P28" s="1200">
        <f ca="1">BS_IS!P27/BS_IS!P$33</f>
        <v>0.56283777104001098</v>
      </c>
      <c r="Q28" s="1200">
        <f ca="1">BS_IS!Q27/BS_IS!Q$33</f>
        <v>0.66748812711964511</v>
      </c>
      <c r="R28" s="1200">
        <f ca="1">BS_IS!R27/BS_IS!R$33</f>
        <v>0.76211490105647417</v>
      </c>
      <c r="S28" s="1200">
        <f ca="1">BS_IS!S27/BS_IS!S$33</f>
        <v>0.87475089036193643</v>
      </c>
      <c r="T28" s="1200">
        <f ca="1">BS_IS!T27/BS_IS!T$33</f>
        <v>1.0396597851763876</v>
      </c>
      <c r="U28" s="1200">
        <f ca="1">BS_IS!U27/BS_IS!U$33</f>
        <v>1.3004469220475507</v>
      </c>
      <c r="V28" s="1200">
        <f ca="1">BS_IS!V27/BS_IS!V$33</f>
        <v>1.4533382583003829</v>
      </c>
      <c r="W28" s="1200">
        <f ca="1">BS_IS!W27/BS_IS!W$33</f>
        <v>1.5409498120862126</v>
      </c>
      <c r="X28" s="1200">
        <f ca="1">BS_IS!X27/BS_IS!X$33</f>
        <v>1.42875323330774</v>
      </c>
      <c r="Y28" s="1200">
        <f ca="1">BS_IS!Y27/BS_IS!Y$33</f>
        <v>1.0745727812271808</v>
      </c>
      <c r="Z28" s="1200">
        <f ca="1">BS_IS!Z27/BS_IS!Z$33</f>
        <v>0.97084071223999902</v>
      </c>
      <c r="AA28" s="1200">
        <f ca="1">BS_IS!AA27/BS_IS!AA$33</f>
        <v>0.9708407122399989</v>
      </c>
      <c r="AB28" s="1200">
        <f ca="1">BS_IS!AB27/BS_IS!AB$33</f>
        <v>2.4826223835866283</v>
      </c>
    </row>
    <row r="29" spans="1:28">
      <c r="A29" s="1216"/>
      <c r="B29" s="39" t="s">
        <v>525</v>
      </c>
      <c r="G29" s="1200">
        <f ca="1">BS_IS!G28/BS_IS!G$33</f>
        <v>0</v>
      </c>
      <c r="H29" s="1200">
        <f ca="1">BS_IS!H28/BS_IS!H$33</f>
        <v>0</v>
      </c>
      <c r="I29" s="1200">
        <f ca="1">BS_IS!I28/BS_IS!I$33</f>
        <v>0</v>
      </c>
      <c r="J29" s="1200">
        <f ca="1">BS_IS!J28/BS_IS!J$33</f>
        <v>0</v>
      </c>
      <c r="K29" s="1200">
        <f ca="1">BS_IS!K28/BS_IS!K$33</f>
        <v>0</v>
      </c>
      <c r="L29" s="1200">
        <f ca="1">BS_IS!L28/BS_IS!L$33</f>
        <v>0</v>
      </c>
      <c r="M29" s="1200">
        <f ca="1">BS_IS!M28/BS_IS!M$33</f>
        <v>0</v>
      </c>
      <c r="N29" s="1200">
        <f ca="1">BS_IS!N28/BS_IS!N$33</f>
        <v>0</v>
      </c>
      <c r="O29" s="1200">
        <f ca="1">BS_IS!O28/BS_IS!O$33</f>
        <v>0</v>
      </c>
      <c r="P29" s="1200">
        <f ca="1">BS_IS!P28/BS_IS!P$33</f>
        <v>0</v>
      </c>
      <c r="Q29" s="1200">
        <f ca="1">BS_IS!Q28/BS_IS!Q$33</f>
        <v>1.098518716742395E-3</v>
      </c>
      <c r="R29" s="1200">
        <f ca="1">BS_IS!R28/BS_IS!R$33</f>
        <v>3.6858401602555633E-3</v>
      </c>
      <c r="S29" s="1200">
        <f ca="1">BS_IS!S28/BS_IS!S$33</f>
        <v>4.430098604054797E-3</v>
      </c>
      <c r="T29" s="1200">
        <f ca="1">BS_IS!T28/BS_IS!T$33</f>
        <v>9.2750190675401738E-3</v>
      </c>
      <c r="U29" s="1200">
        <f ca="1">BS_IS!U28/BS_IS!U$33</f>
        <v>1.3030377419268309E-2</v>
      </c>
      <c r="V29" s="1200">
        <f ca="1">BS_IS!V28/BS_IS!V$33</f>
        <v>2.1479247378112975E-2</v>
      </c>
      <c r="W29" s="1200">
        <f ca="1">BS_IS!W28/BS_IS!W$33</f>
        <v>2.3508485334970068E-2</v>
      </c>
      <c r="X29" s="1200">
        <f ca="1">BS_IS!X28/BS_IS!X$33</f>
        <v>2.1115899182606427E-2</v>
      </c>
      <c r="Y29" s="1200">
        <f ca="1">BS_IS!Y28/BS_IS!Y$33</f>
        <v>1.6393511502257707E-2</v>
      </c>
      <c r="Z29" s="1200">
        <f ca="1">BS_IS!Z28/BS_IS!Z$33</f>
        <v>2.9159287760000881E-2</v>
      </c>
      <c r="AA29" s="1200">
        <f ca="1">BS_IS!AA28/BS_IS!AA$33</f>
        <v>2.9159287760000877E-2</v>
      </c>
      <c r="AB29" s="1200">
        <f ca="1">BS_IS!AB28/BS_IS!AB$33</f>
        <v>7.4565785684239078E-2</v>
      </c>
    </row>
    <row r="30" spans="1:28">
      <c r="A30" s="1216"/>
      <c r="B30" s="39" t="s">
        <v>411</v>
      </c>
      <c r="G30" s="1200">
        <f ca="1">BS_IS!G29/BS_IS!G$33</f>
        <v>0</v>
      </c>
      <c r="H30" s="1200">
        <f ca="1">BS_IS!H29/BS_IS!H$33</f>
        <v>0</v>
      </c>
      <c r="I30" s="1200">
        <f ca="1">BS_IS!I29/BS_IS!I$33</f>
        <v>0</v>
      </c>
      <c r="J30" s="1200">
        <f ca="1">BS_IS!J29/BS_IS!J$33</f>
        <v>-3.9849099897012692E-2</v>
      </c>
      <c r="K30" s="1200">
        <f ca="1">BS_IS!K29/BS_IS!K$33</f>
        <v>-0.12840427854951256</v>
      </c>
      <c r="L30" s="1200">
        <f ca="1">BS_IS!L29/BS_IS!L$33</f>
        <v>-0.24183710277269038</v>
      </c>
      <c r="M30" s="1200">
        <f ca="1">BS_IS!M29/BS_IS!M$33</f>
        <v>-0.32659466014951366</v>
      </c>
      <c r="N30" s="1200">
        <f ca="1">BS_IS!N29/BS_IS!N$33</f>
        <v>-0.42210116198302394</v>
      </c>
      <c r="O30" s="1200">
        <f ca="1">BS_IS!O29/BS_IS!O$33</f>
        <v>-0.53794822307335621</v>
      </c>
      <c r="P30" s="1200">
        <f ca="1">BS_IS!P29/BS_IS!P$33</f>
        <v>-0.67919513555969824</v>
      </c>
      <c r="Q30" s="1200">
        <f ca="1">BS_IS!Q29/BS_IS!Q$33</f>
        <v>-0.8000349598791775</v>
      </c>
      <c r="R30" s="1200">
        <f ca="1">BS_IS!R29/BS_IS!R$33</f>
        <v>-0.88353170934383529</v>
      </c>
      <c r="S30" s="1200">
        <f ca="1">BS_IS!S29/BS_IS!S$33</f>
        <v>-0.95288424808728034</v>
      </c>
      <c r="T30" s="1200">
        <f ca="1">BS_IS!T29/BS_IS!T$33</f>
        <v>-1.0277133763946462</v>
      </c>
      <c r="U30" s="1200">
        <f ca="1">BS_IS!U29/BS_IS!U$33</f>
        <v>-1.1028401997292749</v>
      </c>
      <c r="V30" s="1200">
        <f ca="1">BS_IS!V29/BS_IS!V$33</f>
        <v>-1.0401597346766627</v>
      </c>
      <c r="W30" s="1200">
        <f ca="1">BS_IS!W29/BS_IS!W$33</f>
        <v>-0.8159067453417973</v>
      </c>
      <c r="X30" s="1200">
        <f ca="1">BS_IS!X29/BS_IS!X$33</f>
        <v>-0.44986913249034699</v>
      </c>
      <c r="Y30" s="1200">
        <f ca="1">BS_IS!Y29/BS_IS!Y$33</f>
        <v>-9.0966292729439152E-2</v>
      </c>
      <c r="Z30" s="1200">
        <f ca="1">BS_IS!Z29/BS_IS!Z$33</f>
        <v>0.13832019342156557</v>
      </c>
      <c r="AA30" s="1200">
        <f ca="1">BS_IS!AA29/BS_IS!AA$33</f>
        <v>0.39098658459745589</v>
      </c>
      <c r="AB30" s="1200">
        <f ca="1">BS_IS!AB29/BS_IS!AB$33</f>
        <v>1.190329474189346</v>
      </c>
    </row>
    <row r="31" spans="1:28">
      <c r="A31" s="1216"/>
      <c r="B31" s="39" t="s">
        <v>1041</v>
      </c>
      <c r="G31" s="1218">
        <f ca="1">BS_IS!G30/BS_IS!G$33</f>
        <v>0</v>
      </c>
      <c r="H31" s="1218">
        <f ca="1">BS_IS!H30/BS_IS!H$33</f>
        <v>0</v>
      </c>
      <c r="I31" s="1218">
        <f ca="1">BS_IS!I30/BS_IS!I$33</f>
        <v>0</v>
      </c>
      <c r="J31" s="1218">
        <f ca="1">BS_IS!J30/BS_IS!J$33</f>
        <v>0</v>
      </c>
      <c r="K31" s="1218">
        <f ca="1">BS_IS!K30/BS_IS!K$33</f>
        <v>0</v>
      </c>
      <c r="L31" s="1218">
        <f ca="1">BS_IS!L30/BS_IS!L$33</f>
        <v>0</v>
      </c>
      <c r="M31" s="1218">
        <f ca="1">BS_IS!M30/BS_IS!M$33</f>
        <v>0</v>
      </c>
      <c r="N31" s="1218">
        <f ca="1">BS_IS!N30/BS_IS!N$33</f>
        <v>0</v>
      </c>
      <c r="O31" s="1218">
        <f ca="1">BS_IS!O30/BS_IS!O$33</f>
        <v>0</v>
      </c>
      <c r="P31" s="1218">
        <f ca="1">BS_IS!P30/BS_IS!P$33</f>
        <v>0</v>
      </c>
      <c r="Q31" s="1218">
        <f ca="1">BS_IS!Q30/BS_IS!Q$33</f>
        <v>0</v>
      </c>
      <c r="R31" s="1218">
        <f ca="1">BS_IS!R30/BS_IS!R$33</f>
        <v>-2.3794276083087144E-17</v>
      </c>
      <c r="S31" s="1218">
        <f ca="1">BS_IS!S30/BS_IS!S$33</f>
        <v>-1.3655463343089683E-17</v>
      </c>
      <c r="T31" s="1218">
        <f ca="1">BS_IS!T30/BS_IS!T$33</f>
        <v>-4.8689414010952873E-17</v>
      </c>
      <c r="U31" s="1218">
        <f ca="1">BS_IS!U30/BS_IS!U$33</f>
        <v>-1.0150435666493871E-16</v>
      </c>
      <c r="V31" s="1218">
        <f ca="1">BS_IS!V30/BS_IS!V$33</f>
        <v>-1.5881327210977116E-16</v>
      </c>
      <c r="W31" s="1218">
        <f ca="1">BS_IS!W30/BS_IS!W$33</f>
        <v>-7.2165860833057494E-17</v>
      </c>
      <c r="X31" s="1218">
        <f ca="1">BS_IS!X30/BS_IS!X$33</f>
        <v>-6.6911463430516098E-17</v>
      </c>
      <c r="Y31" s="1218">
        <f ca="1">BS_IS!Y30/BS_IS!Y$33</f>
        <v>-5.0324461690316015E-17</v>
      </c>
      <c r="Z31" s="1218">
        <f ca="1">BS_IS!Z30/BS_IS!Z$33</f>
        <v>-0.13832019342156587</v>
      </c>
      <c r="AA31" s="1218">
        <f ca="1">BS_IS!AA30/BS_IS!AA$33</f>
        <v>-0.39098658459745622</v>
      </c>
      <c r="AB31" s="1218">
        <f ca="1">BS_IS!AB30/BS_IS!AB$33</f>
        <v>-2.7475176434602151</v>
      </c>
    </row>
    <row r="32" spans="1:28">
      <c r="A32" s="1216"/>
      <c r="B32" s="39" t="s">
        <v>50</v>
      </c>
      <c r="G32" s="1200">
        <f ca="1">BS_IS!G31/BS_IS!G$33</f>
        <v>1</v>
      </c>
      <c r="H32" s="1200">
        <f ca="1">BS_IS!H31/BS_IS!H$33</f>
        <v>0.51696839210814183</v>
      </c>
      <c r="I32" s="1200">
        <f ca="1">BS_IS!I31/BS_IS!I$33</f>
        <v>0.23370828348338654</v>
      </c>
      <c r="J32" s="1200">
        <f ca="1">BS_IS!J31/BS_IS!J$33</f>
        <v>0.19949836475539379</v>
      </c>
      <c r="K32" s="1200">
        <f ca="1">BS_IS!K31/BS_IS!K$33</f>
        <v>0.13571230941393458</v>
      </c>
      <c r="L32" s="1200">
        <f ca="1">BS_IS!L31/BS_IS!L$33</f>
        <v>5.6065362196767658E-2</v>
      </c>
      <c r="M32" s="1200">
        <f ca="1">BS_IS!M31/BS_IS!M$33</f>
        <v>1.0113538505538575E-2</v>
      </c>
      <c r="N32" s="1200">
        <f ca="1">BS_IS!N31/BS_IS!N$33</f>
        <v>-3.304901557352017E-2</v>
      </c>
      <c r="O32" s="1200">
        <f ca="1">BS_IS!O31/BS_IS!O$33</f>
        <v>-7.6492209283057583E-2</v>
      </c>
      <c r="P32" s="1200">
        <f ca="1">BS_IS!P31/BS_IS!P$33</f>
        <v>-0.11635736451968721</v>
      </c>
      <c r="Q32" s="1200">
        <f ca="1">BS_IS!Q31/BS_IS!Q$33</f>
        <v>-0.13144831404278992</v>
      </c>
      <c r="R32" s="1200">
        <f ca="1">BS_IS!R31/BS_IS!R$33</f>
        <v>-0.11773096812710558</v>
      </c>
      <c r="S32" s="1200">
        <f ca="1">BS_IS!S31/BS_IS!S$33</f>
        <v>-7.3703259121289097E-2</v>
      </c>
      <c r="T32" s="1200">
        <f ca="1">BS_IS!T31/BS_IS!T$33</f>
        <v>2.1221427849281473E-2</v>
      </c>
      <c r="U32" s="1200">
        <f ca="1">BS_IS!U31/BS_IS!U$33</f>
        <v>0.21063709973754413</v>
      </c>
      <c r="V32" s="1200">
        <f ca="1">BS_IS!V31/BS_IS!V$33</f>
        <v>0.43465777100183289</v>
      </c>
      <c r="W32" s="1200">
        <f ca="1">BS_IS!W31/BS_IS!W$33</f>
        <v>0.74855155207938551</v>
      </c>
      <c r="X32" s="1200">
        <f ca="1">BS_IS!X31/BS_IS!X$33</f>
        <v>0.99999999999999933</v>
      </c>
      <c r="Y32" s="1200">
        <f ca="1">BS_IS!Y31/BS_IS!Y$33</f>
        <v>0.99999999999999944</v>
      </c>
      <c r="Z32" s="1200">
        <f ca="1">BS_IS!Z31/BS_IS!Z$33</f>
        <v>0.99999999999999956</v>
      </c>
      <c r="AA32" s="1200">
        <f ca="1">BS_IS!AA31/BS_IS!AA$33</f>
        <v>0.99999999999999956</v>
      </c>
      <c r="AB32" s="1200">
        <f ca="1">BS_IS!AB31/BS_IS!AB$33</f>
        <v>0.99999999999999878</v>
      </c>
    </row>
    <row r="33" spans="1:29">
      <c r="A33" s="1216"/>
    </row>
    <row r="34" spans="1:29" s="1221" customFormat="1" ht="13.8" thickBot="1">
      <c r="A34" s="1219" t="s">
        <v>51</v>
      </c>
      <c r="B34" s="1220"/>
      <c r="C34" s="1220"/>
      <c r="D34" s="1220"/>
      <c r="E34" s="1220"/>
      <c r="G34" s="1221">
        <f ca="1">BS_IS!G33/BS_IS!G$33</f>
        <v>1</v>
      </c>
      <c r="H34" s="1221">
        <f ca="1">BS_IS!H33/BS_IS!H$33</f>
        <v>1</v>
      </c>
      <c r="I34" s="1221">
        <f ca="1">BS_IS!I33/BS_IS!I$33</f>
        <v>1</v>
      </c>
      <c r="J34" s="1221">
        <f ca="1">BS_IS!J33/BS_IS!J$33</f>
        <v>1</v>
      </c>
      <c r="K34" s="1221">
        <f ca="1">BS_IS!K33/BS_IS!K$33</f>
        <v>1</v>
      </c>
      <c r="L34" s="1221">
        <f ca="1">BS_IS!L33/BS_IS!L$33</f>
        <v>1</v>
      </c>
      <c r="M34" s="1221">
        <f ca="1">BS_IS!M33/BS_IS!M$33</f>
        <v>1</v>
      </c>
      <c r="N34" s="1221">
        <f ca="1">BS_IS!N33/BS_IS!N$33</f>
        <v>1</v>
      </c>
      <c r="O34" s="1221">
        <f ca="1">BS_IS!O33/BS_IS!O$33</f>
        <v>1</v>
      </c>
      <c r="P34" s="1221">
        <f ca="1">BS_IS!P33/BS_IS!P$33</f>
        <v>1</v>
      </c>
      <c r="Q34" s="1221">
        <f ca="1">BS_IS!Q33/BS_IS!Q$33</f>
        <v>1</v>
      </c>
      <c r="R34" s="1221">
        <f ca="1">BS_IS!R33/BS_IS!R$33</f>
        <v>1</v>
      </c>
      <c r="S34" s="1221">
        <f ca="1">BS_IS!S33/BS_IS!S$33</f>
        <v>1</v>
      </c>
      <c r="T34" s="1221">
        <f ca="1">BS_IS!T33/BS_IS!T$33</f>
        <v>1</v>
      </c>
      <c r="U34" s="1221">
        <f ca="1">BS_IS!U33/BS_IS!U$33</f>
        <v>1</v>
      </c>
      <c r="V34" s="1221">
        <f ca="1">BS_IS!V33/BS_IS!V$33</f>
        <v>1</v>
      </c>
      <c r="W34" s="1221">
        <f ca="1">BS_IS!W33/BS_IS!W$33</f>
        <v>1</v>
      </c>
      <c r="X34" s="1221">
        <f ca="1">BS_IS!X33/BS_IS!X$33</f>
        <v>1</v>
      </c>
      <c r="Y34" s="1221">
        <f ca="1">BS_IS!Y33/BS_IS!Y$33</f>
        <v>1</v>
      </c>
      <c r="Z34" s="1221">
        <f ca="1">BS_IS!Z33/BS_IS!Z$33</f>
        <v>1</v>
      </c>
      <c r="AA34" s="1221">
        <f ca="1">BS_IS!AA33/BS_IS!AA$33</f>
        <v>1</v>
      </c>
      <c r="AB34" s="1221">
        <f ca="1">BS_IS!AB33/BS_IS!AB$33</f>
        <v>1</v>
      </c>
    </row>
    <row r="35" spans="1:29" ht="13.8" thickTop="1">
      <c r="A35" s="1216"/>
    </row>
    <row r="36" spans="1:29" s="1195" customFormat="1">
      <c r="A36" s="1223"/>
      <c r="B36" s="1224"/>
      <c r="C36" s="1224"/>
      <c r="D36" s="1224"/>
      <c r="E36" s="1224"/>
    </row>
    <row r="37" spans="1:29" s="1196" customFormat="1">
      <c r="A37" s="1233"/>
      <c r="B37" s="1223"/>
      <c r="C37" s="1223"/>
      <c r="D37" s="1223"/>
      <c r="E37" s="1223"/>
    </row>
    <row r="38" spans="1:29" s="24" customFormat="1" ht="13.8" thickBot="1">
      <c r="A38" s="879" t="s">
        <v>273</v>
      </c>
      <c r="B38" s="250"/>
      <c r="C38" s="250"/>
      <c r="D38" s="250"/>
      <c r="E38" s="250"/>
      <c r="F38" s="250"/>
      <c r="G38" s="324">
        <f>G$7</f>
        <v>1998</v>
      </c>
      <c r="H38" s="324">
        <f>H$7</f>
        <v>1999</v>
      </c>
      <c r="I38" s="324">
        <f t="shared" ref="I38:AC38" si="3">I$7</f>
        <v>2000</v>
      </c>
      <c r="J38" s="324">
        <f t="shared" si="3"/>
        <v>2001</v>
      </c>
      <c r="K38" s="324">
        <f t="shared" si="3"/>
        <v>2002</v>
      </c>
      <c r="L38" s="324">
        <f t="shared" si="3"/>
        <v>2003</v>
      </c>
      <c r="M38" s="324">
        <f t="shared" si="3"/>
        <v>2004</v>
      </c>
      <c r="N38" s="324">
        <f t="shared" si="3"/>
        <v>2005</v>
      </c>
      <c r="O38" s="324">
        <f t="shared" si="3"/>
        <v>2006</v>
      </c>
      <c r="P38" s="324">
        <f t="shared" si="3"/>
        <v>2007</v>
      </c>
      <c r="Q38" s="324">
        <f t="shared" si="3"/>
        <v>2008</v>
      </c>
      <c r="R38" s="324">
        <f t="shared" si="3"/>
        <v>2009</v>
      </c>
      <c r="S38" s="324">
        <f t="shared" si="3"/>
        <v>2010</v>
      </c>
      <c r="T38" s="324">
        <f t="shared" si="3"/>
        <v>2011</v>
      </c>
      <c r="U38" s="324">
        <f t="shared" si="3"/>
        <v>2012</v>
      </c>
      <c r="V38" s="324">
        <f t="shared" si="3"/>
        <v>2013</v>
      </c>
      <c r="W38" s="324">
        <f t="shared" si="3"/>
        <v>2014</v>
      </c>
      <c r="X38" s="324">
        <f t="shared" si="3"/>
        <v>2015</v>
      </c>
      <c r="Y38" s="324">
        <f t="shared" si="3"/>
        <v>2016</v>
      </c>
      <c r="Z38" s="324">
        <f t="shared" si="3"/>
        <v>2017</v>
      </c>
      <c r="AA38" s="324">
        <f t="shared" si="3"/>
        <v>2018</v>
      </c>
      <c r="AB38" s="324">
        <f t="shared" si="3"/>
        <v>2019</v>
      </c>
      <c r="AC38" s="497" t="str">
        <f t="shared" si="3"/>
        <v>Totals</v>
      </c>
    </row>
    <row r="39" spans="1:29" s="1196" customFormat="1">
      <c r="A39" s="1234" t="s">
        <v>52</v>
      </c>
      <c r="B39" s="1223"/>
      <c r="C39" s="1223"/>
      <c r="D39" s="1223"/>
      <c r="E39" s="1223"/>
      <c r="G39" s="1196" t="e">
        <f ca="1">BS_IS!G38/BS_IS!G$53</f>
        <v>#DIV/0!</v>
      </c>
      <c r="H39" s="1196" t="e">
        <f ca="1">BS_IS!H38/BS_IS!H$53</f>
        <v>#DIV/0!</v>
      </c>
      <c r="I39" s="1196" t="e">
        <f ca="1">BS_IS!I38/BS_IS!I$53</f>
        <v>#DIV/0!</v>
      </c>
      <c r="J39" s="1196">
        <f ca="1">BS_IS!J38/BS_IS!J$53</f>
        <v>-1.745187070934993</v>
      </c>
      <c r="K39" s="1196">
        <f ca="1">BS_IS!K38/BS_IS!K$53</f>
        <v>-1.5307883094133514</v>
      </c>
      <c r="L39" s="1196">
        <f ca="1">BS_IS!L38/BS_IS!L$53</f>
        <v>-1.5488953216631463</v>
      </c>
      <c r="M39" s="1196">
        <f ca="1">BS_IS!M38/BS_IS!M$53</f>
        <v>-3.2918222711910721</v>
      </c>
      <c r="N39" s="1196">
        <f ca="1">BS_IS!N38/BS_IS!N$53</f>
        <v>-4.6457552939357969</v>
      </c>
      <c r="O39" s="1196">
        <f ca="1">BS_IS!O38/BS_IS!O$53</f>
        <v>-6.7962429119792063</v>
      </c>
      <c r="P39" s="1196">
        <f ca="1">BS_IS!P38/BS_IS!P$53</f>
        <v>-13.775088022695416</v>
      </c>
      <c r="Q39" s="1196">
        <f ca="1">BS_IS!Q38/BS_IS!Q$53</f>
        <v>71.237187739817614</v>
      </c>
      <c r="R39" s="1196">
        <f ca="1">BS_IS!R38/BS_IS!R$53</f>
        <v>15.152784908981454</v>
      </c>
      <c r="S39" s="1196">
        <f ca="1">BS_IS!S38/BS_IS!S$53</f>
        <v>8.7199571937829372</v>
      </c>
      <c r="T39" s="1196">
        <f ca="1">BS_IS!T38/BS_IS!T$53</f>
        <v>6.2093610443043401</v>
      </c>
      <c r="U39" s="1196">
        <f ca="1">BS_IS!U38/BS_IS!U$53</f>
        <v>4.5815911069298343</v>
      </c>
      <c r="V39" s="1196">
        <f ca="1">BS_IS!V38/BS_IS!V$53</f>
        <v>4.9715222753858903</v>
      </c>
      <c r="W39" s="1196">
        <f ca="1">BS_IS!W38/BS_IS!W$53</f>
        <v>3.6222556491371312</v>
      </c>
      <c r="X39" s="1196">
        <f ca="1">BS_IS!X38/BS_IS!X$53</f>
        <v>3.2232386953059717</v>
      </c>
      <c r="Y39" s="1196">
        <f ca="1">BS_IS!Y38/BS_IS!Y$53</f>
        <v>3.0910532896762946</v>
      </c>
      <c r="Z39" s="1196">
        <f ca="1">BS_IS!Z38/BS_IS!Z$53</f>
        <v>3.2071924222146855</v>
      </c>
      <c r="AA39" s="1196">
        <f ca="1">BS_IS!AA38/BS_IS!AA$53</f>
        <v>2.8741923609687405</v>
      </c>
      <c r="AB39" s="1196">
        <f ca="1">BS_IS!AB38/BS_IS!AB$53</f>
        <v>3.23284761262068</v>
      </c>
    </row>
    <row r="40" spans="1:29" s="1218" customFormat="1">
      <c r="A40" s="1216" t="s">
        <v>53</v>
      </c>
      <c r="B40" s="35"/>
      <c r="C40" s="35"/>
      <c r="D40" s="35"/>
      <c r="E40" s="35"/>
      <c r="G40" s="1218" t="e">
        <f ca="1">BS_IS!G39/BS_IS!G$53</f>
        <v>#DIV/0!</v>
      </c>
      <c r="H40" s="1218" t="e">
        <f ca="1">BS_IS!H39/BS_IS!H$53</f>
        <v>#DIV/0!</v>
      </c>
      <c r="I40" s="1218" t="e">
        <f ca="1">BS_IS!I39/BS_IS!I$53</f>
        <v>#DIV/0!</v>
      </c>
      <c r="J40" s="1218">
        <f ca="1">BS_IS!J39/BS_IS!J$53</f>
        <v>0.35588723078337098</v>
      </c>
      <c r="K40" s="1218">
        <f ca="1">BS_IS!K39/BS_IS!K$53</f>
        <v>0.23114577990389593</v>
      </c>
      <c r="L40" s="1218">
        <f ca="1">BS_IS!L39/BS_IS!L$53</f>
        <v>0.32849725235966465</v>
      </c>
      <c r="M40" s="1218">
        <f ca="1">BS_IS!M39/BS_IS!M$53</f>
        <v>0.58288672781377848</v>
      </c>
      <c r="N40" s="1218">
        <f ca="1">BS_IS!N39/BS_IS!N$53</f>
        <v>0.68565217030148662</v>
      </c>
      <c r="O40" s="1218">
        <f ca="1">BS_IS!O39/BS_IS!O$53</f>
        <v>1.0434282801045185</v>
      </c>
      <c r="P40" s="1218">
        <f ca="1">BS_IS!P39/BS_IS!P$53</f>
        <v>2.0549278891860712</v>
      </c>
      <c r="Q40" s="1218">
        <f ca="1">BS_IS!Q39/BS_IS!Q$53</f>
        <v>-11.543679594812465</v>
      </c>
      <c r="R40" s="1218">
        <f ca="1">BS_IS!R39/BS_IS!R$53</f>
        <v>-2.2347481651459433</v>
      </c>
      <c r="S40" s="1218">
        <f ca="1">BS_IS!S39/BS_IS!S$53</f>
        <v>-1.3285414184570712</v>
      </c>
      <c r="T40" s="1218">
        <f ca="1">BS_IS!T39/BS_IS!T$53</f>
        <v>-0.91553375926200165</v>
      </c>
      <c r="U40" s="1218">
        <f ca="1">BS_IS!U39/BS_IS!U$53</f>
        <v>-0.67365813073166247</v>
      </c>
      <c r="V40" s="1218">
        <f ca="1">BS_IS!V39/BS_IS!V$53</f>
        <v>-1.0609055800969696</v>
      </c>
      <c r="W40" s="1218">
        <f ca="1">BS_IS!W39/BS_IS!W$53</f>
        <v>-0.55564845194477075</v>
      </c>
      <c r="X40" s="1218">
        <f ca="1">BS_IS!X39/BS_IS!X$53</f>
        <v>-0.47527213143837682</v>
      </c>
      <c r="Y40" s="1218">
        <f ca="1">BS_IS!Y39/BS_IS!Y$53</f>
        <v>-0.45969274994610559</v>
      </c>
      <c r="Z40" s="1218">
        <f ca="1">BS_IS!Z39/BS_IS!Z$53</f>
        <v>-0.47304590790788631</v>
      </c>
      <c r="AA40" s="1218">
        <f ca="1">BS_IS!AA39/BS_IS!AA$53</f>
        <v>-0.42091371029416602</v>
      </c>
      <c r="AB40" s="1218">
        <f ca="1">BS_IS!AB39/BS_IS!AB$53</f>
        <v>-0.48891972731417604</v>
      </c>
    </row>
    <row r="41" spans="1:29">
      <c r="A41" s="1216"/>
      <c r="B41" s="39" t="s">
        <v>54</v>
      </c>
      <c r="G41" s="1200" t="e">
        <f ca="1">BS_IS!G40/BS_IS!G$53</f>
        <v>#DIV/0!</v>
      </c>
      <c r="H41" s="1200" t="e">
        <f ca="1">BS_IS!H40/BS_IS!H$53</f>
        <v>#DIV/0!</v>
      </c>
      <c r="I41" s="1200" t="e">
        <f ca="1">BS_IS!I40/BS_IS!I$53</f>
        <v>#DIV/0!</v>
      </c>
      <c r="J41" s="1200">
        <f ca="1">BS_IS!J40/BS_IS!J$53</f>
        <v>0.34481657535176474</v>
      </c>
      <c r="K41" s="1200">
        <f ca="1">BS_IS!K40/BS_IS!K$53</f>
        <v>0.42949857733296604</v>
      </c>
      <c r="L41" s="1200">
        <f ca="1">BS_IS!L40/BS_IS!L$53</f>
        <v>0.41362526459270182</v>
      </c>
      <c r="M41" s="1200">
        <f ca="1">BS_IS!M40/BS_IS!M$53</f>
        <v>8.7910896470284758E-2</v>
      </c>
      <c r="N41" s="1200">
        <f ca="1">BS_IS!N40/BS_IS!N$53</f>
        <v>0.21640839938590473</v>
      </c>
      <c r="O41" s="1200">
        <f ca="1">BS_IS!O40/BS_IS!O$53</f>
        <v>0.41375219659878654</v>
      </c>
      <c r="P41" s="1200">
        <f ca="1">BS_IS!P40/BS_IS!P$53</f>
        <v>1.0356205437541848</v>
      </c>
      <c r="Q41" s="1200">
        <f ca="1">BS_IS!Q40/BS_IS!Q$53</f>
        <v>-6.1883875501272012</v>
      </c>
      <c r="R41" s="1200">
        <f ca="1">BS_IS!R40/BS_IS!R$53</f>
        <v>-1.4781759555449627</v>
      </c>
      <c r="S41" s="1200">
        <f ca="1">BS_IS!S40/BS_IS!S$53</f>
        <v>-0.84805553566592962</v>
      </c>
      <c r="T41" s="1200">
        <f ca="1">BS_IS!T40/BS_IS!T$53</f>
        <v>-0.56727047674036291</v>
      </c>
      <c r="U41" s="1200">
        <f ca="1">BS_IS!U40/BS_IS!U$53</f>
        <v>-0.39556662715505242</v>
      </c>
      <c r="V41" s="1200">
        <f ca="1">BS_IS!V40/BS_IS!V$53</f>
        <v>-0.40846554923067258</v>
      </c>
      <c r="W41" s="1200">
        <f ca="1">BS_IS!W40/BS_IS!W$53</f>
        <v>-0.25266419143613761</v>
      </c>
      <c r="X41" s="1200">
        <f ca="1">BS_IS!X40/BS_IS!X$53</f>
        <v>-0.17265976363686064</v>
      </c>
      <c r="Y41" s="1200">
        <f ca="1">BS_IS!Y40/BS_IS!Y$53</f>
        <v>-9.2552617301002074E-2</v>
      </c>
      <c r="Z41" s="1200">
        <f ca="1">BS_IS!Z40/BS_IS!Z$53</f>
        <v>4.7389409025652609E-3</v>
      </c>
      <c r="AA41" s="1200">
        <f ca="1">BS_IS!AA40/BS_IS!AA$53</f>
        <v>6.4923739337424805E-2</v>
      </c>
      <c r="AB41" s="1200">
        <f ca="1">BS_IS!AB40/BS_IS!AB$53</f>
        <v>0.1205257321310875</v>
      </c>
    </row>
    <row r="42" spans="1:29">
      <c r="A42" s="1216"/>
    </row>
    <row r="43" spans="1:29">
      <c r="A43" s="1216" t="s">
        <v>55</v>
      </c>
      <c r="G43" s="1200" t="e">
        <f ca="1">BS_IS!G42/BS_IS!G$53</f>
        <v>#DIV/0!</v>
      </c>
      <c r="H43" s="1200" t="e">
        <f ca="1">BS_IS!H42/BS_IS!H$53</f>
        <v>#DIV/0!</v>
      </c>
      <c r="I43" s="1200" t="e">
        <f ca="1">BS_IS!I42/BS_IS!I$53</f>
        <v>#DIV/0!</v>
      </c>
      <c r="J43" s="1200">
        <f ca="1">BS_IS!J42/BS_IS!J$53</f>
        <v>0</v>
      </c>
      <c r="K43" s="1200">
        <f ca="1">BS_IS!K42/BS_IS!K$53</f>
        <v>0</v>
      </c>
      <c r="L43" s="1200">
        <f ca="1">BS_IS!L42/BS_IS!L$53</f>
        <v>0</v>
      </c>
      <c r="M43" s="1200">
        <f ca="1">BS_IS!M42/BS_IS!M$53</f>
        <v>0</v>
      </c>
      <c r="N43" s="1200">
        <f ca="1">BS_IS!N42/BS_IS!N$53</f>
        <v>0</v>
      </c>
      <c r="O43" s="1200">
        <f ca="1">BS_IS!O42/BS_IS!O$53</f>
        <v>0</v>
      </c>
      <c r="P43" s="1200">
        <f ca="1">BS_IS!P42/BS_IS!P$53</f>
        <v>0</v>
      </c>
      <c r="Q43" s="1200">
        <f ca="1">BS_IS!Q42/BS_IS!Q$53</f>
        <v>0</v>
      </c>
      <c r="R43" s="1200">
        <f ca="1">BS_IS!R42/BS_IS!R$53</f>
        <v>0</v>
      </c>
      <c r="S43" s="1200">
        <f ca="1">BS_IS!S42/BS_IS!S$53</f>
        <v>0</v>
      </c>
      <c r="T43" s="1200">
        <f ca="1">BS_IS!T42/BS_IS!T$53</f>
        <v>0</v>
      </c>
      <c r="U43" s="1200">
        <f ca="1">BS_IS!U42/BS_IS!U$53</f>
        <v>0</v>
      </c>
      <c r="V43" s="1200">
        <f ca="1">BS_IS!V42/BS_IS!V$53</f>
        <v>0</v>
      </c>
      <c r="W43" s="1200">
        <f ca="1">BS_IS!W42/BS_IS!W$53</f>
        <v>0</v>
      </c>
      <c r="X43" s="1200">
        <f ca="1">BS_IS!X42/BS_IS!X$53</f>
        <v>0</v>
      </c>
      <c r="Y43" s="1200">
        <f ca="1">BS_IS!Y42/BS_IS!Y$53</f>
        <v>0</v>
      </c>
      <c r="Z43" s="1200">
        <f ca="1">BS_IS!Z42/BS_IS!Z$53</f>
        <v>0</v>
      </c>
      <c r="AA43" s="1200">
        <f ca="1">BS_IS!AA42/BS_IS!AA$53</f>
        <v>0</v>
      </c>
      <c r="AB43" s="1200">
        <f ca="1">BS_IS!AB42/BS_IS!AB$53</f>
        <v>0</v>
      </c>
    </row>
    <row r="44" spans="1:29">
      <c r="A44" s="1216" t="s">
        <v>56</v>
      </c>
      <c r="G44" s="1200" t="e">
        <f ca="1">BS_IS!G43/BS_IS!G$53</f>
        <v>#DIV/0!</v>
      </c>
      <c r="H44" s="1200" t="e">
        <f ca="1">BS_IS!H43/BS_IS!H$53</f>
        <v>#DIV/0!</v>
      </c>
      <c r="I44" s="1200" t="e">
        <f ca="1">BS_IS!I43/BS_IS!I$53</f>
        <v>#DIV/0!</v>
      </c>
      <c r="J44" s="1200">
        <f ca="1">BS_IS!J43/BS_IS!J$53</f>
        <v>1.0860235975548742</v>
      </c>
      <c r="K44" s="1200">
        <f ca="1">BS_IS!K43/BS_IS!K$53</f>
        <v>0.67873793533056426</v>
      </c>
      <c r="L44" s="1200">
        <f ca="1">BS_IS!L43/BS_IS!L$53</f>
        <v>0.66631537426095233</v>
      </c>
      <c r="M44" s="1200">
        <f ca="1">BS_IS!M43/BS_IS!M$53</f>
        <v>1.3718380904749794</v>
      </c>
      <c r="N44" s="1200">
        <f ca="1">BS_IS!N43/BS_IS!N$53</f>
        <v>1.8870033384321925</v>
      </c>
      <c r="O44" s="1200">
        <f ca="1">BS_IS!O43/BS_IS!O$53</f>
        <v>2.6848318249067971</v>
      </c>
      <c r="P44" s="1200">
        <f ca="1">BS_IS!P43/BS_IS!P$53</f>
        <v>5.2958682298718704</v>
      </c>
      <c r="Q44" s="1200">
        <f ca="1">BS_IS!Q43/BS_IS!Q$53</f>
        <v>-26.597173325102013</v>
      </c>
      <c r="R44" s="1200">
        <f ca="1">BS_IS!R43/BS_IS!R$53</f>
        <v>-5.526631362573668</v>
      </c>
      <c r="S44" s="1200">
        <f ca="1">BS_IS!S43/BS_IS!S$53</f>
        <v>-3.0998711285524734</v>
      </c>
      <c r="T44" s="1200">
        <f ca="1">BS_IS!T43/BS_IS!T$53</f>
        <v>-2.1522891085007507</v>
      </c>
      <c r="U44" s="1200">
        <f ca="1">BS_IS!U43/BS_IS!U$53</f>
        <v>-1.5447229494623078</v>
      </c>
      <c r="V44" s="1200">
        <f ca="1">BS_IS!V43/BS_IS!V$53</f>
        <v>-1.6394885322923467</v>
      </c>
      <c r="W44" s="1200">
        <f ca="1">BS_IS!W43/BS_IS!W$53</f>
        <v>-1.1651504192454303</v>
      </c>
      <c r="X44" s="1200">
        <f ca="1">BS_IS!X43/BS_IS!X$53</f>
        <v>-1.0109990548728316</v>
      </c>
      <c r="Y44" s="1200">
        <f ca="1">BS_IS!Y43/BS_IS!Y$53</f>
        <v>-0.94249014267462794</v>
      </c>
      <c r="Z44" s="1200">
        <f ca="1">BS_IS!Z43/BS_IS!Z$53</f>
        <v>-0.95529899333072621</v>
      </c>
      <c r="AA44" s="1200">
        <f ca="1">BS_IS!AA43/BS_IS!AA$53</f>
        <v>-0.83370171591665931</v>
      </c>
      <c r="AB44" s="1200">
        <f ca="1">BS_IS!AB43/BS_IS!AB$53</f>
        <v>-0.94253463129529114</v>
      </c>
    </row>
    <row r="45" spans="1:29">
      <c r="A45" s="1216" t="s">
        <v>684</v>
      </c>
      <c r="G45" s="1218" t="e">
        <f ca="1">BS_IS!G44/BS_IS!G$53</f>
        <v>#DIV/0!</v>
      </c>
      <c r="H45" s="1218" t="e">
        <f ca="1">BS_IS!H44/BS_IS!H$53</f>
        <v>#DIV/0!</v>
      </c>
      <c r="I45" s="1218" t="e">
        <f ca="1">BS_IS!I44/BS_IS!I$53</f>
        <v>#DIV/0!</v>
      </c>
      <c r="J45" s="1218">
        <f ca="1">BS_IS!J44/BS_IS!J$53</f>
        <v>0.71841887534543192</v>
      </c>
      <c r="K45" s="1218">
        <f ca="1">BS_IS!K44/BS_IS!K$53</f>
        <v>0.89462098495272635</v>
      </c>
      <c r="L45" s="1218">
        <f ca="1">BS_IS!L44/BS_IS!L$53</f>
        <v>0.86272655649015884</v>
      </c>
      <c r="M45" s="1218">
        <f ca="1">BS_IS!M44/BS_IS!M$53</f>
        <v>1.7091931468959467</v>
      </c>
      <c r="N45" s="1218">
        <f ca="1">BS_IS!N44/BS_IS!N$53</f>
        <v>2.1635442757100587</v>
      </c>
      <c r="O45" s="1218">
        <f ca="1">BS_IS!O44/BS_IS!O$53</f>
        <v>2.7481107333004977</v>
      </c>
      <c r="P45" s="1218">
        <f ca="1">BS_IS!P44/BS_IS!P$53</f>
        <v>4.6746302245172986</v>
      </c>
      <c r="Q45" s="1218">
        <f ca="1">BS_IS!Q44/BS_IS!Q$53</f>
        <v>-19.598320704043672</v>
      </c>
      <c r="R45" s="1218">
        <f ca="1">BS_IS!R44/BS_IS!R$53</f>
        <v>-3.5580976031862623</v>
      </c>
      <c r="S45" s="1218">
        <f ca="1">BS_IS!S44/BS_IS!S$53</f>
        <v>-1.7618362784327526</v>
      </c>
      <c r="T45" s="1218">
        <f ca="1">BS_IS!T44/BS_IS!T$53</f>
        <v>-1.060876974181804</v>
      </c>
      <c r="U45" s="1218">
        <f ca="1">BS_IS!U44/BS_IS!U$53</f>
        <v>-0.60408000577546406</v>
      </c>
      <c r="V45" s="1218">
        <f ca="1">BS_IS!V44/BS_IS!V$53</f>
        <v>-0.4597394117273208</v>
      </c>
      <c r="W45" s="1218">
        <f ca="1">BS_IS!W44/BS_IS!W$53</f>
        <v>-0.1978102736864783</v>
      </c>
      <c r="X45" s="1218">
        <f ca="1">BS_IS!X44/BS_IS!X$53</f>
        <v>-5.2254725967135311E-2</v>
      </c>
      <c r="Y45" s="1218">
        <f ca="1">BS_IS!Y44/BS_IS!Y$53</f>
        <v>0</v>
      </c>
      <c r="Z45" s="1218">
        <f ca="1">BS_IS!Z44/BS_IS!Z$53</f>
        <v>0</v>
      </c>
      <c r="AA45" s="1218">
        <f ca="1">BS_IS!AA44/BS_IS!AA$53</f>
        <v>0</v>
      </c>
      <c r="AB45" s="1218">
        <f ca="1">BS_IS!AB44/BS_IS!AB$53</f>
        <v>0</v>
      </c>
    </row>
    <row r="46" spans="1:29">
      <c r="A46" s="1216"/>
      <c r="B46" s="39" t="s">
        <v>932</v>
      </c>
      <c r="G46" s="1200" t="e">
        <f ca="1">BS_IS!G45/BS_IS!G$53</f>
        <v>#DIV/0!</v>
      </c>
      <c r="H46" s="1200" t="e">
        <f ca="1">BS_IS!H45/BS_IS!H$53</f>
        <v>#DIV/0!</v>
      </c>
      <c r="I46" s="1200" t="e">
        <f ca="1">BS_IS!I45/BS_IS!I$53</f>
        <v>#DIV/0!</v>
      </c>
      <c r="J46" s="1200">
        <f ca="1">BS_IS!J45/BS_IS!J$53</f>
        <v>0.24004079189955133</v>
      </c>
      <c r="K46" s="1200">
        <f ca="1">BS_IS!K45/BS_IS!K$53</f>
        <v>0.29678503189319894</v>
      </c>
      <c r="L46" s="1200">
        <f ca="1">BS_IS!L45/BS_IS!L$53</f>
        <v>0.27773087395966845</v>
      </c>
      <c r="M46" s="1200">
        <f ca="1">BS_IS!M45/BS_IS!M$53</f>
        <v>0.53999340953608344</v>
      </c>
      <c r="N46" s="1200">
        <f ca="1">BS_IS!N45/BS_IS!N$53</f>
        <v>0.69314711010615404</v>
      </c>
      <c r="O46" s="1200">
        <f ca="1">BS_IS!O45/BS_IS!O$53</f>
        <v>0.90611987706860664</v>
      </c>
      <c r="P46" s="1200">
        <f ca="1">BS_IS!P45/BS_IS!P$53</f>
        <v>1.6081482948278223</v>
      </c>
      <c r="Q46" s="1200">
        <f ca="1">BS_IS!Q45/BS_IS!Q$53</f>
        <v>-7.0558154224001646</v>
      </c>
      <c r="R46" s="1200">
        <f ca="1">BS_IS!R45/BS_IS!R$53</f>
        <v>-1.2255680625969465</v>
      </c>
      <c r="S46" s="1200">
        <f ca="1">BS_IS!S45/BS_IS!S$53</f>
        <v>-0.53437651729601188</v>
      </c>
      <c r="T46" s="1200">
        <f ca="1">BS_IS!T45/BS_IS!T$53</f>
        <v>-0.25050466593556198</v>
      </c>
      <c r="U46" s="1200">
        <f ca="1">BS_IS!U45/BS_IS!U$53</f>
        <v>-8.168015363736654E-2</v>
      </c>
      <c r="V46" s="1200">
        <f ca="1">BS_IS!V45/BS_IS!V$53</f>
        <v>0</v>
      </c>
      <c r="W46" s="1200">
        <f ca="1">BS_IS!W45/BS_IS!W$53</f>
        <v>0</v>
      </c>
      <c r="X46" s="1200">
        <f ca="1">BS_IS!X45/BS_IS!X$53</f>
        <v>0</v>
      </c>
      <c r="Y46" s="1200">
        <f ca="1">BS_IS!Y45/BS_IS!Y$53</f>
        <v>0</v>
      </c>
      <c r="Z46" s="1200">
        <f ca="1">BS_IS!Z45/BS_IS!Z$53</f>
        <v>0</v>
      </c>
      <c r="AA46" s="1200">
        <f ca="1">BS_IS!AA45/BS_IS!AA$53</f>
        <v>0</v>
      </c>
      <c r="AB46" s="1200">
        <f ca="1">BS_IS!AB45/BS_IS!AB$53</f>
        <v>0</v>
      </c>
    </row>
    <row r="47" spans="1:29">
      <c r="A47" s="1216"/>
    </row>
    <row r="48" spans="1:29">
      <c r="A48" s="1216" t="s">
        <v>685</v>
      </c>
      <c r="G48" s="1200" t="e">
        <f ca="1">BS_IS!G47/BS_IS!G$53</f>
        <v>#DIV/0!</v>
      </c>
      <c r="H48" s="1200" t="e">
        <f ca="1">BS_IS!H47/BS_IS!H$53</f>
        <v>#DIV/0!</v>
      </c>
      <c r="I48" s="1200" t="e">
        <f ca="1">BS_IS!I47/BS_IS!I$53</f>
        <v>#DIV/0!</v>
      </c>
      <c r="J48" s="1200">
        <f ca="1">BS_IS!J47/BS_IS!J$53</f>
        <v>2.0444832647998572</v>
      </c>
      <c r="K48" s="1200">
        <f ca="1">BS_IS!K47/BS_IS!K$53</f>
        <v>1.8701439521764895</v>
      </c>
      <c r="L48" s="1200">
        <f ca="1">BS_IS!L47/BS_IS!L$53</f>
        <v>1.8067728047107798</v>
      </c>
      <c r="M48" s="1200">
        <f ca="1">BS_IS!M47/BS_IS!M$53</f>
        <v>3.6210246469070091</v>
      </c>
      <c r="N48" s="1200">
        <f ca="1">BS_IS!N47/BS_IS!N$53</f>
        <v>4.7436947242484058</v>
      </c>
      <c r="O48" s="1200">
        <f ca="1">BS_IS!O47/BS_IS!O$53</f>
        <v>6.3390624352759017</v>
      </c>
      <c r="P48" s="1200">
        <f ca="1">BS_IS!P47/BS_IS!P$53</f>
        <v>11.578646749216992</v>
      </c>
      <c r="Q48" s="1200">
        <f ca="1">BS_IS!Q47/BS_IS!Q$53</f>
        <v>-53.251309451545843</v>
      </c>
      <c r="R48" s="1200">
        <f ca="1">BS_IS!R47/BS_IS!R$53</f>
        <v>-10.310297028356878</v>
      </c>
      <c r="S48" s="1200">
        <f ca="1">BS_IS!S47/BS_IS!S$53</f>
        <v>-5.3960839242812391</v>
      </c>
      <c r="T48" s="1200">
        <f ca="1">BS_IS!T47/BS_IS!T$53</f>
        <v>-3.4636707486181169</v>
      </c>
      <c r="U48" s="1200">
        <f ca="1">BS_IS!U47/BS_IS!U$53</f>
        <v>-2.2304831088751382</v>
      </c>
      <c r="V48" s="1200">
        <f ca="1">BS_IS!V47/BS_IS!V$53</f>
        <v>-2.0992279440196677</v>
      </c>
      <c r="W48" s="1200">
        <f ca="1">BS_IS!W47/BS_IS!W$53</f>
        <v>-1.3629606929319087</v>
      </c>
      <c r="X48" s="1200">
        <f ca="1">BS_IS!X47/BS_IS!X$53</f>
        <v>-1.0632537808399669</v>
      </c>
      <c r="Y48" s="1200">
        <f ca="1">BS_IS!Y47/BS_IS!Y$53</f>
        <v>-0.94249014267462794</v>
      </c>
      <c r="Z48" s="1200">
        <f ca="1">BS_IS!Z47/BS_IS!Z$53</f>
        <v>-0.95529899333072621</v>
      </c>
      <c r="AA48" s="1200">
        <f ca="1">BS_IS!AA47/BS_IS!AA$53</f>
        <v>-0.83370171591665931</v>
      </c>
      <c r="AB48" s="1200">
        <f ca="1">BS_IS!AB47/BS_IS!AB$53</f>
        <v>-0.94253463129529114</v>
      </c>
    </row>
    <row r="49" spans="1:28">
      <c r="A49" s="1216"/>
    </row>
    <row r="50" spans="1:28">
      <c r="A50" s="1216" t="s">
        <v>591</v>
      </c>
      <c r="G50" s="1200" t="e">
        <f ca="1">BS_IS!G49/BS_IS!G$53</f>
        <v>#DIV/0!</v>
      </c>
      <c r="H50" s="1200" t="e">
        <f ca="1">BS_IS!H49/BS_IS!H$53</f>
        <v>#DIV/0!</v>
      </c>
      <c r="I50" s="1200" t="e">
        <f ca="1">BS_IS!I49/BS_IS!I$53</f>
        <v>#DIV/0!</v>
      </c>
      <c r="J50" s="1200">
        <f ca="1">BS_IS!J49/BS_IS!J$53</f>
        <v>1</v>
      </c>
      <c r="K50" s="1200">
        <f ca="1">BS_IS!K49/BS_IS!K$53</f>
        <v>1</v>
      </c>
      <c r="L50" s="1200">
        <f ca="1">BS_IS!L49/BS_IS!L$53</f>
        <v>1</v>
      </c>
      <c r="M50" s="1200">
        <f ca="1">BS_IS!M49/BS_IS!M$53</f>
        <v>1</v>
      </c>
      <c r="N50" s="1200">
        <f ca="1">BS_IS!N49/BS_IS!N$53</f>
        <v>1</v>
      </c>
      <c r="O50" s="1200">
        <f ca="1">BS_IS!O49/BS_IS!O$53</f>
        <v>1</v>
      </c>
      <c r="P50" s="1200">
        <f ca="1">BS_IS!P49/BS_IS!P$53</f>
        <v>0.89410715946183139</v>
      </c>
      <c r="Q50" s="1200">
        <f ca="1">BS_IS!Q49/BS_IS!Q$53</f>
        <v>0.25381114333209964</v>
      </c>
      <c r="R50" s="1200">
        <f ca="1">BS_IS!R49/BS_IS!R$53</f>
        <v>1.1295637599336703</v>
      </c>
      <c r="S50" s="1200">
        <f ca="1">BS_IS!S49/BS_IS!S$53</f>
        <v>1.147276315378698</v>
      </c>
      <c r="T50" s="1200">
        <f ca="1">BS_IS!T49/BS_IS!T$53</f>
        <v>1.2628860596838585</v>
      </c>
      <c r="U50" s="1200">
        <f ca="1">BS_IS!U49/BS_IS!U$53</f>
        <v>1.2818832401679812</v>
      </c>
      <c r="V50" s="1200">
        <f ca="1">BS_IS!V49/BS_IS!V$53</f>
        <v>1.4029232020385805</v>
      </c>
      <c r="W50" s="1200">
        <f ca="1">BS_IS!W49/BS_IS!W$53</f>
        <v>1.4509823128243142</v>
      </c>
      <c r="X50" s="1200">
        <f ca="1">BS_IS!X49/BS_IS!X$53</f>
        <v>1.5120530193907673</v>
      </c>
      <c r="Y50" s="1200">
        <f ca="1">BS_IS!Y49/BS_IS!Y$53</f>
        <v>1.5963177797545589</v>
      </c>
      <c r="Z50" s="1200">
        <f ca="1">BS_IS!Z49/BS_IS!Z$53</f>
        <v>1.7835864618786386</v>
      </c>
      <c r="AA50" s="1200">
        <f ca="1">BS_IS!AA49/BS_IS!AA$53</f>
        <v>1.6845006740953401</v>
      </c>
      <c r="AB50" s="1200">
        <f ca="1">BS_IS!AB49/BS_IS!AB$53</f>
        <v>1.9219189861422998</v>
      </c>
    </row>
    <row r="51" spans="1:28">
      <c r="A51" s="1216"/>
    </row>
    <row r="52" spans="1:28">
      <c r="A52" s="1216" t="s">
        <v>90</v>
      </c>
      <c r="G52" s="1200" t="e">
        <f ca="1">BS_IS!G51/BS_IS!G$53</f>
        <v>#DIV/0!</v>
      </c>
      <c r="H52" s="1200" t="e">
        <f ca="1">BS_IS!H51/BS_IS!H$53</f>
        <v>#DIV/0!</v>
      </c>
      <c r="I52" s="1200" t="e">
        <f ca="1">BS_IS!I51/BS_IS!I$53</f>
        <v>#DIV/0!</v>
      </c>
      <c r="J52" s="1200">
        <f ca="1">BS_IS!J51/BS_IS!J$53</f>
        <v>0</v>
      </c>
      <c r="K52" s="1200">
        <f ca="1">BS_IS!K51/BS_IS!K$53</f>
        <v>0</v>
      </c>
      <c r="L52" s="1200">
        <f ca="1">BS_IS!L51/BS_IS!L$53</f>
        <v>0</v>
      </c>
      <c r="M52" s="1200">
        <f ca="1">BS_IS!M51/BS_IS!M$53</f>
        <v>0</v>
      </c>
      <c r="N52" s="1200">
        <f ca="1">BS_IS!N51/BS_IS!N$53</f>
        <v>0</v>
      </c>
      <c r="O52" s="1200">
        <f ca="1">BS_IS!O51/BS_IS!O$53</f>
        <v>0</v>
      </c>
      <c r="P52" s="1200">
        <f ca="1">BS_IS!P51/BS_IS!P$53</f>
        <v>0.146061828849057</v>
      </c>
      <c r="Q52" s="1200">
        <f ca="1">BS_IS!Q51/BS_IS!Q$53</f>
        <v>-2.1790887776642847</v>
      </c>
      <c r="R52" s="1200">
        <f ca="1">BS_IS!R51/BS_IS!R$53</f>
        <v>-0.64117009478077092</v>
      </c>
      <c r="S52" s="1200">
        <f ca="1">BS_IS!S51/BS_IS!S$53</f>
        <v>-0.42998761631148263</v>
      </c>
      <c r="T52" s="1200">
        <f ca="1">BS_IS!T51/BS_IS!T$53</f>
        <v>-0.36238658765019954</v>
      </c>
      <c r="U52" s="1200">
        <f ca="1">BS_IS!U51/BS_IS!U$53</f>
        <v>-0.30758592694598458</v>
      </c>
      <c r="V52" s="1200">
        <f ca="1">BS_IS!V51/BS_IS!V$53</f>
        <v>-0.29170710097065672</v>
      </c>
      <c r="W52" s="1200">
        <f ca="1">BS_IS!W51/BS_IS!W$53</f>
        <v>-0.29575684691128357</v>
      </c>
      <c r="X52" s="1200">
        <f ca="1">BS_IS!X51/BS_IS!X$53</f>
        <v>-0.29503569041869848</v>
      </c>
      <c r="Y52" s="1200">
        <f ca="1">BS_IS!Y51/BS_IS!Y$53</f>
        <v>-0.29664226495702106</v>
      </c>
      <c r="Z52" s="1200">
        <f ca="1">BS_IS!Z51/BS_IS!Z$53</f>
        <v>-0.31550742408751525</v>
      </c>
      <c r="AA52" s="1200">
        <f ca="1">BS_IS!AA51/BS_IS!AA$53</f>
        <v>-0.30026250624017775</v>
      </c>
      <c r="AB52" s="1200">
        <f ca="1">BS_IS!AB51/BS_IS!AB$53</f>
        <v>-0.48752167958194415</v>
      </c>
    </row>
    <row r="53" spans="1:28">
      <c r="A53" s="1216" t="s">
        <v>17</v>
      </c>
      <c r="G53" s="1200" t="e">
        <f ca="1">BS_IS!G52/BS_IS!G$53</f>
        <v>#DIV/0!</v>
      </c>
      <c r="H53" s="1200" t="e">
        <f ca="1">BS_IS!H52/BS_IS!H$53</f>
        <v>#DIV/0!</v>
      </c>
      <c r="I53" s="1200" t="e">
        <f ca="1">BS_IS!I52/BS_IS!I$53</f>
        <v>#DIV/0!</v>
      </c>
      <c r="J53" s="1200">
        <f ca="1">BS_IS!J52/BS_IS!J$53</f>
        <v>0</v>
      </c>
      <c r="K53" s="1200">
        <f ca="1">BS_IS!K52/BS_IS!K$53</f>
        <v>0</v>
      </c>
      <c r="L53" s="1200">
        <f ca="1">BS_IS!L52/BS_IS!L$53</f>
        <v>0</v>
      </c>
      <c r="M53" s="1200">
        <f ca="1">BS_IS!M52/BS_IS!M$53</f>
        <v>0</v>
      </c>
      <c r="N53" s="1200">
        <f ca="1">BS_IS!N52/BS_IS!N$53</f>
        <v>0</v>
      </c>
      <c r="O53" s="1200">
        <f ca="1">BS_IS!O52/BS_IS!O$53</f>
        <v>0</v>
      </c>
      <c r="P53" s="1200">
        <f ca="1">BS_IS!P52/BS_IS!P$53</f>
        <v>-4.0168988310888352E-2</v>
      </c>
      <c r="Q53" s="1200">
        <f ca="1">BS_IS!Q52/BS_IS!Q$53</f>
        <v>0.391106542840646</v>
      </c>
      <c r="R53" s="1200">
        <f ca="1">BS_IS!R52/BS_IS!R$53</f>
        <v>5.8094920145280587E-3</v>
      </c>
      <c r="S53" s="1200">
        <f ca="1">BS_IS!S52/BS_IS!S$53</f>
        <v>5.5101056169029439E-2</v>
      </c>
      <c r="T53" s="1200">
        <f ca="1">BS_IS!T52/BS_IS!T$53</f>
        <v>1.0898735005225825E-2</v>
      </c>
      <c r="U53" s="1200">
        <f ca="1">BS_IS!U52/BS_IS!U$53</f>
        <v>3.3883312664250084E-2</v>
      </c>
      <c r="V53" s="1200">
        <f ca="1">BS_IS!V52/BS_IS!V$53</f>
        <v>3.6011842054301732E-3</v>
      </c>
      <c r="W53" s="1200">
        <f ca="1">BS_IS!W52/BS_IS!W$53</f>
        <v>-2.5592867556506879E-3</v>
      </c>
      <c r="X53" s="1200">
        <f ca="1">BS_IS!X52/BS_IS!X$53</f>
        <v>2.2206888041005606E-3</v>
      </c>
      <c r="Y53" s="1200">
        <f ca="1">BS_IS!Y52/BS_IS!Y$53</f>
        <v>-2.0702069875584116E-3</v>
      </c>
      <c r="Z53" s="1200">
        <f ca="1">BS_IS!Z52/BS_IS!Z$53</f>
        <v>-6.5070101044126888E-2</v>
      </c>
      <c r="AA53" s="1200">
        <f ca="1">BS_IS!AA52/BS_IS!AA$53</f>
        <v>0</v>
      </c>
      <c r="AB53" s="1200">
        <f ca="1">BS_IS!AB52/BS_IS!AB$53</f>
        <v>0</v>
      </c>
    </row>
    <row r="54" spans="1:28">
      <c r="A54" s="1216" t="s">
        <v>18</v>
      </c>
      <c r="G54" s="1200" t="e">
        <f ca="1">BS_IS!G53/BS_IS!G$53</f>
        <v>#DIV/0!</v>
      </c>
      <c r="H54" s="1200" t="e">
        <f ca="1">BS_IS!H53/BS_IS!H$53</f>
        <v>#DIV/0!</v>
      </c>
      <c r="I54" s="1200" t="e">
        <f ca="1">BS_IS!I53/BS_IS!I$53</f>
        <v>#DIV/0!</v>
      </c>
      <c r="J54" s="1200">
        <f ca="1">BS_IS!J53/BS_IS!J$53</f>
        <v>1</v>
      </c>
      <c r="K54" s="1200">
        <f ca="1">BS_IS!K53/BS_IS!K$53</f>
        <v>1</v>
      </c>
      <c r="L54" s="1200">
        <f ca="1">BS_IS!L53/BS_IS!L$53</f>
        <v>1</v>
      </c>
      <c r="M54" s="1200">
        <f ca="1">BS_IS!M53/BS_IS!M$53</f>
        <v>1</v>
      </c>
      <c r="N54" s="1200">
        <f ca="1">BS_IS!N53/BS_IS!N$53</f>
        <v>1</v>
      </c>
      <c r="O54" s="1200">
        <f ca="1">BS_IS!O53/BS_IS!O$53</f>
        <v>1</v>
      </c>
      <c r="P54" s="1200">
        <f ca="1">BS_IS!P53/BS_IS!P$53</f>
        <v>1</v>
      </c>
      <c r="Q54" s="1200">
        <f ca="1">BS_IS!Q53/BS_IS!Q$53</f>
        <v>1</v>
      </c>
      <c r="R54" s="1200">
        <f ca="1">BS_IS!R53/BS_IS!R$53</f>
        <v>1</v>
      </c>
      <c r="S54" s="1200">
        <f ca="1">BS_IS!S53/BS_IS!S$53</f>
        <v>1</v>
      </c>
      <c r="T54" s="1200">
        <f ca="1">BS_IS!T53/BS_IS!T$53</f>
        <v>1</v>
      </c>
      <c r="U54" s="1200">
        <f ca="1">BS_IS!U53/BS_IS!U$53</f>
        <v>1</v>
      </c>
      <c r="V54" s="1200">
        <f ca="1">BS_IS!V53/BS_IS!V$53</f>
        <v>1</v>
      </c>
      <c r="W54" s="1200">
        <f ca="1">BS_IS!W53/BS_IS!W$53</f>
        <v>1</v>
      </c>
      <c r="X54" s="1200">
        <f ca="1">BS_IS!X53/BS_IS!X$53</f>
        <v>1</v>
      </c>
      <c r="Y54" s="1200">
        <f ca="1">BS_IS!Y53/BS_IS!Y$53</f>
        <v>1</v>
      </c>
      <c r="Z54" s="1200">
        <f ca="1">BS_IS!Z53/BS_IS!Z$53</f>
        <v>1</v>
      </c>
      <c r="AA54" s="1200">
        <f ca="1">BS_IS!AA53/BS_IS!AA$53</f>
        <v>1</v>
      </c>
      <c r="AB54" s="1200">
        <f ca="1">BS_IS!AB53/BS_IS!AB$53</f>
        <v>1</v>
      </c>
    </row>
    <row r="55" spans="1:28">
      <c r="A55" s="1216" t="s">
        <v>426</v>
      </c>
      <c r="G55" s="1218" t="e">
        <f ca="1">BS_IS!G54/BS_IS!G$53</f>
        <v>#DIV/0!</v>
      </c>
      <c r="H55" s="1218" t="e">
        <f ca="1">BS_IS!H54/BS_IS!H$53</f>
        <v>#DIV/0!</v>
      </c>
      <c r="I55" s="1218" t="e">
        <f ca="1">BS_IS!I54/BS_IS!I$53</f>
        <v>#DIV/0!</v>
      </c>
      <c r="J55" s="1218">
        <f ca="1">BS_IS!J54/BS_IS!J$53</f>
        <v>0</v>
      </c>
      <c r="K55" s="1218">
        <f ca="1">BS_IS!K54/BS_IS!K$53</f>
        <v>0</v>
      </c>
      <c r="L55" s="1218">
        <f ca="1">BS_IS!L54/BS_IS!L$53</f>
        <v>0</v>
      </c>
      <c r="M55" s="1218">
        <f ca="1">BS_IS!M54/BS_IS!M$53</f>
        <v>0</v>
      </c>
      <c r="N55" s="1218">
        <f ca="1">BS_IS!N54/BS_IS!N$53</f>
        <v>0</v>
      </c>
      <c r="O55" s="1218">
        <f ca="1">BS_IS!O54/BS_IS!O$53</f>
        <v>0</v>
      </c>
      <c r="P55" s="1218">
        <f ca="1">BS_IS!P54/BS_IS!P$53</f>
        <v>0</v>
      </c>
      <c r="Q55" s="1218">
        <f ca="1">BS_IS!Q54/BS_IS!Q$53</f>
        <v>0</v>
      </c>
      <c r="R55" s="1218">
        <f ca="1">BS_IS!R54/BS_IS!R$53</f>
        <v>0</v>
      </c>
      <c r="S55" s="1218">
        <f ca="1">BS_IS!S54/BS_IS!S$53</f>
        <v>0</v>
      </c>
      <c r="T55" s="1218">
        <f ca="1">BS_IS!T54/BS_IS!T$53</f>
        <v>0</v>
      </c>
      <c r="U55" s="1218">
        <f ca="1">BS_IS!U54/BS_IS!U$53</f>
        <v>0</v>
      </c>
      <c r="V55" s="1218">
        <f ca="1">BS_IS!V54/BS_IS!V$53</f>
        <v>0</v>
      </c>
      <c r="W55" s="1218">
        <f ca="1">BS_IS!W54/BS_IS!W$53</f>
        <v>0</v>
      </c>
      <c r="X55" s="1218">
        <f ca="1">BS_IS!X54/BS_IS!X$53</f>
        <v>0</v>
      </c>
      <c r="Y55" s="1218">
        <f ca="1">BS_IS!Y54/BS_IS!Y$53</f>
        <v>0</v>
      </c>
      <c r="Z55" s="1218">
        <f ca="1">BS_IS!Z54/BS_IS!Z$53</f>
        <v>0</v>
      </c>
      <c r="AA55" s="1218">
        <f ca="1">BS_IS!AA54/BS_IS!AA$53</f>
        <v>0</v>
      </c>
      <c r="AB55" s="1218">
        <f ca="1">BS_IS!AB54/BS_IS!AB$53</f>
        <v>0</v>
      </c>
    </row>
    <row r="56" spans="1:28">
      <c r="A56" s="1216"/>
      <c r="B56" s="39" t="s">
        <v>686</v>
      </c>
      <c r="G56" s="1200" t="e">
        <f ca="1">BS_IS!G55/BS_IS!G$53</f>
        <v>#DIV/0!</v>
      </c>
      <c r="H56" s="1200" t="e">
        <f ca="1">BS_IS!H55/BS_IS!H$53</f>
        <v>#DIV/0!</v>
      </c>
      <c r="I56" s="1200" t="e">
        <f ca="1">BS_IS!I55/BS_IS!I$53</f>
        <v>#DIV/0!</v>
      </c>
      <c r="J56" s="1200">
        <f ca="1">BS_IS!J55/BS_IS!J$53</f>
        <v>-0.41258104715593291</v>
      </c>
      <c r="K56" s="1200">
        <f ca="1">BS_IS!K55/BS_IS!K$53</f>
        <v>-0.21498485849691668</v>
      </c>
      <c r="L56" s="1200">
        <f ca="1">BS_IS!L55/BS_IS!L$53</f>
        <v>-0.2111555304271146</v>
      </c>
      <c r="M56" s="1200">
        <f ca="1">BS_IS!M55/BS_IS!M$53</f>
        <v>-0.43495292097624899</v>
      </c>
      <c r="N56" s="1200">
        <f ca="1">BS_IS!N55/BS_IS!N$53</f>
        <v>-0.59858898752861889</v>
      </c>
      <c r="O56" s="1200">
        <f ca="1">BS_IS!O55/BS_IS!O$53</f>
        <v>-0.85209828859901215</v>
      </c>
      <c r="P56" s="1200">
        <f ca="1">BS_IS!P55/BS_IS!P$53</f>
        <v>-1.6816136358744451</v>
      </c>
      <c r="Q56" s="1200">
        <f ca="1">BS_IS!Q55/BS_IS!Q$53</f>
        <v>8.4496918132639856</v>
      </c>
      <c r="R56" s="1200">
        <f ca="1">BS_IS!R55/BS_IS!R$53</f>
        <v>1.7566373444841188</v>
      </c>
      <c r="S56" s="1200">
        <f ca="1">BS_IS!S55/BS_IS!S$53</f>
        <v>0.98578311228471871</v>
      </c>
      <c r="T56" s="1200">
        <f ca="1">BS_IS!T55/BS_IS!T$53</f>
        <v>0.68478518466576277</v>
      </c>
      <c r="U56" s="1200">
        <f ca="1">BS_IS!U55/BS_IS!U$53</f>
        <v>0.4917226940714039</v>
      </c>
      <c r="V56" s="1200">
        <f ca="1">BS_IS!V55/BS_IS!V$53</f>
        <v>0.52214826033441408</v>
      </c>
      <c r="W56" s="1200">
        <f ca="1">BS_IS!W55/BS_IS!W$53</f>
        <v>0.37126425626656417</v>
      </c>
      <c r="X56" s="1200">
        <f ca="1">BS_IS!X55/BS_IS!X$53</f>
        <v>0.32230532239572451</v>
      </c>
      <c r="Y56" s="1200">
        <f ca="1">BS_IS!Y55/BS_IS!Y$53</f>
        <v>0.30061387492233826</v>
      </c>
      <c r="Z56" s="1200">
        <f ca="1">BS_IS!Z55/BS_IS!Z$53</f>
        <v>0.30485048868247944</v>
      </c>
      <c r="AA56" s="1200">
        <f ca="1">BS_IS!AA55/BS_IS!AA$53</f>
        <v>0.26617884392576407</v>
      </c>
      <c r="AB56" s="1200">
        <f ca="1">BS_IS!AB55/BS_IS!AB$53</f>
        <v>0.90322628421990403</v>
      </c>
    </row>
    <row r="57" spans="1:28">
      <c r="A57" s="1216"/>
    </row>
    <row r="58" spans="1:28">
      <c r="A58" s="1216" t="s">
        <v>409</v>
      </c>
      <c r="G58" s="1200" t="e">
        <f ca="1">BS_IS!G57/BS_IS!G$53</f>
        <v>#DIV/0!</v>
      </c>
      <c r="H58" s="1200" t="e">
        <f ca="1">BS_IS!H57/BS_IS!H$53</f>
        <v>#DIV/0!</v>
      </c>
      <c r="I58" s="1200" t="e">
        <f ca="1">BS_IS!I57/BS_IS!I$53</f>
        <v>#DIV/0!</v>
      </c>
      <c r="J58" s="1200">
        <f ca="1">BS_IS!J57/BS_IS!J$53</f>
        <v>-1.745187070934993</v>
      </c>
      <c r="K58" s="1200">
        <f ca="1">BS_IS!K57/BS_IS!K$53</f>
        <v>-1.5307883094133514</v>
      </c>
      <c r="L58" s="1200">
        <f ca="1">BS_IS!L57/BS_IS!L$53</f>
        <v>-1.5488953216631463</v>
      </c>
      <c r="M58" s="1200">
        <f ca="1">BS_IS!M57/BS_IS!M$53</f>
        <v>-3.2918222711910721</v>
      </c>
      <c r="N58" s="1200">
        <f ca="1">BS_IS!N57/BS_IS!N$53</f>
        <v>-4.6457552939357969</v>
      </c>
      <c r="O58" s="1200">
        <f ca="1">BS_IS!O57/BS_IS!O$53</f>
        <v>-6.7962429119792063</v>
      </c>
      <c r="P58" s="1200">
        <f ca="1">BS_IS!P57/BS_IS!P$53</f>
        <v>-13.775088022695416</v>
      </c>
      <c r="Q58" s="1200">
        <f ca="1">BS_IS!Q57/BS_IS!Q$53</f>
        <v>71.237187739817614</v>
      </c>
      <c r="R58" s="1200">
        <f ca="1">BS_IS!R57/BS_IS!R$53</f>
        <v>15.152784908981454</v>
      </c>
      <c r="S58" s="1200">
        <f ca="1">BS_IS!S57/BS_IS!S$53</f>
        <v>8.7199571937829372</v>
      </c>
      <c r="T58" s="1200">
        <f ca="1">BS_IS!T57/BS_IS!T$53</f>
        <v>6.2093610443043401</v>
      </c>
      <c r="U58" s="1200">
        <f ca="1">BS_IS!U57/BS_IS!U$53</f>
        <v>4.5815911069298343</v>
      </c>
      <c r="V58" s="1200">
        <f ca="1">BS_IS!V57/BS_IS!V$53</f>
        <v>4.9715222753858903</v>
      </c>
      <c r="W58" s="1200">
        <f ca="1">BS_IS!W57/BS_IS!W$53</f>
        <v>3.6222556491371312</v>
      </c>
      <c r="X58" s="1200">
        <f ca="1">BS_IS!X57/BS_IS!X$53</f>
        <v>3.2232386953059717</v>
      </c>
      <c r="Y58" s="1200">
        <f ca="1">BS_IS!Y57/BS_IS!Y$53</f>
        <v>3.0910532896762946</v>
      </c>
      <c r="Z58" s="1200">
        <f ca="1">BS_IS!Z57/BS_IS!Z$53</f>
        <v>3.2071924222146855</v>
      </c>
      <c r="AA58" s="1200">
        <f ca="1">BS_IS!AA57/BS_IS!AA$53</f>
        <v>2.8741923609687405</v>
      </c>
      <c r="AB58" s="1200">
        <f ca="1">BS_IS!AB57/BS_IS!AB$53</f>
        <v>3.23284761262068</v>
      </c>
    </row>
    <row r="59" spans="1:28">
      <c r="A59" s="1216" t="s">
        <v>485</v>
      </c>
      <c r="G59" s="1200" t="e">
        <f ca="1">BS_IS!G58/BS_IS!G$53</f>
        <v>#DIV/0!</v>
      </c>
      <c r="H59" s="1200" t="e">
        <f ca="1">BS_IS!H58/BS_IS!H$53</f>
        <v>#DIV/0!</v>
      </c>
      <c r="I59" s="1200" t="e">
        <f ca="1">BS_IS!I58/BS_IS!I$53</f>
        <v>#DIV/0!</v>
      </c>
      <c r="J59" s="1200">
        <f ca="1">BS_IS!J58/BS_IS!J$53</f>
        <v>0.35588723078337098</v>
      </c>
      <c r="K59" s="1200">
        <f ca="1">BS_IS!K58/BS_IS!K$53</f>
        <v>0.23114577990389593</v>
      </c>
      <c r="L59" s="1200">
        <f ca="1">BS_IS!L58/BS_IS!L$53</f>
        <v>0.32849725235966465</v>
      </c>
      <c r="M59" s="1200">
        <f ca="1">BS_IS!M58/BS_IS!M$53</f>
        <v>0.58288672781377848</v>
      </c>
      <c r="N59" s="1200">
        <f ca="1">BS_IS!N58/BS_IS!N$53</f>
        <v>0.68565217030148662</v>
      </c>
      <c r="O59" s="1200">
        <f ca="1">BS_IS!O58/BS_IS!O$53</f>
        <v>1.0434282801045185</v>
      </c>
      <c r="P59" s="1200">
        <f ca="1">BS_IS!P58/BS_IS!P$53</f>
        <v>2.0549278891860712</v>
      </c>
      <c r="Q59" s="1200">
        <f ca="1">BS_IS!Q58/BS_IS!Q$53</f>
        <v>-11.543679594812465</v>
      </c>
      <c r="R59" s="1200">
        <f ca="1">BS_IS!R58/BS_IS!R$53</f>
        <v>-2.2347481651459433</v>
      </c>
      <c r="S59" s="1200">
        <f ca="1">BS_IS!S58/BS_IS!S$53</f>
        <v>-1.3285414184570712</v>
      </c>
      <c r="T59" s="1200">
        <f ca="1">BS_IS!T58/BS_IS!T$53</f>
        <v>-0.91553375926200165</v>
      </c>
      <c r="U59" s="1200">
        <f ca="1">BS_IS!U58/BS_IS!U$53</f>
        <v>-0.67365813073166247</v>
      </c>
      <c r="V59" s="1200">
        <f ca="1">BS_IS!V58/BS_IS!V$53</f>
        <v>-1.0609055800969696</v>
      </c>
      <c r="W59" s="1200">
        <f ca="1">BS_IS!W58/BS_IS!W$53</f>
        <v>-0.55564845194477075</v>
      </c>
      <c r="X59" s="1200">
        <f ca="1">BS_IS!X58/BS_IS!X$53</f>
        <v>-0.47527213143837682</v>
      </c>
      <c r="Y59" s="1200">
        <f ca="1">BS_IS!Y58/BS_IS!Y$53</f>
        <v>-0.45969274994610559</v>
      </c>
      <c r="Z59" s="1200">
        <f ca="1">BS_IS!Z58/BS_IS!Z$53</f>
        <v>-0.47304590790788631</v>
      </c>
      <c r="AA59" s="1200">
        <f ca="1">BS_IS!AA58/BS_IS!AA$53</f>
        <v>-0.42091371029416602</v>
      </c>
      <c r="AB59" s="1200">
        <f ca="1">BS_IS!AB58/BS_IS!AB$53</f>
        <v>-0.48891972731417604</v>
      </c>
    </row>
    <row r="60" spans="1:28">
      <c r="A60" s="1216" t="s">
        <v>57</v>
      </c>
      <c r="G60" s="1200" t="e">
        <f ca="1">BS_IS!G59/BS_IS!G$53</f>
        <v>#DIV/0!</v>
      </c>
      <c r="H60" s="1200" t="e">
        <f ca="1">BS_IS!H59/BS_IS!H$53</f>
        <v>#DIV/0!</v>
      </c>
      <c r="I60" s="1200" t="e">
        <f ca="1">BS_IS!I59/BS_IS!I$53</f>
        <v>#DIV/0!</v>
      </c>
      <c r="J60" s="1200">
        <f ca="1">BS_IS!J59/BS_IS!J$53</f>
        <v>0</v>
      </c>
      <c r="K60" s="1200">
        <f ca="1">BS_IS!K59/BS_IS!K$53</f>
        <v>0</v>
      </c>
      <c r="L60" s="1200">
        <f ca="1">BS_IS!L59/BS_IS!L$53</f>
        <v>0</v>
      </c>
      <c r="M60" s="1200">
        <f ca="1">BS_IS!M59/BS_IS!M$53</f>
        <v>0</v>
      </c>
      <c r="N60" s="1200">
        <f ca="1">BS_IS!N59/BS_IS!N$53</f>
        <v>0</v>
      </c>
      <c r="O60" s="1200">
        <f ca="1">BS_IS!O59/BS_IS!O$53</f>
        <v>0</v>
      </c>
      <c r="P60" s="1200">
        <f ca="1">BS_IS!P59/BS_IS!P$53</f>
        <v>0</v>
      </c>
      <c r="Q60" s="1200">
        <f ca="1">BS_IS!Q59/BS_IS!Q$53</f>
        <v>0</v>
      </c>
      <c r="R60" s="1200">
        <f ca="1">BS_IS!R59/BS_IS!R$53</f>
        <v>0</v>
      </c>
      <c r="S60" s="1200">
        <f ca="1">BS_IS!S59/BS_IS!S$53</f>
        <v>0</v>
      </c>
      <c r="T60" s="1200">
        <f ca="1">BS_IS!T59/BS_IS!T$53</f>
        <v>0</v>
      </c>
      <c r="U60" s="1200">
        <f ca="1">BS_IS!U59/BS_IS!U$53</f>
        <v>0</v>
      </c>
      <c r="V60" s="1200">
        <f ca="1">BS_IS!V59/BS_IS!V$53</f>
        <v>0</v>
      </c>
      <c r="W60" s="1200">
        <f ca="1">BS_IS!W59/BS_IS!W$53</f>
        <v>0</v>
      </c>
      <c r="X60" s="1200">
        <f ca="1">BS_IS!X59/BS_IS!X$53</f>
        <v>0</v>
      </c>
      <c r="Y60" s="1200">
        <f ca="1">BS_IS!Y59/BS_IS!Y$53</f>
        <v>0</v>
      </c>
      <c r="Z60" s="1200">
        <f ca="1">BS_IS!Z59/BS_IS!Z$53</f>
        <v>0</v>
      </c>
      <c r="AA60" s="1200">
        <f ca="1">BS_IS!AA59/BS_IS!AA$53</f>
        <v>0</v>
      </c>
      <c r="AB60" s="1200">
        <f ca="1">BS_IS!AB59/BS_IS!AB$53</f>
        <v>0</v>
      </c>
    </row>
    <row r="61" spans="1:28">
      <c r="A61" s="1216" t="s">
        <v>594</v>
      </c>
      <c r="G61" s="1218" t="e">
        <f ca="1">BS_IS!G60/BS_IS!G$53</f>
        <v>#DIV/0!</v>
      </c>
      <c r="H61" s="1218" t="e">
        <f ca="1">BS_IS!H60/BS_IS!H$53</f>
        <v>#DIV/0!</v>
      </c>
      <c r="I61" s="1218" t="e">
        <f ca="1">BS_IS!I60/BS_IS!I$53</f>
        <v>#DIV/0!</v>
      </c>
      <c r="J61" s="1218">
        <f ca="1">BS_IS!J60/BS_IS!J$53</f>
        <v>0</v>
      </c>
      <c r="K61" s="1218">
        <f ca="1">BS_IS!K60/BS_IS!K$53</f>
        <v>0</v>
      </c>
      <c r="L61" s="1218">
        <f ca="1">BS_IS!L60/BS_IS!L$53</f>
        <v>0</v>
      </c>
      <c r="M61" s="1218">
        <f ca="1">BS_IS!M60/BS_IS!M$53</f>
        <v>0</v>
      </c>
      <c r="N61" s="1218">
        <f ca="1">BS_IS!N60/BS_IS!N$53</f>
        <v>0</v>
      </c>
      <c r="O61" s="1218">
        <f ca="1">BS_IS!O60/BS_IS!O$53</f>
        <v>0</v>
      </c>
      <c r="P61" s="1218">
        <f ca="1">BS_IS!P60/BS_IS!P$53</f>
        <v>0.10589284053816864</v>
      </c>
      <c r="Q61" s="1218">
        <f ca="1">BS_IS!Q60/BS_IS!Q$53</f>
        <v>-1.586243540047892</v>
      </c>
      <c r="R61" s="1218">
        <f ca="1">BS_IS!R60/BS_IS!R$53</f>
        <v>-0.5540925048616101</v>
      </c>
      <c r="S61" s="1218">
        <f ca="1">BS_IS!S60/BS_IS!S$53</f>
        <v>-0.37162803331373317</v>
      </c>
      <c r="T61" s="1218">
        <f ca="1">BS_IS!T60/BS_IS!T$53</f>
        <v>-0.31323032575389009</v>
      </c>
      <c r="U61" s="1218">
        <f ca="1">BS_IS!U60/BS_IS!U$53</f>
        <v>-0.26588046528874543</v>
      </c>
      <c r="V61" s="1218">
        <f ca="1">BS_IS!V60/BS_IS!V$53</f>
        <v>-0.25214393240521521</v>
      </c>
      <c r="W61" s="1218">
        <f ca="1">BS_IS!W60/BS_IS!W$53</f>
        <v>-0.29575684691128357</v>
      </c>
      <c r="X61" s="1218">
        <f ca="1">BS_IS!X60/BS_IS!X$53</f>
        <v>-0.29503569041869848</v>
      </c>
      <c r="Y61" s="1218">
        <f ca="1">BS_IS!Y60/BS_IS!Y$53</f>
        <v>-0.29664226495702106</v>
      </c>
      <c r="Z61" s="1218">
        <f ca="1">BS_IS!Z60/BS_IS!Z$53</f>
        <v>-0.31550742408751525</v>
      </c>
      <c r="AA61" s="1218">
        <f ca="1">BS_IS!AA60/BS_IS!AA$53</f>
        <v>-0.30026250624017775</v>
      </c>
      <c r="AB61" s="1218">
        <f ca="1">BS_IS!AB60/BS_IS!AB$53</f>
        <v>-0.48752167958194415</v>
      </c>
    </row>
    <row r="62" spans="1:28" s="1221" customFormat="1" ht="13.8" thickBot="1">
      <c r="A62" s="1225" t="s">
        <v>411</v>
      </c>
      <c r="B62" s="1226"/>
      <c r="C62" s="1226"/>
      <c r="D62" s="1226"/>
      <c r="E62" s="1226" t="s">
        <v>128</v>
      </c>
      <c r="G62" s="1221" t="e">
        <f ca="1">BS_IS!G61/BS_IS!G$53</f>
        <v>#DIV/0!</v>
      </c>
      <c r="H62" s="1221" t="e">
        <f ca="1">BS_IS!H61/BS_IS!H$53</f>
        <v>#DIV/0!</v>
      </c>
      <c r="I62" s="1221" t="e">
        <f ca="1">BS_IS!I61/BS_IS!I$53</f>
        <v>#DIV/0!</v>
      </c>
      <c r="J62" s="1221">
        <f ca="1">BS_IS!J61/BS_IS!J$53</f>
        <v>-1.3892998401516221</v>
      </c>
      <c r="K62" s="1221">
        <f ca="1">BS_IS!K61/BS_IS!K$53</f>
        <v>-1.2996425295094556</v>
      </c>
      <c r="L62" s="1221">
        <f ca="1">BS_IS!L61/BS_IS!L$53</f>
        <v>-1.2203980693034817</v>
      </c>
      <c r="M62" s="1221">
        <f ca="1">BS_IS!M61/BS_IS!M$53</f>
        <v>-2.7089355433772937</v>
      </c>
      <c r="N62" s="1221">
        <f ca="1">BS_IS!N61/BS_IS!N$53</f>
        <v>-3.9601031236343105</v>
      </c>
      <c r="O62" s="1221">
        <f ca="1">BS_IS!O61/BS_IS!O$53</f>
        <v>-5.7528146318746884</v>
      </c>
      <c r="P62" s="1221">
        <f ca="1">BS_IS!P61/BS_IS!P$53</f>
        <v>-11.614267292971176</v>
      </c>
      <c r="Q62" s="1221">
        <f ca="1">BS_IS!Q61/BS_IS!Q$53</f>
        <v>58.107264604957258</v>
      </c>
      <c r="R62" s="1221">
        <f ca="1">BS_IS!R61/BS_IS!R$53</f>
        <v>12.3639442389739</v>
      </c>
      <c r="S62" s="1221">
        <f ca="1">BS_IS!S61/BS_IS!S$53</f>
        <v>7.0197877420121335</v>
      </c>
      <c r="T62" s="1221">
        <f ca="1">BS_IS!T61/BS_IS!T$53</f>
        <v>4.980596959288448</v>
      </c>
      <c r="U62" s="1221">
        <f ca="1">BS_IS!U61/BS_IS!U$53</f>
        <v>3.6420525109094264</v>
      </c>
      <c r="V62" s="1221">
        <f ca="1">BS_IS!V61/BS_IS!V$53</f>
        <v>3.6584727628837053</v>
      </c>
      <c r="W62" s="1221">
        <f ca="1">BS_IS!W61/BS_IS!W$53</f>
        <v>2.7708503502810768</v>
      </c>
      <c r="X62" s="1221">
        <f ca="1">BS_IS!X61/BS_IS!X$53</f>
        <v>2.4529308734488962</v>
      </c>
      <c r="Y62" s="1221">
        <f ca="1">BS_IS!Y61/BS_IS!Y$53</f>
        <v>2.3347182747731674</v>
      </c>
      <c r="Z62" s="1221">
        <f ca="1">BS_IS!Z61/BS_IS!Z$53</f>
        <v>2.4186390902192838</v>
      </c>
      <c r="AA62" s="1221">
        <f ca="1">BS_IS!AA61/BS_IS!AA$53</f>
        <v>2.1530161444343969</v>
      </c>
      <c r="AB62" s="1221">
        <f ca="1">BS_IS!AB61/BS_IS!AB$53</f>
        <v>2.2564062057245597</v>
      </c>
    </row>
    <row r="63" spans="1:28" ht="13.8" thickTop="1">
      <c r="A63" s="1216"/>
    </row>
    <row r="65" spans="1:52" s="1196" customFormat="1" ht="13.8" thickBot="1">
      <c r="A65" s="324" t="s">
        <v>58</v>
      </c>
      <c r="B65" s="1231"/>
      <c r="C65" s="1231"/>
      <c r="D65" s="1231"/>
      <c r="E65" s="1231"/>
      <c r="F65" s="1235" t="s">
        <v>512</v>
      </c>
      <c r="G65" s="1232">
        <v>1998</v>
      </c>
      <c r="H65" s="1232">
        <v>1999</v>
      </c>
      <c r="I65" s="1232">
        <v>2000</v>
      </c>
      <c r="J65" s="1232">
        <v>2001</v>
      </c>
      <c r="K65" s="1232">
        <v>2002</v>
      </c>
      <c r="L65" s="1232">
        <v>2003</v>
      </c>
      <c r="M65" s="1232">
        <v>2004</v>
      </c>
      <c r="N65" s="1232">
        <v>2005</v>
      </c>
      <c r="O65" s="1232">
        <v>2006</v>
      </c>
      <c r="P65" s="1232">
        <v>2007</v>
      </c>
      <c r="Q65" s="1232">
        <v>2008</v>
      </c>
      <c r="R65" s="1232">
        <v>2009</v>
      </c>
      <c r="S65" s="1232">
        <v>2010</v>
      </c>
      <c r="T65" s="1232">
        <v>2011</v>
      </c>
      <c r="U65" s="1232">
        <v>2012</v>
      </c>
      <c r="V65" s="1232">
        <v>2013</v>
      </c>
      <c r="W65" s="1232">
        <v>2014</v>
      </c>
      <c r="X65" s="1232">
        <v>2015</v>
      </c>
      <c r="Y65" s="1232">
        <v>2016</v>
      </c>
      <c r="Z65" s="1232">
        <v>2017</v>
      </c>
      <c r="AA65" s="1232">
        <v>2018</v>
      </c>
      <c r="AB65" s="1232">
        <v>2019</v>
      </c>
      <c r="AC65" s="1228"/>
      <c r="AD65" s="1228"/>
      <c r="AE65" s="1228"/>
      <c r="AF65" s="1228"/>
      <c r="AG65" s="1228"/>
      <c r="AH65" s="1228"/>
      <c r="AI65" s="1228"/>
      <c r="AJ65" s="1228"/>
      <c r="AK65" s="1228"/>
      <c r="AL65" s="1228"/>
      <c r="AM65" s="1228"/>
      <c r="AN65" s="1228"/>
      <c r="AO65" s="1228"/>
      <c r="AP65" s="1228"/>
      <c r="AQ65" s="1228"/>
      <c r="AR65" s="1228"/>
      <c r="AS65" s="1228"/>
      <c r="AT65" s="1228"/>
      <c r="AU65" s="1228"/>
      <c r="AV65" s="1228"/>
      <c r="AW65" s="1228"/>
      <c r="AX65" s="1228"/>
      <c r="AY65" s="1228"/>
      <c r="AZ65" s="1228"/>
    </row>
    <row r="66" spans="1:52" s="1196" customFormat="1">
      <c r="A66" s="257"/>
      <c r="B66" s="1228"/>
      <c r="C66" s="1228"/>
      <c r="D66" s="1228"/>
      <c r="E66" s="1228"/>
      <c r="F66" s="1236"/>
      <c r="G66" s="1228"/>
      <c r="H66" s="1228"/>
      <c r="I66" s="1228"/>
      <c r="J66" s="1228"/>
      <c r="K66" s="1228"/>
      <c r="L66" s="1228"/>
      <c r="M66" s="1228"/>
      <c r="N66" s="1228"/>
      <c r="O66" s="1228"/>
      <c r="P66" s="1228"/>
      <c r="Q66" s="1228"/>
      <c r="R66" s="1228"/>
      <c r="S66" s="1228"/>
      <c r="T66" s="1228"/>
      <c r="U66" s="1228"/>
      <c r="V66" s="1228"/>
      <c r="W66" s="1228"/>
      <c r="X66" s="1228"/>
      <c r="Y66" s="1228"/>
      <c r="Z66" s="1228"/>
      <c r="AA66" s="1228"/>
      <c r="AB66" s="1228"/>
      <c r="AC66" s="1228"/>
      <c r="AD66" s="1228"/>
      <c r="AE66" s="1228"/>
      <c r="AF66" s="1228"/>
      <c r="AG66" s="1228"/>
      <c r="AH66" s="1228"/>
      <c r="AI66" s="1228"/>
      <c r="AJ66" s="1228"/>
      <c r="AK66" s="1228"/>
      <c r="AL66" s="1228"/>
      <c r="AM66" s="1228"/>
      <c r="AN66" s="1228"/>
      <c r="AO66" s="1228"/>
      <c r="AP66" s="1228"/>
      <c r="AQ66" s="1228"/>
      <c r="AR66" s="1228"/>
      <c r="AS66" s="1228"/>
      <c r="AT66" s="1228"/>
      <c r="AU66" s="1228"/>
      <c r="AV66" s="1228"/>
      <c r="AW66" s="1228"/>
      <c r="AX66" s="1228"/>
      <c r="AY66" s="1228"/>
      <c r="AZ66" s="1228"/>
    </row>
    <row r="67" spans="1:52" s="1196" customFormat="1">
      <c r="A67" s="257"/>
      <c r="B67" s="1228"/>
      <c r="C67" s="1228"/>
      <c r="D67" s="1228"/>
      <c r="E67" s="1228"/>
      <c r="F67" s="1236"/>
      <c r="G67" s="1228"/>
      <c r="H67" s="1228"/>
      <c r="I67" s="1228"/>
      <c r="J67" s="1228"/>
      <c r="K67" s="1228"/>
      <c r="L67" s="1228"/>
      <c r="M67" s="1228"/>
      <c r="N67" s="1228"/>
      <c r="O67" s="1228"/>
      <c r="P67" s="1228"/>
      <c r="Q67" s="1228"/>
      <c r="R67" s="1228"/>
      <c r="S67" s="1228"/>
      <c r="T67" s="1228"/>
      <c r="U67" s="1228"/>
      <c r="V67" s="1228"/>
      <c r="W67" s="1228"/>
      <c r="X67" s="1228"/>
      <c r="Y67" s="1228"/>
      <c r="Z67" s="1228"/>
      <c r="AA67" s="1228"/>
      <c r="AB67" s="1228"/>
      <c r="AC67" s="1228"/>
      <c r="AD67" s="1228"/>
      <c r="AE67" s="1228"/>
      <c r="AF67" s="1228"/>
      <c r="AG67" s="1228"/>
      <c r="AH67" s="1228"/>
      <c r="AI67" s="1228"/>
      <c r="AJ67" s="1228"/>
      <c r="AK67" s="1228"/>
      <c r="AL67" s="1228"/>
      <c r="AM67" s="1228"/>
      <c r="AN67" s="1228"/>
      <c r="AO67" s="1228"/>
      <c r="AP67" s="1228"/>
      <c r="AQ67" s="1228"/>
      <c r="AR67" s="1228"/>
      <c r="AS67" s="1228"/>
      <c r="AT67" s="1228"/>
      <c r="AU67" s="1228"/>
      <c r="AV67" s="1228"/>
      <c r="AW67" s="1228"/>
      <c r="AX67" s="1228"/>
      <c r="AY67" s="1228"/>
      <c r="AZ67" s="1228"/>
    </row>
    <row r="68" spans="1:52" s="1196" customFormat="1">
      <c r="A68" s="1227" t="s">
        <v>59</v>
      </c>
      <c r="B68" s="242"/>
      <c r="C68" s="242"/>
      <c r="D68" s="1228"/>
      <c r="E68" s="1228"/>
      <c r="F68" s="1236"/>
      <c r="G68" s="1228"/>
      <c r="H68" s="1228"/>
      <c r="I68" s="1228"/>
      <c r="J68" s="1228"/>
      <c r="K68" s="1228"/>
      <c r="L68" s="1228"/>
      <c r="M68" s="1228"/>
      <c r="N68" s="1228"/>
      <c r="O68" s="1228"/>
      <c r="P68" s="1228"/>
      <c r="Q68" s="1228"/>
      <c r="R68" s="1228"/>
      <c r="S68" s="1228"/>
      <c r="T68" s="1228"/>
      <c r="U68" s="1228"/>
      <c r="V68" s="1228"/>
      <c r="W68" s="1228"/>
      <c r="X68" s="1228"/>
      <c r="Y68" s="1228"/>
      <c r="Z68" s="1228"/>
      <c r="AA68" s="1228"/>
      <c r="AB68" s="1228"/>
      <c r="AC68" s="1228"/>
      <c r="AD68" s="1228"/>
      <c r="AE68" s="1228"/>
      <c r="AF68" s="1228"/>
      <c r="AG68" s="1228"/>
      <c r="AH68" s="1228"/>
      <c r="AI68" s="1228"/>
      <c r="AJ68" s="1228"/>
      <c r="AK68" s="1228"/>
      <c r="AL68" s="1228"/>
      <c r="AM68" s="1228"/>
      <c r="AN68" s="1228"/>
      <c r="AO68" s="1228"/>
      <c r="AP68" s="1228"/>
      <c r="AQ68" s="1228"/>
      <c r="AR68" s="1228"/>
      <c r="AS68" s="1228"/>
      <c r="AT68" s="1228"/>
      <c r="AU68" s="1228"/>
      <c r="AV68" s="1228"/>
      <c r="AW68" s="1228"/>
      <c r="AX68" s="1228"/>
      <c r="AY68" s="1228"/>
      <c r="AZ68" s="1228"/>
    </row>
    <row r="69" spans="1:52" s="1230" customFormat="1">
      <c r="A69" s="1242" t="s">
        <v>60</v>
      </c>
      <c r="B69" s="1242"/>
      <c r="C69" s="1242"/>
      <c r="F69" s="1243">
        <f ca="1">AVERAGE(G69:AB69)</f>
        <v>9.5641566165197658E-2</v>
      </c>
      <c r="G69" s="1230">
        <f ca="1">BS_IS!G53/BS_IS!$G17</f>
        <v>0</v>
      </c>
      <c r="H69" s="1230">
        <f ca="1">BS_IS!H53/BS_IS!$G17</f>
        <v>0</v>
      </c>
      <c r="I69" s="1230">
        <f ca="1">BS_IS!I53/BS_IS!$G17</f>
        <v>0</v>
      </c>
      <c r="J69" s="1230">
        <f ca="1">BS_IS!J53/BS_IS!$G17</f>
        <v>-0.73063845104208458</v>
      </c>
      <c r="K69" s="1230">
        <f ca="1">BS_IS!K53/BS_IS!$G17</f>
        <v>-1.4028812438064659</v>
      </c>
      <c r="L69" s="1230">
        <f ca="1">BS_IS!L53/BS_IS!$G17</f>
        <v>-1.4290360926930441</v>
      </c>
      <c r="M69" s="1230">
        <f ca="1">BS_IS!M53/BS_IS!$G17</f>
        <v>-0.69409701155439762</v>
      </c>
      <c r="N69" s="1230">
        <f ca="1">BS_IS!N53/BS_IS!$G17</f>
        <v>-0.50460362180720675</v>
      </c>
      <c r="O69" s="1230">
        <f ca="1">BS_IS!O53/BS_IS!$G17</f>
        <v>-0.35465488381873955</v>
      </c>
      <c r="P69" s="1230">
        <f ca="1">BS_IS!P53/BS_IS!$G17</f>
        <v>-0.17979841597346768</v>
      </c>
      <c r="Q69" s="1230">
        <f ca="1">BS_IS!Q53/BS_IS!$G17</f>
        <v>3.5800372742486632E-2</v>
      </c>
      <c r="R69" s="1230">
        <f ca="1">BS_IS!R53/BS_IS!$G17</f>
        <v>0.17229097735437793</v>
      </c>
      <c r="S69" s="1230">
        <f ca="1">BS_IS!S53/BS_IS!$G17</f>
        <v>0.30717042078449625</v>
      </c>
      <c r="T69" s="1230">
        <f ca="1">BS_IS!T53/BS_IS!$G17</f>
        <v>0.44240744199948756</v>
      </c>
      <c r="U69" s="1230">
        <f ca="1">BS_IS!U53/BS_IS!$G17</f>
        <v>0.61641391374849164</v>
      </c>
      <c r="V69" s="1230">
        <f ca="1">BS_IS!V53/BS_IS!$G17</f>
        <v>0.58078400682913978</v>
      </c>
      <c r="W69" s="1230">
        <f ca="1">BS_IS!W53/BS_IS!$G17</f>
        <v>0.81722385642862061</v>
      </c>
      <c r="X69" s="1230">
        <f ca="1">BS_IS!X53/BS_IS!$G17</f>
        <v>0.9418294847515416</v>
      </c>
      <c r="Y69" s="1230">
        <f ca="1">BS_IS!Y53/BS_IS!$G17</f>
        <v>1.0102903742133829</v>
      </c>
      <c r="Z69" s="1230">
        <f ca="1">BS_IS!Z53/BS_IS!$G17</f>
        <v>0.99674418750855431</v>
      </c>
      <c r="AA69" s="1230">
        <f ca="1">BS_IS!AA53/BS_IS!$G17</f>
        <v>1.1421215774855857</v>
      </c>
      <c r="AB69" s="1230">
        <f ca="1">BS_IS!AB53/BS_IS!$G17</f>
        <v>0.33674756248358967</v>
      </c>
    </row>
    <row r="70" spans="1:52" s="1230" customFormat="1">
      <c r="A70" s="1242" t="s">
        <v>61</v>
      </c>
      <c r="B70" s="1242"/>
      <c r="C70" s="1242"/>
      <c r="F70" s="1243">
        <f ca="1">AVERAGE(G70:AB70)</f>
        <v>2.1793844101356399E-2</v>
      </c>
      <c r="G70" s="1230">
        <f ca="1">BS_IS!G53/BS_IS!G27</f>
        <v>0</v>
      </c>
      <c r="H70" s="1230">
        <f ca="1">BS_IS!H53/BS_IS!H27</f>
        <v>0</v>
      </c>
      <c r="I70" s="1230">
        <f ca="1">BS_IS!I53/BS_IS!I27</f>
        <v>0</v>
      </c>
      <c r="J70" s="1230">
        <f ca="1">BS_IS!J53/BS_IS!J27</f>
        <v>-0.1664905870420802</v>
      </c>
      <c r="K70" s="1230">
        <f ca="1">BS_IS!K53/BS_IS!K27</f>
        <v>-0.31967455517641347</v>
      </c>
      <c r="L70" s="1230">
        <f ca="1">BS_IS!L53/BS_IS!L27</f>
        <v>-0.32563446070686092</v>
      </c>
      <c r="M70" s="1230">
        <f ca="1">BS_IS!M53/BS_IS!M27</f>
        <v>-0.15816388906582324</v>
      </c>
      <c r="N70" s="1230">
        <f ca="1">BS_IS!N53/BS_IS!N27</f>
        <v>-0.11498402951339144</v>
      </c>
      <c r="O70" s="1230">
        <f ca="1">BS_IS!O53/BS_IS!O27</f>
        <v>-8.0815209930583873E-2</v>
      </c>
      <c r="P70" s="1230">
        <f ca="1">BS_IS!P53/BS_IS!P27</f>
        <v>-4.0970665836110684E-2</v>
      </c>
      <c r="Q70" s="1230">
        <f ca="1">BS_IS!Q53/BS_IS!Q27</f>
        <v>8.1578310937793306E-3</v>
      </c>
      <c r="R70" s="1230">
        <f ca="1">BS_IS!R53/BS_IS!R27</f>
        <v>3.925994576506607E-2</v>
      </c>
      <c r="S70" s="1230">
        <f ca="1">BS_IS!S53/BS_IS!S27</f>
        <v>6.9994925130798885E-2</v>
      </c>
      <c r="T70" s="1230">
        <f ca="1">BS_IS!T53/BS_IS!T27</f>
        <v>0.1008113857479383</v>
      </c>
      <c r="U70" s="1230">
        <f ca="1">BS_IS!U53/BS_IS!U27</f>
        <v>0.14046224122822859</v>
      </c>
      <c r="V70" s="1230">
        <f ca="1">BS_IS!V53/BS_IS!V27</f>
        <v>0.1323432541823143</v>
      </c>
      <c r="W70" s="1230">
        <f ca="1">BS_IS!W53/BS_IS!W27</f>
        <v>0.18622080374710073</v>
      </c>
      <c r="X70" s="1230">
        <f ca="1">BS_IS!X53/BS_IS!X27</f>
        <v>0.21461468881931606</v>
      </c>
      <c r="Y70" s="1230">
        <f ca="1">BS_IS!Y53/BS_IS!Y27</f>
        <v>0.23021487200111851</v>
      </c>
      <c r="Z70" s="1230">
        <f ca="1">BS_IS!Z53/BS_IS!Z27</f>
        <v>0.22712810237730272</v>
      </c>
      <c r="AA70" s="1230">
        <f ca="1">BS_IS!AA53/BS_IS!AA27</f>
        <v>0.2602552488687036</v>
      </c>
      <c r="AB70" s="1230">
        <f ca="1">BS_IS!AB53/BS_IS!AB27</f>
        <v>7.6734668539437528E-2</v>
      </c>
    </row>
    <row r="71" spans="1:52" s="1230" customFormat="1">
      <c r="A71" s="1242"/>
      <c r="B71" s="1242"/>
      <c r="C71" s="1242"/>
      <c r="F71" s="1243"/>
    </row>
    <row r="72" spans="1:52" s="1230" customFormat="1">
      <c r="A72" s="1244" t="s">
        <v>62</v>
      </c>
      <c r="B72" s="1242"/>
      <c r="C72" s="1242"/>
      <c r="F72" s="1243"/>
    </row>
    <row r="73" spans="1:52" s="1230" customFormat="1">
      <c r="A73" s="1242" t="s">
        <v>63</v>
      </c>
      <c r="B73" s="1242"/>
      <c r="C73" s="1242"/>
      <c r="F73" s="1243">
        <f ca="1">AVERAGE(J73:AB73)</f>
        <v>0.75542778497830709</v>
      </c>
      <c r="G73" s="1245" t="e">
        <f ca="1">(BS_IS!G38+BS_IS!G39+BS_IS!G40)/BS_IS!G38</f>
        <v>#DIV/0!</v>
      </c>
      <c r="H73" s="1245" t="e">
        <f ca="1">(BS_IS!H38+BS_IS!H39+BS_IS!H40)/BS_IS!H38</f>
        <v>#DIV/0!</v>
      </c>
      <c r="I73" s="1245" t="e">
        <f ca="1">(BS_IS!I38+BS_IS!I39+BS_IS!I40)/BS_IS!I38</f>
        <v>#DIV/0!</v>
      </c>
      <c r="J73" s="1245">
        <f ca="1">(BS_IS!J38+BS_IS!J39+BS_IS!J40)/BS_IS!J38</f>
        <v>0.59849358398023766</v>
      </c>
      <c r="K73" s="1245">
        <f ca="1">(BS_IS!K38+BS_IS!K39+BS_IS!K40)/BS_IS!K38</f>
        <v>0.56842866307880113</v>
      </c>
      <c r="L73" s="1245">
        <f ca="1">(BS_IS!L38+BS_IS!L39+BS_IS!L40)/BS_IS!L38</f>
        <v>0.52086980535553373</v>
      </c>
      <c r="M73" s="1245">
        <f ca="1">(BS_IS!M38+BS_IS!M39+BS_IS!M40)/BS_IS!M38</f>
        <v>0.79622301296316644</v>
      </c>
      <c r="N73" s="1245">
        <f ca="1">(BS_IS!N38+BS_IS!N39+BS_IS!N40)/BS_IS!N38</f>
        <v>0.80583123461864847</v>
      </c>
      <c r="O73" s="1245">
        <f ca="1">(BS_IS!O38+BS_IS!O39+BS_IS!O40)/BS_IS!O38</f>
        <v>0.78559028928544528</v>
      </c>
      <c r="P73" s="1245">
        <f ca="1">(BS_IS!P38+BS_IS!P39+BS_IS!P40)/BS_IS!P38</f>
        <v>0.77564220077226631</v>
      </c>
      <c r="Q73" s="1245">
        <f ca="1">(BS_IS!Q38+BS_IS!Q39+BS_IS!Q40)/BS_IS!Q38</f>
        <v>0.75108412182548256</v>
      </c>
      <c r="R73" s="1245">
        <f ca="1">(BS_IS!R38+BS_IS!R39+BS_IS!R40)/BS_IS!R38</f>
        <v>0.75496754273267896</v>
      </c>
      <c r="S73" s="1245">
        <f ca="1">(BS_IS!S38+BS_IS!S39+BS_IS!S40)/BS_IS!S38</f>
        <v>0.7503890322219875</v>
      </c>
      <c r="T73" s="1245">
        <f ca="1">(BS_IS!T38+BS_IS!T39+BS_IS!T40)/BS_IS!T38</f>
        <v>0.7611985797858386</v>
      </c>
      <c r="U73" s="1245">
        <f ca="1">(BS_IS!U38+BS_IS!U39+BS_IS!U40)/BS_IS!U38</f>
        <v>0.7666258876158828</v>
      </c>
      <c r="V73" s="1245">
        <f ca="1">(BS_IS!V38+BS_IS!V39+BS_IS!V40)/BS_IS!V38</f>
        <v>0.70444241261825802</v>
      </c>
      <c r="W73" s="1245">
        <f ca="1">(BS_IS!W38+BS_IS!W39+BS_IS!W40)/BS_IS!W38</f>
        <v>0.7768482620564181</v>
      </c>
      <c r="X73" s="1245">
        <f ca="1">(BS_IS!X38+BS_IS!X39+BS_IS!X40)/BS_IS!X38</f>
        <v>0.79898110058717464</v>
      </c>
      <c r="Y73" s="1245">
        <f ca="1">(BS_IS!Y38+BS_IS!Y39+BS_IS!Y40)/BS_IS!Y38</f>
        <v>0.82134071609456438</v>
      </c>
      <c r="Z73" s="1245">
        <f ca="1">(BS_IS!Z38+BS_IS!Z39+BS_IS!Z40)/BS_IS!Z38</f>
        <v>0.8539822669317928</v>
      </c>
      <c r="AA73" s="1245">
        <f ca="1">(BS_IS!AA38+BS_IS!AA39+BS_IS!AA40)/BS_IS!AA38</f>
        <v>0.87614260764482876</v>
      </c>
      <c r="AB73" s="1245">
        <f ca="1">(BS_IS!AB38+BS_IS!AB39+BS_IS!AB40)/BS_IS!AB38</f>
        <v>0.88604659441882772</v>
      </c>
    </row>
    <row r="74" spans="1:52" s="1230" customFormat="1">
      <c r="A74" s="1242" t="s">
        <v>64</v>
      </c>
      <c r="B74" s="1242"/>
      <c r="C74" s="1242"/>
      <c r="F74" s="1243">
        <f ca="1">AVERAGE(J74:AB74)</f>
        <v>2.28404880386896E-3</v>
      </c>
      <c r="G74" s="1230" t="e">
        <f ca="1">BS_IS!G53/BS_IS!G38</f>
        <v>#DIV/0!</v>
      </c>
      <c r="H74" s="1230" t="e">
        <f ca="1">BS_IS!H53/BS_IS!H38</f>
        <v>#DIV/0!</v>
      </c>
      <c r="I74" s="1230" t="e">
        <f ca="1">BS_IS!I53/BS_IS!I38</f>
        <v>#DIV/0!</v>
      </c>
      <c r="J74" s="1230">
        <f ca="1">BS_IS!J53/BS_IS!J38</f>
        <v>-0.57300447422192102</v>
      </c>
      <c r="K74" s="1230">
        <f ca="1">BS_IS!K53/BS_IS!K38</f>
        <v>-0.65325818981674411</v>
      </c>
      <c r="L74" s="1230">
        <f ca="1">BS_IS!L53/BS_IS!L38</f>
        <v>-0.64562142193459349</v>
      </c>
      <c r="M74" s="1230">
        <f ca="1">BS_IS!M53/BS_IS!M38</f>
        <v>-0.30378310784019708</v>
      </c>
      <c r="N74" s="1230">
        <f ca="1">BS_IS!N53/BS_IS!N38</f>
        <v>-0.21525025248430998</v>
      </c>
      <c r="O74" s="1230">
        <f ca="1">BS_IS!O53/BS_IS!O38</f>
        <v>-0.14714012035052162</v>
      </c>
      <c r="P74" s="1230">
        <f ca="1">BS_IS!P53/BS_IS!P38</f>
        <v>-7.2594817423484365E-2</v>
      </c>
      <c r="Q74" s="1230">
        <f ca="1">BS_IS!Q53/BS_IS!Q38</f>
        <v>1.4037611979466952E-2</v>
      </c>
      <c r="R74" s="1230">
        <f ca="1">BS_IS!R53/BS_IS!R38</f>
        <v>6.5994469399963146E-2</v>
      </c>
      <c r="S74" s="1230">
        <f ca="1">BS_IS!S53/BS_IS!S38</f>
        <v>0.11467946204058999</v>
      </c>
      <c r="T74" s="1230">
        <f ca="1">BS_IS!T53/BS_IS!T38</f>
        <v>0.16104716618423565</v>
      </c>
      <c r="U74" s="1230">
        <f ca="1">BS_IS!U53/BS_IS!U38</f>
        <v>0.21826478545574729</v>
      </c>
      <c r="V74" s="1230">
        <f ca="1">BS_IS!V53/BS_IS!V38</f>
        <v>0.20114563399444488</v>
      </c>
      <c r="W74" s="1230">
        <f ca="1">BS_IS!W53/BS_IS!W38</f>
        <v>0.27607107196815694</v>
      </c>
      <c r="X74" s="1230">
        <f ca="1">BS_IS!X53/BS_IS!X38</f>
        <v>0.31024695796073309</v>
      </c>
      <c r="Y74" s="1230">
        <f ca="1">BS_IS!Y53/BS_IS!Y38</f>
        <v>0.32351431899924421</v>
      </c>
      <c r="Z74" s="1230">
        <f ca="1">BS_IS!Z53/BS_IS!Z38</f>
        <v>0.31179919018063246</v>
      </c>
      <c r="AA74" s="1230">
        <f ca="1">BS_IS!AA53/BS_IS!AA38</f>
        <v>0.34792382499512037</v>
      </c>
      <c r="AB74" s="1230">
        <f ca="1">BS_IS!AB53/BS_IS!AB38</f>
        <v>0.30932481818694779</v>
      </c>
    </row>
    <row r="75" spans="1:52" s="1238" customFormat="1">
      <c r="A75" s="1237" t="s">
        <v>65</v>
      </c>
      <c r="B75" s="1237"/>
      <c r="C75" s="1237"/>
      <c r="F75" s="1239">
        <f ca="1">AVERAGE(J75:AB75)</f>
        <v>4.0112220382675909</v>
      </c>
      <c r="G75" s="1238" t="e">
        <f ca="1">BS_IS!G61/BS_IS!G53</f>
        <v>#DIV/0!</v>
      </c>
      <c r="H75" s="1238" t="e">
        <f ca="1">BS_IS!H61/BS_IS!H53</f>
        <v>#DIV/0!</v>
      </c>
      <c r="I75" s="1238" t="e">
        <f ca="1">BS_IS!I61/BS_IS!I53</f>
        <v>#DIV/0!</v>
      </c>
      <c r="J75" s="1238">
        <f ca="1">BS_IS!J61/BS_IS!J53</f>
        <v>-1.3892998401516221</v>
      </c>
      <c r="K75" s="1238">
        <f ca="1">BS_IS!K61/BS_IS!K53</f>
        <v>-1.2996425295094556</v>
      </c>
      <c r="L75" s="1238">
        <f ca="1">BS_IS!L61/BS_IS!L53</f>
        <v>-1.2203980693034817</v>
      </c>
      <c r="M75" s="1238">
        <f ca="1">BS_IS!M61/BS_IS!M53</f>
        <v>-2.7089355433772937</v>
      </c>
      <c r="N75" s="1238">
        <f ca="1">BS_IS!N61/BS_IS!N53</f>
        <v>-3.9601031236343105</v>
      </c>
      <c r="O75" s="1238">
        <f ca="1">BS_IS!O61/BS_IS!O53</f>
        <v>-5.7528146318746884</v>
      </c>
      <c r="P75" s="1238">
        <f ca="1">BS_IS!P61/BS_IS!P53</f>
        <v>-11.614267292971176</v>
      </c>
      <c r="Q75" s="1238">
        <f ca="1">BS_IS!Q61/BS_IS!Q53</f>
        <v>58.107264604957258</v>
      </c>
      <c r="R75" s="1238">
        <f ca="1">BS_IS!R61/BS_IS!R53</f>
        <v>12.3639442389739</v>
      </c>
      <c r="S75" s="1238">
        <f ca="1">BS_IS!S61/BS_IS!S53</f>
        <v>7.0197877420121335</v>
      </c>
      <c r="T75" s="1238">
        <f ca="1">BS_IS!T61/BS_IS!T53</f>
        <v>4.980596959288448</v>
      </c>
      <c r="U75" s="1238">
        <f ca="1">BS_IS!U61/BS_IS!U53</f>
        <v>3.6420525109094264</v>
      </c>
      <c r="V75" s="1238">
        <f ca="1">BS_IS!V61/BS_IS!V53</f>
        <v>3.6584727628837053</v>
      </c>
      <c r="W75" s="1238">
        <f ca="1">BS_IS!W61/BS_IS!W53</f>
        <v>2.7708503502810768</v>
      </c>
      <c r="X75" s="1238">
        <f ca="1">BS_IS!X61/BS_IS!X53</f>
        <v>2.4529308734488962</v>
      </c>
      <c r="Y75" s="1238">
        <f ca="1">BS_IS!Y61/BS_IS!Y53</f>
        <v>2.3347182747731674</v>
      </c>
      <c r="Z75" s="1238">
        <f ca="1">BS_IS!Z61/BS_IS!Z53</f>
        <v>2.4186390902192838</v>
      </c>
      <c r="AA75" s="1238">
        <f ca="1">BS_IS!AA61/BS_IS!AA53</f>
        <v>2.1530161444343969</v>
      </c>
      <c r="AB75" s="1238">
        <f ca="1">BS_IS!AB61/BS_IS!AB53</f>
        <v>2.2564062057245597</v>
      </c>
    </row>
    <row r="76" spans="1:52" s="1238" customFormat="1">
      <c r="A76" s="1237"/>
      <c r="B76" s="1237"/>
      <c r="C76" s="1237"/>
      <c r="F76" s="1239"/>
    </row>
    <row r="77" spans="1:52" s="1238" customFormat="1">
      <c r="A77" s="1240" t="s">
        <v>66</v>
      </c>
      <c r="B77" s="1237"/>
      <c r="C77" s="1237"/>
      <c r="F77" s="1239"/>
    </row>
    <row r="78" spans="1:52" s="1238" customFormat="1">
      <c r="A78" s="1237" t="s">
        <v>67</v>
      </c>
      <c r="B78" s="1237"/>
      <c r="C78" s="1237"/>
      <c r="F78" s="1239">
        <f ca="1">AVERAGE(G78:AB78)</f>
        <v>0.45291429047672016</v>
      </c>
      <c r="G78" s="1238">
        <f ca="1">BS_IS!G38/BS_IS!G17</f>
        <v>0</v>
      </c>
      <c r="H78" s="1238">
        <f ca="1">BS_IS!H38/BS_IS!H17</f>
        <v>0</v>
      </c>
      <c r="I78" s="1238">
        <f ca="1">BS_IS!I38/BS_IS!I17</f>
        <v>0</v>
      </c>
      <c r="J78" s="1238">
        <f ca="1">BS_IS!J38/BS_IS!J17</f>
        <v>6.9544133928663529E-2</v>
      </c>
      <c r="K78" s="1238">
        <f ca="1">BS_IS!K38/BS_IS!K17</f>
        <v>0.1292465277712205</v>
      </c>
      <c r="L78" s="1238">
        <f ca="1">BS_IS!L38/BS_IS!L17</f>
        <v>0.15025416633929722</v>
      </c>
      <c r="M78" s="1238">
        <f ca="1">BS_IS!M38/BS_IS!M17</f>
        <v>0.17530625240573058</v>
      </c>
      <c r="N78" s="1238">
        <f ca="1">BS_IS!N38/BS_IS!N17</f>
        <v>0.20782685719850422</v>
      </c>
      <c r="O78" s="1238">
        <f ca="1">BS_IS!O38/BS_IS!O17</f>
        <v>0.2534500076481771</v>
      </c>
      <c r="P78" s="1238">
        <f ca="1">BS_IS!P38/BS_IS!P17</f>
        <v>0.31765130150684606</v>
      </c>
      <c r="Q78" s="1238">
        <f ca="1">BS_IS!Q38/BS_IS!Q17</f>
        <v>0.38790468108892306</v>
      </c>
      <c r="R78" s="1238">
        <f ca="1">BS_IS!R38/BS_IS!R17</f>
        <v>0.45338025980465851</v>
      </c>
      <c r="S78" s="1238">
        <f ca="1">BS_IS!S38/BS_IS!S17</f>
        <v>0.53390661230440861</v>
      </c>
      <c r="T78" s="1238">
        <f ca="1">BS_IS!T38/BS_IS!T17</f>
        <v>0.65080029741184586</v>
      </c>
      <c r="U78" s="1238">
        <f ca="1">BS_IS!U38/BS_IS!U17</f>
        <v>0.83689033431453441</v>
      </c>
      <c r="V78" s="1238">
        <f ca="1">BS_IS!V38/BS_IS!V17</f>
        <v>0.95622018092841843</v>
      </c>
      <c r="W78" s="1238">
        <f ca="1">BS_IS!W38/BS_IS!W17</f>
        <v>1.0394312975092768</v>
      </c>
      <c r="X78" s="1238">
        <f ca="1">BS_IS!X38/BS_IS!X17</f>
        <v>0.98834629219713865</v>
      </c>
      <c r="Y78" s="1238">
        <f ca="1">BS_IS!Y38/BS_IS!Y17</f>
        <v>0.76467290860989412</v>
      </c>
      <c r="Z78" s="1238">
        <f ca="1">BS_IS!Z38/BS_IS!Z17</f>
        <v>0.70720263434281538</v>
      </c>
      <c r="AA78" s="1238">
        <f ca="1">BS_IS!AA38/BS_IS!AA17</f>
        <v>0.7262118113912831</v>
      </c>
      <c r="AB78" s="1238">
        <f ca="1">BS_IS!AB38/BS_IS!AB17</f>
        <v>0.61586783378620702</v>
      </c>
    </row>
    <row r="79" spans="1:52" s="1238" customFormat="1">
      <c r="A79" s="1237" t="s">
        <v>68</v>
      </c>
      <c r="B79" s="1237"/>
      <c r="C79" s="1237"/>
      <c r="F79" s="1239" t="e">
        <f>AVERAGE(G79:AB79)</f>
        <v>#DIV/0!</v>
      </c>
      <c r="G79" s="1241" t="s">
        <v>69</v>
      </c>
      <c r="H79" s="1241" t="s">
        <v>69</v>
      </c>
      <c r="I79" s="1241" t="s">
        <v>69</v>
      </c>
      <c r="J79" s="1241" t="s">
        <v>69</v>
      </c>
      <c r="K79" s="1241" t="s">
        <v>69</v>
      </c>
      <c r="L79" s="1241" t="s">
        <v>69</v>
      </c>
      <c r="M79" s="1241" t="s">
        <v>69</v>
      </c>
      <c r="N79" s="1241" t="s">
        <v>69</v>
      </c>
      <c r="O79" s="1241" t="s">
        <v>69</v>
      </c>
      <c r="P79" s="1241" t="s">
        <v>69</v>
      </c>
      <c r="Q79" s="1241" t="s">
        <v>69</v>
      </c>
      <c r="R79" s="1241" t="s">
        <v>69</v>
      </c>
      <c r="S79" s="1241" t="s">
        <v>69</v>
      </c>
      <c r="T79" s="1241" t="s">
        <v>69</v>
      </c>
      <c r="U79" s="1241" t="s">
        <v>69</v>
      </c>
      <c r="V79" s="1241" t="s">
        <v>69</v>
      </c>
      <c r="W79" s="1241" t="s">
        <v>69</v>
      </c>
      <c r="X79" s="1241" t="s">
        <v>69</v>
      </c>
      <c r="Y79" s="1241" t="s">
        <v>69</v>
      </c>
      <c r="Z79" s="1241" t="s">
        <v>69</v>
      </c>
      <c r="AA79" s="1241" t="s">
        <v>69</v>
      </c>
      <c r="AB79" s="1241" t="s">
        <v>69</v>
      </c>
    </row>
    <row r="80" spans="1:52" s="1238" customFormat="1">
      <c r="A80" s="1237" t="s">
        <v>70</v>
      </c>
      <c r="B80" s="1237"/>
      <c r="C80" s="1237"/>
      <c r="F80" s="1239">
        <f ca="1">AVERAGE(G80:AB80)</f>
        <v>0.36559543207836059</v>
      </c>
      <c r="G80" s="1238">
        <f ca="1">BS_IS!G38/BS_IS!G15</f>
        <v>0</v>
      </c>
      <c r="H80" s="1238">
        <f ca="1">BS_IS!H38/BS_IS!H15</f>
        <v>0</v>
      </c>
      <c r="I80" s="1238">
        <f ca="1">BS_IS!I38/BS_IS!I15</f>
        <v>0</v>
      </c>
      <c r="J80" s="1238">
        <f ca="1">BS_IS!J38/BS_IS!J15</f>
        <v>6.9867449387967948E-2</v>
      </c>
      <c r="K80" s="1238">
        <f ca="1">BS_IS!K38/BS_IS!K15</f>
        <v>0.12414743935583386</v>
      </c>
      <c r="L80" s="1238">
        <f ca="1">BS_IS!L38/BS_IS!L15</f>
        <v>0.1354117215764655</v>
      </c>
      <c r="M80" s="1238">
        <f ca="1">BS_IS!M38/BS_IS!M15</f>
        <v>0.14842704387535177</v>
      </c>
      <c r="N80" s="1238">
        <f ca="1">BS_IS!N38/BS_IS!N15</f>
        <v>0.16232803070629317</v>
      </c>
      <c r="O80" s="1238">
        <f ca="1">BS_IS!O38/BS_IS!O15</f>
        <v>0.1786833682975362</v>
      </c>
      <c r="P80" s="1238">
        <f ca="1">BS_IS!P38/BS_IS!P15</f>
        <v>0.19755197287808804</v>
      </c>
      <c r="Q80" s="1238">
        <f ca="1">BS_IS!Q38/BS_IS!Q15</f>
        <v>0.22014036038765566</v>
      </c>
      <c r="R80" s="1238">
        <f ca="1">BS_IS!R38/BS_IS!R15</f>
        <v>0.24553217389058662</v>
      </c>
      <c r="S80" s="1238">
        <f ca="1">BS_IS!S38/BS_IS!S15</f>
        <v>0.27668914997305771</v>
      </c>
      <c r="T80" s="1238">
        <f ca="1">BS_IS!T38/BS_IS!T15</f>
        <v>0.3147276258200703</v>
      </c>
      <c r="U80" s="1238">
        <f ca="1">BS_IS!U38/BS_IS!U15</f>
        <v>0.36317914234773974</v>
      </c>
      <c r="V80" s="1238">
        <f ca="1">BS_IS!V38/BS_IS!V15</f>
        <v>0.42312024082415883</v>
      </c>
      <c r="W80" s="1238">
        <f ca="1">BS_IS!W38/BS_IS!W15</f>
        <v>0.50413474369136635</v>
      </c>
      <c r="X80" s="1238">
        <f ca="1">BS_IS!X38/BS_IS!X15</f>
        <v>0.61706551326385983</v>
      </c>
      <c r="Y80" s="1238">
        <f ca="1">BS_IS!Y38/BS_IS!Y15</f>
        <v>0.7871199452729094</v>
      </c>
      <c r="Z80" s="1238">
        <f ca="1">BS_IS!Z38/BS_IS!Z15</f>
        <v>1.0601891283104594</v>
      </c>
      <c r="AA80" s="1238">
        <f ca="1">BS_IS!AA38/BS_IS!AA15</f>
        <v>1.5911569991055592</v>
      </c>
      <c r="AB80" s="1238">
        <f ca="1">BS_IS!AB38/BS_IS!AB15</f>
        <v>0.62362745675897391</v>
      </c>
    </row>
    <row r="81" spans="1:52" s="1238" customFormat="1">
      <c r="A81" s="1237"/>
      <c r="B81" s="1237"/>
      <c r="C81" s="1237"/>
      <c r="F81" s="1239"/>
    </row>
    <row r="82" spans="1:52" s="1238" customFormat="1">
      <c r="A82" s="1240" t="s">
        <v>71</v>
      </c>
      <c r="B82" s="1237"/>
      <c r="C82" s="1237"/>
      <c r="F82" s="1239"/>
    </row>
    <row r="83" spans="1:52" s="1238" customFormat="1">
      <c r="A83" s="1237" t="s">
        <v>72</v>
      </c>
      <c r="B83" s="1237"/>
      <c r="C83" s="1237"/>
      <c r="F83" s="1239" t="s">
        <v>69</v>
      </c>
      <c r="G83" s="1241" t="s">
        <v>69</v>
      </c>
      <c r="H83" s="1241" t="s">
        <v>69</v>
      </c>
      <c r="I83" s="1241" t="s">
        <v>69</v>
      </c>
      <c r="J83" s="1241" t="s">
        <v>69</v>
      </c>
      <c r="K83" s="1241" t="s">
        <v>69</v>
      </c>
      <c r="L83" s="1241" t="s">
        <v>69</v>
      </c>
      <c r="M83" s="1241" t="s">
        <v>69</v>
      </c>
      <c r="N83" s="1241" t="s">
        <v>69</v>
      </c>
      <c r="O83" s="1241" t="s">
        <v>69</v>
      </c>
      <c r="P83" s="1241" t="s">
        <v>69</v>
      </c>
      <c r="Q83" s="1241" t="s">
        <v>69</v>
      </c>
      <c r="R83" s="1241" t="s">
        <v>69</v>
      </c>
      <c r="S83" s="1241" t="s">
        <v>69</v>
      </c>
      <c r="T83" s="1241" t="s">
        <v>69</v>
      </c>
      <c r="U83" s="1241" t="s">
        <v>69</v>
      </c>
      <c r="V83" s="1241" t="s">
        <v>69</v>
      </c>
      <c r="W83" s="1241" t="s">
        <v>69</v>
      </c>
      <c r="X83" s="1241" t="s">
        <v>69</v>
      </c>
      <c r="Y83" s="1241" t="s">
        <v>69</v>
      </c>
      <c r="Z83" s="1241" t="s">
        <v>69</v>
      </c>
      <c r="AA83" s="1241" t="s">
        <v>69</v>
      </c>
      <c r="AB83" s="1241" t="s">
        <v>69</v>
      </c>
    </row>
    <row r="84" spans="1:52" s="1238" customFormat="1">
      <c r="A84" s="1237" t="s">
        <v>73</v>
      </c>
      <c r="B84" s="1237"/>
      <c r="C84" s="1237"/>
      <c r="F84" s="1239" t="s">
        <v>69</v>
      </c>
      <c r="G84" s="1241" t="s">
        <v>69</v>
      </c>
      <c r="H84" s="1241" t="s">
        <v>69</v>
      </c>
      <c r="I84" s="1241" t="s">
        <v>69</v>
      </c>
      <c r="J84" s="1241" t="s">
        <v>69</v>
      </c>
      <c r="K84" s="1241" t="s">
        <v>69</v>
      </c>
      <c r="L84" s="1241" t="s">
        <v>69</v>
      </c>
      <c r="M84" s="1241" t="s">
        <v>69</v>
      </c>
      <c r="N84" s="1241" t="s">
        <v>69</v>
      </c>
      <c r="O84" s="1241" t="s">
        <v>69</v>
      </c>
      <c r="P84" s="1241" t="s">
        <v>69</v>
      </c>
      <c r="Q84" s="1241" t="s">
        <v>69</v>
      </c>
      <c r="R84" s="1241" t="s">
        <v>69</v>
      </c>
      <c r="S84" s="1241" t="s">
        <v>69</v>
      </c>
      <c r="T84" s="1241" t="s">
        <v>69</v>
      </c>
      <c r="U84" s="1241" t="s">
        <v>69</v>
      </c>
      <c r="V84" s="1241" t="s">
        <v>69</v>
      </c>
      <c r="W84" s="1241" t="s">
        <v>69</v>
      </c>
      <c r="X84" s="1241" t="s">
        <v>69</v>
      </c>
      <c r="Y84" s="1241" t="s">
        <v>69</v>
      </c>
      <c r="Z84" s="1241" t="s">
        <v>69</v>
      </c>
      <c r="AA84" s="1241" t="s">
        <v>69</v>
      </c>
      <c r="AB84" s="1241" t="s">
        <v>69</v>
      </c>
    </row>
    <row r="85" spans="1:52" s="1238" customFormat="1">
      <c r="A85" s="1237" t="s">
        <v>74</v>
      </c>
      <c r="B85" s="1237"/>
      <c r="C85" s="1237"/>
      <c r="F85" s="1239">
        <f ca="1">AVERAGE(J85:X85)</f>
        <v>3.5953616784481075</v>
      </c>
      <c r="G85" s="1238" t="s">
        <v>39</v>
      </c>
      <c r="H85" s="1238" t="s">
        <v>39</v>
      </c>
      <c r="I85" s="1238" t="s">
        <v>39</v>
      </c>
      <c r="J85" s="1238">
        <f ca="1">(BS_IS!J41+BS_IS!J43)/-SUM(BS_IS!J44:J46)</f>
        <v>-4.3340720715375883E-2</v>
      </c>
      <c r="K85" s="1238">
        <f ca="1">(BS_IS!K41+BS_IS!K43)/-SUM(BS_IS!K44:K46)</f>
        <v>0.16065557344812217</v>
      </c>
      <c r="L85" s="1238">
        <f ca="1">(BS_IS!L41+BS_IS!L43)/-SUM(BS_IS!L44:L46)</f>
        <v>0.12315885424537702</v>
      </c>
      <c r="M85" s="1238">
        <f ca="1">(BS_IS!M41+BS_IS!M43)/-SUM(BS_IS!M44:M46)</f>
        <v>0.55539481723279627</v>
      </c>
      <c r="N85" s="1238">
        <f ca="1">(BS_IS!N41+BS_IS!N43)/-SUM(BS_IS!N44:N46)</f>
        <v>0.64994468602204991</v>
      </c>
      <c r="O85" s="1238">
        <f ca="1">(BS_IS!O41+BS_IS!O43)/-SUM(BS_IS!O44:O46)</f>
        <v>0.72634458340903896</v>
      </c>
      <c r="P85" s="1238">
        <f ca="1">(BS_IS!P41+BS_IS!P43)/-SUM(BS_IS!P44:P46)</f>
        <v>0.85768921239085338</v>
      </c>
      <c r="Q85" s="1238">
        <f ca="1">(BS_IS!Q41+BS_IS!Q43)/-SUM(BS_IS!Q44:Q46)</f>
        <v>1.0095223924019916</v>
      </c>
      <c r="R85" s="1238">
        <f ca="1">(BS_IS!R41+BS_IS!R43)/-SUM(BS_IS!R44:R46)</f>
        <v>1.2361293281872223</v>
      </c>
      <c r="S85" s="1238">
        <f ca="1">(BS_IS!S41+BS_IS!S43)/-SUM(BS_IS!S44:S46)</f>
        <v>1.4996384993206082</v>
      </c>
      <c r="T85" s="1238">
        <f ca="1">(BS_IS!T41+BS_IS!T43)/-SUM(BS_IS!T44:T46)</f>
        <v>1.9630194758337727</v>
      </c>
      <c r="U85" s="1238">
        <f ca="1">(BS_IS!U41+BS_IS!U43)/-SUM(BS_IS!U44:U46)</f>
        <v>2.869288004811434</v>
      </c>
      <c r="V85" s="1238">
        <f ca="1">(BS_IS!V41+BS_IS!V43)/-SUM(BS_IS!V44:V46)</f>
        <v>4.0515617461804165</v>
      </c>
      <c r="W85" s="1238">
        <f ca="1">(BS_IS!W41+BS_IS!W43)/-SUM(BS_IS!W44:W46)</f>
        <v>8.3352222095605892</v>
      </c>
      <c r="X85" s="1238">
        <f ca="1">(BS_IS!X41+BS_IS!X43)/-SUM(BS_IS!X44:X46)</f>
        <v>29.936196514392716</v>
      </c>
      <c r="Y85" s="1238" t="s">
        <v>39</v>
      </c>
      <c r="Z85" s="1238" t="s">
        <v>39</v>
      </c>
      <c r="AA85" s="1238" t="s">
        <v>39</v>
      </c>
      <c r="AB85" s="1238" t="s">
        <v>39</v>
      </c>
    </row>
    <row r="86" spans="1:52" s="1238" customFormat="1">
      <c r="A86" s="1237" t="s">
        <v>75</v>
      </c>
      <c r="B86" s="1237"/>
      <c r="C86" s="1237"/>
      <c r="F86" s="1239">
        <f ca="1">AVERAGE(J86:W86)</f>
        <v>1.2843490969258042</v>
      </c>
      <c r="G86" s="1238" t="s">
        <v>39</v>
      </c>
      <c r="H86" s="1238" t="s">
        <v>39</v>
      </c>
      <c r="I86" s="1238" t="s">
        <v>39</v>
      </c>
      <c r="J86" s="1238">
        <f ca="1">BS_IS!J41/'Debt Amort'!G14</f>
        <v>1.4538638956244661</v>
      </c>
      <c r="K86" s="1238">
        <f ca="1">BS_IS!K41/'Debt Amort'!H14</f>
        <v>0.85566333202190781</v>
      </c>
      <c r="L86" s="1238">
        <f ca="1">BS_IS!L41/'Debt Amort'!I14</f>
        <v>0.75662182185004945</v>
      </c>
      <c r="M86" s="1238">
        <f ca="1">BS_IS!M41/'Debt Amort'!J14</f>
        <v>0.90805617985733933</v>
      </c>
      <c r="N86" s="1238">
        <f ca="1">BS_IS!N41/'Debt Amort'!K14</f>
        <v>0.88728566013559951</v>
      </c>
      <c r="O86" s="1238">
        <f ca="1">BS_IS!O41/'Debt Amort'!L14</f>
        <v>0.8807904951148875</v>
      </c>
      <c r="P86" s="1238">
        <f ca="1">BS_IS!P41/'Debt Amort'!M14</f>
        <v>0.91415757744606718</v>
      </c>
      <c r="Q86" s="1238">
        <f ca="1">BS_IS!Q41/'Debt Amort'!N14</f>
        <v>1.1550978457940368</v>
      </c>
      <c r="R86" s="1238">
        <f ca="1">BS_IS!R41/'Debt Amort'!O14</f>
        <v>1.5575795764213445</v>
      </c>
      <c r="S86" s="1238">
        <f ca="1">BS_IS!S41/'Debt Amort'!P14</f>
        <v>1.6839607104090002</v>
      </c>
      <c r="T86" s="1238">
        <f ca="1">BS_IS!T41/'Debt Amort'!Q14</f>
        <v>1.6415027003256681</v>
      </c>
      <c r="U86" s="1238">
        <f ca="1">BS_IS!U41/'Debt Amort'!R14</f>
        <v>1.6290491138325438</v>
      </c>
      <c r="V86" s="1238">
        <f ca="1">BS_IS!V41/'Debt Amort'!S14</f>
        <v>1.6621856903506591</v>
      </c>
      <c r="W86" s="1238">
        <f ca="1">BS_IS!W41/'Debt Amort'!T14</f>
        <v>1.9950727577776888</v>
      </c>
      <c r="X86" s="1238">
        <f ca="1">BS_IS!X41/'Debt Amort'!U14</f>
        <v>3.1692854249629554</v>
      </c>
      <c r="Y86" s="1238" t="s">
        <v>39</v>
      </c>
      <c r="Z86" s="1238" t="s">
        <v>39</v>
      </c>
      <c r="AA86" s="1238" t="s">
        <v>39</v>
      </c>
      <c r="AB86" s="1238" t="s">
        <v>39</v>
      </c>
    </row>
    <row r="87" spans="1:52" s="1196" customFormat="1">
      <c r="A87" s="242"/>
      <c r="B87" s="242"/>
      <c r="C87" s="242"/>
      <c r="D87" s="1228"/>
      <c r="E87" s="1228"/>
      <c r="F87" s="1228"/>
      <c r="G87" s="1228"/>
      <c r="H87" s="1229"/>
      <c r="I87" s="1230"/>
      <c r="J87" s="1230"/>
      <c r="K87" s="1230"/>
      <c r="L87" s="1230"/>
      <c r="M87" s="1230"/>
      <c r="N87" s="1230"/>
      <c r="O87" s="1230"/>
      <c r="P87" s="1230"/>
      <c r="Q87" s="1230"/>
      <c r="R87" s="1230"/>
      <c r="S87" s="1230"/>
      <c r="T87" s="1230"/>
      <c r="U87" s="1230"/>
      <c r="V87" s="1230"/>
      <c r="W87" s="1230"/>
      <c r="X87" s="1230"/>
      <c r="Y87" s="1230"/>
      <c r="Z87" s="1230"/>
      <c r="AA87" s="1230"/>
      <c r="AB87" s="1230"/>
      <c r="AC87" s="1228"/>
      <c r="AD87" s="1228"/>
      <c r="AE87" s="1228"/>
      <c r="AF87" s="1228"/>
      <c r="AG87" s="1228"/>
      <c r="AH87" s="1228"/>
      <c r="AI87" s="1228"/>
      <c r="AJ87" s="1228"/>
      <c r="AK87" s="1228"/>
      <c r="AL87" s="1228"/>
      <c r="AM87" s="1228"/>
      <c r="AN87" s="1228"/>
      <c r="AO87" s="1228"/>
      <c r="AP87" s="1228"/>
      <c r="AQ87" s="1228"/>
      <c r="AR87" s="1228"/>
      <c r="AS87" s="1228"/>
      <c r="AT87" s="1228"/>
      <c r="AU87" s="1228"/>
      <c r="AV87" s="1228"/>
      <c r="AW87" s="1228"/>
      <c r="AX87" s="1228"/>
      <c r="AY87" s="1228"/>
      <c r="AZ87" s="1228"/>
    </row>
    <row r="88" spans="1:52" s="1196" customFormat="1">
      <c r="A88" s="242"/>
      <c r="B88" s="242"/>
      <c r="C88" s="242"/>
      <c r="D88" s="1228"/>
      <c r="E88" s="1228"/>
      <c r="F88" s="1228"/>
      <c r="G88" s="1228"/>
      <c r="H88" s="1230"/>
      <c r="I88" s="1230"/>
      <c r="J88" s="1230"/>
      <c r="K88" s="1230"/>
      <c r="L88" s="1230"/>
      <c r="M88" s="1230"/>
      <c r="N88" s="1230"/>
      <c r="O88" s="1230"/>
      <c r="P88" s="1230"/>
      <c r="Q88" s="1230"/>
      <c r="R88" s="1230"/>
      <c r="S88" s="1230"/>
      <c r="T88" s="1230"/>
      <c r="U88" s="1230"/>
      <c r="V88" s="1230"/>
      <c r="W88" s="1230"/>
      <c r="X88" s="1230"/>
      <c r="Y88" s="1230"/>
      <c r="Z88" s="1230"/>
      <c r="AA88" s="1230"/>
      <c r="AB88" s="1230"/>
      <c r="AC88" s="1228"/>
      <c r="AD88" s="1228"/>
      <c r="AE88" s="1228"/>
      <c r="AF88" s="1228"/>
      <c r="AG88" s="1228"/>
      <c r="AH88" s="1228"/>
      <c r="AI88" s="1228"/>
      <c r="AJ88" s="1228"/>
      <c r="AK88" s="1228"/>
      <c r="AL88" s="1228"/>
      <c r="AM88" s="1228"/>
      <c r="AN88" s="1228"/>
      <c r="AO88" s="1228"/>
      <c r="AP88" s="1228"/>
      <c r="AQ88" s="1228"/>
      <c r="AR88" s="1228"/>
      <c r="AS88" s="1228"/>
      <c r="AT88" s="1228"/>
      <c r="AU88" s="1228"/>
      <c r="AV88" s="1228"/>
      <c r="AW88" s="1228"/>
      <c r="AX88" s="1228"/>
      <c r="AY88" s="1228"/>
      <c r="AZ88" s="1228"/>
    </row>
    <row r="89" spans="1:52" s="1196" customFormat="1">
      <c r="A89" s="1223"/>
      <c r="B89" s="1223"/>
      <c r="C89" s="1223"/>
      <c r="D89" s="1223"/>
      <c r="E89" s="1223"/>
      <c r="F89" s="1223"/>
      <c r="G89" s="1223"/>
    </row>
    <row r="90" spans="1:52" s="1196" customFormat="1">
      <c r="A90" s="1223"/>
      <c r="B90" s="1223"/>
      <c r="C90" s="1223"/>
      <c r="D90" s="1223"/>
      <c r="E90" s="1223"/>
      <c r="F90" s="1223"/>
      <c r="G90" s="1223"/>
    </row>
    <row r="91" spans="1:52" s="1196" customFormat="1">
      <c r="A91" s="1223"/>
      <c r="B91" s="1223"/>
      <c r="C91" s="1223"/>
      <c r="D91" s="1223"/>
      <c r="E91" s="1223"/>
    </row>
    <row r="92" spans="1:52" s="1196" customFormat="1">
      <c r="A92" s="1223"/>
      <c r="B92" s="1223"/>
      <c r="C92" s="1223"/>
      <c r="D92" s="1223"/>
      <c r="E92" s="1223"/>
    </row>
  </sheetData>
  <pageMargins left="0.75" right="0.75" top="1" bottom="1" header="0.5" footer="0.5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89"/>
  <sheetViews>
    <sheetView showGridLines="0" topLeftCell="A15" zoomScale="75" workbookViewId="0">
      <selection activeCell="A15" sqref="A1:IV65536"/>
    </sheetView>
  </sheetViews>
  <sheetFormatPr defaultColWidth="9.109375" defaultRowHeight="13.2"/>
  <cols>
    <col min="1" max="2" width="2.6640625" style="8" customWidth="1"/>
    <col min="3" max="3" width="9.109375" style="8"/>
    <col min="4" max="4" width="14.109375" style="5" customWidth="1"/>
    <col min="5" max="5" width="8.44140625" style="5" customWidth="1"/>
    <col min="6" max="28" width="10.6640625" style="5" customWidth="1"/>
    <col min="29" max="29" width="10.6640625" style="8" customWidth="1"/>
    <col min="30" max="16384" width="9.109375" style="5"/>
  </cols>
  <sheetData>
    <row r="1" spans="1:31" s="242" customFormat="1" ht="15.6">
      <c r="A1" s="998" t="str">
        <f>Assm!A1</f>
        <v>GASOCIDENTE DO MATO GROSSO LTDA (GASMAT) *** DRAFT COPY ***</v>
      </c>
      <c r="B1" s="241"/>
      <c r="C1" s="279"/>
      <c r="D1" s="241"/>
      <c r="E1" s="283"/>
      <c r="F1" s="132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4"/>
    </row>
    <row r="2" spans="1:31" s="242" customFormat="1" ht="15.6">
      <c r="A2" s="998" t="str">
        <f>Assm!A2</f>
        <v>257 KM PIPELINE SPUR FOR CUIABA POWER PLANT (BRAZIL)</v>
      </c>
      <c r="B2" s="241"/>
      <c r="C2" s="279"/>
      <c r="D2" s="241"/>
      <c r="E2" s="283"/>
      <c r="F2" s="132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4"/>
    </row>
    <row r="3" spans="1:31" s="242" customFormat="1" ht="15">
      <c r="A3" s="246" t="str">
        <f>Assm!A3</f>
        <v>ENRON INTERNATIONAL</v>
      </c>
      <c r="B3" s="246"/>
      <c r="C3" s="279"/>
      <c r="D3" s="246"/>
      <c r="E3" s="283"/>
      <c r="F3" s="132"/>
      <c r="G3" s="283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4"/>
    </row>
    <row r="4" spans="1:31" s="242" customFormat="1" ht="15">
      <c r="A4" s="818" t="s">
        <v>1008</v>
      </c>
      <c r="B4" s="818"/>
      <c r="C4" s="878"/>
      <c r="D4" s="818"/>
      <c r="E4" s="1051"/>
      <c r="F4" s="132"/>
      <c r="G4" s="283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4"/>
    </row>
    <row r="5" spans="1:31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E5" s="1044" t="s">
        <v>951</v>
      </c>
    </row>
    <row r="6" spans="1:31">
      <c r="A6" s="400"/>
      <c r="B6" s="74"/>
      <c r="C6" s="74"/>
      <c r="D6" s="74"/>
      <c r="E6" s="74"/>
      <c r="F6" s="571" t="s">
        <v>265</v>
      </c>
      <c r="G6" s="862">
        <v>0</v>
      </c>
      <c r="H6" s="74">
        <f t="shared" ref="H6:AB6" si="0">IF(H$7&lt;YEAR(Startops1),0,G$6+1)</f>
        <v>0</v>
      </c>
      <c r="I6" s="74">
        <f t="shared" si="0"/>
        <v>0</v>
      </c>
      <c r="J6" s="74">
        <f t="shared" si="0"/>
        <v>1</v>
      </c>
      <c r="K6" s="74">
        <f t="shared" si="0"/>
        <v>2</v>
      </c>
      <c r="L6" s="74">
        <f t="shared" si="0"/>
        <v>3</v>
      </c>
      <c r="M6" s="74">
        <f t="shared" si="0"/>
        <v>4</v>
      </c>
      <c r="N6" s="74">
        <f t="shared" si="0"/>
        <v>5</v>
      </c>
      <c r="O6" s="74">
        <f t="shared" si="0"/>
        <v>6</v>
      </c>
      <c r="P6" s="74">
        <f t="shared" si="0"/>
        <v>7</v>
      </c>
      <c r="Q6" s="74">
        <f t="shared" si="0"/>
        <v>8</v>
      </c>
      <c r="R6" s="74">
        <f t="shared" si="0"/>
        <v>9</v>
      </c>
      <c r="S6" s="74">
        <f t="shared" si="0"/>
        <v>10</v>
      </c>
      <c r="T6" s="74">
        <f t="shared" si="0"/>
        <v>11</v>
      </c>
      <c r="U6" s="74">
        <f t="shared" si="0"/>
        <v>12</v>
      </c>
      <c r="V6" s="74">
        <f t="shared" si="0"/>
        <v>13</v>
      </c>
      <c r="W6" s="74">
        <f t="shared" si="0"/>
        <v>14</v>
      </c>
      <c r="X6" s="74">
        <f t="shared" si="0"/>
        <v>15</v>
      </c>
      <c r="Y6" s="74">
        <f t="shared" si="0"/>
        <v>16</v>
      </c>
      <c r="Z6" s="74">
        <f t="shared" si="0"/>
        <v>17</v>
      </c>
      <c r="AA6" s="74">
        <f t="shared" si="0"/>
        <v>18</v>
      </c>
      <c r="AB6" s="74">
        <f t="shared" si="0"/>
        <v>19</v>
      </c>
      <c r="AC6" s="416"/>
      <c r="AE6" s="1048" t="s">
        <v>959</v>
      </c>
    </row>
    <row r="7" spans="1:31" ht="13.8" thickBot="1">
      <c r="A7" s="879" t="s">
        <v>264</v>
      </c>
      <c r="B7" s="324"/>
      <c r="C7" s="324"/>
      <c r="D7" s="77"/>
      <c r="E7" s="77"/>
      <c r="F7" s="151" t="s">
        <v>266</v>
      </c>
      <c r="G7" s="985">
        <v>1998</v>
      </c>
      <c r="H7" s="80">
        <f>G7+1</f>
        <v>1999</v>
      </c>
      <c r="I7" s="80">
        <f t="shared" ref="I7:AB7" si="1">H7+1</f>
        <v>2000</v>
      </c>
      <c r="J7" s="80">
        <f t="shared" si="1"/>
        <v>2001</v>
      </c>
      <c r="K7" s="80">
        <f t="shared" si="1"/>
        <v>2002</v>
      </c>
      <c r="L7" s="80">
        <f t="shared" si="1"/>
        <v>2003</v>
      </c>
      <c r="M7" s="80">
        <f t="shared" si="1"/>
        <v>2004</v>
      </c>
      <c r="N7" s="80">
        <f t="shared" si="1"/>
        <v>2005</v>
      </c>
      <c r="O7" s="80">
        <f t="shared" si="1"/>
        <v>2006</v>
      </c>
      <c r="P7" s="80">
        <f t="shared" si="1"/>
        <v>2007</v>
      </c>
      <c r="Q7" s="80">
        <f t="shared" si="1"/>
        <v>2008</v>
      </c>
      <c r="R7" s="80">
        <f t="shared" si="1"/>
        <v>2009</v>
      </c>
      <c r="S7" s="80">
        <f t="shared" si="1"/>
        <v>2010</v>
      </c>
      <c r="T7" s="80">
        <f t="shared" si="1"/>
        <v>2011</v>
      </c>
      <c r="U7" s="80">
        <f t="shared" si="1"/>
        <v>2012</v>
      </c>
      <c r="V7" s="80">
        <f t="shared" si="1"/>
        <v>2013</v>
      </c>
      <c r="W7" s="80">
        <f t="shared" si="1"/>
        <v>2014</v>
      </c>
      <c r="X7" s="80">
        <f t="shared" si="1"/>
        <v>2015</v>
      </c>
      <c r="Y7" s="80">
        <f t="shared" si="1"/>
        <v>2016</v>
      </c>
      <c r="Z7" s="80">
        <f t="shared" si="1"/>
        <v>2017</v>
      </c>
      <c r="AA7" s="80">
        <f t="shared" si="1"/>
        <v>2018</v>
      </c>
      <c r="AB7" s="80">
        <f t="shared" si="1"/>
        <v>2019</v>
      </c>
      <c r="AC7" s="417" t="s">
        <v>186</v>
      </c>
      <c r="AE7" s="882">
        <v>1</v>
      </c>
    </row>
    <row r="8" spans="1:31">
      <c r="A8" s="215" t="s">
        <v>397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19"/>
      <c r="AE8" s="302">
        <f t="shared" ref="AE8:AE35" si="2">AE7+1</f>
        <v>2</v>
      </c>
    </row>
    <row r="9" spans="1:31">
      <c r="A9" s="137"/>
      <c r="B9" s="8" t="s">
        <v>398</v>
      </c>
      <c r="D9" s="8"/>
      <c r="E9" s="8"/>
      <c r="F9" s="880">
        <v>0</v>
      </c>
      <c r="G9" s="53">
        <f ca="1">G89</f>
        <v>0</v>
      </c>
      <c r="H9" s="53">
        <f ca="1">H89</f>
        <v>7.2759576141834259E-12</v>
      </c>
      <c r="I9" s="53">
        <f t="shared" ref="I9:Z9" ca="1" si="3">I89</f>
        <v>-7.2759576141834259E-12</v>
      </c>
      <c r="J9" s="53">
        <f t="shared" ca="1" si="3"/>
        <v>-7.2759576141834259E-12</v>
      </c>
      <c r="K9" s="53">
        <f t="shared" ca="1" si="3"/>
        <v>-7.2759576141834259E-12</v>
      </c>
      <c r="L9" s="53">
        <f t="shared" ca="1" si="3"/>
        <v>-7.2759576141834259E-12</v>
      </c>
      <c r="M9" s="53">
        <f t="shared" ca="1" si="3"/>
        <v>-7.2759576141834259E-12</v>
      </c>
      <c r="N9" s="53">
        <f t="shared" ca="1" si="3"/>
        <v>-7.2759576141834259E-12</v>
      </c>
      <c r="O9" s="53">
        <f t="shared" ca="1" si="3"/>
        <v>-7.2759576141834259E-12</v>
      </c>
      <c r="P9" s="53">
        <f t="shared" ca="1" si="3"/>
        <v>-7.2759576141834259E-12</v>
      </c>
      <c r="Q9" s="53">
        <f t="shared" ca="1" si="3"/>
        <v>-7.2759576141834259E-12</v>
      </c>
      <c r="R9" s="53">
        <f t="shared" ca="1" si="3"/>
        <v>-7.2759576141834259E-12</v>
      </c>
      <c r="S9" s="53">
        <f t="shared" ca="1" si="3"/>
        <v>-7.2759576141834259E-12</v>
      </c>
      <c r="T9" s="53">
        <f t="shared" ca="1" si="3"/>
        <v>-7.2759576141834259E-12</v>
      </c>
      <c r="U9" s="53">
        <f t="shared" ca="1" si="3"/>
        <v>-7.2759576141834259E-12</v>
      </c>
      <c r="V9" s="53">
        <f t="shared" ca="1" si="3"/>
        <v>-7.2759576141834259E-12</v>
      </c>
      <c r="W9" s="53">
        <f t="shared" ca="1" si="3"/>
        <v>-7.2759576141834259E-12</v>
      </c>
      <c r="X9" s="53">
        <f t="shared" ca="1" si="3"/>
        <v>-7.2759576141834259E-12</v>
      </c>
      <c r="Y9" s="53">
        <f t="shared" ca="1" si="3"/>
        <v>-7.2759576141834259E-12</v>
      </c>
      <c r="Z9" s="53">
        <f t="shared" ca="1" si="3"/>
        <v>-7.2759576141834259E-12</v>
      </c>
      <c r="AA9" s="53">
        <f ca="1">AA89</f>
        <v>-7.2759576141834259E-12</v>
      </c>
      <c r="AB9" s="53">
        <f ca="1">AB89</f>
        <v>-7.2759576141834259E-12</v>
      </c>
      <c r="AC9" s="423"/>
      <c r="AE9" s="302">
        <f t="shared" si="2"/>
        <v>3</v>
      </c>
    </row>
    <row r="10" spans="1:31">
      <c r="A10" s="137"/>
      <c r="B10" s="8" t="s">
        <v>267</v>
      </c>
      <c r="D10" s="8"/>
      <c r="E10" s="8"/>
      <c r="F10" s="880">
        <v>0</v>
      </c>
      <c r="G10" s="53">
        <f>-SUM($G72:G72)</f>
        <v>0</v>
      </c>
      <c r="H10" s="53">
        <f>-SUM($G72:H72)</f>
        <v>0</v>
      </c>
      <c r="I10" s="53">
        <f>-SUM($G72:I72)</f>
        <v>0</v>
      </c>
      <c r="J10" s="53">
        <f>-SUM($G72:J72)</f>
        <v>146</v>
      </c>
      <c r="K10" s="53">
        <f>-SUM($G72:K72)</f>
        <v>146</v>
      </c>
      <c r="L10" s="53">
        <f>-SUM($G72:L72)</f>
        <v>146</v>
      </c>
      <c r="M10" s="53">
        <f>-SUM($G72:M72)</f>
        <v>146</v>
      </c>
      <c r="N10" s="53">
        <f>-SUM($G72:N72)</f>
        <v>146</v>
      </c>
      <c r="O10" s="53">
        <f>-SUM($G72:O72)</f>
        <v>146</v>
      </c>
      <c r="P10" s="53">
        <f>-SUM($G72:P72)</f>
        <v>146</v>
      </c>
      <c r="Q10" s="53">
        <f>-SUM($G72:Q72)</f>
        <v>146</v>
      </c>
      <c r="R10" s="53">
        <f>-SUM($G72:R72)</f>
        <v>146</v>
      </c>
      <c r="S10" s="53">
        <f>-SUM($G72:S72)</f>
        <v>146</v>
      </c>
      <c r="T10" s="53">
        <f>-SUM($G72:T72)</f>
        <v>146</v>
      </c>
      <c r="U10" s="53">
        <f>-SUM($G72:U72)</f>
        <v>146</v>
      </c>
      <c r="V10" s="53">
        <f>-SUM($G72:V72)</f>
        <v>146</v>
      </c>
      <c r="W10" s="53">
        <f>-SUM($G72:W72)</f>
        <v>146</v>
      </c>
      <c r="X10" s="53">
        <f>-SUM($G72:X72)</f>
        <v>146</v>
      </c>
      <c r="Y10" s="53">
        <f>-SUM($G72:Y72)</f>
        <v>146</v>
      </c>
      <c r="Z10" s="53">
        <f>-SUM($G72:Z72)</f>
        <v>146</v>
      </c>
      <c r="AA10" s="53">
        <f>-SUM($G72:AA72)</f>
        <v>146</v>
      </c>
      <c r="AB10" s="53">
        <f>-SUM($G72:AB72)</f>
        <v>146</v>
      </c>
      <c r="AC10" s="423"/>
      <c r="AE10" s="302">
        <f t="shared" si="2"/>
        <v>4</v>
      </c>
    </row>
    <row r="11" spans="1:31">
      <c r="A11" s="137"/>
      <c r="B11" s="8" t="s">
        <v>574</v>
      </c>
      <c r="D11" s="8"/>
      <c r="E11" s="8"/>
      <c r="F11" s="880">
        <v>0</v>
      </c>
      <c r="G11" s="53">
        <f ca="1">-SUM($G73:G74)</f>
        <v>0</v>
      </c>
      <c r="H11" s="53">
        <f ca="1">-SUM($G73:H74)</f>
        <v>0</v>
      </c>
      <c r="I11" s="53">
        <f ca="1">-SUM($G73:I74)</f>
        <v>0</v>
      </c>
      <c r="J11" s="53">
        <f ca="1">-SUM($G73:J74)</f>
        <v>417.21067871119703</v>
      </c>
      <c r="K11" s="53">
        <f ca="1">-SUM($G73:K74)</f>
        <v>-4676.0941510792645</v>
      </c>
      <c r="L11" s="53">
        <f ca="1">-SUM($G73:L74)</f>
        <v>-10864.233528642588</v>
      </c>
      <c r="M11" s="53">
        <f ca="1">-SUM($G73:M74)</f>
        <v>-15813.434129911886</v>
      </c>
      <c r="N11" s="53">
        <f ca="1">-SUM($G73:N74)</f>
        <v>-21132.8370256454</v>
      </c>
      <c r="O11" s="53">
        <f ca="1">-SUM($G73:O74)</f>
        <v>-26560.448623139542</v>
      </c>
      <c r="P11" s="53">
        <f ca="1">-SUM($G73:P74)</f>
        <v>-31610.736869433225</v>
      </c>
      <c r="Q11" s="53">
        <f ca="1">-SUM($G73:Q74)</f>
        <v>-33404.642175617468</v>
      </c>
      <c r="R11" s="53">
        <f ca="1">-SUM($G73:R74)</f>
        <v>-32502.780106171704</v>
      </c>
      <c r="S11" s="53">
        <f ca="1">-SUM($G73:S74)</f>
        <v>-31103.940207340616</v>
      </c>
      <c r="T11" s="53">
        <f ca="1">-SUM($G73:T74)</f>
        <v>-30065.561038868131</v>
      </c>
      <c r="U11" s="53">
        <f ca="1">-SUM($G73:U74)</f>
        <v>-29363.849382643832</v>
      </c>
      <c r="V11" s="53">
        <f ca="1">-SUM($G73:V74)</f>
        <v>-25399.77207631354</v>
      </c>
      <c r="W11" s="53">
        <f ca="1">-SUM($G73:W74)</f>
        <v>-20218.776755727158</v>
      </c>
      <c r="X11" s="53">
        <f ca="1">-SUM($G73:X74)</f>
        <v>-12413.670295625809</v>
      </c>
      <c r="Y11" s="53">
        <f ca="1">-SUM($G73:Y74)</f>
        <v>627.09060049629261</v>
      </c>
      <c r="Z11" s="53">
        <f ca="1">-SUM($G73:Z74)</f>
        <v>9844.2163209231621</v>
      </c>
      <c r="AA11" s="53">
        <f ca="1">-SUM($G73:AA74)</f>
        <v>16164.816553107787</v>
      </c>
      <c r="AB11" s="53">
        <f ca="1">-SUM($G73:AB74)</f>
        <v>0</v>
      </c>
      <c r="AC11" s="423"/>
      <c r="AE11" s="302">
        <f t="shared" si="2"/>
        <v>5</v>
      </c>
    </row>
    <row r="12" spans="1:31">
      <c r="A12" s="137"/>
      <c r="B12" s="8" t="s">
        <v>399</v>
      </c>
      <c r="D12" s="8"/>
      <c r="E12" s="8"/>
      <c r="F12" s="325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423"/>
      <c r="AE12" s="302">
        <f t="shared" si="2"/>
        <v>6</v>
      </c>
    </row>
    <row r="13" spans="1:31">
      <c r="A13" s="137"/>
      <c r="C13" s="8" t="s">
        <v>407</v>
      </c>
      <c r="D13" s="8"/>
      <c r="E13" s="8"/>
      <c r="F13" s="880">
        <v>0</v>
      </c>
      <c r="G13" s="53">
        <f ca="1">-SUM($G71:G71)</f>
        <v>6637.9700856495137</v>
      </c>
      <c r="H13" s="53">
        <f ca="1">-SUM($G71:H71)</f>
        <v>56348.730931963917</v>
      </c>
      <c r="I13" s="53">
        <f ca="1">-SUM($G71:I71)</f>
        <v>124644.75966810348</v>
      </c>
      <c r="J13" s="53">
        <f ca="1">-SUM($G71:J71)</f>
        <v>126412.00464369245</v>
      </c>
      <c r="K13" s="53">
        <f ca="1">-SUM($G71:K71)</f>
        <v>126412.00464369245</v>
      </c>
      <c r="L13" s="53">
        <f ca="1">-SUM($G71:L71)</f>
        <v>126412.00464369245</v>
      </c>
      <c r="M13" s="53">
        <f ca="1">-SUM($G71:M71)</f>
        <v>126412.00464369245</v>
      </c>
      <c r="N13" s="53">
        <f ca="1">-SUM($G71:N71)</f>
        <v>126412.00464369245</v>
      </c>
      <c r="O13" s="53">
        <f ca="1">-SUM($G71:O71)</f>
        <v>126412.00464369245</v>
      </c>
      <c r="P13" s="53">
        <f ca="1">-SUM($G71:P71)</f>
        <v>126412.00464369245</v>
      </c>
      <c r="Q13" s="53">
        <f ca="1">-SUM($G71:Q71)</f>
        <v>126412.00464369245</v>
      </c>
      <c r="R13" s="53">
        <f ca="1">-SUM($G71:R71)</f>
        <v>126412.00464369245</v>
      </c>
      <c r="S13" s="53">
        <f ca="1">-SUM($G71:S71)</f>
        <v>126412.00464369245</v>
      </c>
      <c r="T13" s="53">
        <f ca="1">-SUM($G71:T71)</f>
        <v>126412.00464369245</v>
      </c>
      <c r="U13" s="53">
        <f ca="1">-SUM($G71:U71)</f>
        <v>126412.00464369245</v>
      </c>
      <c r="V13" s="53">
        <f ca="1">-SUM($G71:V71)</f>
        <v>126412.00464369245</v>
      </c>
      <c r="W13" s="53">
        <f ca="1">-SUM($G71:W71)</f>
        <v>126412.00464369245</v>
      </c>
      <c r="X13" s="53">
        <f ca="1">-SUM($G71:X71)</f>
        <v>126412.00464369245</v>
      </c>
      <c r="Y13" s="53">
        <f ca="1">-SUM($G71:Y71)</f>
        <v>126412.00464369245</v>
      </c>
      <c r="Z13" s="53">
        <f ca="1">-SUM($G71:Z71)</f>
        <v>126412.00464369245</v>
      </c>
      <c r="AA13" s="53">
        <f ca="1">-SUM($G71:AA71)</f>
        <v>126412.00464369245</v>
      </c>
      <c r="AB13" s="53">
        <f ca="1">-SUM($G71:AB71)</f>
        <v>126412.00464369245</v>
      </c>
      <c r="AC13" s="423"/>
      <c r="AE13" s="302">
        <f t="shared" si="2"/>
        <v>7</v>
      </c>
    </row>
    <row r="14" spans="1:31">
      <c r="A14" s="137"/>
      <c r="C14" s="8" t="s">
        <v>400</v>
      </c>
      <c r="D14" s="8"/>
      <c r="E14" s="8"/>
      <c r="F14" s="881">
        <v>0</v>
      </c>
      <c r="G14" s="228">
        <f ca="1">SUM($G43:G43)</f>
        <v>0</v>
      </c>
      <c r="H14" s="228">
        <f ca="1">SUM($G43:H43)</f>
        <v>0</v>
      </c>
      <c r="I14" s="228">
        <f ca="1">SUM($G43:I43)</f>
        <v>0</v>
      </c>
      <c r="J14" s="228">
        <f ca="1">SUM($G43:J43)</f>
        <v>-5267.1668601538513</v>
      </c>
      <c r="K14" s="228">
        <f ca="1">SUM($G43:K43)</f>
        <v>-11587.767092338472</v>
      </c>
      <c r="L14" s="228">
        <f ca="1">SUM($G43:L43)</f>
        <v>-17908.367324523093</v>
      </c>
      <c r="M14" s="228">
        <f ca="1">SUM($G43:M43)</f>
        <v>-24228.967556707714</v>
      </c>
      <c r="N14" s="228">
        <f ca="1">SUM($G43:N43)</f>
        <v>-30549.567788892335</v>
      </c>
      <c r="O14" s="228">
        <f ca="1">SUM($G43:O43)</f>
        <v>-36870.168021076955</v>
      </c>
      <c r="P14" s="228">
        <f ca="1">SUM($G43:P43)</f>
        <v>-43190.76825326158</v>
      </c>
      <c r="Q14" s="228">
        <f ca="1">SUM($G43:Q43)</f>
        <v>-49511.368485446204</v>
      </c>
      <c r="R14" s="228">
        <f ca="1">SUM($G43:R43)</f>
        <v>-55831.968717630829</v>
      </c>
      <c r="S14" s="228">
        <f ca="1">SUM($G43:S43)</f>
        <v>-62152.568949815453</v>
      </c>
      <c r="T14" s="228">
        <f ca="1">SUM($G43:T43)</f>
        <v>-68473.169182000071</v>
      </c>
      <c r="U14" s="228">
        <f ca="1">SUM($G43:U43)</f>
        <v>-74793.769414184688</v>
      </c>
      <c r="V14" s="228">
        <f ca="1">SUM($G43:V43)</f>
        <v>-81114.369646369305</v>
      </c>
      <c r="W14" s="228">
        <f ca="1">SUM($G43:W43)</f>
        <v>-87434.969878553922</v>
      </c>
      <c r="X14" s="228">
        <f ca="1">SUM($G43:X43)</f>
        <v>-93755.570110738539</v>
      </c>
      <c r="Y14" s="228">
        <f ca="1">SUM($G43:Y43)</f>
        <v>-100076.17034292316</v>
      </c>
      <c r="Z14" s="228">
        <f ca="1">SUM($G43:Z43)</f>
        <v>-106396.77057510777</v>
      </c>
      <c r="AA14" s="228">
        <f ca="1">SUM($G43:AA43)</f>
        <v>-112717.37080729239</v>
      </c>
      <c r="AB14" s="228">
        <f ca="1">SUM($G43:AB43)</f>
        <v>-114824.23755135393</v>
      </c>
      <c r="AC14" s="423"/>
      <c r="AE14" s="302">
        <f t="shared" si="2"/>
        <v>8</v>
      </c>
    </row>
    <row r="15" spans="1:31">
      <c r="A15" s="137"/>
      <c r="C15" s="8" t="s">
        <v>401</v>
      </c>
      <c r="D15" s="8"/>
      <c r="E15" s="8"/>
      <c r="F15" s="53">
        <f t="shared" ref="F15:Z15" si="4">SUM(F13:F14)</f>
        <v>0</v>
      </c>
      <c r="G15" s="53">
        <f t="shared" ca="1" si="4"/>
        <v>6637.9700856495137</v>
      </c>
      <c r="H15" s="53">
        <f t="shared" ca="1" si="4"/>
        <v>56348.730931963917</v>
      </c>
      <c r="I15" s="53">
        <f t="shared" ca="1" si="4"/>
        <v>124644.75966810348</v>
      </c>
      <c r="J15" s="53">
        <f t="shared" ca="1" si="4"/>
        <v>121144.83778353859</v>
      </c>
      <c r="K15" s="53">
        <f t="shared" ca="1" si="4"/>
        <v>114824.23755135397</v>
      </c>
      <c r="L15" s="53">
        <f t="shared" ca="1" si="4"/>
        <v>108503.63731916936</v>
      </c>
      <c r="M15" s="53">
        <f t="shared" ca="1" si="4"/>
        <v>102183.03708698472</v>
      </c>
      <c r="N15" s="53">
        <f t="shared" ca="1" si="4"/>
        <v>95862.436854800108</v>
      </c>
      <c r="O15" s="53">
        <f t="shared" ca="1" si="4"/>
        <v>89541.83662261549</v>
      </c>
      <c r="P15" s="53">
        <f t="shared" ca="1" si="4"/>
        <v>83221.236390430859</v>
      </c>
      <c r="Q15" s="53">
        <f t="shared" ca="1" si="4"/>
        <v>76900.636158246241</v>
      </c>
      <c r="R15" s="53">
        <f t="shared" ca="1" si="4"/>
        <v>70580.035926061624</v>
      </c>
      <c r="S15" s="53">
        <f t="shared" ca="1" si="4"/>
        <v>64259.435693876992</v>
      </c>
      <c r="T15" s="53">
        <f t="shared" ca="1" si="4"/>
        <v>57938.835461692375</v>
      </c>
      <c r="U15" s="53">
        <f t="shared" ca="1" si="4"/>
        <v>51618.235229507758</v>
      </c>
      <c r="V15" s="53">
        <f t="shared" ca="1" si="4"/>
        <v>45297.634997323141</v>
      </c>
      <c r="W15" s="53">
        <f t="shared" ca="1" si="4"/>
        <v>38977.034765138524</v>
      </c>
      <c r="X15" s="53">
        <f t="shared" ca="1" si="4"/>
        <v>32656.434532953906</v>
      </c>
      <c r="Y15" s="53">
        <f t="shared" ca="1" si="4"/>
        <v>26335.834300769289</v>
      </c>
      <c r="Z15" s="53">
        <f t="shared" ca="1" si="4"/>
        <v>20015.234068584672</v>
      </c>
      <c r="AA15" s="53">
        <f ca="1">SUM(AA13:AA14)</f>
        <v>13694.633836400055</v>
      </c>
      <c r="AB15" s="53">
        <f ca="1">SUM(AB13:AB14)</f>
        <v>11587.767092338516</v>
      </c>
      <c r="AC15" s="423"/>
      <c r="AE15" s="302">
        <f t="shared" si="2"/>
        <v>9</v>
      </c>
    </row>
    <row r="16" spans="1:31">
      <c r="A16" s="137"/>
      <c r="B16" s="8" t="s">
        <v>268</v>
      </c>
      <c r="D16" s="8"/>
      <c r="E16" s="8"/>
      <c r="F16" s="881">
        <v>0</v>
      </c>
      <c r="G16" s="228">
        <f ca="1">IF(G$7&lt;YEAR(Startops1),0,IF(HLOOKUP(G$7,Tax_Table,Taxes!$AA$90)&gt;0,HLOOKUP(G$7,Tax_Table,Taxes!$AA$90),0))</f>
        <v>0</v>
      </c>
      <c r="H16" s="228">
        <f ca="1">IF(H$7&lt;YEAR(Startops1),0,IF(HLOOKUP(H$7,Tax_Table,Taxes!$AA$90)&gt;0,HLOOKUP(H$7,Tax_Table,Taxes!$AA$90),0))</f>
        <v>0</v>
      </c>
      <c r="I16" s="228">
        <f ca="1">IF(I$7&lt;YEAR(Startops1),0,IF(HLOOKUP(I$7,Tax_Table,Taxes!$AA$90)&gt;0,HLOOKUP(I$7,Tax_Table,Taxes!$AA$90),0))</f>
        <v>0</v>
      </c>
      <c r="J16" s="228">
        <f ca="1">IF(J$7&lt;YEAR(Startops1),0,IF(HLOOKUP(J$7,Tax_Table,Taxes!$AA$90)&gt;0,HLOOKUP(J$7,Tax_Table,Taxes!$AA$90),0))</f>
        <v>0</v>
      </c>
      <c r="K16" s="228">
        <f ca="1">IF(K$7&lt;YEAR(Startops1),0,IF(HLOOKUP(K$7,Tax_Table,Taxes!$AA$90)&gt;0,HLOOKUP(K$7,Tax_Table,Taxes!$AA$90),0))</f>
        <v>0</v>
      </c>
      <c r="L16" s="228">
        <f ca="1">IF(L$7&lt;YEAR(Startops1),0,IF(HLOOKUP(L$7,Tax_Table,Taxes!$AA$90)&gt;0,HLOOKUP(L$7,Tax_Table,Taxes!$AA$90),0))</f>
        <v>0</v>
      </c>
      <c r="M16" s="228">
        <f ca="1">IF(M$7&lt;YEAR(Startops1),0,IF(HLOOKUP(M$7,Tax_Table,Taxes!$AA$90)&gt;0,HLOOKUP(M$7,Tax_Table,Taxes!$AA$90),0))</f>
        <v>0</v>
      </c>
      <c r="N16" s="228">
        <f ca="1">IF(N$7&lt;YEAR(Startops1),0,IF(HLOOKUP(N$7,Tax_Table,Taxes!$AA$90)&gt;0,HLOOKUP(N$7,Tax_Table,Taxes!$AA$90),0))</f>
        <v>0</v>
      </c>
      <c r="O16" s="228">
        <f ca="1">IF(O$7&lt;YEAR(Startops1),0,IF(HLOOKUP(O$7,Tax_Table,Taxes!$AA$90)&gt;0,HLOOKUP(O$7,Tax_Table,Taxes!$AA$90),0))</f>
        <v>0</v>
      </c>
      <c r="P16" s="228">
        <f ca="1">IF(P$7&lt;YEAR(Startops1),0,IF(HLOOKUP(P$7,Tax_Table,Taxes!$AA$90)&gt;0,HLOOKUP(P$7,Tax_Table,Taxes!$AA$90),0))</f>
        <v>0</v>
      </c>
      <c r="Q16" s="228">
        <f ca="1">IF(Q$7&lt;YEAR(Startops1),0,IF(HLOOKUP(Q$7,Tax_Table,Taxes!$AA$90)&gt;0,HLOOKUP(Q$7,Tax_Table,Taxes!$AA$90),0))</f>
        <v>0</v>
      </c>
      <c r="R16" s="228">
        <f ca="1">IF(R$7&lt;YEAR(Startops1),0,IF(HLOOKUP(R$7,Tax_Table,Taxes!$AA$90)&gt;0,HLOOKUP(R$7,Tax_Table,Taxes!$AA$90),0))</f>
        <v>0</v>
      </c>
      <c r="S16" s="228">
        <f ca="1">IF(S$7&lt;YEAR(Startops1),0,IF(HLOOKUP(S$7,Tax_Table,Taxes!$AA$90)&gt;0,HLOOKUP(S$7,Tax_Table,Taxes!$AA$90),0))</f>
        <v>0</v>
      </c>
      <c r="T16" s="228">
        <f ca="1">IF(T$7&lt;YEAR(Startops1),0,IF(HLOOKUP(T$7,Tax_Table,Taxes!$AA$90)&gt;0,HLOOKUP(T$7,Tax_Table,Taxes!$AA$90),0))</f>
        <v>0</v>
      </c>
      <c r="U16" s="228">
        <f ca="1">IF(U$7&lt;YEAR(Startops1),0,IF(HLOOKUP(U$7,Tax_Table,Taxes!$AA$90)&gt;0,HLOOKUP(U$7,Tax_Table,Taxes!$AA$90),0))</f>
        <v>0</v>
      </c>
      <c r="V16" s="228">
        <f ca="1">IF(V$7&lt;YEAR(Startops1),0,IF(HLOOKUP(V$7,Tax_Table,Taxes!$AA$90)&gt;0,HLOOKUP(V$7,Tax_Table,Taxes!$AA$90),0))</f>
        <v>0</v>
      </c>
      <c r="W16" s="228">
        <f ca="1">IF(W$7&lt;YEAR(Startops1),0,IF(HLOOKUP(W$7,Tax_Table,Taxes!$AA$90)&gt;0,HLOOKUP(W$7,Tax_Table,Taxes!$AA$90),0))</f>
        <v>0</v>
      </c>
      <c r="X16" s="228">
        <f ca="1">IF(X$7&lt;YEAR(Startops1),0,IF(HLOOKUP(X$7,Tax_Table,Taxes!$AA$90)&gt;0,HLOOKUP(X$7,Tax_Table,Taxes!$AA$90),0))</f>
        <v>0</v>
      </c>
      <c r="Y16" s="228">
        <f ca="1">IF(Y$7&lt;YEAR(Startops1),0,IF(HLOOKUP(Y$7,Tax_Table,Taxes!$AA$90)&gt;0,HLOOKUP(Y$7,Tax_Table,Taxes!$AA$90),0))</f>
        <v>0</v>
      </c>
      <c r="Z16" s="228">
        <f ca="1">IF(Z$7&lt;YEAR(Startops1),0,IF(HLOOKUP(Z$7,Tax_Table,Taxes!$AA$90)&gt;0,HLOOKUP(Z$7,Tax_Table,Taxes!$AA$90),0))</f>
        <v>0</v>
      </c>
      <c r="AA16" s="228">
        <f ca="1">IF(AA$7&lt;YEAR(Startops1),0,IF(HLOOKUP(AA$7,Tax_Table,Taxes!$AA$90)&gt;0,HLOOKUP(AA$7,Tax_Table,Taxes!$AA$90),0))</f>
        <v>0</v>
      </c>
      <c r="AB16" s="228">
        <f ca="1">IF(AB$7&lt;YEAR(Startops1),0,IF(HLOOKUP(AB$7,Tax_Table,Taxes!$AA$90)&gt;0,HLOOKUP(AB$7,Tax_Table,Taxes!$AA$90),0))</f>
        <v>0</v>
      </c>
      <c r="AC16" s="424"/>
      <c r="AE16" s="302">
        <f t="shared" si="2"/>
        <v>10</v>
      </c>
    </row>
    <row r="17" spans="1:31">
      <c r="A17" s="137"/>
      <c r="B17" s="8" t="s">
        <v>269</v>
      </c>
      <c r="D17" s="8"/>
      <c r="E17" s="8"/>
      <c r="F17" s="53">
        <f t="shared" ref="F17:Z17" si="5">SUM(F9:F11,F15:F16)</f>
        <v>0</v>
      </c>
      <c r="G17" s="53">
        <f t="shared" ca="1" si="5"/>
        <v>6637.9700856495137</v>
      </c>
      <c r="H17" s="53">
        <f t="shared" ca="1" si="5"/>
        <v>56348.730931963924</v>
      </c>
      <c r="I17" s="53">
        <f t="shared" ca="1" si="5"/>
        <v>124644.75966810348</v>
      </c>
      <c r="J17" s="53">
        <f t="shared" ca="1" si="5"/>
        <v>121708.04846224978</v>
      </c>
      <c r="K17" s="53">
        <f t="shared" ca="1" si="5"/>
        <v>110294.1434002747</v>
      </c>
      <c r="L17" s="53">
        <f t="shared" ca="1" si="5"/>
        <v>97785.403790526761</v>
      </c>
      <c r="M17" s="53">
        <f t="shared" ca="1" si="5"/>
        <v>86515.602957072828</v>
      </c>
      <c r="N17" s="53">
        <f t="shared" ca="1" si="5"/>
        <v>74875.5998291547</v>
      </c>
      <c r="O17" s="53">
        <f t="shared" ca="1" si="5"/>
        <v>63127.387999475941</v>
      </c>
      <c r="P17" s="53">
        <f t="shared" ca="1" si="5"/>
        <v>51756.499520997626</v>
      </c>
      <c r="Q17" s="53">
        <f t="shared" ca="1" si="5"/>
        <v>43641.993982628766</v>
      </c>
      <c r="R17" s="53">
        <f t="shared" ca="1" si="5"/>
        <v>38223.255819889913</v>
      </c>
      <c r="S17" s="53">
        <f t="shared" ca="1" si="5"/>
        <v>33301.495486536369</v>
      </c>
      <c r="T17" s="53">
        <f t="shared" ca="1" si="5"/>
        <v>28019.274422824237</v>
      </c>
      <c r="U17" s="53">
        <f t="shared" ca="1" si="5"/>
        <v>22400.385846863919</v>
      </c>
      <c r="V17" s="53">
        <f t="shared" ca="1" si="5"/>
        <v>20043.862921009593</v>
      </c>
      <c r="W17" s="53">
        <f t="shared" ca="1" si="5"/>
        <v>18904.258009411358</v>
      </c>
      <c r="X17" s="53">
        <f t="shared" ca="1" si="5"/>
        <v>20388.764237328091</v>
      </c>
      <c r="Y17" s="53">
        <f t="shared" ca="1" si="5"/>
        <v>27108.924901265575</v>
      </c>
      <c r="Z17" s="53">
        <f t="shared" ca="1" si="5"/>
        <v>30005.450389507827</v>
      </c>
      <c r="AA17" s="53">
        <f ca="1">SUM(AA9:AA11,AA15:AA16)</f>
        <v>30005.450389507834</v>
      </c>
      <c r="AB17" s="53">
        <f ca="1">SUM(AB9:AB11,AB15:AB16)</f>
        <v>11733.767092338509</v>
      </c>
      <c r="AC17" s="423"/>
      <c r="AE17" s="302">
        <f t="shared" si="2"/>
        <v>11</v>
      </c>
    </row>
    <row r="18" spans="1:31">
      <c r="A18" s="137"/>
      <c r="D18" s="8"/>
      <c r="E18" s="8"/>
      <c r="F18" s="325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423"/>
      <c r="AE18" s="302">
        <f t="shared" si="2"/>
        <v>12</v>
      </c>
    </row>
    <row r="19" spans="1:31">
      <c r="A19" s="144" t="s">
        <v>402</v>
      </c>
      <c r="D19" s="8"/>
      <c r="E19" s="8"/>
      <c r="F19" s="325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423"/>
      <c r="AE19" s="302">
        <f t="shared" si="2"/>
        <v>13</v>
      </c>
    </row>
    <row r="20" spans="1:31">
      <c r="A20" s="137"/>
      <c r="B20" s="8" t="s">
        <v>270</v>
      </c>
      <c r="D20" s="8"/>
      <c r="E20" s="8"/>
      <c r="F20" s="880">
        <v>0</v>
      </c>
      <c r="G20" s="53">
        <f ca="1">IF(G$7&lt;YEAR(Startops1),0,IF(HLOOKUP(G$7,Tax_Table,Taxes!$AA$90)&lt;0,-HLOOKUP(G$7,Tax_Table,Taxes!$AA$90),0))</f>
        <v>0</v>
      </c>
      <c r="H20" s="53">
        <f ca="1">IF(H$7&lt;YEAR(Startops1),0,IF(HLOOKUP(H$7,Tax_Table,Taxes!$AA$90)&lt;0,-HLOOKUP(H$7,Tax_Table,Taxes!$AA$90),0))</f>
        <v>0</v>
      </c>
      <c r="I20" s="53">
        <f ca="1">IF(I$7&lt;YEAR(Startops1),0,IF(HLOOKUP(I$7,Tax_Table,Taxes!$AA$90)&lt;0,-HLOOKUP(I$7,Tax_Table,Taxes!$AA$90),0))</f>
        <v>0</v>
      </c>
      <c r="J20" s="53">
        <f ca="1">IF(J$7&lt;YEAR(Startops1),0,IF(HLOOKUP(J$7,Tax_Table,Taxes!$AA$90)&lt;0,-HLOOKUP(J$7,Tax_Table,Taxes!$AA$90),0))</f>
        <v>0</v>
      </c>
      <c r="K20" s="53">
        <f ca="1">IF(K$7&lt;YEAR(Startops1),0,IF(HLOOKUP(K$7,Tax_Table,Taxes!$AA$90)&lt;0,-HLOOKUP(K$7,Tax_Table,Taxes!$AA$90),0))</f>
        <v>0</v>
      </c>
      <c r="L20" s="53">
        <f ca="1">IF(L$7&lt;YEAR(Startops1),0,IF(HLOOKUP(L$7,Tax_Table,Taxes!$AA$90)&lt;0,-HLOOKUP(L$7,Tax_Table,Taxes!$AA$90),0))</f>
        <v>0</v>
      </c>
      <c r="M20" s="53">
        <f ca="1">IF(M$7&lt;YEAR(Startops1),0,IF(HLOOKUP(M$7,Tax_Table,Taxes!$AA$90)&lt;0,-HLOOKUP(M$7,Tax_Table,Taxes!$AA$90),0))</f>
        <v>0</v>
      </c>
      <c r="N20" s="53">
        <f ca="1">IF(N$7&lt;YEAR(Startops1),0,IF(HLOOKUP(N$7,Tax_Table,Taxes!$AA$90)&lt;0,-HLOOKUP(N$7,Tax_Table,Taxes!$AA$90),0))</f>
        <v>0</v>
      </c>
      <c r="O20" s="53">
        <f ca="1">IF(O$7&lt;YEAR(Startops1),0,IF(HLOOKUP(O$7,Tax_Table,Taxes!$AA$90)&lt;0,-HLOOKUP(O$7,Tax_Table,Taxes!$AA$90),0))</f>
        <v>0</v>
      </c>
      <c r="P20" s="53">
        <f ca="1">IF(P$7&lt;YEAR(Startops1),0,IF(HLOOKUP(P$7,Tax_Table,Taxes!$AA$90)&lt;0,-HLOOKUP(P$7,Tax_Table,Taxes!$AA$90),0))</f>
        <v>0</v>
      </c>
      <c r="Q20" s="53">
        <f ca="1">IF(Q$7&lt;YEAR(Startops1),0,IF(HLOOKUP(Q$7,Tax_Table,Taxes!$AA$90)&lt;0,-HLOOKUP(Q$7,Tax_Table,Taxes!$AA$90),0))</f>
        <v>0</v>
      </c>
      <c r="R20" s="53">
        <f ca="1">IF(R$7&lt;YEAR(Startops1),0,IF(HLOOKUP(R$7,Tax_Table,Taxes!$AA$90)&lt;0,-HLOOKUP(R$7,Tax_Table,Taxes!$AA$90),0))</f>
        <v>0</v>
      </c>
      <c r="S20" s="53">
        <f ca="1">IF(S$7&lt;YEAR(Startops1),0,IF(HLOOKUP(S$7,Tax_Table,Taxes!$AA$90)&lt;0,-HLOOKUP(S$7,Tax_Table,Taxes!$AA$90),0))</f>
        <v>0</v>
      </c>
      <c r="T20" s="53">
        <f ca="1">IF(T$7&lt;YEAR(Startops1),0,IF(HLOOKUP(T$7,Tax_Table,Taxes!$AA$90)&lt;0,-HLOOKUP(T$7,Tax_Table,Taxes!$AA$90),0))</f>
        <v>0</v>
      </c>
      <c r="U20" s="53">
        <f ca="1">IF(U$7&lt;YEAR(Startops1),0,IF(HLOOKUP(U$7,Tax_Table,Taxes!$AA$90)&lt;0,-HLOOKUP(U$7,Tax_Table,Taxes!$AA$90),0))</f>
        <v>0</v>
      </c>
      <c r="V20" s="53">
        <f ca="1">IF(V$7&lt;YEAR(Startops1),0,IF(HLOOKUP(V$7,Tax_Table,Taxes!$AA$90)&lt;0,-HLOOKUP(V$7,Tax_Table,Taxes!$AA$90),0))</f>
        <v>0</v>
      </c>
      <c r="W20" s="53">
        <f ca="1">IF(W$7&lt;YEAR(Startops1),0,IF(HLOOKUP(W$7,Tax_Table,Taxes!$AA$90)&lt;0,-HLOOKUP(W$7,Tax_Table,Taxes!$AA$90),0))</f>
        <v>0</v>
      </c>
      <c r="X20" s="53">
        <f ca="1">IF(X$7&lt;YEAR(Startops1),0,IF(HLOOKUP(X$7,Tax_Table,Taxes!$AA$90)&lt;0,-HLOOKUP(X$7,Tax_Table,Taxes!$AA$90),0))</f>
        <v>0</v>
      </c>
      <c r="Y20" s="53">
        <f ca="1">IF(Y$7&lt;YEAR(Startops1),0,IF(HLOOKUP(Y$7,Tax_Table,Taxes!$AA$90)&lt;0,-HLOOKUP(Y$7,Tax_Table,Taxes!$AA$90),0))</f>
        <v>0</v>
      </c>
      <c r="Z20" s="53">
        <f ca="1">IF(Z$7&lt;YEAR(Startops1),0,IF(HLOOKUP(Z$7,Tax_Table,Taxes!$AA$90)&lt;0,-HLOOKUP(Z$7,Tax_Table,Taxes!$AA$90),0))</f>
        <v>0</v>
      </c>
      <c r="AA20" s="53">
        <f ca="1">IF(AA$7&lt;YEAR(Startops1),0,IF(HLOOKUP(AA$7,Tax_Table,Taxes!$AA$90)&lt;0,-HLOOKUP(AA$7,Tax_Table,Taxes!$AA$90),0))</f>
        <v>0</v>
      </c>
      <c r="AB20" s="53">
        <f ca="1">IF(AB$7&lt;YEAR(Startops1),0,IF(HLOOKUP(AB$7,Tax_Table,Taxes!$AA$90)&lt;0,-HLOOKUP(AB$7,Tax_Table,Taxes!$AA$90),0))</f>
        <v>0</v>
      </c>
      <c r="AC20" s="424"/>
      <c r="AE20" s="302">
        <f t="shared" si="2"/>
        <v>14</v>
      </c>
    </row>
    <row r="21" spans="1:31">
      <c r="A21" s="137"/>
      <c r="B21" s="8" t="s">
        <v>106</v>
      </c>
      <c r="D21" s="8"/>
      <c r="E21" s="8"/>
      <c r="F21" s="880">
        <v>0</v>
      </c>
      <c r="G21" s="53">
        <f ca="1">SUM($G65:G65,$G66:G66)</f>
        <v>0</v>
      </c>
      <c r="H21" s="53">
        <f ca="1">SUM($G65:H65,$G66:H66)</f>
        <v>27218.218104732216</v>
      </c>
      <c r="I21" s="53">
        <f ca="1">SUM($G65:I65,$G66:I66)</f>
        <v>0</v>
      </c>
      <c r="J21" s="53">
        <f ca="1">SUM($G65:J65,$G66:J66)</f>
        <v>0</v>
      </c>
      <c r="K21" s="53">
        <f ca="1">SUM($G65:K65,$G66:K66)</f>
        <v>0</v>
      </c>
      <c r="L21" s="53">
        <f ca="1">SUM($G65:L65,$G66:L66)</f>
        <v>0</v>
      </c>
      <c r="M21" s="53">
        <f ca="1">SUM($G65:M65,$G66:M66)</f>
        <v>0</v>
      </c>
      <c r="N21" s="53">
        <f ca="1">SUM($G65:N65,$G66:N66)</f>
        <v>0</v>
      </c>
      <c r="O21" s="53">
        <f ca="1">SUM($G65:O65,$G66:O66)</f>
        <v>0</v>
      </c>
      <c r="P21" s="53">
        <f ca="1">SUM($G65:P65,$G66:P66)</f>
        <v>0</v>
      </c>
      <c r="Q21" s="53">
        <f ca="1">SUM($G65:Q65,$G66:Q66)</f>
        <v>0</v>
      </c>
      <c r="R21" s="53">
        <f ca="1">SUM($G65:R65,$G66:R66)</f>
        <v>0</v>
      </c>
      <c r="S21" s="53">
        <f ca="1">SUM($G65:S65,$G66:S66)</f>
        <v>0</v>
      </c>
      <c r="T21" s="53">
        <f ca="1">SUM($G65:T65,$G66:T66)</f>
        <v>0</v>
      </c>
      <c r="U21" s="53">
        <f ca="1">SUM($G65:U65,$G66:U66)</f>
        <v>0</v>
      </c>
      <c r="V21" s="53">
        <f ca="1">SUM($G65:V65,$G66:V66)</f>
        <v>0</v>
      </c>
      <c r="W21" s="53">
        <f ca="1">SUM($G65:W65,$G66:W66)</f>
        <v>0</v>
      </c>
      <c r="X21" s="53">
        <f ca="1">SUM($G65:X65,$G66:X66)</f>
        <v>0</v>
      </c>
      <c r="Y21" s="53">
        <f ca="1">SUM($G65:Y65,$G66:Y66)</f>
        <v>0</v>
      </c>
      <c r="Z21" s="53">
        <f ca="1">SUM($G65:Z65,$G66:Z66)</f>
        <v>0</v>
      </c>
      <c r="AA21" s="53">
        <f ca="1">SUM($G65:AA65,$G66:AA66)</f>
        <v>0</v>
      </c>
      <c r="AB21" s="53">
        <f ca="1">SUM($G65:AB65,$G66:AB66)</f>
        <v>0</v>
      </c>
      <c r="AC21" s="423"/>
      <c r="AE21" s="302">
        <f t="shared" si="2"/>
        <v>15</v>
      </c>
    </row>
    <row r="22" spans="1:31">
      <c r="A22" s="137"/>
      <c r="B22" s="8" t="s">
        <v>296</v>
      </c>
      <c r="D22" s="8"/>
      <c r="E22" s="8"/>
      <c r="F22" s="880">
        <v>0</v>
      </c>
      <c r="G22" s="53">
        <f ca="1">SUM($G67:G68)</f>
        <v>0</v>
      </c>
      <c r="H22" s="53">
        <f ca="1">SUM($G67:H68)</f>
        <v>0</v>
      </c>
      <c r="I22" s="53">
        <f ca="1">SUM($G67:I68)</f>
        <v>74443.62327215432</v>
      </c>
      <c r="J22" s="53">
        <f ca="1">SUM($G67:J68)</f>
        <v>75934.80278621547</v>
      </c>
      <c r="K22" s="53">
        <f ca="1">SUM($G67:K68)</f>
        <v>74795.889222711936</v>
      </c>
      <c r="L22" s="53">
        <f ca="1">SUM($G67:L68)</f>
        <v>72864.975666148181</v>
      </c>
      <c r="M22" s="53">
        <f ca="1">SUM($G67:M68)</f>
        <v>67441.06118141851</v>
      </c>
      <c r="N22" s="53">
        <f ca="1">SUM($G67:N68)</f>
        <v>60555.329424194395</v>
      </c>
      <c r="O22" s="53">
        <f ca="1">SUM($G67:O68)</f>
        <v>52754.583293396383</v>
      </c>
      <c r="P22" s="53">
        <f ca="1">SUM($G67:P68)</f>
        <v>44384.326141701749</v>
      </c>
      <c r="Q22" s="53">
        <f ca="1">SUM($G67:Q68)</f>
        <v>38033.934744120452</v>
      </c>
      <c r="R22" s="53">
        <f ca="1">SUM($G67:R68)</f>
        <v>33703.409100652483</v>
      </c>
      <c r="S22" s="53">
        <f ca="1">SUM($G67:S68)</f>
        <v>29372.883457184515</v>
      </c>
      <c r="T22" s="53">
        <f ca="1">SUM($G67:T68)</f>
        <v>24032.424936659881</v>
      </c>
      <c r="U22" s="53">
        <f ca="1">SUM($G67:U68)</f>
        <v>17682.03353907858</v>
      </c>
      <c r="V22" s="53">
        <f ca="1">SUM($G67:V68)</f>
        <v>11331.642141497279</v>
      </c>
      <c r="W22" s="53">
        <f ca="1">SUM($G67:W68)</f>
        <v>4753.4463355573334</v>
      </c>
      <c r="X22" s="53">
        <f ca="1">SUM($G67:X68)</f>
        <v>1.8189894035458565E-11</v>
      </c>
      <c r="Y22" s="53">
        <f ca="1">SUM($G67:Y68)</f>
        <v>1.8189894035458565E-11</v>
      </c>
      <c r="Z22" s="53">
        <f ca="1">SUM($G67:Z68)</f>
        <v>1.8189894035458565E-11</v>
      </c>
      <c r="AA22" s="53">
        <f ca="1">SUM($G67:AA68)</f>
        <v>1.8189894035458565E-11</v>
      </c>
      <c r="AB22" s="53">
        <f ca="1">SUM($G67:AB68)</f>
        <v>1.8189894035458565E-11</v>
      </c>
      <c r="AC22" s="423"/>
      <c r="AE22" s="302">
        <f t="shared" si="2"/>
        <v>16</v>
      </c>
    </row>
    <row r="23" spans="1:31">
      <c r="A23" s="137"/>
      <c r="B23" s="8" t="s">
        <v>9</v>
      </c>
      <c r="D23" s="8"/>
      <c r="E23" s="8"/>
      <c r="F23" s="881">
        <v>0</v>
      </c>
      <c r="G23" s="228">
        <f ca="1">SUM($G69:G70)</f>
        <v>0</v>
      </c>
      <c r="H23" s="228">
        <f ca="1">SUM($G69:H70)</f>
        <v>0</v>
      </c>
      <c r="I23" s="228">
        <f ca="1">SUM($G69:I70)</f>
        <v>21070.623568717438</v>
      </c>
      <c r="J23" s="228">
        <f ca="1">SUM($G69:J70)</f>
        <v>21492.689030245259</v>
      </c>
      <c r="K23" s="228">
        <f ca="1">SUM($G69:K70)</f>
        <v>20529.981261879817</v>
      </c>
      <c r="L23" s="228">
        <f ca="1">SUM($G69:L70)</f>
        <v>19438.054043305521</v>
      </c>
      <c r="M23" s="228">
        <f ca="1">SUM($G69:M70)</f>
        <v>18199.562893818093</v>
      </c>
      <c r="N23" s="228">
        <f ca="1">SUM($G69:N70)</f>
        <v>16794.835269790714</v>
      </c>
      <c r="O23" s="228">
        <f ca="1">SUM($G69:O70)</f>
        <v>15201.558080428262</v>
      </c>
      <c r="P23" s="228">
        <f ca="1">SUM($G69:P70)</f>
        <v>13394.423260323634</v>
      </c>
      <c r="Q23" s="228">
        <f ca="1">SUM($G69:Q70)</f>
        <v>11344.725768990464</v>
      </c>
      <c r="R23" s="228">
        <f ca="1">SUM($G69:R70)</f>
        <v>9019.9076318830994</v>
      </c>
      <c r="S23" s="228">
        <f ca="1">SUM($G69:S70)</f>
        <v>6383.0407803225007</v>
      </c>
      <c r="T23" s="228">
        <f ca="1">SUM($G69:T70)</f>
        <v>3392.2404756111828</v>
      </c>
      <c r="U23" s="228">
        <f ca="1">SUM($G69:U70)</f>
        <v>-3.637978807091713E-12</v>
      </c>
      <c r="V23" s="228">
        <f ca="1">SUM($G69:V70)</f>
        <v>-3.637978807091713E-12</v>
      </c>
      <c r="W23" s="228">
        <f ca="1">SUM($G69:W70)</f>
        <v>-3.637978807091713E-12</v>
      </c>
      <c r="X23" s="228">
        <f ca="1">SUM($G69:X70)</f>
        <v>-3.637978807091713E-12</v>
      </c>
      <c r="Y23" s="228">
        <f ca="1">SUM($G69:Y70)</f>
        <v>-3.637978807091713E-12</v>
      </c>
      <c r="Z23" s="228">
        <f ca="1">SUM($G69:Z70)</f>
        <v>-3.637978807091713E-12</v>
      </c>
      <c r="AA23" s="228">
        <f ca="1">SUM($G69:AA70)</f>
        <v>-3.637978807091713E-12</v>
      </c>
      <c r="AB23" s="228">
        <f ca="1">SUM($G69:AB70)</f>
        <v>-3.637978807091713E-12</v>
      </c>
      <c r="AC23" s="423"/>
      <c r="AE23" s="302">
        <f t="shared" si="2"/>
        <v>17</v>
      </c>
    </row>
    <row r="24" spans="1:31">
      <c r="A24" s="137"/>
      <c r="C24" s="8" t="s">
        <v>403</v>
      </c>
      <c r="D24" s="8"/>
      <c r="E24" s="8"/>
      <c r="F24" s="53">
        <f>SUM(F20:F23)</f>
        <v>0</v>
      </c>
      <c r="G24" s="53">
        <f t="shared" ref="G24:AB24" ca="1" si="6">SUM(G20:G23)</f>
        <v>0</v>
      </c>
      <c r="H24" s="53">
        <f t="shared" ca="1" si="6"/>
        <v>27218.218104732216</v>
      </c>
      <c r="I24" s="53">
        <f t="shared" ca="1" si="6"/>
        <v>95514.246840871754</v>
      </c>
      <c r="J24" s="53">
        <f t="shared" ca="1" si="6"/>
        <v>97427.491816460737</v>
      </c>
      <c r="K24" s="53">
        <f t="shared" ca="1" si="6"/>
        <v>95325.870484591753</v>
      </c>
      <c r="L24" s="53">
        <f t="shared" ca="1" si="6"/>
        <v>92303.029709453695</v>
      </c>
      <c r="M24" s="53">
        <f t="shared" ca="1" si="6"/>
        <v>85640.624075236599</v>
      </c>
      <c r="N24" s="53">
        <f t="shared" ca="1" si="6"/>
        <v>77350.164693985105</v>
      </c>
      <c r="O24" s="53">
        <f t="shared" ca="1" si="6"/>
        <v>67956.141373824648</v>
      </c>
      <c r="P24" s="53">
        <f t="shared" ca="1" si="6"/>
        <v>57778.74940202538</v>
      </c>
      <c r="Q24" s="53">
        <f t="shared" ca="1" si="6"/>
        <v>49378.660513110917</v>
      </c>
      <c r="R24" s="53">
        <f t="shared" ca="1" si="6"/>
        <v>42723.316732535583</v>
      </c>
      <c r="S24" s="53">
        <f t="shared" ca="1" si="6"/>
        <v>35755.924237507017</v>
      </c>
      <c r="T24" s="53">
        <f t="shared" ca="1" si="6"/>
        <v>27424.665412271064</v>
      </c>
      <c r="U24" s="53">
        <f t="shared" ca="1" si="6"/>
        <v>17682.033539078577</v>
      </c>
      <c r="V24" s="53">
        <f t="shared" ca="1" si="6"/>
        <v>11331.642141497276</v>
      </c>
      <c r="W24" s="53">
        <f t="shared" ca="1" si="6"/>
        <v>4753.4463355573298</v>
      </c>
      <c r="X24" s="53">
        <f t="shared" ca="1" si="6"/>
        <v>1.4551915228366852E-11</v>
      </c>
      <c r="Y24" s="53">
        <f t="shared" ca="1" si="6"/>
        <v>1.4551915228366852E-11</v>
      </c>
      <c r="Z24" s="53">
        <f t="shared" ca="1" si="6"/>
        <v>1.4551915228366852E-11</v>
      </c>
      <c r="AA24" s="53">
        <f t="shared" ca="1" si="6"/>
        <v>1.4551915228366852E-11</v>
      </c>
      <c r="AB24" s="53">
        <f t="shared" ca="1" si="6"/>
        <v>1.4551915228366852E-11</v>
      </c>
      <c r="AC24" s="423"/>
      <c r="AE24" s="302">
        <f t="shared" si="2"/>
        <v>18</v>
      </c>
    </row>
    <row r="25" spans="1:31">
      <c r="A25" s="137"/>
      <c r="D25" s="8"/>
      <c r="E25" s="8"/>
      <c r="F25" s="325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423"/>
      <c r="AE25" s="302">
        <f t="shared" si="2"/>
        <v>19</v>
      </c>
    </row>
    <row r="26" spans="1:31">
      <c r="A26" s="144" t="s">
        <v>404</v>
      </c>
      <c r="D26" s="8"/>
      <c r="E26" s="8"/>
      <c r="F26" s="325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423"/>
      <c r="AE26" s="302">
        <f t="shared" si="2"/>
        <v>20</v>
      </c>
    </row>
    <row r="27" spans="1:31">
      <c r="A27" s="137"/>
      <c r="B27" s="8" t="s">
        <v>271</v>
      </c>
      <c r="D27" s="8"/>
      <c r="E27" s="8"/>
      <c r="F27" s="880">
        <v>0</v>
      </c>
      <c r="G27" s="53">
        <f ca="1">SUM($G64:G64)</f>
        <v>6637.9700856495137</v>
      </c>
      <c r="H27" s="53">
        <f ca="1">SUM($G64:H64)</f>
        <v>29130.512827231709</v>
      </c>
      <c r="I27" s="53">
        <f ca="1">SUM($G64:I64)</f>
        <v>29130.512827231709</v>
      </c>
      <c r="J27" s="53">
        <f ca="1">SUM($G64:J64)</f>
        <v>29130.512827231709</v>
      </c>
      <c r="K27" s="53">
        <f ca="1">SUM($G64:K64)</f>
        <v>29130.512827231709</v>
      </c>
      <c r="L27" s="53">
        <f ca="1">SUM($G64:L64)</f>
        <v>29130.512827231709</v>
      </c>
      <c r="M27" s="53">
        <f ca="1">SUM($G64:M64)</f>
        <v>29130.512827231709</v>
      </c>
      <c r="N27" s="53">
        <f ca="1">SUM($G64:N64)</f>
        <v>29130.512827231709</v>
      </c>
      <c r="O27" s="53">
        <f ca="1">SUM($G64:O64)</f>
        <v>29130.512827231709</v>
      </c>
      <c r="P27" s="53">
        <f ca="1">SUM($G64:P64)</f>
        <v>29130.512827231709</v>
      </c>
      <c r="Q27" s="53">
        <f ca="1">SUM($G64:Q64)</f>
        <v>29130.512827231709</v>
      </c>
      <c r="R27" s="53">
        <f ca="1">SUM($G64:R64)</f>
        <v>29130.512827231709</v>
      </c>
      <c r="S27" s="53">
        <f ca="1">SUM($G64:S64)</f>
        <v>29130.512827231709</v>
      </c>
      <c r="T27" s="53">
        <f ca="1">SUM($G64:T64)</f>
        <v>29130.512827231709</v>
      </c>
      <c r="U27" s="53">
        <f ca="1">SUM($G64:U64)</f>
        <v>29130.512827231709</v>
      </c>
      <c r="V27" s="53">
        <f ca="1">SUM($G64:V64)</f>
        <v>29130.512827231709</v>
      </c>
      <c r="W27" s="53">
        <f ca="1">SUM($G64:W64)</f>
        <v>29130.512827231709</v>
      </c>
      <c r="X27" s="53">
        <f ca="1">SUM($G64:X64)</f>
        <v>29130.512827231709</v>
      </c>
      <c r="Y27" s="53">
        <f ca="1">SUM($G64:Y64)</f>
        <v>29130.512827231709</v>
      </c>
      <c r="Z27" s="53">
        <f ca="1">SUM($G64:Z64)</f>
        <v>29130.512827231709</v>
      </c>
      <c r="AA27" s="53">
        <f ca="1">SUM($G64:AA64)</f>
        <v>29130.512827231709</v>
      </c>
      <c r="AB27" s="53">
        <f ca="1">SUM($G64:AB64)</f>
        <v>29130.512827231709</v>
      </c>
      <c r="AC27" s="423"/>
      <c r="AE27" s="302">
        <f t="shared" si="2"/>
        <v>21</v>
      </c>
    </row>
    <row r="28" spans="1:31">
      <c r="A28" s="137"/>
      <c r="B28" s="8" t="s">
        <v>525</v>
      </c>
      <c r="D28" s="8"/>
      <c r="E28" s="8"/>
      <c r="F28" s="880">
        <v>0</v>
      </c>
      <c r="G28" s="53">
        <f ca="1">IF(G$37&lt;YEAR(Startops1),0,HLOOKUP(G$37,Reserve_Table,Trapped!$AC$49))</f>
        <v>0</v>
      </c>
      <c r="H28" s="53">
        <f ca="1">IF(H$37&lt;YEAR(Startops1),0,HLOOKUP(H$37,Reserve_Table,Trapped!$AC$49))</f>
        <v>0</v>
      </c>
      <c r="I28" s="53">
        <f ca="1">IF(I$37&lt;YEAR(Startops1),0,HLOOKUP(I$37,Reserve_Table,Trapped!$AC$49))</f>
        <v>0</v>
      </c>
      <c r="J28" s="53">
        <f ca="1">IF(J$37&lt;YEAR(Startops1),0,HLOOKUP(J$37,Reserve_Table,Trapped!$AC$49))</f>
        <v>0</v>
      </c>
      <c r="K28" s="53">
        <f ca="1">IF(K$37&lt;YEAR(Startops1),0,HLOOKUP(K$37,Reserve_Table,Trapped!$AC$49))</f>
        <v>0</v>
      </c>
      <c r="L28" s="53">
        <f ca="1">IF(L$37&lt;YEAR(Startops1),0,HLOOKUP(L$37,Reserve_Table,Trapped!$AC$49))</f>
        <v>0</v>
      </c>
      <c r="M28" s="53">
        <f ca="1">IF(M$37&lt;YEAR(Startops1),0,HLOOKUP(M$37,Reserve_Table,Trapped!$AC$49))</f>
        <v>0</v>
      </c>
      <c r="N28" s="53">
        <f ca="1">IF(N$37&lt;YEAR(Startops1),0,HLOOKUP(N$37,Reserve_Table,Trapped!$AC$49))</f>
        <v>0</v>
      </c>
      <c r="O28" s="53">
        <f ca="1">IF(O$37&lt;YEAR(Startops1),0,HLOOKUP(O$37,Reserve_Table,Trapped!$AC$49))</f>
        <v>0</v>
      </c>
      <c r="P28" s="53">
        <f ca="1">IF(P$37&lt;YEAR(Startops1),0,HLOOKUP(P$37,Reserve_Table,Trapped!$AC$49))</f>
        <v>0</v>
      </c>
      <c r="Q28" s="53">
        <f ca="1">IF(Q$37&lt;YEAR(Startops1),0,HLOOKUP(Q$37,Reserve_Table,Trapped!$AC$49))</f>
        <v>47.94154722587669</v>
      </c>
      <c r="R28" s="53">
        <f ca="1">IF(R$37&lt;YEAR(Startops1),0,HLOOKUP(R$37,Reserve_Table,Trapped!$AC$49))</f>
        <v>140.88481135667246</v>
      </c>
      <c r="S28" s="53">
        <f ca="1">IF(S$37&lt;YEAR(Startops1),0,HLOOKUP(S$37,Reserve_Table,Trapped!$AC$49))</f>
        <v>147.52890866784196</v>
      </c>
      <c r="T28" s="53">
        <f ca="1">IF(T$37&lt;YEAR(Startops1),0,HLOOKUP(T$37,Reserve_Table,Trapped!$AC$49))</f>
        <v>259.87930453033562</v>
      </c>
      <c r="U28" s="53">
        <f ca="1">IF(U$37&lt;YEAR(Startops1),0,HLOOKUP(U$37,Reserve_Table,Trapped!$AC$49))</f>
        <v>291.88548192187307</v>
      </c>
      <c r="V28" s="53">
        <f ca="1">IF(V$37&lt;YEAR(Startops1),0,HLOOKUP(V$37,Reserve_Table,Trapped!$AC$49))</f>
        <v>430.52709009335115</v>
      </c>
      <c r="W28" s="53">
        <f ca="1">IF(W$37&lt;YEAR(Startops1),0,HLOOKUP(W$37,Reserve_Table,Trapped!$AC$49))</f>
        <v>444.41047218273729</v>
      </c>
      <c r="X28" s="53">
        <f ca="1">IF(X$37&lt;YEAR(Startops1),0,HLOOKUP(X$37,Reserve_Table,Trapped!$AC$49))</f>
        <v>430.52709009335115</v>
      </c>
      <c r="Y28" s="53">
        <f ca="1">IF(Y$37&lt;YEAR(Startops1),0,HLOOKUP(Y$37,Reserve_Table,Trapped!$AC$49))</f>
        <v>444.41047218273729</v>
      </c>
      <c r="Z28" s="53">
        <f ca="1">IF(Z$37&lt;YEAR(Startops1),0,HLOOKUP(Z$37,Reserve_Table,Trapped!$AC$49))</f>
        <v>874.93756227608844</v>
      </c>
      <c r="AA28" s="53">
        <f ca="1">IF(AA$37&lt;YEAR(Startops1),0,HLOOKUP(AA$37,Reserve_Table,Trapped!$AC$49))</f>
        <v>874.93756227608844</v>
      </c>
      <c r="AB28" s="53">
        <f ca="1">IF(AB$37&lt;YEAR(Startops1),0,HLOOKUP(AB$37,Reserve_Table,Trapped!$AC$49))</f>
        <v>874.93756227608844</v>
      </c>
      <c r="AC28" s="423"/>
      <c r="AE28" s="302">
        <f t="shared" si="2"/>
        <v>22</v>
      </c>
    </row>
    <row r="29" spans="1:31">
      <c r="A29" s="137"/>
      <c r="B29" s="8" t="s">
        <v>411</v>
      </c>
      <c r="D29" s="8"/>
      <c r="E29" s="8"/>
      <c r="F29" s="880">
        <v>0</v>
      </c>
      <c r="G29" s="53">
        <f ca="1">SUM($G53:G53)</f>
        <v>0</v>
      </c>
      <c r="H29" s="53">
        <f ca="1">SUM($G53:H53)</f>
        <v>0</v>
      </c>
      <c r="I29" s="53">
        <f ca="1">SUM($G53:I53)</f>
        <v>0</v>
      </c>
      <c r="J29" s="53">
        <f ca="1">SUM($G53:J53)</f>
        <v>-4849.9561814426543</v>
      </c>
      <c r="K29" s="53">
        <f ca="1">SUM($G53:K53)</f>
        <v>-14162.239911548757</v>
      </c>
      <c r="L29" s="53">
        <f ca="1">SUM($G53:L53)</f>
        <v>-23648.138746158649</v>
      </c>
      <c r="M29" s="53">
        <f ca="1">SUM($G53:M53)</f>
        <v>-28255.533945395466</v>
      </c>
      <c r="N29" s="53">
        <f ca="1">SUM($G53:N53)</f>
        <v>-31605.077692062107</v>
      </c>
      <c r="O29" s="53">
        <f ca="1">SUM($G53:O53)</f>
        <v>-33959.266201580402</v>
      </c>
      <c r="P29" s="53">
        <f ca="1">SUM($G53:P53)</f>
        <v>-35152.762708259448</v>
      </c>
      <c r="Q29" s="53">
        <f ca="1">SUM($G53:Q53)</f>
        <v>-34915.120904939722</v>
      </c>
      <c r="R29" s="53">
        <f ca="1">SUM($G53:R53)</f>
        <v>-33771.458551234042</v>
      </c>
      <c r="S29" s="53">
        <f ca="1">SUM($G53:S53)</f>
        <v>-31732.470486870181</v>
      </c>
      <c r="T29" s="53">
        <f ca="1">SUM($G53:T53)</f>
        <v>-28795.78312120886</v>
      </c>
      <c r="U29" s="53">
        <f ca="1">SUM($G53:U53)</f>
        <v>-24704.046001368231</v>
      </c>
      <c r="V29" s="53">
        <f ca="1">SUM($G53:V53)</f>
        <v>-20848.819137812738</v>
      </c>
      <c r="W29" s="53">
        <f ca="1">SUM($G53:W53)</f>
        <v>-15424.111625560421</v>
      </c>
      <c r="X29" s="53">
        <f ca="1">SUM($G53:X53)</f>
        <v>-9172.2756799969939</v>
      </c>
      <c r="Y29" s="53">
        <f ca="1">SUM($G53:Y53)</f>
        <v>-2465.9983981489049</v>
      </c>
      <c r="Z29" s="53">
        <f ca="1">SUM($G53:Z53)</f>
        <v>4150.3597015779087</v>
      </c>
      <c r="AA29" s="53">
        <f ca="1">SUM($G53:AA53)</f>
        <v>11731.72856710206</v>
      </c>
      <c r="AB29" s="53">
        <f ca="1">SUM($G53:AB53)</f>
        <v>13967.048813283518</v>
      </c>
      <c r="AC29" s="423"/>
      <c r="AE29" s="302">
        <f t="shared" si="2"/>
        <v>23</v>
      </c>
    </row>
    <row r="30" spans="1:31">
      <c r="A30" s="137"/>
      <c r="B30" s="8" t="s">
        <v>1041</v>
      </c>
      <c r="D30" s="8"/>
      <c r="E30" s="8"/>
      <c r="F30" s="881">
        <v>0</v>
      </c>
      <c r="G30" s="228">
        <f ca="1">SUM($G82:G82)</f>
        <v>0</v>
      </c>
      <c r="H30" s="228">
        <f ca="1">SUM($G82:H82)</f>
        <v>0</v>
      </c>
      <c r="I30" s="228">
        <f ca="1">SUM($G82:I82)</f>
        <v>0</v>
      </c>
      <c r="J30" s="228">
        <f ca="1">SUM($G82:J82)</f>
        <v>0</v>
      </c>
      <c r="K30" s="228">
        <f ca="1">SUM($G82:K82)</f>
        <v>0</v>
      </c>
      <c r="L30" s="228">
        <f ca="1">SUM($G82:L82)</f>
        <v>0</v>
      </c>
      <c r="M30" s="228">
        <f ca="1">SUM($G82:M82)</f>
        <v>0</v>
      </c>
      <c r="N30" s="228">
        <f ca="1">SUM($G82:N82)</f>
        <v>0</v>
      </c>
      <c r="O30" s="228">
        <f ca="1">SUM($G82:O82)</f>
        <v>0</v>
      </c>
      <c r="P30" s="228">
        <f ca="1">SUM($G82:P82)</f>
        <v>0</v>
      </c>
      <c r="Q30" s="228">
        <f ca="1">SUM($G82:Q82)</f>
        <v>0</v>
      </c>
      <c r="R30" s="228">
        <f ca="1">SUM($G82:R82)</f>
        <v>-9.0949470177292824E-13</v>
      </c>
      <c r="S30" s="228">
        <f ca="1">SUM($G82:S82)</f>
        <v>-4.5474735088646412E-13</v>
      </c>
      <c r="T30" s="228">
        <f ca="1">SUM($G82:T82)</f>
        <v>-1.3642420526593924E-12</v>
      </c>
      <c r="U30" s="228">
        <f ca="1">SUM($G82:U82)</f>
        <v>-2.2737367544323206E-12</v>
      </c>
      <c r="V30" s="228">
        <f ca="1">SUM($G82:V82)</f>
        <v>-3.1832314562052488E-12</v>
      </c>
      <c r="W30" s="228">
        <f ca="1">SUM($G82:W82)</f>
        <v>-1.3642420526593924E-12</v>
      </c>
      <c r="X30" s="228">
        <f ca="1">SUM($G82:X82)</f>
        <v>-1.3642420526593924E-12</v>
      </c>
      <c r="Y30" s="228">
        <f ca="1">SUM($G82:Y82)</f>
        <v>-1.3642420526593924E-12</v>
      </c>
      <c r="Z30" s="228">
        <f ca="1">SUM($G82:Z82)</f>
        <v>-4150.3597015779178</v>
      </c>
      <c r="AA30" s="228">
        <f ca="1">SUM($G82:AA82)</f>
        <v>-11731.728567102069</v>
      </c>
      <c r="AB30" s="228">
        <f ca="1">SUM($G82:AB82)</f>
        <v>-32238.732110452849</v>
      </c>
      <c r="AC30" s="423"/>
      <c r="AE30" s="302">
        <f t="shared" si="2"/>
        <v>24</v>
      </c>
    </row>
    <row r="31" spans="1:31">
      <c r="A31" s="137"/>
      <c r="B31" s="8" t="s">
        <v>405</v>
      </c>
      <c r="D31" s="8"/>
      <c r="E31" s="8"/>
      <c r="F31" s="53">
        <f t="shared" ref="F31:AB31" si="7">SUM(F27:F30)</f>
        <v>0</v>
      </c>
      <c r="G31" s="53">
        <f t="shared" ca="1" si="7"/>
        <v>6637.9700856495137</v>
      </c>
      <c r="H31" s="53">
        <f t="shared" ca="1" si="7"/>
        <v>29130.512827231709</v>
      </c>
      <c r="I31" s="53">
        <f t="shared" ca="1" si="7"/>
        <v>29130.512827231709</v>
      </c>
      <c r="J31" s="53">
        <f t="shared" ca="1" si="7"/>
        <v>24280.556645789053</v>
      </c>
      <c r="K31" s="53">
        <f t="shared" ca="1" si="7"/>
        <v>14968.272915682952</v>
      </c>
      <c r="L31" s="53">
        <f t="shared" ca="1" si="7"/>
        <v>5482.3740810730596</v>
      </c>
      <c r="M31" s="53">
        <f t="shared" ca="1" si="7"/>
        <v>874.97888183624309</v>
      </c>
      <c r="N31" s="53">
        <f t="shared" ca="1" si="7"/>
        <v>-2474.5648648303977</v>
      </c>
      <c r="O31" s="53">
        <f t="shared" ca="1" si="7"/>
        <v>-4828.7533743486929</v>
      </c>
      <c r="P31" s="53">
        <f t="shared" ca="1" si="7"/>
        <v>-6022.2498810277393</v>
      </c>
      <c r="Q31" s="53">
        <f t="shared" ca="1" si="7"/>
        <v>-5736.6665304821363</v>
      </c>
      <c r="R31" s="53">
        <f t="shared" ca="1" si="7"/>
        <v>-4500.0609126456629</v>
      </c>
      <c r="S31" s="53">
        <f t="shared" ca="1" si="7"/>
        <v>-2454.4287509706305</v>
      </c>
      <c r="T31" s="53">
        <f t="shared" ca="1" si="7"/>
        <v>594.60901055318254</v>
      </c>
      <c r="U31" s="53">
        <f t="shared" ca="1" si="7"/>
        <v>4718.3523077853479</v>
      </c>
      <c r="V31" s="53">
        <f t="shared" ca="1" si="7"/>
        <v>8712.2207795123177</v>
      </c>
      <c r="W31" s="53">
        <f t="shared" ca="1" si="7"/>
        <v>14150.811673854025</v>
      </c>
      <c r="X31" s="53">
        <f t="shared" ca="1" si="7"/>
        <v>20388.764237328065</v>
      </c>
      <c r="Y31" s="53">
        <f t="shared" ca="1" si="7"/>
        <v>27108.924901265542</v>
      </c>
      <c r="Z31" s="53">
        <f t="shared" ca="1" si="7"/>
        <v>30005.450389507787</v>
      </c>
      <c r="AA31" s="53">
        <f t="shared" ca="1" si="7"/>
        <v>30005.450389507791</v>
      </c>
      <c r="AB31" s="53">
        <f t="shared" ca="1" si="7"/>
        <v>11733.767092338469</v>
      </c>
      <c r="AC31" s="423"/>
      <c r="AE31" s="302">
        <f t="shared" si="2"/>
        <v>25</v>
      </c>
    </row>
    <row r="32" spans="1:31">
      <c r="A32" s="137"/>
      <c r="D32" s="8"/>
      <c r="E32" s="8"/>
      <c r="F32" s="325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423"/>
      <c r="AE32" s="302">
        <f t="shared" si="2"/>
        <v>26</v>
      </c>
    </row>
    <row r="33" spans="1:31">
      <c r="A33" s="137" t="s">
        <v>406</v>
      </c>
      <c r="D33" s="8"/>
      <c r="E33" s="8"/>
      <c r="F33" s="53">
        <f t="shared" ref="F33:AB33" si="8">SUM(F24,F31)</f>
        <v>0</v>
      </c>
      <c r="G33" s="53">
        <f t="shared" ca="1" si="8"/>
        <v>6637.9700856495137</v>
      </c>
      <c r="H33" s="53">
        <f t="shared" ca="1" si="8"/>
        <v>56348.730931963924</v>
      </c>
      <c r="I33" s="53">
        <f t="shared" ca="1" si="8"/>
        <v>124644.75966810346</v>
      </c>
      <c r="J33" s="53">
        <f t="shared" ca="1" si="8"/>
        <v>121708.04846224979</v>
      </c>
      <c r="K33" s="53">
        <f t="shared" ca="1" si="8"/>
        <v>110294.14340027471</v>
      </c>
      <c r="L33" s="53">
        <f t="shared" ca="1" si="8"/>
        <v>97785.403790526761</v>
      </c>
      <c r="M33" s="53">
        <f t="shared" ca="1" si="8"/>
        <v>86515.602957072842</v>
      </c>
      <c r="N33" s="53">
        <f t="shared" ca="1" si="8"/>
        <v>74875.5998291547</v>
      </c>
      <c r="O33" s="53">
        <f t="shared" ca="1" si="8"/>
        <v>63127.387999475955</v>
      </c>
      <c r="P33" s="53">
        <f t="shared" ca="1" si="8"/>
        <v>51756.499520997641</v>
      </c>
      <c r="Q33" s="53">
        <f t="shared" ca="1" si="8"/>
        <v>43641.993982628781</v>
      </c>
      <c r="R33" s="53">
        <f t="shared" ca="1" si="8"/>
        <v>38223.255819889921</v>
      </c>
      <c r="S33" s="53">
        <f t="shared" ca="1" si="8"/>
        <v>33301.495486536383</v>
      </c>
      <c r="T33" s="53">
        <f t="shared" ca="1" si="8"/>
        <v>28019.274422824248</v>
      </c>
      <c r="U33" s="53">
        <f t="shared" ca="1" si="8"/>
        <v>22400.385846863923</v>
      </c>
      <c r="V33" s="53">
        <f t="shared" ca="1" si="8"/>
        <v>20043.862921009593</v>
      </c>
      <c r="W33" s="53">
        <f t="shared" ca="1" si="8"/>
        <v>18904.258009411355</v>
      </c>
      <c r="X33" s="53">
        <f t="shared" ca="1" si="8"/>
        <v>20388.76423732808</v>
      </c>
      <c r="Y33" s="53">
        <f t="shared" ca="1" si="8"/>
        <v>27108.924901265556</v>
      </c>
      <c r="Z33" s="53">
        <f t="shared" ca="1" si="8"/>
        <v>30005.450389507801</v>
      </c>
      <c r="AA33" s="53">
        <f t="shared" ca="1" si="8"/>
        <v>30005.450389507805</v>
      </c>
      <c r="AB33" s="53">
        <f t="shared" ca="1" si="8"/>
        <v>11733.767092338483</v>
      </c>
      <c r="AC33" s="423"/>
      <c r="AE33" s="302">
        <f t="shared" si="2"/>
        <v>27</v>
      </c>
    </row>
    <row r="34" spans="1:31">
      <c r="A34" s="137"/>
      <c r="D34" s="8"/>
      <c r="E34" s="8"/>
      <c r="F34" s="325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423"/>
      <c r="AE34" s="302">
        <f t="shared" si="2"/>
        <v>28</v>
      </c>
    </row>
    <row r="35" spans="1:31">
      <c r="A35" s="1013" t="s">
        <v>272</v>
      </c>
      <c r="B35" s="639"/>
      <c r="C35" s="639"/>
      <c r="D35" s="639"/>
      <c r="E35" s="639"/>
      <c r="F35" s="640">
        <f t="shared" ref="F35:AB35" si="9">F17-F33</f>
        <v>0</v>
      </c>
      <c r="G35" s="640">
        <f t="shared" ca="1" si="9"/>
        <v>0</v>
      </c>
      <c r="H35" s="640">
        <f t="shared" ca="1" si="9"/>
        <v>0</v>
      </c>
      <c r="I35" s="640">
        <f t="shared" ca="1" si="9"/>
        <v>0</v>
      </c>
      <c r="J35" s="640">
        <f t="shared" ca="1" si="9"/>
        <v>0</v>
      </c>
      <c r="K35" s="640">
        <f t="shared" ca="1" si="9"/>
        <v>0</v>
      </c>
      <c r="L35" s="640">
        <f t="shared" ca="1" si="9"/>
        <v>0</v>
      </c>
      <c r="M35" s="640">
        <f t="shared" ca="1" si="9"/>
        <v>0</v>
      </c>
      <c r="N35" s="640">
        <f t="shared" ca="1" si="9"/>
        <v>0</v>
      </c>
      <c r="O35" s="640">
        <f t="shared" ca="1" si="9"/>
        <v>0</v>
      </c>
      <c r="P35" s="640">
        <f t="shared" ca="1" si="9"/>
        <v>0</v>
      </c>
      <c r="Q35" s="640">
        <f t="shared" ca="1" si="9"/>
        <v>0</v>
      </c>
      <c r="R35" s="640">
        <f t="shared" ca="1" si="9"/>
        <v>0</v>
      </c>
      <c r="S35" s="640">
        <f t="shared" ca="1" si="9"/>
        <v>0</v>
      </c>
      <c r="T35" s="640">
        <f t="shared" ca="1" si="9"/>
        <v>0</v>
      </c>
      <c r="U35" s="640">
        <f t="shared" ca="1" si="9"/>
        <v>0</v>
      </c>
      <c r="V35" s="640">
        <f t="shared" ca="1" si="9"/>
        <v>0</v>
      </c>
      <c r="W35" s="640">
        <f t="shared" ca="1" si="9"/>
        <v>0</v>
      </c>
      <c r="X35" s="640">
        <f t="shared" ca="1" si="9"/>
        <v>0</v>
      </c>
      <c r="Y35" s="640">
        <f t="shared" ca="1" si="9"/>
        <v>0</v>
      </c>
      <c r="Z35" s="640">
        <f t="shared" ca="1" si="9"/>
        <v>0</v>
      </c>
      <c r="AA35" s="640">
        <f t="shared" ca="1" si="9"/>
        <v>2.9103830456733704E-11</v>
      </c>
      <c r="AB35" s="640">
        <f t="shared" ca="1" si="9"/>
        <v>2.5465851649641991E-11</v>
      </c>
      <c r="AC35" s="641">
        <f ca="1">SUM(F35:AB35)</f>
        <v>5.4569682106375694E-11</v>
      </c>
      <c r="AE35" s="302">
        <f t="shared" si="2"/>
        <v>29</v>
      </c>
    </row>
    <row r="36" spans="1:31">
      <c r="A36" s="137"/>
      <c r="D36" s="8"/>
      <c r="E36" s="8"/>
      <c r="F36" s="8"/>
      <c r="G36" s="2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419"/>
      <c r="AE36" s="8"/>
    </row>
    <row r="37" spans="1:31" s="8" customFormat="1" ht="13.8" thickBot="1">
      <c r="A37" s="879" t="s">
        <v>273</v>
      </c>
      <c r="B37" s="324"/>
      <c r="C37" s="324"/>
      <c r="D37" s="77"/>
      <c r="E37" s="77"/>
      <c r="F37" s="77"/>
      <c r="G37" s="80">
        <f>G$7</f>
        <v>1998</v>
      </c>
      <c r="H37" s="80">
        <f t="shared" ref="H37:AC37" si="10">H$7</f>
        <v>1999</v>
      </c>
      <c r="I37" s="80">
        <f t="shared" si="10"/>
        <v>2000</v>
      </c>
      <c r="J37" s="80">
        <f t="shared" si="10"/>
        <v>2001</v>
      </c>
      <c r="K37" s="80">
        <f t="shared" si="10"/>
        <v>2002</v>
      </c>
      <c r="L37" s="80">
        <f t="shared" si="10"/>
        <v>2003</v>
      </c>
      <c r="M37" s="80">
        <f t="shared" si="10"/>
        <v>2004</v>
      </c>
      <c r="N37" s="80">
        <f t="shared" si="10"/>
        <v>2005</v>
      </c>
      <c r="O37" s="80">
        <f t="shared" si="10"/>
        <v>2006</v>
      </c>
      <c r="P37" s="80">
        <f t="shared" si="10"/>
        <v>2007</v>
      </c>
      <c r="Q37" s="80">
        <f t="shared" si="10"/>
        <v>2008</v>
      </c>
      <c r="R37" s="80">
        <f t="shared" si="10"/>
        <v>2009</v>
      </c>
      <c r="S37" s="80">
        <f t="shared" si="10"/>
        <v>2010</v>
      </c>
      <c r="T37" s="80">
        <f t="shared" si="10"/>
        <v>2011</v>
      </c>
      <c r="U37" s="80">
        <f t="shared" si="10"/>
        <v>2012</v>
      </c>
      <c r="V37" s="80">
        <f t="shared" si="10"/>
        <v>2013</v>
      </c>
      <c r="W37" s="80">
        <f t="shared" si="10"/>
        <v>2014</v>
      </c>
      <c r="X37" s="80">
        <f t="shared" si="10"/>
        <v>2015</v>
      </c>
      <c r="Y37" s="80">
        <f t="shared" si="10"/>
        <v>2016</v>
      </c>
      <c r="Z37" s="80">
        <f t="shared" si="10"/>
        <v>2017</v>
      </c>
      <c r="AA37" s="80">
        <f t="shared" si="10"/>
        <v>2018</v>
      </c>
      <c r="AB37" s="80">
        <f t="shared" si="10"/>
        <v>2019</v>
      </c>
      <c r="AC37" s="417" t="str">
        <f t="shared" si="10"/>
        <v>Totals</v>
      </c>
    </row>
    <row r="38" spans="1:31">
      <c r="A38" s="400" t="s">
        <v>408</v>
      </c>
      <c r="D38" s="8"/>
      <c r="E38" s="8"/>
      <c r="F38" s="8"/>
      <c r="G38" s="53">
        <f ca="1">IF(G$37&lt;YEAR(Startops1),0,HLOOKUP(G$37,CF_Table,CF!$AB$18))</f>
        <v>0</v>
      </c>
      <c r="H38" s="53">
        <f ca="1">IF(H$37&lt;YEAR(Startops1),0,HLOOKUP(H$37,CF_Table,CF!$AB$18))</f>
        <v>0</v>
      </c>
      <c r="I38" s="53">
        <f ca="1">IF(I$37&lt;YEAR(Startops1),0,HLOOKUP(I$37,CF_Table,CF!$AB$18))</f>
        <v>0</v>
      </c>
      <c r="J38" s="53">
        <f ca="1">IF(J$37&lt;YEAR(Startops1),0,HLOOKUP(J$37,CF_Table,CF!$AB$18))</f>
        <v>8464.0808224549692</v>
      </c>
      <c r="K38" s="53">
        <f ca="1">IF(K$37&lt;YEAR(Startops1),0,HLOOKUP(K$37,CF_Table,CF!$AB$18))</f>
        <v>14255.135067986579</v>
      </c>
      <c r="L38" s="53">
        <f ca="1">IF(L$37&lt;YEAR(Startops1),0,HLOOKUP(L$37,CF_Table,CF!$AB$18))</f>
        <v>14692.664326697153</v>
      </c>
      <c r="M38" s="53">
        <f ca="1">IF(M$37&lt;YEAR(Startops1),0,HLOOKUP(M$37,CF_Table,CF!$AB$18))</f>
        <v>15166.72612902658</v>
      </c>
      <c r="N38" s="53">
        <f ca="1">IF(N$37&lt;YEAR(Startops1),0,HLOOKUP(N$37,CF_Table,CF!$AB$18))</f>
        <v>15561.160593346081</v>
      </c>
      <c r="O38" s="53">
        <f ca="1">IF(O$37&lt;YEAR(Startops1),0,HLOOKUP(O$37,CF_Table,CF!$AB$18))</f>
        <v>15999.636971276619</v>
      </c>
      <c r="P38" s="53">
        <f ca="1">IF(P$37&lt;YEAR(Startops1),0,HLOOKUP(P$37,CF_Table,CF!$AB$18))</f>
        <v>16440.519434283349</v>
      </c>
      <c r="Q38" s="53">
        <f ca="1">IF(Q$37&lt;YEAR(Startops1),0,HLOOKUP(Q$37,CF_Table,CF!$AB$18))</f>
        <v>16928.933757916311</v>
      </c>
      <c r="R38" s="53">
        <f ca="1">IF(R$37&lt;YEAR(Startops1),0,HLOOKUP(R$37,CF_Table,CF!$AB$18))</f>
        <v>17329.669654201614</v>
      </c>
      <c r="S38" s="53">
        <f ca="1">IF(S$37&lt;YEAR(Startops1),0,HLOOKUP(S$37,CF_Table,CF!$AB$18))</f>
        <v>17779.888639887187</v>
      </c>
      <c r="T38" s="53">
        <f ca="1">IF(T$37&lt;YEAR(Startops1),0,HLOOKUP(T$37,CF_Table,CF!$AB$18))</f>
        <v>18234.952127638138</v>
      </c>
      <c r="U38" s="53">
        <f ca="1">IF(U$37&lt;YEAR(Startops1),0,HLOOKUP(U$37,CF_Table,CF!$AB$18))</f>
        <v>18746.666400156511</v>
      </c>
      <c r="V38" s="53">
        <f ca="1">IF(V$37&lt;YEAR(Startops1),0,HLOOKUP(V$37,CF_Table,CF!$AB$18))</f>
        <v>19166.346228832212</v>
      </c>
      <c r="W38" s="53">
        <f ca="1">IF(W$37&lt;YEAR(Startops1),0,HLOOKUP(W$37,CF_Table,CF!$AB$18))</f>
        <v>19649.677431172586</v>
      </c>
      <c r="X38" s="53">
        <f ca="1">IF(X$37&lt;YEAR(Startops1),0,HLOOKUP(X$37,CF_Table,CF!$AB$18))</f>
        <v>20151.15953644484</v>
      </c>
      <c r="Y38" s="53">
        <f ca="1">IF(Y$37&lt;YEAR(Startops1),0,HLOOKUP(Y$37,CF_Table,CF!$AB$18))</f>
        <v>20729.460453537933</v>
      </c>
      <c r="Z38" s="53">
        <f ca="1">IF(Z$37&lt;YEAR(Startops1),0,HLOOKUP(Z$37,CF_Table,CF!$AB$18))</f>
        <v>21219.933560102592</v>
      </c>
      <c r="AA38" s="53">
        <f ca="1">IF(AA$37&lt;YEAR(Startops1),0,HLOOKUP(AA$37,CF_Table,CF!$AB$18))</f>
        <v>21790.312478975764</v>
      </c>
      <c r="AB38" s="53">
        <f ca="1">IF(AB$37&lt;YEAR(Startops1),0,HLOOKUP(AB$37,CF_Table,CF!$AB$18))</f>
        <v>7226.4497213103987</v>
      </c>
      <c r="AC38" s="423">
        <f ca="1">SUM(G38:AB38)</f>
        <v>319533.37333524739</v>
      </c>
    </row>
    <row r="39" spans="1:31">
      <c r="A39" s="137" t="s">
        <v>684</v>
      </c>
      <c r="D39" s="8"/>
      <c r="E39" s="8"/>
      <c r="F39" s="8"/>
      <c r="G39" s="53">
        <f ca="1">IF(G$37&lt;YEAR(Startops1),0,-HLOOKUP(G$37,CF_Table,CF!$AB$34))</f>
        <v>0</v>
      </c>
      <c r="H39" s="53">
        <f ca="1">IF(H$37&lt;YEAR(Startops1),0,-HLOOKUP(H$37,CF_Table,CF!$AB$34))</f>
        <v>0</v>
      </c>
      <c r="I39" s="53">
        <f ca="1">IF(I$37&lt;YEAR(Startops1),0,-HLOOKUP(I$37,CF_Table,CF!$AB$34))</f>
        <v>0</v>
      </c>
      <c r="J39" s="53">
        <f ca="1">IF(J$37&lt;YEAR(Startops1),0,-HLOOKUP(J$37,CF_Table,CF!$AB$34))</f>
        <v>-1726.0374748343186</v>
      </c>
      <c r="K39" s="53">
        <f ca="1">IF(K$37&lt;YEAR(Startops1),0,-HLOOKUP(K$37,CF_Table,CF!$AB$34))</f>
        <v>-2152.4950854817362</v>
      </c>
      <c r="L39" s="53">
        <f ca="1">IF(L$37&lt;YEAR(Startops1),0,-HLOOKUP(L$37,CF_Table,CF!$AB$34))</f>
        <v>-3116.0917033310948</v>
      </c>
      <c r="M39" s="53">
        <f ca="1">IF(M$37&lt;YEAR(Startops1),0,-HLOOKUP(M$37,CF_Table,CF!$AB$34))</f>
        <v>-2685.5895114280602</v>
      </c>
      <c r="N39" s="53">
        <f ca="1">IF(N$37&lt;YEAR(Startops1),0,-HLOOKUP(N$37,CF_Table,CF!$AB$34))</f>
        <v>-2296.6219394217537</v>
      </c>
      <c r="O39" s="53">
        <f ca="1">IF(O$37&lt;YEAR(Startops1),0,-HLOOKUP(O$37,CF_Table,CF!$AB$34))</f>
        <v>-2456.4268675284966</v>
      </c>
      <c r="P39" s="53">
        <f ca="1">IF(P$37&lt;YEAR(Startops1),0,-HLOOKUP(P$37,CF_Table,CF!$AB$34))</f>
        <v>-2452.5492572209223</v>
      </c>
      <c r="Q39" s="53">
        <f ca="1">IF(Q$37&lt;YEAR(Startops1),0,-HLOOKUP(Q$37,CF_Table,CF!$AB$34))</f>
        <v>-2743.2608358563871</v>
      </c>
      <c r="R39" s="53">
        <f ca="1">IF(R$37&lt;YEAR(Startops1),0,-HLOOKUP(R$37,CF_Table,CF!$AB$34))</f>
        <v>-2555.7973464902557</v>
      </c>
      <c r="S39" s="53">
        <f ca="1">IF(S$37&lt;YEAR(Startops1),0,-HLOOKUP(S$37,CF_Table,CF!$AB$34))</f>
        <v>-2708.8800952470006</v>
      </c>
      <c r="T39" s="53">
        <f ca="1">IF(T$37&lt;YEAR(Startops1),0,-HLOOKUP(T$37,CF_Table,CF!$AB$34))</f>
        <v>-2688.6364236611334</v>
      </c>
      <c r="U39" s="53">
        <f ca="1">IF(U$37&lt;YEAR(Startops1),0,-HLOOKUP(U$37,CF_Table,CF!$AB$34))</f>
        <v>-2756.4319795971933</v>
      </c>
      <c r="V39" s="53">
        <f ca="1">IF(V$37&lt;YEAR(Startops1),0,-HLOOKUP(V$37,CF_Table,CF!$AB$34))</f>
        <v>-4090.0316920857604</v>
      </c>
      <c r="W39" s="53">
        <f ca="1">IF(W$37&lt;YEAR(Startops1),0,-HLOOKUP(W$37,CF_Table,CF!$AB$34))</f>
        <v>-3014.2303314361679</v>
      </c>
      <c r="X39" s="53">
        <f ca="1">IF(X$37&lt;YEAR(Startops1),0,-HLOOKUP(X$37,CF_Table,CF!$AB$34))</f>
        <v>-2971.3233952509904</v>
      </c>
      <c r="Y39" s="53">
        <f ca="1">IF(Y$37&lt;YEAR(Startops1),0,-HLOOKUP(Y$37,CF_Table,CF!$AB$34))</f>
        <v>-3082.8270455938423</v>
      </c>
      <c r="Z39" s="53">
        <f ca="1">IF(Z$37&lt;YEAR(Startops1),0,-HLOOKUP(Z$37,CF_Table,CF!$AB$34))</f>
        <v>-3129.8411243289679</v>
      </c>
      <c r="AA39" s="53">
        <f ca="1">IF(AA$37&lt;YEAR(Startops1),0,-HLOOKUP(AA$37,CF_Table,CF!$AB$34))</f>
        <v>-3191.1020982964428</v>
      </c>
      <c r="AB39" s="53">
        <f ca="1">IF(AB$37&lt;YEAR(Startops1),0,-HLOOKUP(AB$37,CF_Table,CF!$AB$34))</f>
        <v>-1092.8921652228955</v>
      </c>
      <c r="AC39" s="423">
        <f ca="1">SUM(G39:AB39)</f>
        <v>-50911.06637231342</v>
      </c>
      <c r="AD39" s="30"/>
    </row>
    <row r="40" spans="1:31">
      <c r="A40" s="137" t="s">
        <v>685</v>
      </c>
      <c r="D40" s="8"/>
      <c r="E40" s="8"/>
      <c r="F40" s="8"/>
      <c r="G40" s="228">
        <f ca="1">IF(G$37&lt;YEAR(Startops1),0,HLOOKUP(G$37,CF_Table,CF!$AB$41))</f>
        <v>0</v>
      </c>
      <c r="H40" s="228">
        <f ca="1">IF(H$37&lt;YEAR(Startops1),0,HLOOKUP(H$37,CF_Table,CF!$AB$41))</f>
        <v>0</v>
      </c>
      <c r="I40" s="228">
        <f ca="1">IF(I$37&lt;YEAR(Startops1),0,HLOOKUP(I$37,CF_Table,CF!$AB$41))</f>
        <v>0</v>
      </c>
      <c r="J40" s="228">
        <f ca="1">IF(J$37&lt;YEAR(Startops1),0,HLOOKUP(J$37,CF_Table,CF!$AB$41))</f>
        <v>-1672.3452810911783</v>
      </c>
      <c r="K40" s="228">
        <f ca="1">IF(K$37&lt;YEAR(Startops1),0,HLOOKUP(K$37,CF_Table,CF!$AB$41))</f>
        <v>-3999.6126138014974</v>
      </c>
      <c r="L40" s="228">
        <f ca="1">IF(L$37&lt;YEAR(Startops1),0,HLOOKUP(L$37,CF_Table,CF!$AB$41))</f>
        <v>-3923.6074153651184</v>
      </c>
      <c r="M40" s="228">
        <f ca="1">IF(M$37&lt;YEAR(Startops1),0,HLOOKUP(M$37,CF_Table,CF!$AB$41))</f>
        <v>-405.0402423577948</v>
      </c>
      <c r="N40" s="228">
        <f ca="1">IF(N$37&lt;YEAR(Startops1),0,HLOOKUP(N$37,CF_Table,CF!$AB$41))</f>
        <v>-724.86940088919368</v>
      </c>
      <c r="O40" s="228">
        <f ca="1">IF(O$37&lt;YEAR(Startops1),0,HLOOKUP(O$37,CF_Table,CF!$AB$41))</f>
        <v>-974.05066702081865</v>
      </c>
      <c r="P40" s="228">
        <f ca="1">IF(P$37&lt;YEAR(Startops1),0,HLOOKUP(P$37,CF_Table,CF!$AB$41))</f>
        <v>-1236.0095012156739</v>
      </c>
      <c r="Q40" s="228">
        <f ca="1">IF(Q$37&lt;YEAR(Startops1),0,HLOOKUP(Q$37,CF_Table,CF!$AB$41))</f>
        <v>-1470.6195770535849</v>
      </c>
      <c r="R40" s="228">
        <f ca="1">IF(R$37&lt;YEAR(Startops1),0,HLOOKUP(R$37,CF_Table,CF!$AB$41))</f>
        <v>-1690.5341925096925</v>
      </c>
      <c r="S40" s="228">
        <f ca="1">IF(S$37&lt;YEAR(Startops1),0,HLOOKUP(S$37,CF_Table,CF!$AB$41))</f>
        <v>-1729.1751151405301</v>
      </c>
      <c r="T40" s="228">
        <f ca="1">IF(T$37&lt;YEAR(Startops1),0,HLOOKUP(T$37,CF_Table,CF!$AB$41))</f>
        <v>-1665.8960419560979</v>
      </c>
      <c r="U40" s="228">
        <f ca="1">IF(U$37&lt;YEAR(Startops1),0,HLOOKUP(U$37,CF_Table,CF!$AB$41))</f>
        <v>-1618.5546517004855</v>
      </c>
      <c r="V40" s="228">
        <f ca="1">IF(V$37&lt;YEAR(Startops1),0,HLOOKUP(V$37,CF_Table,CF!$AB$41))</f>
        <v>-1574.7273582310377</v>
      </c>
      <c r="W40" s="228">
        <f ca="1">IF(W$37&lt;YEAR(Startops1),0,HLOOKUP(W$37,CF_Table,CF!$AB$41))</f>
        <v>-1370.629337360773</v>
      </c>
      <c r="X40" s="228">
        <f ca="1">IF(X$37&lt;YEAR(Startops1),0,HLOOKUP(X$37,CF_Table,CF!$AB$41))</f>
        <v>-1079.4405166574106</v>
      </c>
      <c r="Y40" s="228">
        <f ca="1">IF(Y$37&lt;YEAR(Startops1),0,HLOOKUP(Y$37,CF_Table,CF!$AB$41))</f>
        <v>-620.68351478129057</v>
      </c>
      <c r="Z40" s="228">
        <f ca="1">IF(Z$37&lt;YEAR(Startops1),0,HLOOKUP(Z$37,CF_Table,CF!$AB$41))</f>
        <v>31.354530024814363</v>
      </c>
      <c r="AA40" s="228">
        <f ca="1">IF(AA$37&lt;YEAR(Startops1),0,HLOOKUP(AA$37,CF_Table,CF!$AB$41))</f>
        <v>492.21081604615796</v>
      </c>
      <c r="AB40" s="228">
        <f ca="1">IF(AB$37&lt;YEAR(Startops1),0,HLOOKUP(AB$37,CF_Table,CF!$AB$41))</f>
        <v>269.41360921846302</v>
      </c>
      <c r="AC40" s="424">
        <f ca="1">SUM(G40:AB40)</f>
        <v>-24962.81647184274</v>
      </c>
      <c r="AD40" s="27"/>
    </row>
    <row r="41" spans="1:31">
      <c r="A41" s="137" t="s">
        <v>687</v>
      </c>
      <c r="D41" s="8"/>
      <c r="E41" s="8"/>
      <c r="F41" s="8"/>
      <c r="G41" s="53">
        <f ca="1">SUM(G38:G40)</f>
        <v>0</v>
      </c>
      <c r="H41" s="53">
        <f t="shared" ref="H41:AB41" ca="1" si="11">SUM(H38:H40)</f>
        <v>0</v>
      </c>
      <c r="I41" s="53">
        <f t="shared" ca="1" si="11"/>
        <v>0</v>
      </c>
      <c r="J41" s="53">
        <f t="shared" ca="1" si="11"/>
        <v>5065.6980665294723</v>
      </c>
      <c r="K41" s="53">
        <f t="shared" ca="1" si="11"/>
        <v>8103.0273687033459</v>
      </c>
      <c r="L41" s="53">
        <f t="shared" ca="1" si="11"/>
        <v>7652.96520800094</v>
      </c>
      <c r="M41" s="53">
        <f t="shared" ca="1" si="11"/>
        <v>12076.096375240726</v>
      </c>
      <c r="N41" s="53">
        <f t="shared" ca="1" si="11"/>
        <v>12539.669253035134</v>
      </c>
      <c r="O41" s="53">
        <f t="shared" ca="1" si="11"/>
        <v>12569.159436727305</v>
      </c>
      <c r="P41" s="53">
        <f t="shared" ca="1" si="11"/>
        <v>12751.960675846753</v>
      </c>
      <c r="Q41" s="53">
        <f t="shared" ca="1" si="11"/>
        <v>12715.053345006339</v>
      </c>
      <c r="R41" s="53">
        <f t="shared" ca="1" si="11"/>
        <v>13083.338115201666</v>
      </c>
      <c r="S41" s="53">
        <f t="shared" ca="1" si="11"/>
        <v>13341.833429499657</v>
      </c>
      <c r="T41" s="53">
        <f t="shared" ca="1" si="11"/>
        <v>13880.419662020908</v>
      </c>
      <c r="U41" s="53">
        <f t="shared" ca="1" si="11"/>
        <v>14371.679768858832</v>
      </c>
      <c r="V41" s="53">
        <f t="shared" ca="1" si="11"/>
        <v>13501.587178515414</v>
      </c>
      <c r="W41" s="53">
        <f t="shared" ca="1" si="11"/>
        <v>15264.817762375646</v>
      </c>
      <c r="X41" s="53">
        <f t="shared" ca="1" si="11"/>
        <v>16100.395624536439</v>
      </c>
      <c r="Y41" s="53">
        <f t="shared" ca="1" si="11"/>
        <v>17025.9498931628</v>
      </c>
      <c r="Z41" s="53">
        <f t="shared" ca="1" si="11"/>
        <v>18121.446965798441</v>
      </c>
      <c r="AA41" s="53">
        <f t="shared" ca="1" si="11"/>
        <v>19091.421196725478</v>
      </c>
      <c r="AB41" s="53">
        <f t="shared" ca="1" si="11"/>
        <v>6402.9711653059658</v>
      </c>
      <c r="AC41" s="423">
        <f ca="1">SUM(G41:AB41)</f>
        <v>243659.49049109124</v>
      </c>
    </row>
    <row r="42" spans="1:31">
      <c r="A42" s="137"/>
      <c r="D42" s="8"/>
      <c r="E42" s="8"/>
      <c r="F42" s="8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423" t="s">
        <v>128</v>
      </c>
    </row>
    <row r="43" spans="1:31">
      <c r="A43" s="137" t="s">
        <v>90</v>
      </c>
      <c r="D43" s="8"/>
      <c r="E43" s="8"/>
      <c r="F43" s="8"/>
      <c r="G43" s="53">
        <f ca="1">IF(G$37&lt;YEAR(Startops1),0,HLOOKUP(G$37,CF_Table,CF!$AB$44))</f>
        <v>0</v>
      </c>
      <c r="H43" s="53">
        <f ca="1">IF(H$37&lt;YEAR(Startops1),0,HLOOKUP(H$37,CF_Table,CF!$AB$44))</f>
        <v>0</v>
      </c>
      <c r="I43" s="53">
        <f ca="1">IF(I$37&lt;YEAR(Startops1),0,HLOOKUP(I$37,CF_Table,CF!$AB$44))</f>
        <v>0</v>
      </c>
      <c r="J43" s="53">
        <f ca="1">IF(J$37&lt;YEAR(Startops1),0,HLOOKUP(J$37,CF_Table,CF!$AB$44))</f>
        <v>-5267.1668601538513</v>
      </c>
      <c r="K43" s="53">
        <f ca="1">IF(K$37&lt;YEAR(Startops1),0,HLOOKUP(K$37,CF_Table,CF!$AB$44))</f>
        <v>-6320.6002321846217</v>
      </c>
      <c r="L43" s="53">
        <f ca="1">IF(L$37&lt;YEAR(Startops1),0,HLOOKUP(L$37,CF_Table,CF!$AB$44))</f>
        <v>-6320.6002321846217</v>
      </c>
      <c r="M43" s="53">
        <f ca="1">IF(M$37&lt;YEAR(Startops1),0,HLOOKUP(M$37,CF_Table,CF!$AB$44))</f>
        <v>-6320.6002321846217</v>
      </c>
      <c r="N43" s="53">
        <f ca="1">IF(N$37&lt;YEAR(Startops1),0,HLOOKUP(N$37,CF_Table,CF!$AB$44))</f>
        <v>-6320.6002321846217</v>
      </c>
      <c r="O43" s="53">
        <f ca="1">IF(O$37&lt;YEAR(Startops1),0,HLOOKUP(O$37,CF_Table,CF!$AB$44))</f>
        <v>-6320.6002321846217</v>
      </c>
      <c r="P43" s="53">
        <f ca="1">IF(P$37&lt;YEAR(Startops1),0,HLOOKUP(P$37,CF_Table,CF!$AB$44))</f>
        <v>-6320.6002321846217</v>
      </c>
      <c r="Q43" s="53">
        <f ca="1">IF(Q$37&lt;YEAR(Startops1),0,HLOOKUP(Q$37,CF_Table,CF!$AB$44))</f>
        <v>-6320.6002321846217</v>
      </c>
      <c r="R43" s="53">
        <f ca="1">IF(R$37&lt;YEAR(Startops1),0,HLOOKUP(R$37,CF_Table,CF!$AB$44))</f>
        <v>-6320.6002321846217</v>
      </c>
      <c r="S43" s="53">
        <f ca="1">IF(S$37&lt;YEAR(Startops1),0,HLOOKUP(S$37,CF_Table,CF!$AB$44))</f>
        <v>-6320.6002321846217</v>
      </c>
      <c r="T43" s="53">
        <f ca="1">IF(T$37&lt;YEAR(Startops1),0,HLOOKUP(T$37,CF_Table,CF!$AB$44))</f>
        <v>-6320.6002321846217</v>
      </c>
      <c r="U43" s="53">
        <f ca="1">IF(U$37&lt;YEAR(Startops1),0,HLOOKUP(U$37,CF_Table,CF!$AB$44))</f>
        <v>-6320.6002321846217</v>
      </c>
      <c r="V43" s="53">
        <f ca="1">IF(V$37&lt;YEAR(Startops1),0,HLOOKUP(V$37,CF_Table,CF!$AB$44))</f>
        <v>-6320.6002321846217</v>
      </c>
      <c r="W43" s="53">
        <f ca="1">IF(W$37&lt;YEAR(Startops1),0,HLOOKUP(W$37,CF_Table,CF!$AB$44))</f>
        <v>-6320.6002321846217</v>
      </c>
      <c r="X43" s="53">
        <f ca="1">IF(X$37&lt;YEAR(Startops1),0,HLOOKUP(X$37,CF_Table,CF!$AB$44))</f>
        <v>-6320.6002321846217</v>
      </c>
      <c r="Y43" s="53">
        <f ca="1">IF(Y$37&lt;YEAR(Startops1),0,HLOOKUP(Y$37,CF_Table,CF!$AB$44))</f>
        <v>-6320.6002321846217</v>
      </c>
      <c r="Z43" s="53">
        <f ca="1">IF(Z$37&lt;YEAR(Startops1),0,HLOOKUP(Z$37,CF_Table,CF!$AB$44))</f>
        <v>-6320.6002321846217</v>
      </c>
      <c r="AA43" s="53">
        <f ca="1">IF(AA$37&lt;YEAR(Startops1),0,HLOOKUP(AA$37,CF_Table,CF!$AB$44))</f>
        <v>-6320.6002321846217</v>
      </c>
      <c r="AB43" s="53">
        <f ca="1">IF(AB$37&lt;YEAR(Startops1),0,HLOOKUP(AB$37,CF_Table,CF!$AB$44))</f>
        <v>-2106.8667440615404</v>
      </c>
      <c r="AC43" s="423">
        <f ca="1">SUM(G43:AB43)</f>
        <v>-114824.23755135393</v>
      </c>
    </row>
    <row r="44" spans="1:31">
      <c r="A44" s="137" t="s">
        <v>17</v>
      </c>
      <c r="D44" s="8"/>
      <c r="E44" s="8"/>
      <c r="F44" s="8"/>
      <c r="G44" s="53">
        <f ca="1">IF(G$37&lt;YEAR(Startops1),0,HLOOKUP(G$37,CF_Table,CF!$AB$47))</f>
        <v>0</v>
      </c>
      <c r="H44" s="53">
        <f ca="1">IF(H$37&lt;YEAR(Startops1),0,HLOOKUP(H$37,CF_Table,CF!$AB$47))</f>
        <v>0</v>
      </c>
      <c r="I44" s="53">
        <f ca="1">IF(I$37&lt;YEAR(Startops1),0,HLOOKUP(I$37,CF_Table,CF!$AB$47))</f>
        <v>0</v>
      </c>
      <c r="J44" s="53">
        <f ca="1">IF(J$37&lt;YEAR(Startops1),0,HLOOKUP(J$37,CF_Table,CF!$AB$47))</f>
        <v>-3484.300065346657</v>
      </c>
      <c r="K44" s="53">
        <f ca="1">IF(K$37&lt;YEAR(Startops1),0,HLOOKUP(K$37,CF_Table,CF!$AB$47))</f>
        <v>-8330.9644427867697</v>
      </c>
      <c r="L44" s="53">
        <f ca="1">IF(L$37&lt;YEAR(Startops1),0,HLOOKUP(L$37,CF_Table,CF!$AB$47))</f>
        <v>-8183.736836797003</v>
      </c>
      <c r="M44" s="53">
        <f ca="1">IF(M$37&lt;YEAR(Startops1),0,HLOOKUP(M$37,CF_Table,CF!$AB$47))</f>
        <v>-7874.9282995768517</v>
      </c>
      <c r="N44" s="53">
        <f ca="1">IF(N$37&lt;YEAR(Startops1),0,HLOOKUP(N$37,CF_Table,CF!$AB$47))</f>
        <v>-7246.8861993410301</v>
      </c>
      <c r="O44" s="53">
        <f ca="1">IF(O$37&lt;YEAR(Startops1),0,HLOOKUP(O$37,CF_Table,CF!$AB$47))</f>
        <v>-6469.5707112199325</v>
      </c>
      <c r="P44" s="53">
        <f ca="1">IF(P$37&lt;YEAR(Startops1),0,HLOOKUP(P$37,CF_Table,CF!$AB$47))</f>
        <v>-5579.1548429776813</v>
      </c>
      <c r="Q44" s="53">
        <f ca="1">IF(Q$37&lt;YEAR(Startops1),0,HLOOKUP(Q$37,CF_Table,CF!$AB$47))</f>
        <v>-4657.3802741473091</v>
      </c>
      <c r="R44" s="53">
        <f ca="1">IF(R$37&lt;YEAR(Startops1),0,HLOOKUP(R$37,CF_Table,CF!$AB$47))</f>
        <v>-4069.2622795745342</v>
      </c>
      <c r="S44" s="53">
        <f ca="1">IF(S$37&lt;YEAR(Startops1),0,HLOOKUP(S$37,CF_Table,CF!$AB$47))</f>
        <v>-3592.3631430876248</v>
      </c>
      <c r="T44" s="53">
        <f ca="1">IF(T$37&lt;YEAR(Startops1),0,HLOOKUP(T$37,CF_Table,CF!$AB$47))</f>
        <v>-3115.464006600715</v>
      </c>
      <c r="U44" s="53">
        <f ca="1">IF(U$37&lt;YEAR(Startops1),0,HLOOKUP(U$37,CF_Table,CF!$AB$47))</f>
        <v>-2471.7365829850069</v>
      </c>
      <c r="V44" s="53">
        <f ca="1">IF(V$37&lt;YEAR(Startops1),0,HLOOKUP(V$37,CF_Table,CF!$AB$47))</f>
        <v>-1772.3997303263664</v>
      </c>
      <c r="W44" s="53">
        <f ca="1">IF(W$37&lt;YEAR(Startops1),0,HLOOKUP(W$37,CF_Table,CF!$AB$47))</f>
        <v>-1073.0628776677256</v>
      </c>
      <c r="X44" s="53">
        <f ca="1">IF(X$37&lt;YEAR(Startops1),0,HLOOKUP(X$37,CF_Table,CF!$AB$47))</f>
        <v>-326.68797412690321</v>
      </c>
      <c r="Y44" s="53">
        <f ca="1">IF(Y$37&lt;YEAR(Startops1),0,HLOOKUP(Y$37,CF_Table,CF!$AB$47))</f>
        <v>0</v>
      </c>
      <c r="Z44" s="53">
        <f ca="1">IF(Z$37&lt;YEAR(Startops1),0,HLOOKUP(Z$37,CF_Table,CF!$AB$47))</f>
        <v>0</v>
      </c>
      <c r="AA44" s="53">
        <f ca="1">IF(AA$37&lt;YEAR(Startops1),0,HLOOKUP(AA$37,CF_Table,CF!$AB$47))</f>
        <v>0</v>
      </c>
      <c r="AB44" s="53">
        <f ca="1">IF(AB$37&lt;YEAR(Startops1),0,HLOOKUP(AB$37,CF_Table,CF!$AB$47))</f>
        <v>0</v>
      </c>
      <c r="AC44" s="423">
        <f ca="1">SUM(G44:AB44)</f>
        <v>-68247.898266562115</v>
      </c>
    </row>
    <row r="45" spans="1:31">
      <c r="A45" s="137" t="s">
        <v>18</v>
      </c>
      <c r="D45" s="8"/>
      <c r="E45" s="8"/>
      <c r="F45" s="8"/>
      <c r="G45" s="53">
        <f ca="1">IF(G$37&lt;YEAR(Startops1),0,HLOOKUP(G$37,CF_Table,CF!$AB$48))</f>
        <v>0</v>
      </c>
      <c r="H45" s="53">
        <f ca="1">IF(H$37&lt;YEAR(Startops1),0,HLOOKUP(H$37,CF_Table,CF!$AB$48))</f>
        <v>0</v>
      </c>
      <c r="I45" s="53">
        <f ca="1">IF(I$37&lt;YEAR(Startops1),0,HLOOKUP(I$37,CF_Table,CF!$AB$48))</f>
        <v>0</v>
      </c>
      <c r="J45" s="53">
        <f ca="1">IF(J$37&lt;YEAR(Startops1),0,HLOOKUP(J$37,CF_Table,CF!$AB$48))</f>
        <v>-1164.1873224716187</v>
      </c>
      <c r="K45" s="53">
        <f ca="1">IF(K$37&lt;YEAR(Startops1),0,HLOOKUP(K$37,CF_Table,CF!$AB$48))</f>
        <v>-2763.7464238380571</v>
      </c>
      <c r="L45" s="53">
        <f ca="1">IF(L$37&lt;YEAR(Startops1),0,HLOOKUP(L$37,CF_Table,CF!$AB$48))</f>
        <v>-2634.5269736292057</v>
      </c>
      <c r="M45" s="53">
        <f ca="1">IF(M$37&lt;YEAR(Startops1),0,HLOOKUP(M$37,CF_Table,CF!$AB$48))</f>
        <v>-2487.963042716071</v>
      </c>
      <c r="N45" s="53">
        <f ca="1">IF(N$37&lt;YEAR(Startops1),0,HLOOKUP(N$37,CF_Table,CF!$AB$48))</f>
        <v>-2321.7265681761205</v>
      </c>
      <c r="O45" s="53">
        <f ca="1">IF(O$37&lt;YEAR(Startops1),0,HLOOKUP(O$37,CF_Table,CF!$AB$48))</f>
        <v>-2133.1770028410456</v>
      </c>
      <c r="P45" s="53">
        <f ca="1">IF(P$37&lt;YEAR(Startops1),0,HLOOKUP(P$37,CF_Table,CF!$AB$48))</f>
        <v>-1919.3193720988706</v>
      </c>
      <c r="Q45" s="53">
        <f ca="1">IF(Q$37&lt;YEAR(Startops1),0,HLOOKUP(Q$37,CF_Table,CF!$AB$48))</f>
        <v>-1676.756700870327</v>
      </c>
      <c r="R45" s="53">
        <f ca="1">IF(R$37&lt;YEAR(Startops1),0,HLOOKUP(R$37,CF_Table,CF!$AB$48))</f>
        <v>-1401.6360550961322</v>
      </c>
      <c r="S45" s="53">
        <f ca="1">IF(S$37&lt;YEAR(Startops1),0,HLOOKUP(S$37,CF_Table,CF!$AB$48))</f>
        <v>-1089.5873406428959</v>
      </c>
      <c r="T45" s="53">
        <f ca="1">IF(T$37&lt;YEAR(Startops1),0,HLOOKUP(T$37,CF_Table,CF!$AB$48))</f>
        <v>-735.65388749217459</v>
      </c>
      <c r="U45" s="53">
        <f ca="1">IF(U$37&lt;YEAR(Startops1),0,HLOOKUP(U$37,CF_Table,CF!$AB$48))</f>
        <v>-334.21371659229811</v>
      </c>
      <c r="V45" s="53">
        <f ca="1">IF(V$37&lt;YEAR(Startops1),0,HLOOKUP(V$37,CF_Table,CF!$AB$48))</f>
        <v>0</v>
      </c>
      <c r="W45" s="53">
        <f ca="1">IF(W$37&lt;YEAR(Startops1),0,HLOOKUP(W$37,CF_Table,CF!$AB$48))</f>
        <v>0</v>
      </c>
      <c r="X45" s="53">
        <f ca="1">IF(X$37&lt;YEAR(Startops1),0,HLOOKUP(X$37,CF_Table,CF!$AB$48))</f>
        <v>0</v>
      </c>
      <c r="Y45" s="53">
        <f ca="1">IF(Y$37&lt;YEAR(Startops1),0,HLOOKUP(Y$37,CF_Table,CF!$AB$48))</f>
        <v>0</v>
      </c>
      <c r="Z45" s="53">
        <f ca="1">IF(Z$37&lt;YEAR(Startops1),0,HLOOKUP(Z$37,CF_Table,CF!$AB$48))</f>
        <v>0</v>
      </c>
      <c r="AA45" s="53">
        <f ca="1">IF(AA$37&lt;YEAR(Startops1),0,HLOOKUP(AA$37,CF_Table,CF!$AB$48))</f>
        <v>0</v>
      </c>
      <c r="AB45" s="53">
        <f ca="1">IF(AB$37&lt;YEAR(Startops1),0,HLOOKUP(AB$37,CF_Table,CF!$AB$48))</f>
        <v>0</v>
      </c>
      <c r="AC45" s="423">
        <f ca="1">SUM(G45:AB45)</f>
        <v>-20662.494406464815</v>
      </c>
    </row>
    <row r="46" spans="1:31">
      <c r="A46" s="137" t="s">
        <v>426</v>
      </c>
      <c r="D46" s="8"/>
      <c r="E46" s="8"/>
      <c r="F46" s="8"/>
      <c r="G46" s="228">
        <f ca="1">IF(G$37&lt;YEAR(Startops1),0,HLOOKUP(G$37,CF_Table,CF!$AB$49))</f>
        <v>0</v>
      </c>
      <c r="H46" s="228">
        <f ca="1">IF(H$37&lt;YEAR(Startops1),0,HLOOKUP(H$37,CF_Table,CF!$AB$49))</f>
        <v>0</v>
      </c>
      <c r="I46" s="228">
        <f ca="1">IF(I$37&lt;YEAR(Startops1),0,HLOOKUP(I$37,CF_Table,CF!$AB$49))</f>
        <v>0</v>
      </c>
      <c r="J46" s="228">
        <f ca="1">IF(J$37&lt;YEAR(Startops1),0,HLOOKUP(J$37,CF_Table,CF!$AB$49))</f>
        <v>0</v>
      </c>
      <c r="K46" s="228">
        <f ca="1">IF(K$37&lt;YEAR(Startops1),0,HLOOKUP(K$37,CF_Table,CF!$AB$49))</f>
        <v>0</v>
      </c>
      <c r="L46" s="228">
        <f ca="1">IF(L$37&lt;YEAR(Startops1),0,HLOOKUP(L$37,CF_Table,CF!$AB$49))</f>
        <v>0</v>
      </c>
      <c r="M46" s="228">
        <f ca="1">IF(M$37&lt;YEAR(Startops1),0,HLOOKUP(M$37,CF_Table,CF!$AB$49))</f>
        <v>0</v>
      </c>
      <c r="N46" s="228">
        <f ca="1">IF(N$37&lt;YEAR(Startops1),0,HLOOKUP(N$37,CF_Table,CF!$AB$49))</f>
        <v>0</v>
      </c>
      <c r="O46" s="228">
        <f ca="1">IF(O$37&lt;YEAR(Startops1),0,HLOOKUP(O$37,CF_Table,CF!$AB$49))</f>
        <v>0</v>
      </c>
      <c r="P46" s="228">
        <f ca="1">IF(P$37&lt;YEAR(Startops1),0,HLOOKUP(P$37,CF_Table,CF!$AB$49))</f>
        <v>0</v>
      </c>
      <c r="Q46" s="228">
        <f ca="1">IF(Q$37&lt;YEAR(Startops1),0,HLOOKUP(Q$37,CF_Table,CF!$AB$49))</f>
        <v>0</v>
      </c>
      <c r="R46" s="228">
        <f ca="1">IF(R$37&lt;YEAR(Startops1),0,HLOOKUP(R$37,CF_Table,CF!$AB$49))</f>
        <v>0</v>
      </c>
      <c r="S46" s="228">
        <f ca="1">IF(S$37&lt;YEAR(Startops1),0,HLOOKUP(S$37,CF_Table,CF!$AB$49))</f>
        <v>0</v>
      </c>
      <c r="T46" s="228">
        <f ca="1">IF(T$37&lt;YEAR(Startops1),0,HLOOKUP(T$37,CF_Table,CF!$AB$49))</f>
        <v>0</v>
      </c>
      <c r="U46" s="228">
        <f ca="1">IF(U$37&lt;YEAR(Startops1),0,HLOOKUP(U$37,CF_Table,CF!$AB$49))</f>
        <v>0</v>
      </c>
      <c r="V46" s="228">
        <f ca="1">IF(V$37&lt;YEAR(Startops1),0,HLOOKUP(V$37,CF_Table,CF!$AB$49))</f>
        <v>0</v>
      </c>
      <c r="W46" s="228">
        <f ca="1">IF(W$37&lt;YEAR(Startops1),0,HLOOKUP(W$37,CF_Table,CF!$AB$49))</f>
        <v>0</v>
      </c>
      <c r="X46" s="228">
        <f ca="1">IF(X$37&lt;YEAR(Startops1),0,HLOOKUP(X$37,CF_Table,CF!$AB$49))</f>
        <v>0</v>
      </c>
      <c r="Y46" s="228">
        <f ca="1">IF(Y$37&lt;YEAR(Startops1),0,HLOOKUP(Y$37,CF_Table,CF!$AB$49))</f>
        <v>0</v>
      </c>
      <c r="Z46" s="228">
        <f ca="1">IF(Z$37&lt;YEAR(Startops1),0,HLOOKUP(Z$37,CF_Table,CF!$AB$49))</f>
        <v>0</v>
      </c>
      <c r="AA46" s="228">
        <f ca="1">IF(AA$37&lt;YEAR(Startops1),0,HLOOKUP(AA$37,CF_Table,CF!$AB$49))</f>
        <v>0</v>
      </c>
      <c r="AB46" s="228">
        <f ca="1">IF(AB$37&lt;YEAR(Startops1),0,HLOOKUP(AB$37,CF_Table,CF!$AB$49))</f>
        <v>0</v>
      </c>
      <c r="AC46" s="424">
        <f ca="1">SUM(G46:AB46)</f>
        <v>0</v>
      </c>
    </row>
    <row r="47" spans="1:31">
      <c r="A47" s="137" t="s">
        <v>686</v>
      </c>
      <c r="D47" s="8"/>
      <c r="E47" s="8"/>
      <c r="F47" s="8"/>
      <c r="G47" s="53">
        <f ca="1">SUM(G43:G46)</f>
        <v>0</v>
      </c>
      <c r="H47" s="53">
        <f t="shared" ref="H47:AB47" ca="1" si="12">SUM(H43:H46)</f>
        <v>0</v>
      </c>
      <c r="I47" s="53">
        <f t="shared" ca="1" si="12"/>
        <v>0</v>
      </c>
      <c r="J47" s="53">
        <f t="shared" ca="1" si="12"/>
        <v>-9915.6542479721265</v>
      </c>
      <c r="K47" s="53">
        <f t="shared" ca="1" si="12"/>
        <v>-17415.311098809449</v>
      </c>
      <c r="L47" s="53">
        <f t="shared" ca="1" si="12"/>
        <v>-17138.864042610832</v>
      </c>
      <c r="M47" s="53">
        <f t="shared" ca="1" si="12"/>
        <v>-16683.491574477543</v>
      </c>
      <c r="N47" s="53">
        <f t="shared" ca="1" si="12"/>
        <v>-15889.212999701773</v>
      </c>
      <c r="O47" s="53">
        <f t="shared" ca="1" si="12"/>
        <v>-14923.347946245602</v>
      </c>
      <c r="P47" s="53">
        <f t="shared" ca="1" si="12"/>
        <v>-13819.074447261173</v>
      </c>
      <c r="Q47" s="53">
        <f t="shared" ca="1" si="12"/>
        <v>-12654.737207202257</v>
      </c>
      <c r="R47" s="53">
        <f t="shared" ca="1" si="12"/>
        <v>-11791.498566855289</v>
      </c>
      <c r="S47" s="53">
        <f t="shared" ca="1" si="12"/>
        <v>-11002.550715915144</v>
      </c>
      <c r="T47" s="53">
        <f t="shared" ca="1" si="12"/>
        <v>-10171.718126277512</v>
      </c>
      <c r="U47" s="53">
        <f t="shared" ca="1" si="12"/>
        <v>-9126.5505317619263</v>
      </c>
      <c r="V47" s="53">
        <f t="shared" ca="1" si="12"/>
        <v>-8092.9999625109886</v>
      </c>
      <c r="W47" s="53">
        <f t="shared" ca="1" si="12"/>
        <v>-7393.6631098523476</v>
      </c>
      <c r="X47" s="53">
        <f t="shared" ca="1" si="12"/>
        <v>-6647.2882063115248</v>
      </c>
      <c r="Y47" s="53">
        <f t="shared" ca="1" si="12"/>
        <v>-6320.6002321846217</v>
      </c>
      <c r="Z47" s="53">
        <f t="shared" ca="1" si="12"/>
        <v>-6320.6002321846217</v>
      </c>
      <c r="AA47" s="53">
        <f t="shared" ca="1" si="12"/>
        <v>-6320.6002321846217</v>
      </c>
      <c r="AB47" s="53">
        <f t="shared" ca="1" si="12"/>
        <v>-2106.8667440615404</v>
      </c>
      <c r="AC47" s="423">
        <f ca="1">SUM(G47:AB47)</f>
        <v>-203734.6302243809</v>
      </c>
    </row>
    <row r="48" spans="1:31">
      <c r="A48" s="137"/>
      <c r="D48" s="8"/>
      <c r="E48" s="8"/>
      <c r="F48" s="8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423" t="s">
        <v>128</v>
      </c>
    </row>
    <row r="49" spans="1:30">
      <c r="A49" s="137" t="s">
        <v>409</v>
      </c>
      <c r="D49" s="8"/>
      <c r="E49" s="8" t="s">
        <v>128</v>
      </c>
      <c r="F49" s="8"/>
      <c r="G49" s="53">
        <f ca="1">SUM(G41,G47)</f>
        <v>0</v>
      </c>
      <c r="H49" s="53">
        <f t="shared" ref="H49:AB49" ca="1" si="13">SUM(H41,H47)</f>
        <v>0</v>
      </c>
      <c r="I49" s="53">
        <f t="shared" ca="1" si="13"/>
        <v>0</v>
      </c>
      <c r="J49" s="53">
        <f t="shared" ca="1" si="13"/>
        <v>-4849.9561814426543</v>
      </c>
      <c r="K49" s="53">
        <f t="shared" ca="1" si="13"/>
        <v>-9312.2837301061027</v>
      </c>
      <c r="L49" s="53">
        <f t="shared" ca="1" si="13"/>
        <v>-9485.8988346098922</v>
      </c>
      <c r="M49" s="53">
        <f t="shared" ca="1" si="13"/>
        <v>-4607.3951992368166</v>
      </c>
      <c r="N49" s="53">
        <f t="shared" ca="1" si="13"/>
        <v>-3349.543746666639</v>
      </c>
      <c r="O49" s="53">
        <f t="shared" ca="1" si="13"/>
        <v>-2354.188509518297</v>
      </c>
      <c r="P49" s="53">
        <f t="shared" ca="1" si="13"/>
        <v>-1067.1137714144206</v>
      </c>
      <c r="Q49" s="53">
        <f t="shared" ca="1" si="13"/>
        <v>60.316137804082246</v>
      </c>
      <c r="R49" s="53">
        <f t="shared" ca="1" si="13"/>
        <v>1291.8395483463773</v>
      </c>
      <c r="S49" s="53">
        <f t="shared" ca="1" si="13"/>
        <v>2339.2827135845127</v>
      </c>
      <c r="T49" s="53">
        <f t="shared" ca="1" si="13"/>
        <v>3708.7015357433957</v>
      </c>
      <c r="U49" s="53">
        <f t="shared" ca="1" si="13"/>
        <v>5245.1292370969059</v>
      </c>
      <c r="V49" s="53">
        <f t="shared" ca="1" si="13"/>
        <v>5408.5872160044255</v>
      </c>
      <c r="W49" s="53">
        <f t="shared" ca="1" si="13"/>
        <v>7871.154652523298</v>
      </c>
      <c r="X49" s="53">
        <f t="shared" ca="1" si="13"/>
        <v>9453.107418224914</v>
      </c>
      <c r="Y49" s="53">
        <f t="shared" ca="1" si="13"/>
        <v>10705.34966097818</v>
      </c>
      <c r="Z49" s="53">
        <f t="shared" ca="1" si="13"/>
        <v>11800.84673361382</v>
      </c>
      <c r="AA49" s="53">
        <f t="shared" ca="1" si="13"/>
        <v>12770.820964540857</v>
      </c>
      <c r="AB49" s="53">
        <f t="shared" ca="1" si="13"/>
        <v>4296.1044212444249</v>
      </c>
      <c r="AC49" s="423">
        <f ca="1">SUM(G49:AB49)</f>
        <v>39924.86026671037</v>
      </c>
      <c r="AD49" s="27"/>
    </row>
    <row r="50" spans="1:30">
      <c r="A50" s="137" t="s">
        <v>738</v>
      </c>
      <c r="D50" s="8"/>
      <c r="E50" s="8"/>
      <c r="F50" s="8"/>
      <c r="G50" s="53">
        <f ca="1">IF(G$37&lt;YEAR(Startops1),0,HLOOKUP(G$37,CF_Table,CF!$AB$52))</f>
        <v>0</v>
      </c>
      <c r="H50" s="53">
        <f ca="1">IF(H$37&lt;YEAR(Startops1),0,HLOOKUP(H$37,CF_Table,CF!$AB$52))</f>
        <v>0</v>
      </c>
      <c r="I50" s="53">
        <f ca="1">IF(I$37&lt;YEAR(Startops1),0,HLOOKUP(I$37,CF_Table,CF!$AB$52))</f>
        <v>0</v>
      </c>
      <c r="J50" s="53">
        <f ca="1">IF(J$37&lt;YEAR(Startops1),0,HLOOKUP(J$37,CF_Table,CF!$AB$52))</f>
        <v>0</v>
      </c>
      <c r="K50" s="53">
        <f ca="1">IF(K$37&lt;YEAR(Startops1),0,HLOOKUP(K$37,CF_Table,CF!$AB$52))</f>
        <v>0</v>
      </c>
      <c r="L50" s="53">
        <f ca="1">IF(L$37&lt;YEAR(Startops1),0,HLOOKUP(L$37,CF_Table,CF!$AB$52))</f>
        <v>0</v>
      </c>
      <c r="M50" s="53">
        <f ca="1">IF(M$37&lt;YEAR(Startops1),0,HLOOKUP(M$37,CF_Table,CF!$AB$52))</f>
        <v>0</v>
      </c>
      <c r="N50" s="53">
        <f ca="1">IF(N$37&lt;YEAR(Startops1),0,HLOOKUP(N$37,CF_Table,CF!$AB$52))</f>
        <v>0</v>
      </c>
      <c r="O50" s="53">
        <f ca="1">IF(O$37&lt;YEAR(Startops1),0,HLOOKUP(O$37,CF_Table,CF!$AB$52))</f>
        <v>0</v>
      </c>
      <c r="P50" s="53">
        <f ca="1">IF(P$37&lt;YEAR(Startops1),0,HLOOKUP(P$37,CF_Table,CF!$AB$52))</f>
        <v>0</v>
      </c>
      <c r="Q50" s="53">
        <f ca="1">IF(Q$37&lt;YEAR(Startops1),0,HLOOKUP(Q$37,CF_Table,CF!$AB$52))</f>
        <v>602.22498810277398</v>
      </c>
      <c r="R50" s="53">
        <f ca="1">IF(R$37&lt;YEAR(Startops1),0,HLOOKUP(R$37,CF_Table,CF!$AB$52))</f>
        <v>578.46080777080135</v>
      </c>
      <c r="S50" s="53">
        <f ca="1">IF(S$37&lt;YEAR(Startops1),0,HLOOKUP(S$37,CF_Table,CF!$AB$52))</f>
        <v>464.09457240023346</v>
      </c>
      <c r="T50" s="53">
        <f ca="1">IF(T$37&lt;YEAR(Startops1),0,HLOOKUP(T$37,CF_Table,CF!$AB$52))</f>
        <v>260.19576596384729</v>
      </c>
      <c r="U50" s="53">
        <f ca="1">IF(U$37&lt;YEAR(Startops1),0,HLOOKUP(U$37,CF_Table,CF!$AB$52))</f>
        <v>-33.472970602284704</v>
      </c>
      <c r="V50" s="53">
        <f ca="1">IF(V$37&lt;YEAR(Startops1),0,HLOOKUP(V$37,CF_Table,CF!$AB$52))</f>
        <v>-442.64668258634765</v>
      </c>
      <c r="W50" s="53">
        <f ca="1">IF(W$37&lt;YEAR(Startops1),0,HLOOKUP(W$37,CF_Table,CF!$AB$52))</f>
        <v>-828.16936894189689</v>
      </c>
      <c r="X50" s="53">
        <f ca="1">IF(X$37&lt;YEAR(Startops1),0,HLOOKUP(X$37,CF_Table,CF!$AB$52))</f>
        <v>-1370.6401201671288</v>
      </c>
      <c r="Y50" s="53">
        <f ca="1">IF(Y$37&lt;YEAR(Startops1),0,HLOOKUP(Y$37,CF_Table,CF!$AB$52))</f>
        <v>-1995.8237147234718</v>
      </c>
      <c r="Z50" s="53">
        <f ca="1">IF(Z$37&lt;YEAR(Startops1),0,HLOOKUP(Z$37,CF_Table,CF!$AB$52))</f>
        <v>-2666.4514429082806</v>
      </c>
      <c r="AA50" s="53">
        <f ca="1">IF(AA$37&lt;YEAR(Startops1),0,HLOOKUP(AA$37,CF_Table,CF!$AB$52))</f>
        <v>-2913.0512827231705</v>
      </c>
      <c r="AB50" s="53">
        <f ca="1">IF(AB$37&lt;YEAR(Startops1),0,HLOOKUP(AB$37,CF_Table,CF!$AB$52))</f>
        <v>-971.01709424105672</v>
      </c>
      <c r="AC50" s="423">
        <f ca="1">SUM(G50:AB50)</f>
        <v>-9316.2965426559804</v>
      </c>
    </row>
    <row r="51" spans="1:30">
      <c r="A51" s="137" t="s">
        <v>410</v>
      </c>
      <c r="D51" s="8"/>
      <c r="E51" s="8"/>
      <c r="F51" s="8"/>
      <c r="G51" s="53">
        <f ca="1">IF(G$37&lt;YEAR(Startops1),0,HLOOKUP(G$37,CF_Table,CF!$AB$55))</f>
        <v>0</v>
      </c>
      <c r="H51" s="53">
        <f ca="1">IF(H$37&lt;YEAR(Startops1),0,HLOOKUP(H$37,CF_Table,CF!$AB$55))</f>
        <v>0</v>
      </c>
      <c r="I51" s="53">
        <f ca="1">IF(I$37&lt;YEAR(Startops1),0,HLOOKUP(I$37,CF_Table,CF!$AB$55))</f>
        <v>0</v>
      </c>
      <c r="J51" s="53">
        <f ca="1">IF(J$37&lt;YEAR(Startops1),0,HLOOKUP(J$37,CF_Table,CF!$AB$55))</f>
        <v>0</v>
      </c>
      <c r="K51" s="53">
        <f ca="1">IF(K$37&lt;YEAR(Startops1),0,HLOOKUP(K$37,CF_Table,CF!$AB$55))</f>
        <v>0</v>
      </c>
      <c r="L51" s="53">
        <f ca="1">IF(L$37&lt;YEAR(Startops1),0,HLOOKUP(L$37,CF_Table,CF!$AB$55))</f>
        <v>0</v>
      </c>
      <c r="M51" s="53">
        <f ca="1">IF(M$37&lt;YEAR(Startops1),0,HLOOKUP(M$37,CF_Table,CF!$AB$55))</f>
        <v>0</v>
      </c>
      <c r="N51" s="53">
        <f ca="1">IF(N$37&lt;YEAR(Startops1),0,HLOOKUP(N$37,CF_Table,CF!$AB$55))</f>
        <v>0</v>
      </c>
      <c r="O51" s="53">
        <f ca="1">IF(O$37&lt;YEAR(Startops1),0,HLOOKUP(O$37,CF_Table,CF!$AB$55))</f>
        <v>0</v>
      </c>
      <c r="P51" s="53">
        <f ca="1">IF(P$37&lt;YEAR(Startops1),0,HLOOKUP(P$37,CF_Table,CF!$AB$55))</f>
        <v>-174.32428249050224</v>
      </c>
      <c r="Q51" s="53">
        <f ca="1">IF(Q$37&lt;YEAR(Startops1),0,HLOOKUP(Q$37,CF_Table,CF!$AB$55))</f>
        <v>-517.8425867179235</v>
      </c>
      <c r="R51" s="53">
        <f ca="1">IF(R$37&lt;YEAR(Startops1),0,HLOOKUP(R$37,CF_Table,CF!$AB$55))</f>
        <v>-733.28209972266939</v>
      </c>
      <c r="S51" s="53">
        <f ca="1">IF(S$37&lt;YEAR(Startops1),0,HLOOKUP(S$37,CF_Table,CF!$AB$55))</f>
        <v>-876.73961748338002</v>
      </c>
      <c r="T51" s="53">
        <f ca="1">IF(T$37&lt;YEAR(Startops1),0,HLOOKUP(T$37,CF_Table,CF!$AB$55))</f>
        <v>-1064.2161134374599</v>
      </c>
      <c r="U51" s="53">
        <f ca="1">IF(U$37&lt;YEAR(Startops1),0,HLOOKUP(U$37,CF_Table,CF!$AB$55))</f>
        <v>-1258.5607548254725</v>
      </c>
      <c r="V51" s="53">
        <f ca="1">IF(V$37&lt;YEAR(Startops1),0,HLOOKUP(V$37,CF_Table,CF!$AB$55))</f>
        <v>-1124.5970519519703</v>
      </c>
      <c r="W51" s="53">
        <f ca="1">IF(W$37&lt;YEAR(Startops1),0,HLOOKUP(W$37,CF_Table,CF!$AB$55))</f>
        <v>-1604.3943892396983</v>
      </c>
      <c r="X51" s="53">
        <f ca="1">IF(X$37&lt;YEAR(Startops1),0,HLOOKUP(X$37,CF_Table,CF!$AB$55))</f>
        <v>-1844.5147345837427</v>
      </c>
      <c r="Y51" s="53">
        <f ca="1">IF(Y$37&lt;YEAR(Startops1),0,HLOOKUP(Y$37,CF_Table,CF!$AB$55))</f>
        <v>-1989.365282317232</v>
      </c>
      <c r="Z51" s="53">
        <f ca="1">IF(Z$37&lt;YEAR(Startops1),0,HLOOKUP(Z$37,CF_Table,CF!$AB$55))</f>
        <v>-2087.5101008853744</v>
      </c>
      <c r="AA51" s="53">
        <f ca="1">IF(AA$37&lt;YEAR(Startops1),0,HLOOKUP(AA$37,CF_Table,CF!$AB$55))</f>
        <v>-2276.4008162935347</v>
      </c>
      <c r="AB51" s="53">
        <f ca="1">IF(AB$37&lt;YEAR(Startops1),0,HLOOKUP(AB$37,CF_Table,CF!$AB$55))</f>
        <v>-1089.7670808219095</v>
      </c>
      <c r="AC51" s="423">
        <f ca="1">SUM(G51:AB51)</f>
        <v>-16641.514910770871</v>
      </c>
      <c r="AD51" s="30"/>
    </row>
    <row r="52" spans="1:30">
      <c r="A52" s="137" t="s">
        <v>599</v>
      </c>
      <c r="D52" s="8"/>
      <c r="E52" s="8"/>
      <c r="F52" s="8"/>
      <c r="G52" s="228">
        <f ca="1">IF(G$37&lt;YEAR(Startops1),0,HLOOKUP(G$37,CF_Table,CF!$AB$58))</f>
        <v>0</v>
      </c>
      <c r="H52" s="228">
        <f ca="1">IF(H$37&lt;YEAR(Startops1),0,HLOOKUP(H$37,CF_Table,CF!$AB$58))</f>
        <v>0</v>
      </c>
      <c r="I52" s="228">
        <f ca="1">IF(I$37&lt;YEAR(Startops1),0,HLOOKUP(I$37,CF_Table,CF!$AB$58))</f>
        <v>0</v>
      </c>
      <c r="J52" s="228">
        <f ca="1">IF(J$37&lt;YEAR(Startops1),0,HLOOKUP(J$37,CF_Table,CF!$AB$58))</f>
        <v>0</v>
      </c>
      <c r="K52" s="228">
        <f ca="1">IF(K$37&lt;YEAR(Startops1),0,HLOOKUP(K$37,CF_Table,CF!$AB$58))</f>
        <v>0</v>
      </c>
      <c r="L52" s="228">
        <f ca="1">IF(L$37&lt;YEAR(Startops1),0,HLOOKUP(L$37,CF_Table,CF!$AB$58))</f>
        <v>0</v>
      </c>
      <c r="M52" s="228">
        <f ca="1">IF(M$37&lt;YEAR(Startops1),0,HLOOKUP(M$37,CF_Table,CF!$AB$58))</f>
        <v>0</v>
      </c>
      <c r="N52" s="228">
        <f ca="1">IF(N$37&lt;YEAR(Startops1),0,HLOOKUP(N$37,CF_Table,CF!$AB$58))</f>
        <v>0</v>
      </c>
      <c r="O52" s="228">
        <f ca="1">IF(O$37&lt;YEAR(Startops1),0,HLOOKUP(O$37,CF_Table,CF!$AB$58))</f>
        <v>0</v>
      </c>
      <c r="P52" s="228">
        <f ca="1">IF(P$37&lt;YEAR(Startops1),0,HLOOKUP(P$37,CF_Table,CF!$AB$58))</f>
        <v>47.94154722587669</v>
      </c>
      <c r="Q52" s="228">
        <f ca="1">IF(Q$37&lt;YEAR(Startops1),0,HLOOKUP(Q$37,CF_Table,CF!$AB$58))</f>
        <v>92.943264130795768</v>
      </c>
      <c r="R52" s="228">
        <f ca="1">IF(R$37&lt;YEAR(Startops1),0,HLOOKUP(R$37,CF_Table,CF!$AB$58))</f>
        <v>6.644097311169503</v>
      </c>
      <c r="S52" s="228">
        <f ca="1">IF(S$37&lt;YEAR(Startops1),0,HLOOKUP(S$37,CF_Table,CF!$AB$58))</f>
        <v>112.35039586249366</v>
      </c>
      <c r="T52" s="228">
        <f ca="1">IF(T$37&lt;YEAR(Startops1),0,HLOOKUP(T$37,CF_Table,CF!$AB$58))</f>
        <v>32.006177391537449</v>
      </c>
      <c r="U52" s="228">
        <f ca="1">IF(U$37&lt;YEAR(Startops1),0,HLOOKUP(U$37,CF_Table,CF!$AB$58))</f>
        <v>138.64160817147808</v>
      </c>
      <c r="V52" s="228">
        <f ca="1">IF(V$37&lt;YEAR(Startops1),0,HLOOKUP(V$37,CF_Table,CF!$AB$58))</f>
        <v>13.883382089386146</v>
      </c>
      <c r="W52" s="228">
        <f ca="1">IF(W$37&lt;YEAR(Startops1),0,HLOOKUP(W$37,CF_Table,CF!$AB$58))</f>
        <v>-13.883382089386146</v>
      </c>
      <c r="X52" s="228">
        <f ca="1">IF(X$37&lt;YEAR(Startops1),0,HLOOKUP(X$37,CF_Table,CF!$AB$58))</f>
        <v>13.883382089386146</v>
      </c>
      <c r="Y52" s="228">
        <f ca="1">IF(Y$37&lt;YEAR(Startops1),0,HLOOKUP(Y$37,CF_Table,CF!$AB$58))</f>
        <v>-13.883382089386146</v>
      </c>
      <c r="Z52" s="228">
        <f ca="1">IF(Z$37&lt;YEAR(Startops1),0,HLOOKUP(Z$37,CF_Table,CF!$AB$58))</f>
        <v>-430.52709009335115</v>
      </c>
      <c r="AA52" s="228">
        <f ca="1">IF(AA$37&lt;YEAR(Startops1),0,HLOOKUP(AA$37,CF_Table,CF!$AB$58))</f>
        <v>0</v>
      </c>
      <c r="AB52" s="228">
        <f ca="1">IF(AB$37&lt;YEAR(Startops1),0,HLOOKUP(AB$37,CF_Table,CF!$AB$58))</f>
        <v>0</v>
      </c>
      <c r="AC52" s="424">
        <f ca="1">SUM(G52:AB52)</f>
        <v>0</v>
      </c>
      <c r="AD52" s="30"/>
    </row>
    <row r="53" spans="1:30">
      <c r="A53" s="406" t="s">
        <v>411</v>
      </c>
      <c r="B53" s="10"/>
      <c r="C53" s="10"/>
      <c r="D53" s="10"/>
      <c r="E53" s="10" t="s">
        <v>128</v>
      </c>
      <c r="F53" s="10"/>
      <c r="G53" s="64">
        <f ca="1">SUM(G49:G52)</f>
        <v>0</v>
      </c>
      <c r="H53" s="64">
        <f t="shared" ref="H53:Z53" ca="1" si="14">SUM(H49:H52)</f>
        <v>0</v>
      </c>
      <c r="I53" s="64">
        <f t="shared" ca="1" si="14"/>
        <v>0</v>
      </c>
      <c r="J53" s="64">
        <f t="shared" ca="1" si="14"/>
        <v>-4849.9561814426543</v>
      </c>
      <c r="K53" s="64">
        <f t="shared" ca="1" si="14"/>
        <v>-9312.2837301061027</v>
      </c>
      <c r="L53" s="64">
        <f t="shared" ca="1" si="14"/>
        <v>-9485.8988346098922</v>
      </c>
      <c r="M53" s="64">
        <f t="shared" ca="1" si="14"/>
        <v>-4607.3951992368166</v>
      </c>
      <c r="N53" s="64">
        <f t="shared" ca="1" si="14"/>
        <v>-3349.543746666639</v>
      </c>
      <c r="O53" s="64">
        <f t="shared" ca="1" si="14"/>
        <v>-2354.188509518297</v>
      </c>
      <c r="P53" s="64">
        <f t="shared" ca="1" si="14"/>
        <v>-1193.4965066790462</v>
      </c>
      <c r="Q53" s="64">
        <f t="shared" ca="1" si="14"/>
        <v>237.6418033197285</v>
      </c>
      <c r="R53" s="64">
        <f t="shared" ca="1" si="14"/>
        <v>1143.6623537056785</v>
      </c>
      <c r="S53" s="64">
        <f t="shared" ca="1" si="14"/>
        <v>2038.9880643638598</v>
      </c>
      <c r="T53" s="64">
        <f t="shared" ca="1" si="14"/>
        <v>2936.6873656613207</v>
      </c>
      <c r="U53" s="64">
        <f t="shared" ca="1" si="14"/>
        <v>4091.7371198406272</v>
      </c>
      <c r="V53" s="64">
        <f t="shared" ca="1" si="14"/>
        <v>3855.2268635554929</v>
      </c>
      <c r="W53" s="64">
        <f t="shared" ca="1" si="14"/>
        <v>5424.7075122523165</v>
      </c>
      <c r="X53" s="64">
        <f t="shared" ca="1" si="14"/>
        <v>6251.8359455634281</v>
      </c>
      <c r="Y53" s="64">
        <f t="shared" ca="1" si="14"/>
        <v>6706.2772818480889</v>
      </c>
      <c r="Z53" s="64">
        <f t="shared" ca="1" si="14"/>
        <v>6616.3580997268136</v>
      </c>
      <c r="AA53" s="64">
        <f ca="1">SUM(AA49:AA52)</f>
        <v>7581.3688655241513</v>
      </c>
      <c r="AB53" s="64">
        <f ca="1">SUM(AB49:AB52)</f>
        <v>2235.3202461814585</v>
      </c>
      <c r="AC53" s="542">
        <f ca="1">SUM(G53:AB53)</f>
        <v>13967.048813283518</v>
      </c>
      <c r="AD53" s="326" t="str">
        <f ca="1">IF(ROUND(AC53-CF!Z60,2)=0," ","DOES NOT TIE TO NET INCOME ON CASHFLOW SHEET")</f>
        <v xml:space="preserve"> </v>
      </c>
    </row>
    <row r="54" spans="1:30">
      <c r="A54" s="13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420"/>
    </row>
    <row r="55" spans="1:30" ht="13.8" thickBot="1">
      <c r="A55" s="879" t="s">
        <v>274</v>
      </c>
      <c r="B55" s="324"/>
      <c r="C55" s="324"/>
      <c r="D55" s="324"/>
      <c r="E55" s="77"/>
      <c r="F55" s="77"/>
      <c r="G55" s="80">
        <f>G$7</f>
        <v>1998</v>
      </c>
      <c r="H55" s="80">
        <f t="shared" ref="H55:AC55" si="15">H$7</f>
        <v>1999</v>
      </c>
      <c r="I55" s="80">
        <f t="shared" si="15"/>
        <v>2000</v>
      </c>
      <c r="J55" s="80">
        <f t="shared" si="15"/>
        <v>2001</v>
      </c>
      <c r="K55" s="80">
        <f t="shared" si="15"/>
        <v>2002</v>
      </c>
      <c r="L55" s="80">
        <f t="shared" si="15"/>
        <v>2003</v>
      </c>
      <c r="M55" s="80">
        <f t="shared" si="15"/>
        <v>2004</v>
      </c>
      <c r="N55" s="80">
        <f t="shared" si="15"/>
        <v>2005</v>
      </c>
      <c r="O55" s="80">
        <f t="shared" si="15"/>
        <v>2006</v>
      </c>
      <c r="P55" s="80">
        <f t="shared" si="15"/>
        <v>2007</v>
      </c>
      <c r="Q55" s="80">
        <f t="shared" si="15"/>
        <v>2008</v>
      </c>
      <c r="R55" s="80">
        <f t="shared" si="15"/>
        <v>2009</v>
      </c>
      <c r="S55" s="80">
        <f t="shared" si="15"/>
        <v>2010</v>
      </c>
      <c r="T55" s="80">
        <f t="shared" si="15"/>
        <v>2011</v>
      </c>
      <c r="U55" s="80">
        <f t="shared" si="15"/>
        <v>2012</v>
      </c>
      <c r="V55" s="80">
        <f t="shared" si="15"/>
        <v>2013</v>
      </c>
      <c r="W55" s="80">
        <f t="shared" si="15"/>
        <v>2014</v>
      </c>
      <c r="X55" s="80">
        <f t="shared" si="15"/>
        <v>2015</v>
      </c>
      <c r="Y55" s="80">
        <f t="shared" si="15"/>
        <v>2016</v>
      </c>
      <c r="Z55" s="80">
        <f t="shared" si="15"/>
        <v>2017</v>
      </c>
      <c r="AA55" s="80">
        <f t="shared" si="15"/>
        <v>2018</v>
      </c>
      <c r="AB55" s="80">
        <f t="shared" si="15"/>
        <v>2019</v>
      </c>
      <c r="AC55" s="417" t="str">
        <f t="shared" si="15"/>
        <v>Totals</v>
      </c>
    </row>
    <row r="56" spans="1:30">
      <c r="A56" s="215" t="s">
        <v>412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419"/>
    </row>
    <row r="57" spans="1:30">
      <c r="A57" s="137"/>
      <c r="B57" s="8" t="s">
        <v>413</v>
      </c>
      <c r="D57" s="8"/>
      <c r="E57" s="8"/>
      <c r="F57" s="8"/>
      <c r="G57" s="53">
        <f ca="1">G38</f>
        <v>0</v>
      </c>
      <c r="H57" s="53">
        <f ca="1">H38</f>
        <v>0</v>
      </c>
      <c r="I57" s="53">
        <f t="shared" ref="I57:Z57" ca="1" si="16">I38</f>
        <v>0</v>
      </c>
      <c r="J57" s="53">
        <f t="shared" ca="1" si="16"/>
        <v>8464.0808224549692</v>
      </c>
      <c r="K57" s="53">
        <f t="shared" ca="1" si="16"/>
        <v>14255.135067986579</v>
      </c>
      <c r="L57" s="53">
        <f t="shared" ca="1" si="16"/>
        <v>14692.664326697153</v>
      </c>
      <c r="M57" s="53">
        <f t="shared" ca="1" si="16"/>
        <v>15166.72612902658</v>
      </c>
      <c r="N57" s="53">
        <f t="shared" ca="1" si="16"/>
        <v>15561.160593346081</v>
      </c>
      <c r="O57" s="53">
        <f t="shared" ca="1" si="16"/>
        <v>15999.636971276619</v>
      </c>
      <c r="P57" s="53">
        <f t="shared" ca="1" si="16"/>
        <v>16440.519434283349</v>
      </c>
      <c r="Q57" s="53">
        <f t="shared" ca="1" si="16"/>
        <v>16928.933757916311</v>
      </c>
      <c r="R57" s="53">
        <f t="shared" ca="1" si="16"/>
        <v>17329.669654201614</v>
      </c>
      <c r="S57" s="53">
        <f t="shared" ca="1" si="16"/>
        <v>17779.888639887187</v>
      </c>
      <c r="T57" s="53">
        <f t="shared" ca="1" si="16"/>
        <v>18234.952127638138</v>
      </c>
      <c r="U57" s="53">
        <f t="shared" ca="1" si="16"/>
        <v>18746.666400156511</v>
      </c>
      <c r="V57" s="53">
        <f t="shared" ca="1" si="16"/>
        <v>19166.346228832212</v>
      </c>
      <c r="W57" s="53">
        <f t="shared" ca="1" si="16"/>
        <v>19649.677431172586</v>
      </c>
      <c r="X57" s="53">
        <f t="shared" ca="1" si="16"/>
        <v>20151.15953644484</v>
      </c>
      <c r="Y57" s="53">
        <f t="shared" ca="1" si="16"/>
        <v>20729.460453537933</v>
      </c>
      <c r="Z57" s="53">
        <f t="shared" ca="1" si="16"/>
        <v>21219.933560102592</v>
      </c>
      <c r="AA57" s="53">
        <f ca="1">AA38</f>
        <v>21790.312478975764</v>
      </c>
      <c r="AB57" s="53">
        <f ca="1">AB38</f>
        <v>7226.4497213103987</v>
      </c>
      <c r="AC57" s="423">
        <f ca="1">SUM(G57:AB57)</f>
        <v>319533.37333524739</v>
      </c>
    </row>
    <row r="58" spans="1:30">
      <c r="A58" s="137"/>
      <c r="B58" s="8" t="s">
        <v>414</v>
      </c>
      <c r="D58" s="8"/>
      <c r="E58" s="8"/>
      <c r="F58" s="8"/>
      <c r="G58" s="53">
        <f ca="1">G39</f>
        <v>0</v>
      </c>
      <c r="H58" s="53">
        <f t="shared" ref="H58:AB58" ca="1" si="17">H39</f>
        <v>0</v>
      </c>
      <c r="I58" s="53">
        <f t="shared" ca="1" si="17"/>
        <v>0</v>
      </c>
      <c r="J58" s="53">
        <f t="shared" ca="1" si="17"/>
        <v>-1726.0374748343186</v>
      </c>
      <c r="K58" s="53">
        <f t="shared" ca="1" si="17"/>
        <v>-2152.4950854817362</v>
      </c>
      <c r="L58" s="53">
        <f t="shared" ca="1" si="17"/>
        <v>-3116.0917033310948</v>
      </c>
      <c r="M58" s="53">
        <f t="shared" ca="1" si="17"/>
        <v>-2685.5895114280602</v>
      </c>
      <c r="N58" s="53">
        <f t="shared" ca="1" si="17"/>
        <v>-2296.6219394217537</v>
      </c>
      <c r="O58" s="53">
        <f t="shared" ca="1" si="17"/>
        <v>-2456.4268675284966</v>
      </c>
      <c r="P58" s="53">
        <f t="shared" ca="1" si="17"/>
        <v>-2452.5492572209223</v>
      </c>
      <c r="Q58" s="53">
        <f t="shared" ca="1" si="17"/>
        <v>-2743.2608358563871</v>
      </c>
      <c r="R58" s="53">
        <f t="shared" ca="1" si="17"/>
        <v>-2555.7973464902557</v>
      </c>
      <c r="S58" s="53">
        <f t="shared" ca="1" si="17"/>
        <v>-2708.8800952470006</v>
      </c>
      <c r="T58" s="53">
        <f t="shared" ca="1" si="17"/>
        <v>-2688.6364236611334</v>
      </c>
      <c r="U58" s="53">
        <f t="shared" ca="1" si="17"/>
        <v>-2756.4319795971933</v>
      </c>
      <c r="V58" s="53">
        <f t="shared" ca="1" si="17"/>
        <v>-4090.0316920857604</v>
      </c>
      <c r="W58" s="53">
        <f t="shared" ca="1" si="17"/>
        <v>-3014.2303314361679</v>
      </c>
      <c r="X58" s="53">
        <f t="shared" ca="1" si="17"/>
        <v>-2971.3233952509904</v>
      </c>
      <c r="Y58" s="53">
        <f t="shared" ca="1" si="17"/>
        <v>-3082.8270455938423</v>
      </c>
      <c r="Z58" s="53">
        <f t="shared" ca="1" si="17"/>
        <v>-3129.8411243289679</v>
      </c>
      <c r="AA58" s="53">
        <f t="shared" ca="1" si="17"/>
        <v>-3191.1020982964428</v>
      </c>
      <c r="AB58" s="53">
        <f t="shared" ca="1" si="17"/>
        <v>-1092.8921652228955</v>
      </c>
      <c r="AC58" s="423">
        <f ca="1">SUM(G58:AB58)</f>
        <v>-50911.06637231342</v>
      </c>
    </row>
    <row r="59" spans="1:30">
      <c r="A59" s="137"/>
      <c r="B59" s="8" t="s">
        <v>842</v>
      </c>
      <c r="D59" s="8"/>
      <c r="E59" s="8"/>
      <c r="F59" s="8"/>
      <c r="G59" s="53">
        <f ca="1">IF(G$37&lt;YEAR(Startops1),0,HLOOKUP(G$37,CF_Table,CF!$AB$38))</f>
        <v>0</v>
      </c>
      <c r="H59" s="53">
        <f ca="1">IF(H$37&lt;YEAR(Startops1),0,HLOOKUP(H$37,CF_Table,CF!$AB$38))</f>
        <v>0</v>
      </c>
      <c r="I59" s="53">
        <f ca="1">IF(I$37&lt;YEAR(Startops1),0,HLOOKUP(I$37,CF_Table,CF!$AB$38))</f>
        <v>0</v>
      </c>
      <c r="J59" s="53">
        <f ca="1">IF(J$37&lt;YEAR(Startops1),0,HLOOKUP(J$37,CF_Table,CF!$AB$38))</f>
        <v>0</v>
      </c>
      <c r="K59" s="53">
        <f ca="1">IF(K$37&lt;YEAR(Startops1),0,HLOOKUP(K$37,CF_Table,CF!$AB$38))</f>
        <v>0</v>
      </c>
      <c r="L59" s="53">
        <f ca="1">IF(L$37&lt;YEAR(Startops1),0,HLOOKUP(L$37,CF_Table,CF!$AB$38))</f>
        <v>0</v>
      </c>
      <c r="M59" s="53">
        <f ca="1">IF(M$37&lt;YEAR(Startops1),0,HLOOKUP(M$37,CF_Table,CF!$AB$38))</f>
        <v>0</v>
      </c>
      <c r="N59" s="53">
        <f ca="1">IF(N$37&lt;YEAR(Startops1),0,HLOOKUP(N$37,CF_Table,CF!$AB$38))</f>
        <v>0</v>
      </c>
      <c r="O59" s="53">
        <f ca="1">IF(O$37&lt;YEAR(Startops1),0,HLOOKUP(O$37,CF_Table,CF!$AB$38))</f>
        <v>0</v>
      </c>
      <c r="P59" s="53">
        <f ca="1">IF(P$37&lt;YEAR(Startops1),0,HLOOKUP(P$37,CF_Table,CF!$AB$38))</f>
        <v>0</v>
      </c>
      <c r="Q59" s="53">
        <f ca="1">IF(Q$37&lt;YEAR(Startops1),0,HLOOKUP(Q$37,CF_Table,CF!$AB$38))</f>
        <v>0</v>
      </c>
      <c r="R59" s="53">
        <f ca="1">IF(R$37&lt;YEAR(Startops1),0,HLOOKUP(R$37,CF_Table,CF!$AB$38))</f>
        <v>0</v>
      </c>
      <c r="S59" s="53">
        <f ca="1">IF(S$37&lt;YEAR(Startops1),0,HLOOKUP(S$37,CF_Table,CF!$AB$38))</f>
        <v>0</v>
      </c>
      <c r="T59" s="53">
        <f ca="1">IF(T$37&lt;YEAR(Startops1),0,HLOOKUP(T$37,CF_Table,CF!$AB$38))</f>
        <v>0</v>
      </c>
      <c r="U59" s="53">
        <f ca="1">IF(U$37&lt;YEAR(Startops1),0,HLOOKUP(U$37,CF_Table,CF!$AB$38))</f>
        <v>0</v>
      </c>
      <c r="V59" s="53">
        <f ca="1">IF(V$37&lt;YEAR(Startops1),0,HLOOKUP(V$37,CF_Table,CF!$AB$38))</f>
        <v>0</v>
      </c>
      <c r="W59" s="53">
        <f ca="1">IF(W$37&lt;YEAR(Startops1),0,HLOOKUP(W$37,CF_Table,CF!$AB$38))</f>
        <v>0</v>
      </c>
      <c r="X59" s="53">
        <f ca="1">IF(X$37&lt;YEAR(Startops1),0,HLOOKUP(X$37,CF_Table,CF!$AB$38))</f>
        <v>0</v>
      </c>
      <c r="Y59" s="53">
        <f ca="1">IF(Y$37&lt;YEAR(Startops1),0,HLOOKUP(Y$37,CF_Table,CF!$AB$38))</f>
        <v>0</v>
      </c>
      <c r="Z59" s="53">
        <f ca="1">IF(Z$37&lt;YEAR(Startops1),0,HLOOKUP(Z$37,CF_Table,CF!$AB$38))</f>
        <v>0</v>
      </c>
      <c r="AA59" s="53">
        <f ca="1">IF(AA$37&lt;YEAR(Startops1),0,HLOOKUP(AA$37,CF_Table,CF!$AB$38))</f>
        <v>0</v>
      </c>
      <c r="AB59" s="53">
        <f ca="1">IF(AB$37&lt;YEAR(Startops1),0,HLOOKUP(AB$37,CF_Table,CF!$AB$38))</f>
        <v>0</v>
      </c>
      <c r="AC59" s="423">
        <f ca="1">SUM(G59:AB59)</f>
        <v>0</v>
      </c>
    </row>
    <row r="60" spans="1:30">
      <c r="A60" s="137"/>
      <c r="B60" s="8" t="s">
        <v>415</v>
      </c>
      <c r="D60" s="8"/>
      <c r="E60" s="8"/>
      <c r="F60" s="8"/>
      <c r="G60" s="228">
        <f ca="1">IF(G$37&lt;YEAR(Startops1),0,HLOOKUP(G$37,CF_Table,CF!$AB$66))</f>
        <v>0</v>
      </c>
      <c r="H60" s="228">
        <f ca="1">IF(H$37&lt;YEAR(Startops1),0,HLOOKUP(H$37,CF_Table,CF!$AB$66))</f>
        <v>0</v>
      </c>
      <c r="I60" s="228">
        <f ca="1">IF(I$37&lt;YEAR(Startops1),0,HLOOKUP(I$37,CF_Table,CF!$AB$66))</f>
        <v>0</v>
      </c>
      <c r="J60" s="228">
        <f ca="1">IF(J$37&lt;YEAR(Startops1),0,HLOOKUP(J$37,CF_Table,CF!$AB$66))</f>
        <v>0</v>
      </c>
      <c r="K60" s="228">
        <f ca="1">IF(K$37&lt;YEAR(Startops1),0,HLOOKUP(K$37,CF_Table,CF!$AB$66))</f>
        <v>0</v>
      </c>
      <c r="L60" s="228">
        <f ca="1">IF(L$37&lt;YEAR(Startops1),0,HLOOKUP(L$37,CF_Table,CF!$AB$66))</f>
        <v>0</v>
      </c>
      <c r="M60" s="228">
        <f ca="1">IF(M$37&lt;YEAR(Startops1),0,HLOOKUP(M$37,CF_Table,CF!$AB$66))</f>
        <v>0</v>
      </c>
      <c r="N60" s="228">
        <f ca="1">IF(N$37&lt;YEAR(Startops1),0,HLOOKUP(N$37,CF_Table,CF!$AB$66))</f>
        <v>0</v>
      </c>
      <c r="O60" s="228">
        <f ca="1">IF(O$37&lt;YEAR(Startops1),0,HLOOKUP(O$37,CF_Table,CF!$AB$66))</f>
        <v>0</v>
      </c>
      <c r="P60" s="228">
        <f ca="1">IF(P$37&lt;YEAR(Startops1),0,HLOOKUP(P$37,CF_Table,CF!$AB$66))</f>
        <v>-126.38273526462555</v>
      </c>
      <c r="Q60" s="228">
        <f ca="1">IF(Q$37&lt;YEAR(Startops1),0,HLOOKUP(Q$37,CF_Table,CF!$AB$66))</f>
        <v>-376.95777536125104</v>
      </c>
      <c r="R60" s="228">
        <f ca="1">IF(R$37&lt;YEAR(Startops1),0,HLOOKUP(R$37,CF_Table,CF!$AB$66))</f>
        <v>-633.69473828070409</v>
      </c>
      <c r="S60" s="228">
        <f ca="1">IF(S$37&lt;YEAR(Startops1),0,HLOOKUP(S$37,CF_Table,CF!$AB$66))</f>
        <v>-757.74512430971686</v>
      </c>
      <c r="T60" s="228">
        <f ca="1">IF(T$37&lt;YEAR(Startops1),0,HLOOKUP(T$37,CF_Table,CF!$AB$66))</f>
        <v>-919.85954018342875</v>
      </c>
      <c r="U60" s="228">
        <f ca="1">IF(U$37&lt;YEAR(Startops1),0,HLOOKUP(U$37,CF_Table,CF!$AB$66))</f>
        <v>-1087.912969262457</v>
      </c>
      <c r="V60" s="228">
        <f ca="1">IF(V$37&lt;YEAR(Startops1),0,HLOOKUP(V$37,CF_Table,CF!$AB$66))</f>
        <v>-972.07206169110611</v>
      </c>
      <c r="W60" s="228">
        <f ca="1">IF(W$37&lt;YEAR(Startops1),0,HLOOKUP(W$37,CF_Table,CF!$AB$66))</f>
        <v>-1604.3943892396983</v>
      </c>
      <c r="X60" s="228">
        <f ca="1">IF(X$37&lt;YEAR(Startops1),0,HLOOKUP(X$37,CF_Table,CF!$AB$66))</f>
        <v>-1844.5147345837427</v>
      </c>
      <c r="Y60" s="228">
        <f ca="1">IF(Y$37&lt;YEAR(Startops1),0,HLOOKUP(Y$37,CF_Table,CF!$AB$66))</f>
        <v>-1989.365282317232</v>
      </c>
      <c r="Z60" s="228">
        <f ca="1">IF(Z$37&lt;YEAR(Startops1),0,HLOOKUP(Z$37,CF_Table,CF!$AB$66))</f>
        <v>-2087.5101008853744</v>
      </c>
      <c r="AA60" s="228">
        <f ca="1">IF(AA$37&lt;YEAR(Startops1),0,HLOOKUP(AA$37,CF_Table,CF!$AB$66))</f>
        <v>-2276.4008162935347</v>
      </c>
      <c r="AB60" s="228">
        <f ca="1">IF(AB$37&lt;YEAR(Startops1),0,HLOOKUP(AB$37,CF_Table,CF!$AB$66))</f>
        <v>-1089.7670808219095</v>
      </c>
      <c r="AC60" s="424">
        <f ca="1">SUM(G60:AB60)</f>
        <v>-15766.577348494782</v>
      </c>
    </row>
    <row r="61" spans="1:30">
      <c r="A61" s="137"/>
      <c r="C61" s="8" t="s">
        <v>416</v>
      </c>
      <c r="D61" s="8"/>
      <c r="E61" s="8"/>
      <c r="F61" s="8"/>
      <c r="G61" s="53">
        <f ca="1">SUM(G57:G60)</f>
        <v>0</v>
      </c>
      <c r="H61" s="53">
        <f t="shared" ref="H61:AB61" ca="1" si="18">SUM(H57:H60)</f>
        <v>0</v>
      </c>
      <c r="I61" s="53">
        <f t="shared" ca="1" si="18"/>
        <v>0</v>
      </c>
      <c r="J61" s="53">
        <f t="shared" ca="1" si="18"/>
        <v>6738.0433476206508</v>
      </c>
      <c r="K61" s="53">
        <f t="shared" ca="1" si="18"/>
        <v>12102.639982504843</v>
      </c>
      <c r="L61" s="53">
        <f t="shared" ca="1" si="18"/>
        <v>11576.572623366059</v>
      </c>
      <c r="M61" s="53">
        <f t="shared" ca="1" si="18"/>
        <v>12481.13661759852</v>
      </c>
      <c r="N61" s="53">
        <f t="shared" ca="1" si="18"/>
        <v>13264.538653924328</v>
      </c>
      <c r="O61" s="53">
        <f t="shared" ca="1" si="18"/>
        <v>13543.210103748122</v>
      </c>
      <c r="P61" s="53">
        <f t="shared" ca="1" si="18"/>
        <v>13861.587441797801</v>
      </c>
      <c r="Q61" s="53">
        <f t="shared" ca="1" si="18"/>
        <v>13808.715146698674</v>
      </c>
      <c r="R61" s="53">
        <f t="shared" ca="1" si="18"/>
        <v>14140.177569430654</v>
      </c>
      <c r="S61" s="53">
        <f t="shared" ca="1" si="18"/>
        <v>14313.26342033047</v>
      </c>
      <c r="T61" s="53">
        <f t="shared" ca="1" si="18"/>
        <v>14626.456163793577</v>
      </c>
      <c r="U61" s="53">
        <f t="shared" ca="1" si="18"/>
        <v>14902.321451296861</v>
      </c>
      <c r="V61" s="53">
        <f t="shared" ca="1" si="18"/>
        <v>14104.242475055345</v>
      </c>
      <c r="W61" s="53">
        <f t="shared" ca="1" si="18"/>
        <v>15031.05271049672</v>
      </c>
      <c r="X61" s="53">
        <f t="shared" ca="1" si="18"/>
        <v>15335.321406610106</v>
      </c>
      <c r="Y61" s="53">
        <f t="shared" ca="1" si="18"/>
        <v>15657.268125626857</v>
      </c>
      <c r="Z61" s="53">
        <f t="shared" ca="1" si="18"/>
        <v>16002.582334888251</v>
      </c>
      <c r="AA61" s="53">
        <f t="shared" ca="1" si="18"/>
        <v>16322.809564385785</v>
      </c>
      <c r="AB61" s="53">
        <f t="shared" ca="1" si="18"/>
        <v>5043.7904752655941</v>
      </c>
      <c r="AC61" s="423">
        <f ca="1">SUM(G61:AB61)</f>
        <v>252855.72961443925</v>
      </c>
    </row>
    <row r="62" spans="1:30">
      <c r="A62" s="137"/>
      <c r="D62" s="8"/>
      <c r="E62" s="8"/>
      <c r="F62" s="8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423"/>
    </row>
    <row r="63" spans="1:30">
      <c r="A63" s="144" t="s">
        <v>417</v>
      </c>
      <c r="D63" s="8"/>
      <c r="E63" s="8"/>
      <c r="F63" s="8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423"/>
    </row>
    <row r="64" spans="1:30">
      <c r="A64" s="137"/>
      <c r="B64" s="8" t="s">
        <v>420</v>
      </c>
      <c r="D64" s="8"/>
      <c r="E64" s="8"/>
      <c r="F64" s="8"/>
      <c r="G64" s="53">
        <f ca="1">IF(G$55&lt;YEAR(Startconst),0,HLOOKUP(DATE(G$55,12,31),Idc_Table,IDC!$AP$67)-SUM($F64:F64))</f>
        <v>6637.9700856495137</v>
      </c>
      <c r="H64" s="53">
        <f ca="1">IF(H$55&lt;YEAR(Startconst),0,HLOOKUP(DATE(H$55,12,31),Idc_Table,IDC!$AP$67)-SUM($F64:G64))</f>
        <v>22492.542741582194</v>
      </c>
      <c r="I64" s="53">
        <f ca="1">IF(I$55&lt;YEAR(Startconst),0,HLOOKUP(DATE(I$55,12,31),Idc_Table,IDC!$AP$67)-SUM($F64:H64))</f>
        <v>0</v>
      </c>
      <c r="J64" s="53">
        <f ca="1">IF(J$55&lt;YEAR(Startconst),0,HLOOKUP(DATE(J$55,12,31),Idc_Table,IDC!$AP$67)-SUM($F64:I64))</f>
        <v>0</v>
      </c>
      <c r="K64" s="53">
        <f ca="1">IF(K$55&lt;YEAR(Startconst),0,HLOOKUP(DATE(K$55,12,31),Idc_Table,IDC!$AP$67)-SUM($F64:J64))</f>
        <v>0</v>
      </c>
      <c r="L64" s="53">
        <f ca="1">IF(L$55&lt;YEAR(Startconst),0,HLOOKUP(DATE(L$55,12,31),Idc_Table,IDC!$AP$67)-SUM($F64:K64))</f>
        <v>0</v>
      </c>
      <c r="M64" s="53">
        <f ca="1">IF(M$55&lt;YEAR(Startconst),0,HLOOKUP(DATE(M$55,12,31),Idc_Table,IDC!$AP$67)-SUM($F64:L64))</f>
        <v>0</v>
      </c>
      <c r="N64" s="53">
        <f ca="1">IF(N$55&lt;YEAR(Startconst),0,HLOOKUP(DATE(N$55,12,31),Idc_Table,IDC!$AP$67)-SUM($F64:M64))</f>
        <v>0</v>
      </c>
      <c r="O64" s="53">
        <f ca="1">IF(O$55&lt;YEAR(Startconst),0,HLOOKUP(DATE(O$55,12,31),Idc_Table,IDC!$AP$67)-SUM($F64:N64))</f>
        <v>0</v>
      </c>
      <c r="P64" s="53">
        <f ca="1">IF(P$55&lt;YEAR(Startconst),0,HLOOKUP(DATE(P$55,12,31),Idc_Table,IDC!$AP$67)-SUM($F64:O64))</f>
        <v>0</v>
      </c>
      <c r="Q64" s="53">
        <f ca="1">IF(Q$55&lt;YEAR(Startconst),0,HLOOKUP(DATE(Q$55,12,31),Idc_Table,IDC!$AP$67)-SUM($F64:P64))</f>
        <v>0</v>
      </c>
      <c r="R64" s="53">
        <f ca="1">IF(R$55&lt;YEAR(Startconst),0,HLOOKUP(DATE(R$55,12,31),Idc_Table,IDC!$AP$67)-SUM($F64:Q64))</f>
        <v>0</v>
      </c>
      <c r="S64" s="53">
        <f ca="1">IF(S$55&lt;YEAR(Startconst),0,HLOOKUP(DATE(S$55,12,31),Idc_Table,IDC!$AP$67)-SUM($F64:R64))</f>
        <v>0</v>
      </c>
      <c r="T64" s="53">
        <f ca="1">IF(T$55&lt;YEAR(Startconst),0,HLOOKUP(DATE(T$55,12,31),Idc_Table,IDC!$AP$67)-SUM($F64:S64))</f>
        <v>0</v>
      </c>
      <c r="U64" s="53">
        <f ca="1">IF(U$55&lt;YEAR(Startconst),0,HLOOKUP(DATE(U$55,12,31),Idc_Table,IDC!$AP$67)-SUM($F64:T64))</f>
        <v>0</v>
      </c>
      <c r="V64" s="53">
        <f ca="1">IF(V$55&lt;YEAR(Startconst),0,HLOOKUP(DATE(V$55,12,31),Idc_Table,IDC!$AP$67)-SUM($F64:U64))</f>
        <v>0</v>
      </c>
      <c r="W64" s="53">
        <f ca="1">IF(W$55&lt;YEAR(Startconst),0,HLOOKUP(DATE(W$55,12,31),Idc_Table,IDC!$AP$67)-SUM($F64:V64))</f>
        <v>0</v>
      </c>
      <c r="X64" s="53">
        <f ca="1">IF(X$55&lt;YEAR(Startconst),0,HLOOKUP(DATE(X$55,12,31),Idc_Table,IDC!$AP$67)-SUM($F64:W64))</f>
        <v>0</v>
      </c>
      <c r="Y64" s="53">
        <f ca="1">IF(Y$55&lt;YEAR(Startconst),0,HLOOKUP(DATE(Y$55,12,31),Idc_Table,IDC!$AP$67)-SUM($F64:X64))</f>
        <v>0</v>
      </c>
      <c r="Z64" s="53">
        <f ca="1">IF(Z$55&lt;YEAR(Startconst),0,HLOOKUP(DATE(Z$55,12,31),Idc_Table,IDC!$AP$67)-SUM($F64:Y64))</f>
        <v>0</v>
      </c>
      <c r="AA64" s="53">
        <f ca="1">IF(AA$55&lt;YEAR(Startconst),0,HLOOKUP(DATE(AA$55,12,31),Idc_Table,IDC!$AP$67)-SUM($F64:Z64))</f>
        <v>0</v>
      </c>
      <c r="AB64" s="53">
        <f ca="1">IF(AB$55&lt;YEAR(Startconst),0,HLOOKUP(DATE(AB$55,12,31),Idc_Table,IDC!$AP$67)-SUM($F64:AA64))</f>
        <v>0</v>
      </c>
      <c r="AC64" s="423">
        <f ca="1">SUM(G64:AB64)</f>
        <v>29130.512827231709</v>
      </c>
    </row>
    <row r="65" spans="1:29">
      <c r="A65" s="137"/>
      <c r="B65" s="8" t="s">
        <v>816</v>
      </c>
      <c r="D65" s="8"/>
      <c r="E65" s="8"/>
      <c r="F65" s="8"/>
      <c r="G65" s="53">
        <f ca="1">IF(G$55&lt;YEAR(Startconst),0,HLOOKUP(DATE(G$55,12,31),Idc_Table,IDC!$AP$75)-SUM($F65:F65))</f>
        <v>0</v>
      </c>
      <c r="H65" s="53">
        <f ca="1">IF(H$55&lt;YEAR(Startconst),0,HLOOKUP(DATE(H$55,12,31),Idc_Table,IDC!$AP$75)-SUM($F65:G65))</f>
        <v>27218.218104732216</v>
      </c>
      <c r="I65" s="53">
        <f ca="1">IF(I$55&lt;YEAR(Startconst),0,HLOOKUP(DATE(I$55,12,31),Idc_Table,IDC!$AP$75)-SUM($F65:H65))</f>
        <v>46166.165405694941</v>
      </c>
      <c r="J65" s="53">
        <f ca="1">IF(J$55&lt;YEAR(Startconst),0,HLOOKUP(DATE(J$55,12,31),Idc_Table,IDC!$AP$75)-SUM($F65:I65))</f>
        <v>0</v>
      </c>
      <c r="K65" s="53">
        <f ca="1">IF(K$55&lt;YEAR(Startconst),0,HLOOKUP(DATE(K$55,12,31),Idc_Table,IDC!$AP$75)-SUM($F65:J65))</f>
        <v>0</v>
      </c>
      <c r="L65" s="53">
        <f ca="1">IF(L$55&lt;YEAR(Startconst),0,HLOOKUP(DATE(L$55,12,31),Idc_Table,IDC!$AP$75)-SUM($F65:K65))</f>
        <v>0</v>
      </c>
      <c r="M65" s="53">
        <f ca="1">IF(M$55&lt;YEAR(Startconst),0,HLOOKUP(DATE(M$55,12,31),Idc_Table,IDC!$AP$75)-SUM($F65:L65))</f>
        <v>0</v>
      </c>
      <c r="N65" s="53">
        <f ca="1">IF(N$55&lt;YEAR(Startconst),0,HLOOKUP(DATE(N$55,12,31),Idc_Table,IDC!$AP$75)-SUM($F65:M65))</f>
        <v>0</v>
      </c>
      <c r="O65" s="53">
        <f ca="1">IF(O$55&lt;YEAR(Startconst),0,HLOOKUP(DATE(O$55,12,31),Idc_Table,IDC!$AP$75)-SUM($F65:N65))</f>
        <v>0</v>
      </c>
      <c r="P65" s="53">
        <f ca="1">IF(P$55&lt;YEAR(Startconst),0,HLOOKUP(DATE(P$55,12,31),Idc_Table,IDC!$AP$75)-SUM($F65:O65))</f>
        <v>0</v>
      </c>
      <c r="Q65" s="53">
        <f ca="1">IF(Q$55&lt;YEAR(Startconst),0,HLOOKUP(DATE(Q$55,12,31),Idc_Table,IDC!$AP$75)-SUM($F65:P65))</f>
        <v>0</v>
      </c>
      <c r="R65" s="53">
        <f ca="1">IF(R$55&lt;YEAR(Startconst),0,HLOOKUP(DATE(R$55,12,31),Idc_Table,IDC!$AP$75)-SUM($F65:Q65))</f>
        <v>0</v>
      </c>
      <c r="S65" s="53">
        <f ca="1">IF(S$55&lt;YEAR(Startconst),0,HLOOKUP(DATE(S$55,12,31),Idc_Table,IDC!$AP$75)-SUM($F65:R65))</f>
        <v>0</v>
      </c>
      <c r="T65" s="53">
        <f ca="1">IF(T$55&lt;YEAR(Startconst),0,HLOOKUP(DATE(T$55,12,31),Idc_Table,IDC!$AP$75)-SUM($F65:S65))</f>
        <v>0</v>
      </c>
      <c r="U65" s="53">
        <f ca="1">IF(U$55&lt;YEAR(Startconst),0,HLOOKUP(DATE(U$55,12,31),Idc_Table,IDC!$AP$75)-SUM($F65:T65))</f>
        <v>0</v>
      </c>
      <c r="V65" s="53">
        <f ca="1">IF(V$55&lt;YEAR(Startconst),0,HLOOKUP(DATE(V$55,12,31),Idc_Table,IDC!$AP$75)-SUM($F65:U65))</f>
        <v>0</v>
      </c>
      <c r="W65" s="53">
        <f ca="1">IF(W$55&lt;YEAR(Startconst),0,HLOOKUP(DATE(W$55,12,31),Idc_Table,IDC!$AP$75)-SUM($F65:V65))</f>
        <v>0</v>
      </c>
      <c r="X65" s="53">
        <f ca="1">IF(X$55&lt;YEAR(Startconst),0,HLOOKUP(DATE(X$55,12,31),Idc_Table,IDC!$AP$75)-SUM($F65:W65))</f>
        <v>0</v>
      </c>
      <c r="Y65" s="53">
        <f ca="1">IF(Y$55&lt;YEAR(Startconst),0,HLOOKUP(DATE(Y$55,12,31),Idc_Table,IDC!$AP$75)-SUM($F65:X65))</f>
        <v>0</v>
      </c>
      <c r="Z65" s="53">
        <f ca="1">IF(Z$55&lt;YEAR(Startconst),0,HLOOKUP(DATE(Z$55,12,31),Idc_Table,IDC!$AP$75)-SUM($F65:Y65))</f>
        <v>0</v>
      </c>
      <c r="AA65" s="53">
        <f ca="1">IF(AA$55&lt;YEAR(Startconst),0,HLOOKUP(DATE(AA$55,12,31),Idc_Table,IDC!$AP$75)-SUM($F65:Z65))</f>
        <v>0</v>
      </c>
      <c r="AB65" s="53">
        <f ca="1">IF(AB$55&lt;YEAR(Startconst),0,HLOOKUP(DATE(AB$55,12,31),Idc_Table,IDC!$AP$75)-SUM($F65:AA65))</f>
        <v>0</v>
      </c>
      <c r="AC65" s="423">
        <f ca="1">SUM(G65:AB65)</f>
        <v>73384.383510427157</v>
      </c>
    </row>
    <row r="66" spans="1:29">
      <c r="A66" s="137"/>
      <c r="B66" s="8" t="s">
        <v>817</v>
      </c>
      <c r="D66" s="8"/>
      <c r="E66" s="8"/>
      <c r="F66" s="8"/>
      <c r="G66" s="53">
        <f ca="1">IF(G$55=YEAR(Fin_Close),-SUM($F65:G65),0)</f>
        <v>0</v>
      </c>
      <c r="H66" s="53">
        <f ca="1">IF(H$55=YEAR(Fin_Close),-SUM($F65:H65),0)</f>
        <v>0</v>
      </c>
      <c r="I66" s="53">
        <f ca="1">IF(I$55=YEAR(Fin_Close),-SUM($F65:I65),0)</f>
        <v>-73384.383510427157</v>
      </c>
      <c r="J66" s="53">
        <f ca="1">IF(J$55=YEAR(Fin_Close),-SUM($F65:J65),0)</f>
        <v>0</v>
      </c>
      <c r="K66" s="53">
        <f ca="1">IF(K$55=YEAR(Fin_Close),-SUM($F65:K65),0)</f>
        <v>0</v>
      </c>
      <c r="L66" s="53">
        <f ca="1">IF(L$55=YEAR(Fin_Close),-SUM($F65:L65),0)</f>
        <v>0</v>
      </c>
      <c r="M66" s="53">
        <f ca="1">IF(M$55=YEAR(Fin_Close),-SUM($F65:M65),0)</f>
        <v>0</v>
      </c>
      <c r="N66" s="53">
        <f ca="1">IF(N$55=YEAR(Fin_Close),-SUM($F65:N65),0)</f>
        <v>0</v>
      </c>
      <c r="O66" s="53">
        <f ca="1">IF(O$55=YEAR(Fin_Close),-SUM($F65:O65),0)</f>
        <v>0</v>
      </c>
      <c r="P66" s="53">
        <f ca="1">IF(P$55=YEAR(Fin_Close),-SUM($F65:P65),0)</f>
        <v>0</v>
      </c>
      <c r="Q66" s="53">
        <f ca="1">IF(Q$55=YEAR(Fin_Close),-SUM($F65:Q65),0)</f>
        <v>0</v>
      </c>
      <c r="R66" s="53">
        <f ca="1">IF(R$55=YEAR(Fin_Close),-SUM($F65:R65),0)</f>
        <v>0</v>
      </c>
      <c r="S66" s="53">
        <f ca="1">IF(S$55=YEAR(Fin_Close),-SUM($F65:S65),0)</f>
        <v>0</v>
      </c>
      <c r="T66" s="53">
        <f ca="1">IF(T$55=YEAR(Fin_Close),-SUM($F65:T65),0)</f>
        <v>0</v>
      </c>
      <c r="U66" s="53">
        <f ca="1">IF(U$55=YEAR(Fin_Close),-SUM($F65:U65),0)</f>
        <v>0</v>
      </c>
      <c r="V66" s="53">
        <f ca="1">IF(V$55=YEAR(Fin_Close),-SUM($F65:V65),0)</f>
        <v>0</v>
      </c>
      <c r="W66" s="53">
        <f ca="1">IF(W$55=YEAR(Fin_Close),-SUM($F65:W65),0)</f>
        <v>0</v>
      </c>
      <c r="X66" s="53">
        <f ca="1">IF(X$55=YEAR(Fin_Close),-SUM($F65:X65),0)</f>
        <v>0</v>
      </c>
      <c r="Y66" s="53">
        <f ca="1">IF(Y$55=YEAR(Fin_Close),-SUM($F65:Y65),0)</f>
        <v>0</v>
      </c>
      <c r="Z66" s="53">
        <f ca="1">IF(Z$55=YEAR(Fin_Close),-SUM($F65:Z65),0)</f>
        <v>0</v>
      </c>
      <c r="AA66" s="53">
        <f ca="1">IF(AA$55=YEAR(Fin_Close),-SUM($F65:AA65),0)</f>
        <v>0</v>
      </c>
      <c r="AB66" s="53">
        <f ca="1">IF(AB$55=YEAR(Fin_Close),-SUM($F65:AB65),0)</f>
        <v>0</v>
      </c>
      <c r="AC66" s="423">
        <f ca="1">SUM(G66:AB66)</f>
        <v>-73384.383510427157</v>
      </c>
    </row>
    <row r="67" spans="1:29">
      <c r="A67" s="137"/>
      <c r="B67" s="8" t="s">
        <v>818</v>
      </c>
      <c r="D67" s="8"/>
      <c r="E67" s="8"/>
      <c r="F67" s="8"/>
      <c r="G67" s="53">
        <f ca="1">IF(G$55&lt;YEAR(Startconst),0,HLOOKUP(DATE(G$55,12,31),Idc_Table,IDC!$AP$38)-SUM($F67:F67))</f>
        <v>0</v>
      </c>
      <c r="H67" s="53">
        <f ca="1">IF(H$55&lt;YEAR(Startconst),0,HLOOKUP(DATE(H$55,12,31),Idc_Table,IDC!$AP$38)-SUM($F67:G67))</f>
        <v>0</v>
      </c>
      <c r="I67" s="53">
        <f ca="1">IF(I$55&lt;YEAR(Startconst),0,HLOOKUP(DATE(I$55,12,31),Idc_Table,IDC!$AP$38)-SUM($F67:H67))</f>
        <v>74443.62327215432</v>
      </c>
      <c r="J67" s="53">
        <f ca="1">IF(J$55&lt;YEAR(Startconst),0,HLOOKUP(DATE(J$55,12,31),Idc_Table,IDC!$AP$38)-SUM($F67:I67))</f>
        <v>1491.1795140611503</v>
      </c>
      <c r="K67" s="53">
        <f ca="1">IF(K$55&lt;YEAR(Startconst),0,HLOOKUP(DATE(K$55,12,31),Idc_Table,IDC!$AP$38)-SUM($F67:J67))</f>
        <v>0</v>
      </c>
      <c r="L67" s="53">
        <f ca="1">IF(L$55&lt;YEAR(Startconst),0,HLOOKUP(DATE(L$55,12,31),Idc_Table,IDC!$AP$38)-SUM($F67:K67))</f>
        <v>0</v>
      </c>
      <c r="M67" s="53">
        <f ca="1">IF(M$55&lt;YEAR(Startconst),0,HLOOKUP(DATE(M$55,12,31),Idc_Table,IDC!$AP$38)-SUM($F67:L67))</f>
        <v>0</v>
      </c>
      <c r="N67" s="53">
        <f ca="1">IF(N$55&lt;YEAR(Startconst),0,HLOOKUP(DATE(N$55,12,31),Idc_Table,IDC!$AP$38)-SUM($F67:M67))</f>
        <v>0</v>
      </c>
      <c r="O67" s="53">
        <f ca="1">IF(O$55&lt;YEAR(Startconst),0,HLOOKUP(DATE(O$55,12,31),Idc_Table,IDC!$AP$38)-SUM($F67:N67))</f>
        <v>0</v>
      </c>
      <c r="P67" s="53">
        <f ca="1">IF(P$55&lt;YEAR(Startconst),0,HLOOKUP(DATE(P$55,12,31),Idc_Table,IDC!$AP$38)-SUM($F67:O67))</f>
        <v>0</v>
      </c>
      <c r="Q67" s="53">
        <f ca="1">IF(Q$55&lt;YEAR(Startconst),0,HLOOKUP(DATE(Q$55,12,31),Idc_Table,IDC!$AP$38)-SUM($F67:P67))</f>
        <v>0</v>
      </c>
      <c r="R67" s="53">
        <f ca="1">IF(R$55&lt;YEAR(Startconst),0,HLOOKUP(DATE(R$55,12,31),Idc_Table,IDC!$AP$38)-SUM($F67:Q67))</f>
        <v>0</v>
      </c>
      <c r="S67" s="53">
        <f ca="1">IF(S$55&lt;YEAR(Startconst),0,HLOOKUP(DATE(S$55,12,31),Idc_Table,IDC!$AP$38)-SUM($F67:R67))</f>
        <v>0</v>
      </c>
      <c r="T67" s="53">
        <f ca="1">IF(T$55&lt;YEAR(Startconst),0,HLOOKUP(DATE(T$55,12,31),Idc_Table,IDC!$AP$38)-SUM($F67:S67))</f>
        <v>0</v>
      </c>
      <c r="U67" s="53">
        <f ca="1">IF(U$55&lt;YEAR(Startconst),0,HLOOKUP(DATE(U$55,12,31),Idc_Table,IDC!$AP$38)-SUM($F67:T67))</f>
        <v>0</v>
      </c>
      <c r="V67" s="53">
        <f ca="1">IF(V$55&lt;YEAR(Startconst),0,HLOOKUP(DATE(V$55,12,31),Idc_Table,IDC!$AP$38)-SUM($F67:U67))</f>
        <v>0</v>
      </c>
      <c r="W67" s="53">
        <f ca="1">IF(W$55&lt;YEAR(Startconst),0,HLOOKUP(DATE(W$55,12,31),Idc_Table,IDC!$AP$38)-SUM($F67:V67))</f>
        <v>0</v>
      </c>
      <c r="X67" s="53">
        <f ca="1">IF(X$55&lt;YEAR(Startconst),0,HLOOKUP(DATE(X$55,12,31),Idc_Table,IDC!$AP$38)-SUM($F67:W67))</f>
        <v>0</v>
      </c>
      <c r="Y67" s="53">
        <f ca="1">IF(Y$55&lt;YEAR(Startconst),0,HLOOKUP(DATE(Y$55,12,31),Idc_Table,IDC!$AP$38)-SUM($F67:X67))</f>
        <v>0</v>
      </c>
      <c r="Z67" s="53">
        <f ca="1">IF(Z$55&lt;YEAR(Startconst),0,HLOOKUP(DATE(Z$55,12,31),Idc_Table,IDC!$AP$38)-SUM($F67:Y67))</f>
        <v>0</v>
      </c>
      <c r="AA67" s="53">
        <f ca="1">IF(AA$55&lt;YEAR(Startconst),0,HLOOKUP(DATE(AA$55,12,31),Idc_Table,IDC!$AP$38)-SUM($F67:Z67))</f>
        <v>0</v>
      </c>
      <c r="AB67" s="53">
        <f ca="1">IF(AB$55&lt;YEAR(Startconst),0,HLOOKUP(DATE(AB$55,12,31),Idc_Table,IDC!$AP$38)-SUM($F67:AA67))</f>
        <v>0</v>
      </c>
      <c r="AC67" s="423">
        <f t="shared" ref="AC67:AC83" ca="1" si="19">SUM(G67:AB67)</f>
        <v>75934.80278621547</v>
      </c>
    </row>
    <row r="68" spans="1:29">
      <c r="A68" s="137"/>
      <c r="B68" s="8" t="s">
        <v>819</v>
      </c>
      <c r="D68" s="8"/>
      <c r="E68" s="8"/>
      <c r="F68" s="8"/>
      <c r="G68" s="53">
        <f ca="1">IF(G$37&lt;YEAR(Startops1),0,HLOOKUP(G$37,CF_Table,CF!$AB$67))</f>
        <v>0</v>
      </c>
      <c r="H68" s="53">
        <f ca="1">IF(H$37&lt;YEAR(Startops1),0,HLOOKUP(H$37,CF_Table,CF!$AB$67))</f>
        <v>0</v>
      </c>
      <c r="I68" s="53">
        <f ca="1">IF(I$37&lt;YEAR(Startops1),0,HLOOKUP(I$37,CF_Table,CF!$AB$67))</f>
        <v>0</v>
      </c>
      <c r="J68" s="53">
        <f ca="1">IF(J$37&lt;YEAR(Startops1),0,HLOOKUP(J$37,CF_Table,CF!$AB$67))</f>
        <v>0</v>
      </c>
      <c r="K68" s="53">
        <f ca="1">IF(K$37&lt;YEAR(Startops1),0,HLOOKUP(K$37,CF_Table,CF!$AB$67))</f>
        <v>-1138.9135635035377</v>
      </c>
      <c r="L68" s="53">
        <f ca="1">IF(L$37&lt;YEAR(Startops1),0,HLOOKUP(L$37,CF_Table,CF!$AB$67))</f>
        <v>-1930.9135565637616</v>
      </c>
      <c r="M68" s="53">
        <f ca="1">IF(M$37&lt;YEAR(Startops1),0,HLOOKUP(M$37,CF_Table,CF!$AB$67))</f>
        <v>-5423.9144847296739</v>
      </c>
      <c r="N68" s="53">
        <f ca="1">IF(N$37&lt;YEAR(Startops1),0,HLOOKUP(N$37,CF_Table,CF!$AB$67))</f>
        <v>-6885.7317572241172</v>
      </c>
      <c r="O68" s="53">
        <f ca="1">IF(O$37&lt;YEAR(Startops1),0,HLOOKUP(O$37,CF_Table,CF!$AB$67))</f>
        <v>-7800.7461307980138</v>
      </c>
      <c r="P68" s="53">
        <f ca="1">IF(P$37&lt;YEAR(Startops1),0,HLOOKUP(P$37,CF_Table,CF!$AB$67))</f>
        <v>-8370.25715169463</v>
      </c>
      <c r="Q68" s="53">
        <f ca="1">IF(Q$37&lt;YEAR(Startops1),0,HLOOKUP(Q$37,CF_Table,CF!$AB$67))</f>
        <v>-6350.3913975812993</v>
      </c>
      <c r="R68" s="53">
        <f ca="1">IF(R$37&lt;YEAR(Startops1),0,HLOOKUP(R$37,CF_Table,CF!$AB$67))</f>
        <v>-4330.5256434679677</v>
      </c>
      <c r="S68" s="53">
        <f ca="1">IF(S$37&lt;YEAR(Startops1),0,HLOOKUP(S$37,CF_Table,CF!$AB$67))</f>
        <v>-4330.5256434679677</v>
      </c>
      <c r="T68" s="53">
        <f ca="1">IF(T$37&lt;YEAR(Startops1),0,HLOOKUP(T$37,CF_Table,CF!$AB$67))</f>
        <v>-5340.458520524634</v>
      </c>
      <c r="U68" s="53">
        <f ca="1">IF(U$37&lt;YEAR(Startops1),0,HLOOKUP(U$37,CF_Table,CF!$AB$67))</f>
        <v>-6350.3913975813002</v>
      </c>
      <c r="V68" s="53">
        <f ca="1">IF(V$37&lt;YEAR(Startops1),0,HLOOKUP(V$37,CF_Table,CF!$AB$67))</f>
        <v>-6350.3913975813002</v>
      </c>
      <c r="W68" s="53">
        <f ca="1">IF(W$37&lt;YEAR(Startops1),0,HLOOKUP(W$37,CF_Table,CF!$AB$67))</f>
        <v>-6578.1958059399458</v>
      </c>
      <c r="X68" s="53">
        <f ca="1">IF(X$37&lt;YEAR(Startops1),0,HLOOKUP(X$37,CF_Table,CF!$AB$67))</f>
        <v>-4753.4463355573153</v>
      </c>
      <c r="Y68" s="53">
        <f ca="1">IF(Y$37&lt;YEAR(Startops1),0,HLOOKUP(Y$37,CF_Table,CF!$AB$67))</f>
        <v>0</v>
      </c>
      <c r="Z68" s="53">
        <f ca="1">IF(Z$37&lt;YEAR(Startops1),0,HLOOKUP(Z$37,CF_Table,CF!$AB$67))</f>
        <v>0</v>
      </c>
      <c r="AA68" s="53">
        <f ca="1">IF(AA$37&lt;YEAR(Startops1),0,HLOOKUP(AA$37,CF_Table,CF!$AB$67))</f>
        <v>0</v>
      </c>
      <c r="AB68" s="53">
        <f ca="1">IF(AB$37&lt;YEAR(Startops1),0,HLOOKUP(AB$37,CF_Table,CF!$AB$67))</f>
        <v>0</v>
      </c>
      <c r="AC68" s="423">
        <f t="shared" ca="1" si="19"/>
        <v>-75934.802786215456</v>
      </c>
    </row>
    <row r="69" spans="1:29">
      <c r="A69" s="137"/>
      <c r="B69" s="8" t="s">
        <v>21</v>
      </c>
      <c r="D69" s="8"/>
      <c r="E69" s="8"/>
      <c r="F69" s="8"/>
      <c r="G69" s="53">
        <f ca="1">IF(G$55&lt;YEAR(Startconst),0,HLOOKUP(DATE(G$55,12,31),Idc_Table,IDC!$AP$46)-SUM($F69:F69))</f>
        <v>0</v>
      </c>
      <c r="H69" s="53">
        <f ca="1">IF(H$55&lt;YEAR(Startconst),0,HLOOKUP(DATE(H$55,12,31),Idc_Table,IDC!$AP$46)-SUM($F69:G69))</f>
        <v>0</v>
      </c>
      <c r="I69" s="53">
        <f ca="1">IF(I$55&lt;YEAR(Startconst),0,HLOOKUP(DATE(I$55,12,31),Idc_Table,IDC!$AP$46)-SUM($F69:H69))</f>
        <v>21070.623568717438</v>
      </c>
      <c r="J69" s="53">
        <f ca="1">IF(J$55&lt;YEAR(Startconst),0,HLOOKUP(DATE(J$55,12,31),Idc_Table,IDC!$AP$46)-SUM($F69:I69))</f>
        <v>422.06546152782175</v>
      </c>
      <c r="K69" s="53">
        <f ca="1">IF(K$55&lt;YEAR(Startconst),0,HLOOKUP(DATE(K$55,12,31),Idc_Table,IDC!$AP$46)-SUM($F69:J69))</f>
        <v>0</v>
      </c>
      <c r="L69" s="53">
        <f ca="1">IF(L$55&lt;YEAR(Startconst),0,HLOOKUP(DATE(L$55,12,31),Idc_Table,IDC!$AP$46)-SUM($F69:K69))</f>
        <v>0</v>
      </c>
      <c r="M69" s="53">
        <f ca="1">IF(M$55&lt;YEAR(Startconst),0,HLOOKUP(DATE(M$55,12,31),Idc_Table,IDC!$AP$46)-SUM($F69:L69))</f>
        <v>0</v>
      </c>
      <c r="N69" s="53">
        <f ca="1">IF(N$55&lt;YEAR(Startconst),0,HLOOKUP(DATE(N$55,12,31),Idc_Table,IDC!$AP$46)-SUM($F69:M69))</f>
        <v>0</v>
      </c>
      <c r="O69" s="53">
        <f ca="1">IF(O$55&lt;YEAR(Startconst),0,HLOOKUP(DATE(O$55,12,31),Idc_Table,IDC!$AP$46)-SUM($F69:N69))</f>
        <v>0</v>
      </c>
      <c r="P69" s="53">
        <f ca="1">IF(P$55&lt;YEAR(Startconst),0,HLOOKUP(DATE(P$55,12,31),Idc_Table,IDC!$AP$46)-SUM($F69:O69))</f>
        <v>0</v>
      </c>
      <c r="Q69" s="53">
        <f ca="1">IF(Q$55&lt;YEAR(Startconst),0,HLOOKUP(DATE(Q$55,12,31),Idc_Table,IDC!$AP$46)-SUM($F69:P69))</f>
        <v>0</v>
      </c>
      <c r="R69" s="53">
        <f ca="1">IF(R$55&lt;YEAR(Startconst),0,HLOOKUP(DATE(R$55,12,31),Idc_Table,IDC!$AP$46)-SUM($F69:Q69))</f>
        <v>0</v>
      </c>
      <c r="S69" s="53">
        <f ca="1">IF(S$55&lt;YEAR(Startconst),0,HLOOKUP(DATE(S$55,12,31),Idc_Table,IDC!$AP$46)-SUM($F69:R69))</f>
        <v>0</v>
      </c>
      <c r="T69" s="53">
        <f ca="1">IF(T$55&lt;YEAR(Startconst),0,HLOOKUP(DATE(T$55,12,31),Idc_Table,IDC!$AP$46)-SUM($F69:S69))</f>
        <v>0</v>
      </c>
      <c r="U69" s="53">
        <f ca="1">IF(U$55&lt;YEAR(Startconst),0,HLOOKUP(DATE(U$55,12,31),Idc_Table,IDC!$AP$46)-SUM($F69:T69))</f>
        <v>0</v>
      </c>
      <c r="V69" s="53">
        <f ca="1">IF(V$55&lt;YEAR(Startconst),0,HLOOKUP(DATE(V$55,12,31),Idc_Table,IDC!$AP$46)-SUM($F69:U69))</f>
        <v>0</v>
      </c>
      <c r="W69" s="53">
        <f ca="1">IF(W$55&lt;YEAR(Startconst),0,HLOOKUP(DATE(W$55,12,31),Idc_Table,IDC!$AP$46)-SUM($F69:V69))</f>
        <v>0</v>
      </c>
      <c r="X69" s="53">
        <f ca="1">IF(X$55&lt;YEAR(Startconst),0,HLOOKUP(DATE(X$55,12,31),Idc_Table,IDC!$AP$46)-SUM($F69:W69))</f>
        <v>0</v>
      </c>
      <c r="Y69" s="53">
        <f ca="1">IF(Y$55&lt;YEAR(Startconst),0,HLOOKUP(DATE(Y$55,12,31),Idc_Table,IDC!$AP$46)-SUM($F69:X69))</f>
        <v>0</v>
      </c>
      <c r="Z69" s="53">
        <f ca="1">IF(Z$55&lt;YEAR(Startconst),0,HLOOKUP(DATE(Z$55,12,31),Idc_Table,IDC!$AP$46)-SUM($F69:Y69))</f>
        <v>0</v>
      </c>
      <c r="AA69" s="53">
        <f ca="1">IF(AA$55&lt;YEAR(Startconst),0,HLOOKUP(DATE(AA$55,12,31),Idc_Table,IDC!$AP$46)-SUM($F69:Z69))</f>
        <v>0</v>
      </c>
      <c r="AB69" s="53">
        <f ca="1">IF(AB$55&lt;YEAR(Startconst),0,HLOOKUP(DATE(AB$55,12,31),Idc_Table,IDC!$AP$46)-SUM($F69:AA69))</f>
        <v>0</v>
      </c>
      <c r="AC69" s="423">
        <f ca="1">SUM(G69:AB69)</f>
        <v>21492.689030245259</v>
      </c>
    </row>
    <row r="70" spans="1:29">
      <c r="A70" s="137"/>
      <c r="B70" s="8" t="s">
        <v>22</v>
      </c>
      <c r="D70" s="8"/>
      <c r="E70" s="8"/>
      <c r="F70" s="8"/>
      <c r="G70" s="53">
        <f ca="1">IF(G$37&lt;YEAR(Startops1),0,HLOOKUP(G$37,CF_Table,CF!$AB$71))</f>
        <v>0</v>
      </c>
      <c r="H70" s="53">
        <f ca="1">IF(H$37&lt;YEAR(Startops1),0,HLOOKUP(H$37,CF_Table,CF!$AB$71))</f>
        <v>0</v>
      </c>
      <c r="I70" s="53">
        <f ca="1">IF(I$37&lt;YEAR(Startops1),0,HLOOKUP(I$37,CF_Table,CF!$AB$71))</f>
        <v>0</v>
      </c>
      <c r="J70" s="53">
        <f ca="1">IF(J$37&lt;YEAR(Startops1),0,HLOOKUP(J$37,CF_Table,CF!$AB$71))</f>
        <v>0</v>
      </c>
      <c r="K70" s="53">
        <f ca="1">IF(K$37&lt;YEAR(Startops1),0,HLOOKUP(K$37,CF_Table,CF!$AB$71))</f>
        <v>-962.70776836544337</v>
      </c>
      <c r="L70" s="53">
        <f ca="1">IF(L$37&lt;YEAR(Startops1),0,HLOOKUP(L$37,CF_Table,CF!$AB$71))</f>
        <v>-1091.9272185742943</v>
      </c>
      <c r="M70" s="53">
        <f ca="1">IF(M$37&lt;YEAR(Startops1),0,HLOOKUP(M$37,CF_Table,CF!$AB$71))</f>
        <v>-1238.4911494874289</v>
      </c>
      <c r="N70" s="53">
        <f ca="1">IF(N$37&lt;YEAR(Startops1),0,HLOOKUP(N$37,CF_Table,CF!$AB$71))</f>
        <v>-1404.7276240273789</v>
      </c>
      <c r="O70" s="53">
        <f ca="1">IF(O$37&lt;YEAR(Startops1),0,HLOOKUP(O$37,CF_Table,CF!$AB$71))</f>
        <v>-1593.2771893624531</v>
      </c>
      <c r="P70" s="53">
        <f ca="1">IF(P$37&lt;YEAR(Startops1),0,HLOOKUP(P$37,CF_Table,CF!$AB$71))</f>
        <v>-1807.134820104628</v>
      </c>
      <c r="Q70" s="53">
        <f ca="1">IF(Q$37&lt;YEAR(Startops1),0,HLOOKUP(Q$37,CF_Table,CF!$AB$71))</f>
        <v>-2049.6974913331701</v>
      </c>
      <c r="R70" s="53">
        <f ca="1">IF(R$37&lt;YEAR(Startops1),0,HLOOKUP(R$37,CF_Table,CF!$AB$71))</f>
        <v>-2324.8181371073651</v>
      </c>
      <c r="S70" s="53">
        <f ca="1">IF(S$37&lt;YEAR(Startops1),0,HLOOKUP(S$37,CF_Table,CF!$AB$71))</f>
        <v>-2636.8668515605982</v>
      </c>
      <c r="T70" s="53">
        <f ca="1">IF(T$37&lt;YEAR(Startops1),0,HLOOKUP(T$37,CF_Table,CF!$AB$71))</f>
        <v>-2990.8003047113179</v>
      </c>
      <c r="U70" s="53">
        <f ca="1">IF(U$37&lt;YEAR(Startops1),0,HLOOKUP(U$37,CF_Table,CF!$AB$71))</f>
        <v>-3392.2404756111864</v>
      </c>
      <c r="V70" s="53">
        <f ca="1">IF(V$37&lt;YEAR(Startops1),0,HLOOKUP(V$37,CF_Table,CF!$AB$71))</f>
        <v>0</v>
      </c>
      <c r="W70" s="53">
        <f ca="1">IF(W$37&lt;YEAR(Startops1),0,HLOOKUP(W$37,CF_Table,CF!$AB$71))</f>
        <v>0</v>
      </c>
      <c r="X70" s="53">
        <f ca="1">IF(X$37&lt;YEAR(Startops1),0,HLOOKUP(X$37,CF_Table,CF!$AB$71))</f>
        <v>0</v>
      </c>
      <c r="Y70" s="53">
        <f ca="1">IF(Y$37&lt;YEAR(Startops1),0,HLOOKUP(Y$37,CF_Table,CF!$AB$71))</f>
        <v>0</v>
      </c>
      <c r="Z70" s="53">
        <f ca="1">IF(Z$37&lt;YEAR(Startops1),0,HLOOKUP(Z$37,CF_Table,CF!$AB$71))</f>
        <v>0</v>
      </c>
      <c r="AA70" s="53">
        <f ca="1">IF(AA$37&lt;YEAR(Startops1),0,HLOOKUP(AA$37,CF_Table,CF!$AB$71))</f>
        <v>0</v>
      </c>
      <c r="AB70" s="53">
        <f ca="1">IF(AB$37&lt;YEAR(Startops1),0,HLOOKUP(AB$37,CF_Table,CF!$AB$71))</f>
        <v>0</v>
      </c>
      <c r="AC70" s="423">
        <f ca="1">SUM(G70:AB70)</f>
        <v>-21492.689030245267</v>
      </c>
    </row>
    <row r="71" spans="1:29">
      <c r="A71" s="137"/>
      <c r="B71" s="8" t="s">
        <v>421</v>
      </c>
      <c r="D71" s="8"/>
      <c r="E71" s="8"/>
      <c r="F71" s="8"/>
      <c r="G71" s="53">
        <f ca="1">IF(G$55&lt;YEAR(Startconst),0,-HLOOKUP(DATE(G$55,12,31),Idc_Table,IDC!$AP$20)-IF(G$55&gt;=YEAR(Startops1),SUM(Depr!$D$13,Depr!$D$15),0)-SUM($G78:G78)-SUM($F71:F71))</f>
        <v>-6637.9700856495137</v>
      </c>
      <c r="H71" s="53">
        <f ca="1">IF(H$55&lt;YEAR(Startconst),0,-HLOOKUP(DATE(H$55,12,31),Idc_Table,IDC!$AP$20)-IF(H$55&gt;=YEAR(Startops1),SUM(Depr!$D$13,Depr!$D$15),0)-SUM($G78:H78)-SUM($F71:G71))</f>
        <v>-49710.760846314406</v>
      </c>
      <c r="I71" s="53">
        <f ca="1">IF(I$55&lt;YEAR(Startconst),0,-HLOOKUP(DATE(I$55,12,31),Idc_Table,IDC!$AP$20)-IF(I$55&gt;=YEAR(Startops1),SUM(Depr!$D$13,Depr!$D$15),0)-SUM($G78:I78)-SUM($F71:H71))</f>
        <v>-68296.02873613956</v>
      </c>
      <c r="J71" s="53">
        <f ca="1">IF(J$55&lt;YEAR(Startconst),0,-HLOOKUP(DATE(J$55,12,31),Idc_Table,IDC!$AP$20)-IF(J$55&gt;=YEAR(Startops1),SUM(Depr!$D$13,Depr!$D$15),0)-SUM($G78:J78)-SUM($F71:I71))</f>
        <v>-1767.2449755889684</v>
      </c>
      <c r="K71" s="53">
        <f ca="1">IF(K$55&lt;YEAR(Startconst),0,-HLOOKUP(DATE(K$55,12,31),Idc_Table,IDC!$AP$20)-IF(K$55&gt;=YEAR(Startops1),SUM(Depr!$D$13,Depr!$D$15),0)-SUM($G78:K78)-SUM($F71:J71))</f>
        <v>0</v>
      </c>
      <c r="L71" s="53">
        <f ca="1">IF(L$55&lt;YEAR(Startconst),0,-HLOOKUP(DATE(L$55,12,31),Idc_Table,IDC!$AP$20)-IF(L$55&gt;=YEAR(Startops1),SUM(Depr!$D$13,Depr!$D$15),0)-SUM($G78:L78)-SUM($F71:K71))</f>
        <v>0</v>
      </c>
      <c r="M71" s="53">
        <f ca="1">IF(M$55&lt;YEAR(Startconst),0,-HLOOKUP(DATE(M$55,12,31),Idc_Table,IDC!$AP$20)-IF(M$55&gt;=YEAR(Startops1),SUM(Depr!$D$13,Depr!$D$15),0)-SUM($G78:M78)-SUM($F71:L71))</f>
        <v>0</v>
      </c>
      <c r="N71" s="53">
        <f ca="1">IF(N$55&lt;YEAR(Startconst),0,-HLOOKUP(DATE(N$55,12,31),Idc_Table,IDC!$AP$20)-IF(N$55&gt;=YEAR(Startops1),SUM(Depr!$D$13,Depr!$D$15),0)-SUM($G78:N78)-SUM($F71:M71))</f>
        <v>0</v>
      </c>
      <c r="O71" s="53">
        <f ca="1">IF(O$55&lt;YEAR(Startconst),0,-HLOOKUP(DATE(O$55,12,31),Idc_Table,IDC!$AP$20)-IF(O$55&gt;=YEAR(Startops1),SUM(Depr!$D$13,Depr!$D$15),0)-SUM($G78:O78)-SUM($F71:N71))</f>
        <v>0</v>
      </c>
      <c r="P71" s="53">
        <f ca="1">IF(P$55&lt;YEAR(Startconst),0,-HLOOKUP(DATE(P$55,12,31),Idc_Table,IDC!$AP$20)-IF(P$55&gt;=YEAR(Startops1),SUM(Depr!$D$13,Depr!$D$15),0)-SUM($G78:P78)-SUM($F71:O71))</f>
        <v>0</v>
      </c>
      <c r="Q71" s="53">
        <f ca="1">IF(Q$55&lt;YEAR(Startconst),0,-HLOOKUP(DATE(Q$55,12,31),Idc_Table,IDC!$AP$20)-IF(Q$55&gt;=YEAR(Startops1),SUM(Depr!$D$13,Depr!$D$15),0)-SUM($G78:Q78)-SUM($F71:P71))</f>
        <v>0</v>
      </c>
      <c r="R71" s="53">
        <f ca="1">IF(R$55&lt;YEAR(Startconst),0,-HLOOKUP(DATE(R$55,12,31),Idc_Table,IDC!$AP$20)-IF(R$55&gt;=YEAR(Startops1),SUM(Depr!$D$13,Depr!$D$15),0)-SUM($G78:R78)-SUM($F71:Q71))</f>
        <v>0</v>
      </c>
      <c r="S71" s="53">
        <f ca="1">IF(S$55&lt;YEAR(Startconst),0,-HLOOKUP(DATE(S$55,12,31),Idc_Table,IDC!$AP$20)-IF(S$55&gt;=YEAR(Startops1),SUM(Depr!$D$13,Depr!$D$15),0)-SUM($G78:S78)-SUM($F71:R71))</f>
        <v>0</v>
      </c>
      <c r="T71" s="53">
        <f ca="1">IF(T$55&lt;YEAR(Startconst),0,-HLOOKUP(DATE(T$55,12,31),Idc_Table,IDC!$AP$20)-IF(T$55&gt;=YEAR(Startops1),SUM(Depr!$D$13,Depr!$D$15),0)-SUM($G78:T78)-SUM($F71:S71))</f>
        <v>0</v>
      </c>
      <c r="U71" s="53">
        <f ca="1">IF(U$55&lt;YEAR(Startconst),0,-HLOOKUP(DATE(U$55,12,31),Idc_Table,IDC!$AP$20)-IF(U$55&gt;=YEAR(Startops1),SUM(Depr!$D$13,Depr!$D$15),0)-SUM($G78:U78)-SUM($F71:T71))</f>
        <v>0</v>
      </c>
      <c r="V71" s="53">
        <f ca="1">IF(V$55&lt;YEAR(Startconst),0,-HLOOKUP(DATE(V$55,12,31),Idc_Table,IDC!$AP$20)-IF(V$55&gt;=YEAR(Startops1),SUM(Depr!$D$13,Depr!$D$15),0)-SUM($G78:V78)-SUM($F71:U71))</f>
        <v>0</v>
      </c>
      <c r="W71" s="53">
        <f ca="1">IF(W$55&lt;YEAR(Startconst),0,-HLOOKUP(DATE(W$55,12,31),Idc_Table,IDC!$AP$20)-IF(W$55&gt;=YEAR(Startops1),SUM(Depr!$D$13,Depr!$D$15),0)-SUM($G78:W78)-SUM($F71:V71))</f>
        <v>0</v>
      </c>
      <c r="X71" s="53">
        <f ca="1">IF(X$55&lt;YEAR(Startconst),0,-HLOOKUP(DATE(X$55,12,31),Idc_Table,IDC!$AP$20)-IF(X$55&gt;=YEAR(Startops1),SUM(Depr!$D$13,Depr!$D$15),0)-SUM($G78:X78)-SUM($F71:W71))</f>
        <v>0</v>
      </c>
      <c r="Y71" s="53">
        <f ca="1">IF(Y$55&lt;YEAR(Startconst),0,-HLOOKUP(DATE(Y$55,12,31),Idc_Table,IDC!$AP$20)-IF(Y$55&gt;=YEAR(Startops1),SUM(Depr!$D$13,Depr!$D$15),0)-SUM($G78:Y78)-SUM($F71:X71))</f>
        <v>0</v>
      </c>
      <c r="Z71" s="53">
        <f ca="1">IF(Z$55&lt;YEAR(Startconst),0,-HLOOKUP(DATE(Z$55,12,31),Idc_Table,IDC!$AP$20)-IF(Z$55&gt;=YEAR(Startops1),SUM(Depr!$D$13,Depr!$D$15),0)-SUM($G78:Z78)-SUM($F71:Y71))</f>
        <v>0</v>
      </c>
      <c r="AA71" s="53">
        <f ca="1">IF(AA$55&lt;YEAR(Startconst),0,-HLOOKUP(DATE(AA$55,12,31),Idc_Table,IDC!$AP$20)-IF(AA$55&gt;=YEAR(Startops1),SUM(Depr!$D$13,Depr!$D$15),0)-SUM($G78:AA78)-SUM($F71:Z71))</f>
        <v>0</v>
      </c>
      <c r="AB71" s="53">
        <f ca="1">IF(AB$55&lt;YEAR(Startconst),0,-HLOOKUP(DATE(AB$55,12,31),Idc_Table,IDC!$AP$20)-IF(AB$55&gt;=YEAR(Startops1),SUM(Depr!$D$13,Depr!$D$15),0)-SUM($G78:AB78)-SUM($F71:AA71))</f>
        <v>0</v>
      </c>
      <c r="AC71" s="423">
        <f t="shared" ca="1" si="19"/>
        <v>-126412.00464369245</v>
      </c>
    </row>
    <row r="72" spans="1:29">
      <c r="A72" s="137"/>
      <c r="B72" s="8" t="s">
        <v>427</v>
      </c>
      <c r="D72" s="8"/>
      <c r="E72" s="8"/>
      <c r="F72" s="8"/>
      <c r="G72" s="53">
        <f>IF(G$55&gt;=YEAR(Startops1),Depr!$F13-SUM($F72:F72),0)</f>
        <v>0</v>
      </c>
      <c r="H72" s="53">
        <f>IF(H$55&gt;=YEAR(Startops1),Depr!$F13-SUM($F72:G72),0)</f>
        <v>0</v>
      </c>
      <c r="I72" s="53">
        <f>IF(I$55&gt;=YEAR(Startops1),Depr!$F13-SUM($F72:H72),0)</f>
        <v>0</v>
      </c>
      <c r="J72" s="53">
        <f>IF(J$55&gt;=YEAR(Startops1),Depr!$F13-SUM($F72:I72),0)</f>
        <v>-146</v>
      </c>
      <c r="K72" s="53">
        <f>IF(K$55&gt;=YEAR(Startops1),Depr!$F13-SUM($F72:J72),0)</f>
        <v>0</v>
      </c>
      <c r="L72" s="53">
        <f>IF(L$55&gt;=YEAR(Startops1),Depr!$F13-SUM($F72:K72),0)</f>
        <v>0</v>
      </c>
      <c r="M72" s="53">
        <f>IF(M$55&gt;=YEAR(Startops1),Depr!$F13-SUM($F72:L72),0)</f>
        <v>0</v>
      </c>
      <c r="N72" s="53">
        <f>IF(N$55&gt;=YEAR(Startops1),Depr!$F13-SUM($F72:M72),0)</f>
        <v>0</v>
      </c>
      <c r="O72" s="53">
        <f>IF(O$55&gt;=YEAR(Startops1),Depr!$F13-SUM($F72:N72),0)</f>
        <v>0</v>
      </c>
      <c r="P72" s="53">
        <f>IF(P$55&gt;=YEAR(Startops1),Depr!$F13-SUM($F72:O72),0)</f>
        <v>0</v>
      </c>
      <c r="Q72" s="53">
        <f>IF(Q$55&gt;=YEAR(Startops1),Depr!$F13-SUM($F72:P72),0)</f>
        <v>0</v>
      </c>
      <c r="R72" s="53">
        <f>IF(R$55&gt;=YEAR(Startops1),Depr!$F13-SUM($F72:Q72),0)</f>
        <v>0</v>
      </c>
      <c r="S72" s="53">
        <f>IF(S$55&gt;=YEAR(Startops1),Depr!$F13-SUM($F72:R72),0)</f>
        <v>0</v>
      </c>
      <c r="T72" s="53">
        <f>IF(T$55&gt;=YEAR(Startops1),Depr!$F13-SUM($F72:S72),0)</f>
        <v>0</v>
      </c>
      <c r="U72" s="53">
        <f>IF(U$55&gt;=YEAR(Startops1),Depr!$F13-SUM($F72:T72),0)</f>
        <v>0</v>
      </c>
      <c r="V72" s="53">
        <f>IF(V$55&gt;=YEAR(Startops1),Depr!$F13-SUM($F72:U72),0)</f>
        <v>0</v>
      </c>
      <c r="W72" s="53">
        <f>IF(W$55&gt;=YEAR(Startops1),Depr!$F13-SUM($F72:V72),0)</f>
        <v>0</v>
      </c>
      <c r="X72" s="53">
        <f>IF(X$55&gt;=YEAR(Startops1),Depr!$F13-SUM($F72:W72),0)</f>
        <v>0</v>
      </c>
      <c r="Y72" s="53">
        <f>IF(Y$55&gt;=YEAR(Startops1),Depr!$F13-SUM($F72:X72),0)</f>
        <v>0</v>
      </c>
      <c r="Z72" s="53">
        <f>IF(Z$55&gt;=YEAR(Startops1),Depr!$F13-SUM($F72:Y72),0)</f>
        <v>0</v>
      </c>
      <c r="AA72" s="53">
        <f>IF(AA$55&gt;=YEAR(Startops1),Depr!$F13-SUM($F72:Z72),0)</f>
        <v>0</v>
      </c>
      <c r="AB72" s="53">
        <f>IF(AB$55&gt;=YEAR(Startops1),Depr!$F13-SUM($F72:AA72),0)</f>
        <v>0</v>
      </c>
      <c r="AC72" s="423">
        <f t="shared" si="19"/>
        <v>-146</v>
      </c>
    </row>
    <row r="73" spans="1:29">
      <c r="A73" s="137"/>
      <c r="B73" s="8" t="s">
        <v>418</v>
      </c>
      <c r="D73" s="8"/>
      <c r="E73" s="8"/>
      <c r="F73" s="8"/>
      <c r="G73" s="53">
        <f ca="1">IF(G$37&lt;YEAR(Startops1),0,-HLOOKUP(G$37,Reserve_Table,Trapped!$AC$29))</f>
        <v>0</v>
      </c>
      <c r="H73" s="53">
        <f ca="1">IF(H$37&lt;YEAR(Startops1),0,-HLOOKUP(H$37,Reserve_Table,Trapped!$AC$29))</f>
        <v>0</v>
      </c>
      <c r="I73" s="53">
        <f ca="1">IF(I$37&lt;YEAR(Startops1),0,-HLOOKUP(I$37,Reserve_Table,Trapped!$AC$29))</f>
        <v>0</v>
      </c>
      <c r="J73" s="53">
        <f ca="1">IF(J$37&lt;YEAR(Startops1),0,-HLOOKUP(J$37,Reserve_Table,Trapped!$AC$29))</f>
        <v>-417.21067871119703</v>
      </c>
      <c r="K73" s="53">
        <f ca="1">IF(K$37&lt;YEAR(Startops1),0,-HLOOKUP(K$37,Reserve_Table,Trapped!$AC$29))</f>
        <v>0</v>
      </c>
      <c r="L73" s="53">
        <f ca="1">IF(L$37&lt;YEAR(Startops1),0,-HLOOKUP(L$37,Reserve_Table,Trapped!$AC$29))</f>
        <v>0</v>
      </c>
      <c r="M73" s="53">
        <f ca="1">IF(M$37&lt;YEAR(Startops1),0,-HLOOKUP(M$37,Reserve_Table,Trapped!$AC$29))</f>
        <v>0</v>
      </c>
      <c r="N73" s="53">
        <f ca="1">IF(N$37&lt;YEAR(Startops1),0,-HLOOKUP(N$37,Reserve_Table,Trapped!$AC$29))</f>
        <v>0</v>
      </c>
      <c r="O73" s="53">
        <f ca="1">IF(O$37&lt;YEAR(Startops1),0,-HLOOKUP(O$37,Reserve_Table,Trapped!$AC$29))</f>
        <v>0</v>
      </c>
      <c r="P73" s="53">
        <f ca="1">IF(P$37&lt;YEAR(Startops1),0,-HLOOKUP(P$37,Reserve_Table,Trapped!$AC$29))</f>
        <v>0</v>
      </c>
      <c r="Q73" s="53">
        <f ca="1">IF(Q$37&lt;YEAR(Startops1),0,-HLOOKUP(Q$37,Reserve_Table,Trapped!$AC$29))</f>
        <v>0</v>
      </c>
      <c r="R73" s="53">
        <f ca="1">IF(R$37&lt;YEAR(Startops1),0,-HLOOKUP(R$37,Reserve_Table,Trapped!$AC$29))</f>
        <v>-901.86206944576406</v>
      </c>
      <c r="S73" s="53">
        <f ca="1">IF(S$37&lt;YEAR(Startops1),0,-HLOOKUP(S$37,Reserve_Table,Trapped!$AC$29))</f>
        <v>-1398.8398988310873</v>
      </c>
      <c r="T73" s="53">
        <f ca="1">IF(T$37&lt;YEAR(Startops1),0,-HLOOKUP(T$37,Reserve_Table,Trapped!$AC$29))</f>
        <v>-1038.3791684724856</v>
      </c>
      <c r="U73" s="53">
        <f ca="1">IF(U$37&lt;YEAR(Startops1),0,-HLOOKUP(U$37,Reserve_Table,Trapped!$AC$29))</f>
        <v>-701.71165622429908</v>
      </c>
      <c r="V73" s="53">
        <f ca="1">IF(V$37&lt;YEAR(Startops1),0,-HLOOKUP(V$37,Reserve_Table,Trapped!$AC$29))</f>
        <v>-3964.0773063302913</v>
      </c>
      <c r="W73" s="53">
        <f ca="1">IF(W$37&lt;YEAR(Startops1),0,-HLOOKUP(W$37,Reserve_Table,Trapped!$AC$29))</f>
        <v>-5180.9953205863821</v>
      </c>
      <c r="X73" s="53">
        <f ca="1">IF(X$37&lt;YEAR(Startops1),0,-HLOOKUP(X$37,Reserve_Table,Trapped!$AC$29))</f>
        <v>-7805.1064601013477</v>
      </c>
      <c r="Y73" s="53">
        <f ca="1">IF(Y$37&lt;YEAR(Startops1),0,-HLOOKUP(Y$37,Reserve_Table,Trapped!$AC$29))</f>
        <v>-13040.760896122098</v>
      </c>
      <c r="Z73" s="53">
        <f ca="1">IF(Z$37&lt;YEAR(Startops1),0,-HLOOKUP(Z$37,Reserve_Table,Trapped!$AC$29))</f>
        <v>-9217.1257204268713</v>
      </c>
      <c r="AA73" s="53">
        <f ca="1">IF(AA$37&lt;YEAR(Startops1),0,-HLOOKUP(AA$37,Reserve_Table,Trapped!$AC$29))</f>
        <v>-6320.6002321846227</v>
      </c>
      <c r="AB73" s="53">
        <f ca="1">IF(AB$37&lt;YEAR(Startops1),0,-HLOOKUP(AB$37,Reserve_Table,Trapped!$AC$29))</f>
        <v>0</v>
      </c>
      <c r="AC73" s="423">
        <f t="shared" ca="1" si="19"/>
        <v>-49986.66940743645</v>
      </c>
    </row>
    <row r="74" spans="1:29">
      <c r="A74" s="137"/>
      <c r="B74" s="8" t="s">
        <v>339</v>
      </c>
      <c r="D74" s="8"/>
      <c r="E74" s="8"/>
      <c r="F74" s="8"/>
      <c r="G74" s="53">
        <f ca="1">IF(G$37&lt;YEAR(Startops1),0,-HLOOKUP(G$37,Reserve_Table,Trapped!$AC$30))</f>
        <v>0</v>
      </c>
      <c r="H74" s="53">
        <f ca="1">IF(H$37&lt;YEAR(Startops1),0,-HLOOKUP(H$37,Reserve_Table,Trapped!$AC$30))</f>
        <v>0</v>
      </c>
      <c r="I74" s="53">
        <f ca="1">IF(I$37&lt;YEAR(Startops1),0,-HLOOKUP(I$37,Reserve_Table,Trapped!$AC$30))</f>
        <v>0</v>
      </c>
      <c r="J74" s="53">
        <f ca="1">IF(J$37&lt;YEAR(Startops1),0,-HLOOKUP(J$37,Reserve_Table,Trapped!$AC$30))</f>
        <v>0</v>
      </c>
      <c r="K74" s="53">
        <f ca="1">IF(K$37&lt;YEAR(Startops1),0,-HLOOKUP(K$37,Reserve_Table,Trapped!$AC$30))</f>
        <v>5093.3048297904616</v>
      </c>
      <c r="L74" s="53">
        <f ca="1">IF(L$37&lt;YEAR(Startops1),0,-HLOOKUP(L$37,Reserve_Table,Trapped!$AC$30))</f>
        <v>6188.1393775633233</v>
      </c>
      <c r="M74" s="53">
        <f ca="1">IF(M$37&lt;YEAR(Startops1),0,-HLOOKUP(M$37,Reserve_Table,Trapped!$AC$30))</f>
        <v>4949.2006012692982</v>
      </c>
      <c r="N74" s="53">
        <f ca="1">IF(N$37&lt;YEAR(Startops1),0,-HLOOKUP(N$37,Reserve_Table,Trapped!$AC$30))</f>
        <v>5319.402895733514</v>
      </c>
      <c r="O74" s="53">
        <f ca="1">IF(O$37&lt;YEAR(Startops1),0,-HLOOKUP(O$37,Reserve_Table,Trapped!$AC$30))</f>
        <v>5427.6115974941422</v>
      </c>
      <c r="P74" s="53">
        <f ca="1">IF(P$37&lt;YEAR(Startops1),0,-HLOOKUP(P$37,Reserve_Table,Trapped!$AC$30))</f>
        <v>5050.2882462936832</v>
      </c>
      <c r="Q74" s="53">
        <f ca="1">IF(Q$37&lt;YEAR(Startops1),0,-HLOOKUP(Q$37,Reserve_Table,Trapped!$AC$30))</f>
        <v>1793.9053061842424</v>
      </c>
      <c r="R74" s="53">
        <f ca="1">IF(R$37&lt;YEAR(Startops1),0,-HLOOKUP(R$37,Reserve_Table,Trapped!$AC$30))</f>
        <v>0</v>
      </c>
      <c r="S74" s="53">
        <f ca="1">IF(S$37&lt;YEAR(Startops1),0,-HLOOKUP(S$37,Reserve_Table,Trapped!$AC$30))</f>
        <v>0</v>
      </c>
      <c r="T74" s="53">
        <f ca="1">IF(T$37&lt;YEAR(Startops1),0,-HLOOKUP(T$37,Reserve_Table,Trapped!$AC$30))</f>
        <v>0</v>
      </c>
      <c r="U74" s="53">
        <f ca="1">IF(U$37&lt;YEAR(Startops1),0,-HLOOKUP(U$37,Reserve_Table,Trapped!$AC$30))</f>
        <v>0</v>
      </c>
      <c r="V74" s="53">
        <f ca="1">IF(V$37&lt;YEAR(Startops1),0,-HLOOKUP(V$37,Reserve_Table,Trapped!$AC$30))</f>
        <v>0</v>
      </c>
      <c r="W74" s="53">
        <f ca="1">IF(W$37&lt;YEAR(Startops1),0,-HLOOKUP(W$37,Reserve_Table,Trapped!$AC$30))</f>
        <v>0</v>
      </c>
      <c r="X74" s="53">
        <f ca="1">IF(X$37&lt;YEAR(Startops1),0,-HLOOKUP(X$37,Reserve_Table,Trapped!$AC$30))</f>
        <v>0</v>
      </c>
      <c r="Y74" s="53">
        <f ca="1">IF(Y$37&lt;YEAR(Startops1),0,-HLOOKUP(Y$37,Reserve_Table,Trapped!$AC$30))</f>
        <v>0</v>
      </c>
      <c r="Z74" s="53">
        <f ca="1">IF(Z$37&lt;YEAR(Startops1),0,-HLOOKUP(Z$37,Reserve_Table,Trapped!$AC$30))</f>
        <v>0</v>
      </c>
      <c r="AA74" s="53">
        <f ca="1">IF(AA$37&lt;YEAR(Startops1),0,-HLOOKUP(AA$37,Reserve_Table,Trapped!$AC$30))</f>
        <v>0</v>
      </c>
      <c r="AB74" s="53">
        <f ca="1">IF(AB$37&lt;YEAR(Startops1),0,-HLOOKUP(AB$37,Reserve_Table,Trapped!$AC$30))</f>
        <v>16164.816553107781</v>
      </c>
      <c r="AC74" s="423">
        <f t="shared" ca="1" si="19"/>
        <v>49986.66940743645</v>
      </c>
    </row>
    <row r="75" spans="1:29">
      <c r="A75" s="137"/>
      <c r="B75" s="8" t="s">
        <v>419</v>
      </c>
      <c r="D75" s="8"/>
      <c r="E75" s="8"/>
      <c r="F75" s="8"/>
      <c r="G75" s="53">
        <f ca="1">IF(G$37&lt;YEAR(Startops1),0,HLOOKUP(G$37,CF_Table,CF!$AB$37))</f>
        <v>0</v>
      </c>
      <c r="H75" s="53">
        <f ca="1">IF(H$37&lt;YEAR(Startops1),0,HLOOKUP(H$37,CF_Table,CF!$AB$37))</f>
        <v>0</v>
      </c>
      <c r="I75" s="53">
        <f ca="1">IF(I$37&lt;YEAR(Startops1),0,HLOOKUP(I$37,CF_Table,CF!$AB$37))</f>
        <v>0</v>
      </c>
      <c r="J75" s="53">
        <f ca="1">IF(J$37&lt;YEAR(Startops1),0,HLOOKUP(J$37,CF_Table,CF!$AB$37))</f>
        <v>0</v>
      </c>
      <c r="K75" s="53">
        <f ca="1">IF(K$37&lt;YEAR(Startops1),0,HLOOKUP(K$37,CF_Table,CF!$AB$37))</f>
        <v>20.860533935559854</v>
      </c>
      <c r="L75" s="53">
        <f ca="1">IF(L$37&lt;YEAR(Startops1),0,HLOOKUP(L$37,CF_Table,CF!$AB$37))</f>
        <v>20.860533935559854</v>
      </c>
      <c r="M75" s="53">
        <f ca="1">IF(M$37&lt;YEAR(Startops1),0,HLOOKUP(M$37,CF_Table,CF!$AB$37))</f>
        <v>-233.80470755396323</v>
      </c>
      <c r="N75" s="53">
        <f ca="1">IF(N$37&lt;YEAR(Startops1),0,HLOOKUP(N$37,CF_Table,CF!$AB$37))</f>
        <v>-543.21167643212937</v>
      </c>
      <c r="O75" s="53">
        <f ca="1">IF(O$37&lt;YEAR(Startops1),0,HLOOKUP(O$37,CF_Table,CF!$AB$37))</f>
        <v>-790.67170649559432</v>
      </c>
      <c r="P75" s="53">
        <f ca="1">IF(P$37&lt;YEAR(Startops1),0,HLOOKUP(P$37,CF_Table,CF!$AB$37))</f>
        <v>-1056.64185128227</v>
      </c>
      <c r="Q75" s="53">
        <f ca="1">IF(Q$37&lt;YEAR(Startops1),0,HLOOKUP(Q$37,CF_Table,CF!$AB$37))</f>
        <v>-1328.0224311569773</v>
      </c>
      <c r="R75" s="53">
        <f ca="1">IF(R$37&lt;YEAR(Startops1),0,HLOOKUP(R$37,CF_Table,CF!$AB$37))</f>
        <v>-1580.5368434716613</v>
      </c>
      <c r="S75" s="53">
        <f ca="1">IF(S$37&lt;YEAR(Startops1),0,HLOOKUP(S$37,CF_Table,CF!$AB$37))</f>
        <v>-1625.1390053085852</v>
      </c>
      <c r="T75" s="53">
        <f ca="1">IF(T$37&lt;YEAR(Startops1),0,HLOOKUP(T$37,CF_Table,CF!$AB$37))</f>
        <v>-1555.197010367031</v>
      </c>
      <c r="U75" s="53">
        <f ca="1">IF(U$37&lt;YEAR(Startops1),0,HLOOKUP(U$37,CF_Table,CF!$AB$37))</f>
        <v>-1503.2780519434066</v>
      </c>
      <c r="V75" s="53">
        <f ca="1">IF(V$37&lt;YEAR(Startops1),0,HLOOKUP(V$37,CF_Table,CF!$AB$37))</f>
        <v>-1468.1924691321917</v>
      </c>
      <c r="W75" s="53">
        <f ca="1">IF(W$37&lt;YEAR(Startops1),0,HLOOKUP(W$37,CF_Table,CF!$AB$37))</f>
        <v>-1269.9886038156772</v>
      </c>
      <c r="X75" s="53">
        <f ca="1">IF(X$37&lt;YEAR(Startops1),0,HLOOKUP(X$37,CF_Table,CF!$AB$37))</f>
        <v>-1010.9388377863579</v>
      </c>
      <c r="Y75" s="53">
        <f ca="1">IF(Y$37&lt;YEAR(Startops1),0,HLOOKUP(Y$37,CF_Table,CF!$AB$37))</f>
        <v>-620.68351478129057</v>
      </c>
      <c r="Z75" s="53">
        <f ca="1">IF(Z$37&lt;YEAR(Startops1),0,HLOOKUP(Z$37,CF_Table,CF!$AB$37))</f>
        <v>31.354530024814363</v>
      </c>
      <c r="AA75" s="53">
        <f ca="1">IF(AA$37&lt;YEAR(Startops1),0,HLOOKUP(AA$37,CF_Table,CF!$AB$37))</f>
        <v>492.21081604615796</v>
      </c>
      <c r="AB75" s="53">
        <f ca="1">IF(AB$37&lt;YEAR(Startops1),0,HLOOKUP(AB$37,CF_Table,CF!$AB$37))</f>
        <v>269.41360921846302</v>
      </c>
      <c r="AC75" s="423">
        <f t="shared" ca="1" si="19"/>
        <v>-13751.60668636658</v>
      </c>
    </row>
    <row r="76" spans="1:29">
      <c r="A76" s="137"/>
      <c r="B76" s="8" t="s">
        <v>19</v>
      </c>
      <c r="D76" s="8"/>
      <c r="E76" s="8"/>
      <c r="F76" s="8"/>
      <c r="G76" s="53">
        <f ca="1">G44</f>
        <v>0</v>
      </c>
      <c r="H76" s="53">
        <f t="shared" ref="H76:AB77" ca="1" si="20">H44</f>
        <v>0</v>
      </c>
      <c r="I76" s="53">
        <f t="shared" ca="1" si="20"/>
        <v>0</v>
      </c>
      <c r="J76" s="53">
        <f t="shared" ca="1" si="20"/>
        <v>-3484.300065346657</v>
      </c>
      <c r="K76" s="53">
        <f t="shared" ca="1" si="20"/>
        <v>-8330.9644427867697</v>
      </c>
      <c r="L76" s="53">
        <f t="shared" ca="1" si="20"/>
        <v>-8183.736836797003</v>
      </c>
      <c r="M76" s="53">
        <f t="shared" ca="1" si="20"/>
        <v>-7874.9282995768517</v>
      </c>
      <c r="N76" s="53">
        <f t="shared" ca="1" si="20"/>
        <v>-7246.8861993410301</v>
      </c>
      <c r="O76" s="53">
        <f t="shared" ca="1" si="20"/>
        <v>-6469.5707112199325</v>
      </c>
      <c r="P76" s="53">
        <f t="shared" ca="1" si="20"/>
        <v>-5579.1548429776813</v>
      </c>
      <c r="Q76" s="53">
        <f t="shared" ca="1" si="20"/>
        <v>-4657.3802741473091</v>
      </c>
      <c r="R76" s="53">
        <f t="shared" ca="1" si="20"/>
        <v>-4069.2622795745342</v>
      </c>
      <c r="S76" s="53">
        <f t="shared" ca="1" si="20"/>
        <v>-3592.3631430876248</v>
      </c>
      <c r="T76" s="53">
        <f t="shared" ca="1" si="20"/>
        <v>-3115.464006600715</v>
      </c>
      <c r="U76" s="53">
        <f t="shared" ca="1" si="20"/>
        <v>-2471.7365829850069</v>
      </c>
      <c r="V76" s="53">
        <f t="shared" ca="1" si="20"/>
        <v>-1772.3997303263664</v>
      </c>
      <c r="W76" s="53">
        <f t="shared" ca="1" si="20"/>
        <v>-1073.0628776677256</v>
      </c>
      <c r="X76" s="53">
        <f t="shared" ca="1" si="20"/>
        <v>-326.68797412690321</v>
      </c>
      <c r="Y76" s="53">
        <f t="shared" ca="1" si="20"/>
        <v>0</v>
      </c>
      <c r="Z76" s="53">
        <f t="shared" ca="1" si="20"/>
        <v>0</v>
      </c>
      <c r="AA76" s="53">
        <f t="shared" ca="1" si="20"/>
        <v>0</v>
      </c>
      <c r="AB76" s="53">
        <f t="shared" ca="1" si="20"/>
        <v>0</v>
      </c>
      <c r="AC76" s="423">
        <f t="shared" ca="1" si="19"/>
        <v>-68247.898266562115</v>
      </c>
    </row>
    <row r="77" spans="1:29">
      <c r="A77" s="137"/>
      <c r="B77" s="8" t="s">
        <v>20</v>
      </c>
      <c r="D77" s="8"/>
      <c r="E77" s="8"/>
      <c r="F77" s="8"/>
      <c r="G77" s="53">
        <f ca="1">G45</f>
        <v>0</v>
      </c>
      <c r="H77" s="53">
        <f t="shared" ca="1" si="20"/>
        <v>0</v>
      </c>
      <c r="I77" s="53">
        <f t="shared" ca="1" si="20"/>
        <v>0</v>
      </c>
      <c r="J77" s="53">
        <f t="shared" ca="1" si="20"/>
        <v>-1164.1873224716187</v>
      </c>
      <c r="K77" s="53">
        <f t="shared" ca="1" si="20"/>
        <v>-2763.7464238380571</v>
      </c>
      <c r="L77" s="53">
        <f t="shared" ca="1" si="20"/>
        <v>-2634.5269736292057</v>
      </c>
      <c r="M77" s="53">
        <f t="shared" ca="1" si="20"/>
        <v>-2487.963042716071</v>
      </c>
      <c r="N77" s="53">
        <f t="shared" ca="1" si="20"/>
        <v>-2321.7265681761205</v>
      </c>
      <c r="O77" s="53">
        <f t="shared" ca="1" si="20"/>
        <v>-2133.1770028410456</v>
      </c>
      <c r="P77" s="53">
        <f t="shared" ca="1" si="20"/>
        <v>-1919.3193720988706</v>
      </c>
      <c r="Q77" s="53">
        <f t="shared" ca="1" si="20"/>
        <v>-1676.756700870327</v>
      </c>
      <c r="R77" s="53">
        <f t="shared" ca="1" si="20"/>
        <v>-1401.6360550961322</v>
      </c>
      <c r="S77" s="53">
        <f t="shared" ca="1" si="20"/>
        <v>-1089.5873406428959</v>
      </c>
      <c r="T77" s="53">
        <f t="shared" ca="1" si="20"/>
        <v>-735.65388749217459</v>
      </c>
      <c r="U77" s="53">
        <f t="shared" ca="1" si="20"/>
        <v>-334.21371659229811</v>
      </c>
      <c r="V77" s="53">
        <f t="shared" ca="1" si="20"/>
        <v>0</v>
      </c>
      <c r="W77" s="53">
        <f t="shared" ca="1" si="20"/>
        <v>0</v>
      </c>
      <c r="X77" s="53">
        <f t="shared" ca="1" si="20"/>
        <v>0</v>
      </c>
      <c r="Y77" s="53">
        <f t="shared" ca="1" si="20"/>
        <v>0</v>
      </c>
      <c r="Z77" s="53">
        <f t="shared" ca="1" si="20"/>
        <v>0</v>
      </c>
      <c r="AA77" s="53">
        <f t="shared" ca="1" si="20"/>
        <v>0</v>
      </c>
      <c r="AB77" s="53">
        <f t="shared" ca="1" si="20"/>
        <v>0</v>
      </c>
      <c r="AC77" s="423">
        <f ca="1">SUM(G77:AB77)</f>
        <v>-20662.494406464815</v>
      </c>
    </row>
    <row r="78" spans="1:29">
      <c r="A78" s="137"/>
      <c r="B78" s="8" t="s">
        <v>426</v>
      </c>
      <c r="D78" s="8"/>
      <c r="E78" s="8"/>
      <c r="F78" s="8"/>
      <c r="G78" s="53">
        <f ca="1">G46</f>
        <v>0</v>
      </c>
      <c r="H78" s="53">
        <f t="shared" ref="H78:AB78" ca="1" si="21">H46</f>
        <v>0</v>
      </c>
      <c r="I78" s="53">
        <f t="shared" ca="1" si="21"/>
        <v>0</v>
      </c>
      <c r="J78" s="53">
        <f t="shared" ca="1" si="21"/>
        <v>0</v>
      </c>
      <c r="K78" s="53">
        <f t="shared" ca="1" si="21"/>
        <v>0</v>
      </c>
      <c r="L78" s="53">
        <f t="shared" ca="1" si="21"/>
        <v>0</v>
      </c>
      <c r="M78" s="53">
        <f t="shared" ca="1" si="21"/>
        <v>0</v>
      </c>
      <c r="N78" s="53">
        <f t="shared" ca="1" si="21"/>
        <v>0</v>
      </c>
      <c r="O78" s="53">
        <f t="shared" ca="1" si="21"/>
        <v>0</v>
      </c>
      <c r="P78" s="53">
        <f t="shared" ca="1" si="21"/>
        <v>0</v>
      </c>
      <c r="Q78" s="53">
        <f t="shared" ca="1" si="21"/>
        <v>0</v>
      </c>
      <c r="R78" s="53">
        <f t="shared" ca="1" si="21"/>
        <v>0</v>
      </c>
      <c r="S78" s="53">
        <f t="shared" ca="1" si="21"/>
        <v>0</v>
      </c>
      <c r="T78" s="53">
        <f t="shared" ca="1" si="21"/>
        <v>0</v>
      </c>
      <c r="U78" s="53">
        <f t="shared" ca="1" si="21"/>
        <v>0</v>
      </c>
      <c r="V78" s="53">
        <f t="shared" ca="1" si="21"/>
        <v>0</v>
      </c>
      <c r="W78" s="53">
        <f t="shared" ca="1" si="21"/>
        <v>0</v>
      </c>
      <c r="X78" s="53">
        <f t="shared" ca="1" si="21"/>
        <v>0</v>
      </c>
      <c r="Y78" s="53">
        <f t="shared" ca="1" si="21"/>
        <v>0</v>
      </c>
      <c r="Z78" s="53">
        <f t="shared" ca="1" si="21"/>
        <v>0</v>
      </c>
      <c r="AA78" s="53">
        <f t="shared" ca="1" si="21"/>
        <v>0</v>
      </c>
      <c r="AB78" s="53">
        <f t="shared" ca="1" si="21"/>
        <v>0</v>
      </c>
      <c r="AC78" s="423">
        <f t="shared" ca="1" si="19"/>
        <v>0</v>
      </c>
    </row>
    <row r="79" spans="1:29">
      <c r="A79" s="137"/>
      <c r="B79" s="8" t="s">
        <v>742</v>
      </c>
      <c r="D79" s="8"/>
      <c r="E79" s="8"/>
      <c r="F79" s="8"/>
      <c r="G79" s="53">
        <f t="shared" ref="G79:AB79" ca="1" si="22">G50</f>
        <v>0</v>
      </c>
      <c r="H79" s="53">
        <f t="shared" ca="1" si="22"/>
        <v>0</v>
      </c>
      <c r="I79" s="53">
        <f t="shared" ca="1" si="22"/>
        <v>0</v>
      </c>
      <c r="J79" s="53">
        <f t="shared" ca="1" si="22"/>
        <v>0</v>
      </c>
      <c r="K79" s="53">
        <f t="shared" ca="1" si="22"/>
        <v>0</v>
      </c>
      <c r="L79" s="53">
        <f t="shared" ca="1" si="22"/>
        <v>0</v>
      </c>
      <c r="M79" s="53">
        <f t="shared" ca="1" si="22"/>
        <v>0</v>
      </c>
      <c r="N79" s="53">
        <f t="shared" ca="1" si="22"/>
        <v>0</v>
      </c>
      <c r="O79" s="53">
        <f t="shared" ca="1" si="22"/>
        <v>0</v>
      </c>
      <c r="P79" s="53">
        <f t="shared" ca="1" si="22"/>
        <v>0</v>
      </c>
      <c r="Q79" s="53">
        <f t="shared" ca="1" si="22"/>
        <v>602.22498810277398</v>
      </c>
      <c r="R79" s="53">
        <f t="shared" ca="1" si="22"/>
        <v>578.46080777080135</v>
      </c>
      <c r="S79" s="53">
        <f t="shared" ca="1" si="22"/>
        <v>464.09457240023346</v>
      </c>
      <c r="T79" s="53">
        <f t="shared" ca="1" si="22"/>
        <v>260.19576596384729</v>
      </c>
      <c r="U79" s="53">
        <f t="shared" ca="1" si="22"/>
        <v>-33.472970602284704</v>
      </c>
      <c r="V79" s="53">
        <f t="shared" ca="1" si="22"/>
        <v>-442.64668258634765</v>
      </c>
      <c r="W79" s="53">
        <f t="shared" ca="1" si="22"/>
        <v>-828.16936894189689</v>
      </c>
      <c r="X79" s="53">
        <f t="shared" ca="1" si="22"/>
        <v>-1370.6401201671288</v>
      </c>
      <c r="Y79" s="53">
        <f t="shared" ca="1" si="22"/>
        <v>-1995.8237147234718</v>
      </c>
      <c r="Z79" s="53">
        <f t="shared" ca="1" si="22"/>
        <v>-2666.4514429082806</v>
      </c>
      <c r="AA79" s="53">
        <f t="shared" ca="1" si="22"/>
        <v>-2913.0512827231705</v>
      </c>
      <c r="AB79" s="53">
        <f t="shared" ca="1" si="22"/>
        <v>-971.01709424105672</v>
      </c>
      <c r="AC79" s="423">
        <f ca="1">SUM(G79:AB79)</f>
        <v>-9316.2965426559804</v>
      </c>
    </row>
    <row r="80" spans="1:29">
      <c r="A80" s="137"/>
      <c r="B80" s="8" t="s">
        <v>1085</v>
      </c>
      <c r="D80" s="8"/>
      <c r="E80" s="8"/>
      <c r="F80" s="8"/>
      <c r="G80" s="53">
        <f ca="1">IF(G$37&lt;YEAR(Startops1),0,HLOOKUP(G$37,CF_Table,CF!$AB$39))</f>
        <v>0</v>
      </c>
      <c r="H80" s="53">
        <f ca="1">IF(H$37&lt;YEAR(Startops1),0,HLOOKUP(H$37,CF_Table,CF!$AB$39))</f>
        <v>0</v>
      </c>
      <c r="I80" s="53">
        <f ca="1">IF(I$37&lt;YEAR(Startops1),0,HLOOKUP(I$37,CF_Table,CF!$AB$39))</f>
        <v>0</v>
      </c>
      <c r="J80" s="53">
        <f ca="1">IF(J$37&lt;YEAR(Startops1),0,HLOOKUP(J$37,CF_Table,CF!$AB$39))</f>
        <v>-1628.7915302743452</v>
      </c>
      <c r="K80" s="53">
        <f ca="1">IF(K$37&lt;YEAR(Startops1),0,HLOOKUP(K$37,CF_Table,CF!$AB$39))</f>
        <v>-3902.0996726584285</v>
      </c>
      <c r="L80" s="53">
        <f ca="1">IF(L$37&lt;YEAR(Startops1),0,HLOOKUP(L$37,CF_Table,CF!$AB$39))</f>
        <v>-3818.0348193836689</v>
      </c>
      <c r="M80" s="53">
        <f ca="1">IF(M$37&lt;YEAR(Startops1),0,HLOOKUP(M$37,CF_Table,CF!$AB$39))</f>
        <v>-5</v>
      </c>
      <c r="N80" s="53">
        <f ca="1">IF(N$37&lt;YEAR(Startops1),0,HLOOKUP(N$37,CF_Table,CF!$AB$39))</f>
        <v>-5</v>
      </c>
      <c r="O80" s="53">
        <f ca="1">IF(O$37&lt;YEAR(Startops1),0,HLOOKUP(O$37,CF_Table,CF!$AB$39))</f>
        <v>-5</v>
      </c>
      <c r="P80" s="53">
        <f ca="1">IF(P$37&lt;YEAR(Startops1),0,HLOOKUP(P$37,CF_Table,CF!$AB$39))</f>
        <v>-5</v>
      </c>
      <c r="Q80" s="53">
        <f ca="1">IF(Q$37&lt;YEAR(Startops1),0,HLOOKUP(Q$37,CF_Table,CF!$AB$39))</f>
        <v>-5</v>
      </c>
      <c r="R80" s="53">
        <f ca="1">IF(R$37&lt;YEAR(Startops1),0,HLOOKUP(R$37,CF_Table,CF!$AB$39))</f>
        <v>-5</v>
      </c>
      <c r="S80" s="53">
        <f ca="1">IF(S$37&lt;YEAR(Startops1),0,HLOOKUP(S$37,CF_Table,CF!$AB$39))</f>
        <v>-5</v>
      </c>
      <c r="T80" s="53">
        <f ca="1">IF(T$37&lt;YEAR(Startops1),0,HLOOKUP(T$37,CF_Table,CF!$AB$39))</f>
        <v>-5</v>
      </c>
      <c r="U80" s="53">
        <f ca="1">IF(U$37&lt;YEAR(Startops1),0,HLOOKUP(U$37,CF_Table,CF!$AB$39))</f>
        <v>-5</v>
      </c>
      <c r="V80" s="53">
        <f ca="1">IF(V$37&lt;YEAR(Startops1),0,HLOOKUP(V$37,CF_Table,CF!$AB$39))</f>
        <v>-5</v>
      </c>
      <c r="W80" s="53">
        <f ca="1">IF(W$37&lt;YEAR(Startops1),0,HLOOKUP(W$37,CF_Table,CF!$AB$39))</f>
        <v>-5</v>
      </c>
      <c r="X80" s="53">
        <f ca="1">IF(X$37&lt;YEAR(Startops1),0,HLOOKUP(X$37,CF_Table,CF!$AB$39))</f>
        <v>-5</v>
      </c>
      <c r="Y80" s="53">
        <f ca="1">IF(Y$37&lt;YEAR(Startops1),0,HLOOKUP(Y$37,CF_Table,CF!$AB$39))</f>
        <v>0</v>
      </c>
      <c r="Z80" s="53">
        <f ca="1">IF(Z$37&lt;YEAR(Startops1),0,HLOOKUP(Z$37,CF_Table,CF!$AB$39))</f>
        <v>0</v>
      </c>
      <c r="AA80" s="53">
        <f ca="1">IF(AA$37&lt;YEAR(Startops1),0,HLOOKUP(AA$37,CF_Table,CF!$AB$39))</f>
        <v>0</v>
      </c>
      <c r="AB80" s="53">
        <f ca="1">IF(AB$37&lt;YEAR(Startops1),0,HLOOKUP(AB$37,CF_Table,CF!$AB$39))</f>
        <v>0</v>
      </c>
      <c r="AC80" s="423">
        <f ca="1">SUM(G80:AB80)</f>
        <v>-9408.926022316442</v>
      </c>
    </row>
    <row r="81" spans="1:29">
      <c r="A81" s="137"/>
      <c r="B81" s="8" t="s">
        <v>1084</v>
      </c>
      <c r="D81" s="8"/>
      <c r="E81" s="8"/>
      <c r="F81" s="8"/>
      <c r="G81" s="53">
        <f ca="1">IF(G$37&lt;YEAR(Startops1),0,HLOOKUP(G$37,CF_Table,CF!$AB$40))</f>
        <v>0</v>
      </c>
      <c r="H81" s="53">
        <f ca="1">IF(H$37&lt;YEAR(Startops1),0,HLOOKUP(H$37,CF_Table,CF!$AB$40))</f>
        <v>0</v>
      </c>
      <c r="I81" s="53">
        <f ca="1">IF(I$37&lt;YEAR(Startops1),0,HLOOKUP(I$37,CF_Table,CF!$AB$40))</f>
        <v>0</v>
      </c>
      <c r="J81" s="53">
        <f ca="1">IF(J$37&lt;YEAR(Startops1),0,HLOOKUP(J$37,CF_Table,CF!$AB$40))</f>
        <v>-43.553750816833215</v>
      </c>
      <c r="K81" s="53">
        <f ca="1">IF(K$37&lt;YEAR(Startops1),0,HLOOKUP(K$37,CF_Table,CF!$AB$40))</f>
        <v>-118.37347507862886</v>
      </c>
      <c r="L81" s="53">
        <f ca="1">IF(L$37&lt;YEAR(Startops1),0,HLOOKUP(L$37,CF_Table,CF!$AB$40))</f>
        <v>-126.43312991700955</v>
      </c>
      <c r="M81" s="53">
        <f ca="1">IF(M$37&lt;YEAR(Startops1),0,HLOOKUP(M$37,CF_Table,CF!$AB$40))</f>
        <v>-166.23553480383157</v>
      </c>
      <c r="N81" s="53">
        <f ca="1">IF(N$37&lt;YEAR(Startops1),0,HLOOKUP(N$37,CF_Table,CF!$AB$40))</f>
        <v>-176.65772445706435</v>
      </c>
      <c r="O81" s="53">
        <f ca="1">IF(O$37&lt;YEAR(Startops1),0,HLOOKUP(O$37,CF_Table,CF!$AB$40))</f>
        <v>-178.37896052522433</v>
      </c>
      <c r="P81" s="53">
        <f ca="1">IF(P$37&lt;YEAR(Startops1),0,HLOOKUP(P$37,CF_Table,CF!$AB$40))</f>
        <v>-174.3676499334039</v>
      </c>
      <c r="Q81" s="53">
        <f ca="1">IF(Q$37&lt;YEAR(Startops1),0,HLOOKUP(Q$37,CF_Table,CF!$AB$40))</f>
        <v>-137.59714589660763</v>
      </c>
      <c r="R81" s="53">
        <f ca="1">IF(R$37&lt;YEAR(Startops1),0,HLOOKUP(R$37,CF_Table,CF!$AB$40))</f>
        <v>-104.99734903803129</v>
      </c>
      <c r="S81" s="53">
        <f ca="1">IF(S$37&lt;YEAR(Startops1),0,HLOOKUP(S$37,CF_Table,CF!$AB$40))</f>
        <v>-99.036109831944913</v>
      </c>
      <c r="T81" s="53">
        <f ca="1">IF(T$37&lt;YEAR(Startops1),0,HLOOKUP(T$37,CF_Table,CF!$AB$40))</f>
        <v>-105.69903158906686</v>
      </c>
      <c r="U81" s="53">
        <f ca="1">IF(U$37&lt;YEAR(Startops1),0,HLOOKUP(U$37,CF_Table,CF!$AB$40))</f>
        <v>-110.27659975707884</v>
      </c>
      <c r="V81" s="53">
        <f ca="1">IF(V$37&lt;YEAR(Startops1),0,HLOOKUP(V$37,CF_Table,CF!$AB$40))</f>
        <v>-101.53488909884584</v>
      </c>
      <c r="W81" s="53">
        <f ca="1">IF(W$37&lt;YEAR(Startops1),0,HLOOKUP(W$37,CF_Table,CF!$AB$40))</f>
        <v>-95.640733545095898</v>
      </c>
      <c r="X81" s="53">
        <f ca="1">IF(X$37&lt;YEAR(Startops1),0,HLOOKUP(X$37,CF_Table,CF!$AB$40))</f>
        <v>-63.501678871052732</v>
      </c>
      <c r="Y81" s="53">
        <f ca="1">IF(Y$37&lt;YEAR(Startops1),0,HLOOKUP(Y$37,CF_Table,CF!$AB$40))</f>
        <v>0</v>
      </c>
      <c r="Z81" s="53">
        <f ca="1">IF(Z$37&lt;YEAR(Startops1),0,HLOOKUP(Z$37,CF_Table,CF!$AB$40))</f>
        <v>0</v>
      </c>
      <c r="AA81" s="53">
        <f ca="1">IF(AA$37&lt;YEAR(Startops1),0,HLOOKUP(AA$37,CF_Table,CF!$AB$40))</f>
        <v>0</v>
      </c>
      <c r="AB81" s="53">
        <f ca="1">IF(AB$37&lt;YEAR(Startops1),0,HLOOKUP(AB$37,CF_Table,CF!$AB$40))</f>
        <v>0</v>
      </c>
      <c r="AC81" s="423">
        <f t="shared" ca="1" si="19"/>
        <v>-1802.2837631597195</v>
      </c>
    </row>
    <row r="82" spans="1:29">
      <c r="A82" s="137"/>
      <c r="B82" s="8" t="s">
        <v>1041</v>
      </c>
      <c r="D82" s="8"/>
      <c r="E82" s="8"/>
      <c r="F82" s="8"/>
      <c r="G82" s="228">
        <f ca="1">IF(G$37&lt;YEAR(Startops1),0,-HLOOKUP(G$37,CF_Table,CF!$AB$78))</f>
        <v>0</v>
      </c>
      <c r="H82" s="228">
        <f ca="1">IF(H$37&lt;YEAR(Startops1),0,-HLOOKUP(H$37,CF_Table,CF!$AB$78))</f>
        <v>0</v>
      </c>
      <c r="I82" s="228">
        <f ca="1">IF(I$37&lt;YEAR(Startops1),0,-HLOOKUP(I$37,CF_Table,CF!$AB$78))</f>
        <v>0</v>
      </c>
      <c r="J82" s="228">
        <f ca="1">IF(J$37&lt;YEAR(Startops1),0,-HLOOKUP(J$37,CF_Table,CF!$AB$78))</f>
        <v>0</v>
      </c>
      <c r="K82" s="228">
        <f ca="1">IF(K$37&lt;YEAR(Startops1),0,-HLOOKUP(K$37,CF_Table,CF!$AB$78))</f>
        <v>0</v>
      </c>
      <c r="L82" s="228">
        <f ca="1">IF(L$37&lt;YEAR(Startops1),0,-HLOOKUP(L$37,CF_Table,CF!$AB$78))</f>
        <v>0</v>
      </c>
      <c r="M82" s="228">
        <f ca="1">IF(M$37&lt;YEAR(Startops1),0,-HLOOKUP(M$37,CF_Table,CF!$AB$78))</f>
        <v>0</v>
      </c>
      <c r="N82" s="228">
        <f ca="1">IF(N$37&lt;YEAR(Startops1),0,-HLOOKUP(N$37,CF_Table,CF!$AB$78))</f>
        <v>0</v>
      </c>
      <c r="O82" s="228">
        <f ca="1">IF(O$37&lt;YEAR(Startops1),0,-HLOOKUP(O$37,CF_Table,CF!$AB$78))</f>
        <v>0</v>
      </c>
      <c r="P82" s="228">
        <f ca="1">IF(P$37&lt;YEAR(Startops1),0,-HLOOKUP(P$37,CF_Table,CF!$AB$78))</f>
        <v>0</v>
      </c>
      <c r="Q82" s="228">
        <f ca="1">IF(Q$37&lt;YEAR(Startops1),0,-HLOOKUP(Q$37,CF_Table,CF!$AB$78))</f>
        <v>0</v>
      </c>
      <c r="R82" s="228">
        <f ca="1">IF(R$37&lt;YEAR(Startops1),0,-HLOOKUP(R$37,CF_Table,CF!$AB$78))</f>
        <v>-9.0949470177292824E-13</v>
      </c>
      <c r="S82" s="228">
        <f ca="1">IF(S$37&lt;YEAR(Startops1),0,-HLOOKUP(S$37,CF_Table,CF!$AB$78))</f>
        <v>4.5474735088646412E-13</v>
      </c>
      <c r="T82" s="228">
        <f ca="1">IF(T$37&lt;YEAR(Startops1),0,-HLOOKUP(T$37,CF_Table,CF!$AB$78))</f>
        <v>-9.0949470177292824E-13</v>
      </c>
      <c r="U82" s="228">
        <f ca="1">IF(U$37&lt;YEAR(Startops1),0,-HLOOKUP(U$37,CF_Table,CF!$AB$78))</f>
        <v>-9.0949470177292824E-13</v>
      </c>
      <c r="V82" s="228">
        <f ca="1">IF(V$37&lt;YEAR(Startops1),0,-HLOOKUP(V$37,CF_Table,CF!$AB$78))</f>
        <v>-9.0949470177292824E-13</v>
      </c>
      <c r="W82" s="228">
        <f ca="1">IF(W$37&lt;YEAR(Startops1),0,-HLOOKUP(W$37,CF_Table,CF!$AB$78))</f>
        <v>1.8189894035458565E-12</v>
      </c>
      <c r="X82" s="228">
        <f ca="1">IF(X$37&lt;YEAR(Startops1),0,-HLOOKUP(X$37,CF_Table,CF!$AB$78))</f>
        <v>0</v>
      </c>
      <c r="Y82" s="228">
        <f ca="1">IF(Y$37&lt;YEAR(Startops1),0,-HLOOKUP(Y$37,CF_Table,CF!$AB$78))</f>
        <v>0</v>
      </c>
      <c r="Z82" s="228">
        <f ca="1">IF(Z$37&lt;YEAR(Startops1),0,-HLOOKUP(Z$37,CF_Table,CF!$AB$78))</f>
        <v>-4150.359701577916</v>
      </c>
      <c r="AA82" s="228">
        <f ca="1">IF(AA$37&lt;YEAR(Startops1),0,-HLOOKUP(AA$37,CF_Table,CF!$AB$78))</f>
        <v>-7581.3688655241513</v>
      </c>
      <c r="AB82" s="228">
        <f ca="1">IF(AB$37&lt;YEAR(Startops1),0,-HLOOKUP(AB$37,CF_Table,CF!$AB$78))</f>
        <v>-20507.00354335078</v>
      </c>
      <c r="AC82" s="424">
        <f t="shared" ca="1" si="19"/>
        <v>-32238.732110452849</v>
      </c>
    </row>
    <row r="83" spans="1:29">
      <c r="A83" s="137"/>
      <c r="C83" s="8" t="s">
        <v>422</v>
      </c>
      <c r="D83" s="8"/>
      <c r="E83" s="8"/>
      <c r="F83" s="8"/>
      <c r="G83" s="53">
        <f ca="1">SUM(G64:G82)</f>
        <v>0</v>
      </c>
      <c r="H83" s="53">
        <f t="shared" ref="H83:AB83" ca="1" si="23">SUM(H64:H82)</f>
        <v>7.2759576141834259E-12</v>
      </c>
      <c r="I83" s="53">
        <f t="shared" ca="1" si="23"/>
        <v>-1.4551915228366852E-11</v>
      </c>
      <c r="J83" s="53">
        <f t="shared" ca="1" si="23"/>
        <v>-6738.0433476206472</v>
      </c>
      <c r="K83" s="53">
        <f t="shared" ca="1" si="23"/>
        <v>-12102.639982504843</v>
      </c>
      <c r="L83" s="53">
        <f t="shared" ca="1" si="23"/>
        <v>-11576.572623366059</v>
      </c>
      <c r="M83" s="53">
        <f t="shared" ca="1" si="23"/>
        <v>-12481.136617598522</v>
      </c>
      <c r="N83" s="53">
        <f t="shared" ca="1" si="23"/>
        <v>-13264.538653924325</v>
      </c>
      <c r="O83" s="53">
        <f t="shared" ca="1" si="23"/>
        <v>-13543.210103748122</v>
      </c>
      <c r="P83" s="53">
        <f t="shared" ca="1" si="23"/>
        <v>-13861.587441797801</v>
      </c>
      <c r="Q83" s="53">
        <f t="shared" ca="1" si="23"/>
        <v>-13808.715146698672</v>
      </c>
      <c r="R83" s="53">
        <f t="shared" ca="1" si="23"/>
        <v>-14140.177569430656</v>
      </c>
      <c r="S83" s="53">
        <f t="shared" ca="1" si="23"/>
        <v>-14313.26342033047</v>
      </c>
      <c r="T83" s="53">
        <f t="shared" ca="1" si="23"/>
        <v>-14626.456163793584</v>
      </c>
      <c r="U83" s="53">
        <f t="shared" ca="1" si="23"/>
        <v>-14902.321451296863</v>
      </c>
      <c r="V83" s="53">
        <f t="shared" ca="1" si="23"/>
        <v>-14104.242475055344</v>
      </c>
      <c r="W83" s="53">
        <f t="shared" ca="1" si="23"/>
        <v>-15031.052710496722</v>
      </c>
      <c r="X83" s="53">
        <f t="shared" ca="1" si="23"/>
        <v>-15335.321406610106</v>
      </c>
      <c r="Y83" s="53">
        <f t="shared" ca="1" si="23"/>
        <v>-15657.268125626861</v>
      </c>
      <c r="Z83" s="53">
        <f t="shared" ca="1" si="23"/>
        <v>-16002.582334888253</v>
      </c>
      <c r="AA83" s="53">
        <f t="shared" ca="1" si="23"/>
        <v>-16322.809564385787</v>
      </c>
      <c r="AB83" s="53">
        <f t="shared" ca="1" si="23"/>
        <v>-5043.7904752655941</v>
      </c>
      <c r="AC83" s="423">
        <f t="shared" ca="1" si="19"/>
        <v>-252855.72961443925</v>
      </c>
    </row>
    <row r="84" spans="1:29">
      <c r="A84" s="137"/>
      <c r="D84" s="8"/>
      <c r="E84" s="8"/>
      <c r="F84" s="8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423" t="s">
        <v>128</v>
      </c>
    </row>
    <row r="85" spans="1:29">
      <c r="A85" s="137" t="s">
        <v>423</v>
      </c>
      <c r="D85" s="8"/>
      <c r="E85" s="8"/>
      <c r="F85" s="8"/>
      <c r="G85" s="53">
        <f t="shared" ref="G85:AB85" ca="1" si="24">G61+G83</f>
        <v>0</v>
      </c>
      <c r="H85" s="53">
        <f t="shared" ca="1" si="24"/>
        <v>7.2759576141834259E-12</v>
      </c>
      <c r="I85" s="53">
        <f t="shared" ca="1" si="24"/>
        <v>-1.4551915228366852E-11</v>
      </c>
      <c r="J85" s="53">
        <f t="shared" ca="1" si="24"/>
        <v>0</v>
      </c>
      <c r="K85" s="53">
        <f t="shared" ca="1" si="24"/>
        <v>0</v>
      </c>
      <c r="L85" s="53">
        <f t="shared" ca="1" si="24"/>
        <v>0</v>
      </c>
      <c r="M85" s="53">
        <f t="shared" ca="1" si="24"/>
        <v>0</v>
      </c>
      <c r="N85" s="53">
        <f t="shared" ca="1" si="24"/>
        <v>0</v>
      </c>
      <c r="O85" s="53">
        <f t="shared" ca="1" si="24"/>
        <v>0</v>
      </c>
      <c r="P85" s="53">
        <f t="shared" ca="1" si="24"/>
        <v>0</v>
      </c>
      <c r="Q85" s="53">
        <f t="shared" ca="1" si="24"/>
        <v>0</v>
      </c>
      <c r="R85" s="53">
        <f t="shared" ca="1" si="24"/>
        <v>0</v>
      </c>
      <c r="S85" s="53">
        <f t="shared" ca="1" si="24"/>
        <v>0</v>
      </c>
      <c r="T85" s="53">
        <f t="shared" ca="1" si="24"/>
        <v>0</v>
      </c>
      <c r="U85" s="53">
        <f t="shared" ca="1" si="24"/>
        <v>0</v>
      </c>
      <c r="V85" s="53">
        <f t="shared" ca="1" si="24"/>
        <v>0</v>
      </c>
      <c r="W85" s="53">
        <f t="shared" ca="1" si="24"/>
        <v>0</v>
      </c>
      <c r="X85" s="53">
        <f t="shared" ca="1" si="24"/>
        <v>0</v>
      </c>
      <c r="Y85" s="53">
        <f t="shared" ca="1" si="24"/>
        <v>0</v>
      </c>
      <c r="Z85" s="53">
        <f t="shared" ca="1" si="24"/>
        <v>0</v>
      </c>
      <c r="AA85" s="53">
        <f t="shared" ca="1" si="24"/>
        <v>0</v>
      </c>
      <c r="AB85" s="53">
        <f t="shared" ca="1" si="24"/>
        <v>0</v>
      </c>
      <c r="AC85" s="423">
        <f ca="1">SUM(G85:AB85)</f>
        <v>-7.2759576141834259E-12</v>
      </c>
    </row>
    <row r="86" spans="1:29">
      <c r="A86" s="137"/>
      <c r="D86" s="8"/>
      <c r="E86" s="8"/>
      <c r="F86" s="8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423" t="s">
        <v>128</v>
      </c>
    </row>
    <row r="87" spans="1:29">
      <c r="A87" s="137" t="s">
        <v>424</v>
      </c>
      <c r="D87" s="8"/>
      <c r="E87" s="8"/>
      <c r="F87" s="8"/>
      <c r="G87" s="825">
        <v>0</v>
      </c>
      <c r="H87" s="53">
        <f ca="1">G89</f>
        <v>0</v>
      </c>
      <c r="I87" s="53">
        <f t="shared" ref="I87:Z87" ca="1" si="25">H89</f>
        <v>7.2759576141834259E-12</v>
      </c>
      <c r="J87" s="53">
        <f t="shared" ca="1" si="25"/>
        <v>-7.2759576141834259E-12</v>
      </c>
      <c r="K87" s="53">
        <f t="shared" ca="1" si="25"/>
        <v>-7.2759576141834259E-12</v>
      </c>
      <c r="L87" s="53">
        <f t="shared" ca="1" si="25"/>
        <v>-7.2759576141834259E-12</v>
      </c>
      <c r="M87" s="53">
        <f t="shared" ca="1" si="25"/>
        <v>-7.2759576141834259E-12</v>
      </c>
      <c r="N87" s="53">
        <f t="shared" ca="1" si="25"/>
        <v>-7.2759576141834259E-12</v>
      </c>
      <c r="O87" s="53">
        <f t="shared" ca="1" si="25"/>
        <v>-7.2759576141834259E-12</v>
      </c>
      <c r="P87" s="53">
        <f t="shared" ca="1" si="25"/>
        <v>-7.2759576141834259E-12</v>
      </c>
      <c r="Q87" s="53">
        <f t="shared" ca="1" si="25"/>
        <v>-7.2759576141834259E-12</v>
      </c>
      <c r="R87" s="53">
        <f t="shared" ca="1" si="25"/>
        <v>-7.2759576141834259E-12</v>
      </c>
      <c r="S87" s="53">
        <f t="shared" ca="1" si="25"/>
        <v>-7.2759576141834259E-12</v>
      </c>
      <c r="T87" s="53">
        <f t="shared" ca="1" si="25"/>
        <v>-7.2759576141834259E-12</v>
      </c>
      <c r="U87" s="53">
        <f t="shared" ca="1" si="25"/>
        <v>-7.2759576141834259E-12</v>
      </c>
      <c r="V87" s="53">
        <f t="shared" ca="1" si="25"/>
        <v>-7.2759576141834259E-12</v>
      </c>
      <c r="W87" s="53">
        <f t="shared" ca="1" si="25"/>
        <v>-7.2759576141834259E-12</v>
      </c>
      <c r="X87" s="53">
        <f t="shared" ca="1" si="25"/>
        <v>-7.2759576141834259E-12</v>
      </c>
      <c r="Y87" s="53">
        <f t="shared" ca="1" si="25"/>
        <v>-7.2759576141834259E-12</v>
      </c>
      <c r="Z87" s="53">
        <f t="shared" ca="1" si="25"/>
        <v>-7.2759576141834259E-12</v>
      </c>
      <c r="AA87" s="53">
        <f ca="1">Z89</f>
        <v>-7.2759576141834259E-12</v>
      </c>
      <c r="AB87" s="53">
        <f ca="1">AA89</f>
        <v>-7.2759576141834259E-12</v>
      </c>
      <c r="AC87" s="423"/>
    </row>
    <row r="88" spans="1:29">
      <c r="A88" s="137"/>
      <c r="D88" s="8"/>
      <c r="E88" s="8"/>
      <c r="F88" s="8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423" t="s">
        <v>128</v>
      </c>
    </row>
    <row r="89" spans="1:29" ht="13.8" thickBot="1">
      <c r="A89" s="139" t="s">
        <v>425</v>
      </c>
      <c r="B89" s="77"/>
      <c r="C89" s="77"/>
      <c r="D89" s="77"/>
      <c r="E89" s="77"/>
      <c r="F89" s="77"/>
      <c r="G89" s="397">
        <f ca="1">G85+G87</f>
        <v>0</v>
      </c>
      <c r="H89" s="397">
        <f ca="1">H85+H87</f>
        <v>7.2759576141834259E-12</v>
      </c>
      <c r="I89" s="397">
        <f t="shared" ref="I89:Z89" ca="1" si="26">I85+I87</f>
        <v>-7.2759576141834259E-12</v>
      </c>
      <c r="J89" s="397">
        <f t="shared" ca="1" si="26"/>
        <v>-7.2759576141834259E-12</v>
      </c>
      <c r="K89" s="397">
        <f t="shared" ca="1" si="26"/>
        <v>-7.2759576141834259E-12</v>
      </c>
      <c r="L89" s="397">
        <f t="shared" ca="1" si="26"/>
        <v>-7.2759576141834259E-12</v>
      </c>
      <c r="M89" s="397">
        <f t="shared" ca="1" si="26"/>
        <v>-7.2759576141834259E-12</v>
      </c>
      <c r="N89" s="397">
        <f t="shared" ca="1" si="26"/>
        <v>-7.2759576141834259E-12</v>
      </c>
      <c r="O89" s="397">
        <f t="shared" ca="1" si="26"/>
        <v>-7.2759576141834259E-12</v>
      </c>
      <c r="P89" s="397">
        <f t="shared" ca="1" si="26"/>
        <v>-7.2759576141834259E-12</v>
      </c>
      <c r="Q89" s="397">
        <f t="shared" ca="1" si="26"/>
        <v>-7.2759576141834259E-12</v>
      </c>
      <c r="R89" s="397">
        <f t="shared" ca="1" si="26"/>
        <v>-7.2759576141834259E-12</v>
      </c>
      <c r="S89" s="397">
        <f t="shared" ca="1" si="26"/>
        <v>-7.2759576141834259E-12</v>
      </c>
      <c r="T89" s="397">
        <f t="shared" ca="1" si="26"/>
        <v>-7.2759576141834259E-12</v>
      </c>
      <c r="U89" s="397">
        <f t="shared" ca="1" si="26"/>
        <v>-7.2759576141834259E-12</v>
      </c>
      <c r="V89" s="397">
        <f t="shared" ca="1" si="26"/>
        <v>-7.2759576141834259E-12</v>
      </c>
      <c r="W89" s="397">
        <f t="shared" ca="1" si="26"/>
        <v>-7.2759576141834259E-12</v>
      </c>
      <c r="X89" s="397">
        <f t="shared" ca="1" si="26"/>
        <v>-7.2759576141834259E-12</v>
      </c>
      <c r="Y89" s="397">
        <f t="shared" ca="1" si="26"/>
        <v>-7.2759576141834259E-12</v>
      </c>
      <c r="Z89" s="397">
        <f t="shared" ca="1" si="26"/>
        <v>-7.2759576141834259E-12</v>
      </c>
      <c r="AA89" s="397">
        <f ca="1">AA85+AA87</f>
        <v>-7.2759576141834259E-12</v>
      </c>
      <c r="AB89" s="397">
        <f ca="1">AB85+AB87</f>
        <v>-7.2759576141834259E-12</v>
      </c>
      <c r="AC89" s="555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D58"/>
  <sheetViews>
    <sheetView showGridLines="0" zoomScale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0.6640625" style="5" customWidth="1"/>
    <col min="9" max="9" width="40.6640625" style="5" customWidth="1"/>
    <col min="10" max="10" width="20.6640625" style="5" customWidth="1"/>
    <col min="11" max="11" width="32.33203125" style="5" customWidth="1"/>
    <col min="12" max="16384" width="9.109375" style="5"/>
  </cols>
  <sheetData>
    <row r="1" spans="1:30" s="242" customFormat="1" ht="15.6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  <c r="J1" s="283"/>
      <c r="K1" s="284"/>
      <c r="L1" s="283"/>
      <c r="M1" s="283"/>
      <c r="N1" s="285"/>
      <c r="O1" s="283"/>
      <c r="P1" s="283"/>
      <c r="Q1" s="283"/>
      <c r="R1" s="283"/>
      <c r="S1" s="283"/>
      <c r="T1" s="283"/>
      <c r="U1" s="283"/>
      <c r="V1" s="286"/>
      <c r="W1" s="283"/>
      <c r="X1" s="283"/>
      <c r="Y1" s="283"/>
      <c r="Z1" s="283"/>
      <c r="AA1" s="283"/>
      <c r="AB1" s="279"/>
      <c r="AC1" s="279"/>
      <c r="AD1" s="24"/>
    </row>
    <row r="2" spans="1:30" s="242" customFormat="1" ht="15.6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  <c r="J2" s="283"/>
      <c r="K2" s="284"/>
      <c r="L2" s="283"/>
      <c r="M2" s="283"/>
      <c r="N2" s="285"/>
      <c r="O2" s="283"/>
      <c r="P2" s="283"/>
      <c r="Q2" s="283"/>
      <c r="R2" s="283"/>
      <c r="S2" s="283"/>
      <c r="T2" s="283"/>
      <c r="U2" s="283"/>
      <c r="V2" s="286"/>
      <c r="W2" s="283"/>
      <c r="X2" s="283"/>
      <c r="Y2" s="283"/>
      <c r="Z2" s="283"/>
      <c r="AA2" s="283"/>
      <c r="AB2" s="279"/>
      <c r="AC2" s="279"/>
      <c r="AD2" s="24"/>
    </row>
    <row r="3" spans="1:30" s="242" customFormat="1" ht="1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  <c r="J3" s="283"/>
      <c r="K3" s="284"/>
      <c r="L3" s="283"/>
      <c r="M3" s="283"/>
      <c r="N3" s="285"/>
      <c r="O3" s="283"/>
      <c r="P3" s="283"/>
      <c r="Q3" s="283"/>
      <c r="R3" s="283"/>
      <c r="S3" s="283"/>
      <c r="T3" s="283"/>
      <c r="U3" s="283"/>
      <c r="V3" s="283"/>
      <c r="W3" s="288"/>
      <c r="X3" s="288"/>
      <c r="Y3" s="283"/>
      <c r="Z3" s="283"/>
      <c r="AA3" s="283"/>
      <c r="AB3" s="279"/>
      <c r="AC3" s="279"/>
      <c r="AD3" s="24"/>
    </row>
    <row r="4" spans="1:30" s="242" customFormat="1" ht="15">
      <c r="A4" s="818" t="s">
        <v>92</v>
      </c>
      <c r="B4" s="133"/>
      <c r="C4" s="279"/>
      <c r="D4" s="133"/>
      <c r="E4" s="133"/>
      <c r="F4" s="283"/>
      <c r="G4" s="132"/>
      <c r="H4" s="283"/>
      <c r="I4" s="287"/>
      <c r="J4" s="283"/>
      <c r="K4" s="284"/>
      <c r="L4" s="283"/>
      <c r="M4" s="283"/>
      <c r="N4" s="285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79"/>
      <c r="AC4" s="279"/>
      <c r="AD4" s="24"/>
    </row>
    <row r="5" spans="1:30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>
      <c r="A6" s="573"/>
      <c r="B6" s="574"/>
      <c r="C6" s="574"/>
      <c r="D6" s="603"/>
      <c r="E6" s="575"/>
      <c r="F6" s="576"/>
      <c r="G6" s="576"/>
      <c r="H6" s="576" t="s">
        <v>93</v>
      </c>
      <c r="I6" s="577"/>
    </row>
    <row r="7" spans="1:30">
      <c r="A7" s="578"/>
      <c r="B7" s="69"/>
      <c r="C7" s="69"/>
      <c r="D7" s="55"/>
      <c r="E7" s="56"/>
      <c r="F7" s="31"/>
      <c r="G7" s="31" t="s">
        <v>438</v>
      </c>
      <c r="H7" s="31" t="s">
        <v>94</v>
      </c>
      <c r="I7" s="439"/>
    </row>
    <row r="8" spans="1:30" ht="13.8" thickBot="1">
      <c r="A8" s="579" t="s">
        <v>95</v>
      </c>
      <c r="B8" s="580" t="s">
        <v>96</v>
      </c>
      <c r="C8" s="581" t="s">
        <v>97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30" s="8" customFormat="1" ht="13.8" thickBot="1"/>
    <row r="10" spans="1:30">
      <c r="A10" s="459" t="str">
        <f>Assm!A6</f>
        <v>Pipeline Data</v>
      </c>
      <c r="B10" s="544" t="str">
        <f>Assm!A7</f>
        <v>Pipeline Length - Brazil</v>
      </c>
      <c r="C10" s="675">
        <f>Assm!E7</f>
        <v>257</v>
      </c>
      <c r="D10" s="74" t="str">
        <f>Assm!F7</f>
        <v>Kilometers</v>
      </c>
      <c r="E10" s="74"/>
      <c r="F10" s="887" t="s">
        <v>865</v>
      </c>
      <c r="G10" s="888">
        <v>36373</v>
      </c>
      <c r="H10" s="887" t="s">
        <v>947</v>
      </c>
      <c r="I10" s="889" t="s">
        <v>948</v>
      </c>
    </row>
    <row r="11" spans="1:30" ht="13.8" thickBot="1">
      <c r="A11" s="76"/>
      <c r="B11" s="585" t="str">
        <f>Assm!A8</f>
        <v>Size of Pipe</v>
      </c>
      <c r="C11" s="357">
        <f>Assm!E8</f>
        <v>18</v>
      </c>
      <c r="D11" s="77" t="str">
        <f>Assm!F8</f>
        <v>Inches</v>
      </c>
      <c r="E11" s="77"/>
      <c r="F11" s="893" t="s">
        <v>865</v>
      </c>
      <c r="G11" s="894">
        <v>36373</v>
      </c>
      <c r="H11" s="893" t="s">
        <v>947</v>
      </c>
      <c r="I11" s="895" t="s">
        <v>949</v>
      </c>
    </row>
    <row r="12" spans="1:30" ht="13.8" thickBot="1">
      <c r="A12" s="8"/>
      <c r="B12" s="8"/>
      <c r="C12" s="8"/>
      <c r="D12" s="8"/>
      <c r="F12" s="150"/>
      <c r="G12" s="118"/>
      <c r="H12" s="150"/>
      <c r="I12" s="8"/>
    </row>
    <row r="13" spans="1:30">
      <c r="A13" s="586" t="str">
        <f>Assm!A10</f>
        <v>Project Operations</v>
      </c>
      <c r="B13" s="394" t="str">
        <f>Assm!A11</f>
        <v>Start Of Construction</v>
      </c>
      <c r="C13" s="587">
        <f>Assm!F11</f>
        <v>35886</v>
      </c>
      <c r="D13" s="74"/>
      <c r="E13" s="588"/>
      <c r="F13" s="887" t="s">
        <v>965</v>
      </c>
      <c r="G13" s="888">
        <v>35664</v>
      </c>
      <c r="H13" s="887" t="s">
        <v>533</v>
      </c>
      <c r="I13" s="889" t="s">
        <v>869</v>
      </c>
    </row>
    <row r="14" spans="1:30">
      <c r="A14" s="589"/>
      <c r="B14" s="3" t="str">
        <f>Assm!A12</f>
        <v>Pipeline Notice To Proceed (NTP)</v>
      </c>
      <c r="C14" s="328">
        <f>Assm!F12</f>
        <v>36342</v>
      </c>
      <c r="D14" s="8"/>
      <c r="E14" s="9"/>
      <c r="F14" s="890" t="s">
        <v>916</v>
      </c>
      <c r="G14" s="891">
        <v>36291</v>
      </c>
      <c r="H14" s="890" t="s">
        <v>917</v>
      </c>
      <c r="I14" s="892" t="s">
        <v>933</v>
      </c>
    </row>
    <row r="15" spans="1:30">
      <c r="A15" s="589"/>
      <c r="B15" s="3" t="str">
        <f>Assm!A13</f>
        <v>Pipeline Ready For Service (RFS)</v>
      </c>
      <c r="C15" s="328">
        <f>Assm!F13</f>
        <v>36892</v>
      </c>
      <c r="D15" s="8"/>
      <c r="E15" s="9"/>
      <c r="F15" s="890" t="s">
        <v>916</v>
      </c>
      <c r="G15" s="891">
        <v>36291</v>
      </c>
      <c r="H15" s="890" t="s">
        <v>917</v>
      </c>
      <c r="I15" s="892" t="s">
        <v>933</v>
      </c>
    </row>
    <row r="16" spans="1:30">
      <c r="A16" s="589"/>
      <c r="B16" s="3" t="str">
        <f>Assm!A14</f>
        <v>Months Of Construction</v>
      </c>
      <c r="C16" s="328">
        <f>Assm!F14</f>
        <v>35</v>
      </c>
      <c r="D16" s="8"/>
      <c r="E16" s="9"/>
      <c r="F16" s="890" t="s">
        <v>116</v>
      </c>
      <c r="G16" s="891"/>
      <c r="H16" s="890"/>
      <c r="I16" s="892"/>
    </row>
    <row r="17" spans="1:11">
      <c r="A17" s="589"/>
      <c r="B17" s="3" t="str">
        <f>Assm!A15</f>
        <v>Start Date (Phase II - Power Plant)</v>
      </c>
      <c r="C17" s="328">
        <f>Assm!F15</f>
        <v>36951</v>
      </c>
      <c r="D17" s="8"/>
      <c r="E17" s="9"/>
      <c r="F17" s="890" t="s">
        <v>916</v>
      </c>
      <c r="G17" s="891">
        <v>36291</v>
      </c>
      <c r="H17" s="890" t="s">
        <v>917</v>
      </c>
      <c r="I17" s="892" t="s">
        <v>933</v>
      </c>
    </row>
    <row r="18" spans="1:11">
      <c r="A18" s="589"/>
      <c r="B18" s="3" t="str">
        <f>Assm!A16</f>
        <v>Start Date (Phase III - Power Plant)</v>
      </c>
      <c r="C18" s="328">
        <f>Assm!F16</f>
        <v>37104</v>
      </c>
      <c r="D18" s="8"/>
      <c r="E18" s="9"/>
      <c r="F18" s="890" t="s">
        <v>916</v>
      </c>
      <c r="G18" s="891">
        <v>36403</v>
      </c>
      <c r="H18" s="890" t="s">
        <v>917</v>
      </c>
      <c r="I18" s="892" t="s">
        <v>933</v>
      </c>
    </row>
    <row r="19" spans="1:11">
      <c r="A19" s="589"/>
      <c r="B19" s="3" t="str">
        <f>Assm!A17</f>
        <v>End Of Operations - Cuiaba I</v>
      </c>
      <c r="C19" s="328">
        <f>Assm!F17</f>
        <v>43556</v>
      </c>
      <c r="D19" s="8"/>
      <c r="E19" s="9"/>
      <c r="F19" s="890" t="s">
        <v>934</v>
      </c>
      <c r="G19" s="891"/>
      <c r="H19" s="890"/>
      <c r="I19" s="892" t="s">
        <v>935</v>
      </c>
    </row>
    <row r="20" spans="1:11">
      <c r="A20" s="590"/>
      <c r="B20" s="3" t="str">
        <f>Assm!A18</f>
        <v>Term Of Contract (Yrs)</v>
      </c>
      <c r="C20" s="677">
        <f>Assm!F18</f>
        <v>20</v>
      </c>
      <c r="D20" s="883" t="s">
        <v>102</v>
      </c>
      <c r="E20" s="105"/>
      <c r="F20" s="890" t="s">
        <v>936</v>
      </c>
      <c r="G20" s="891">
        <v>36224</v>
      </c>
      <c r="H20" s="890" t="s">
        <v>533</v>
      </c>
      <c r="I20" s="892" t="s">
        <v>900</v>
      </c>
    </row>
    <row r="21" spans="1:11" ht="13.8" thickBot="1">
      <c r="A21" s="76"/>
      <c r="B21" s="585" t="str">
        <f>Assm!A19</f>
        <v>Project Type</v>
      </c>
      <c r="C21" s="699" t="str">
        <f>Assm!F19</f>
        <v>BOO</v>
      </c>
      <c r="D21" s="77"/>
      <c r="E21" s="77"/>
      <c r="F21" s="893" t="s">
        <v>865</v>
      </c>
      <c r="G21" s="894"/>
      <c r="H21" s="893"/>
      <c r="I21" s="895"/>
    </row>
    <row r="22" spans="1:11" ht="13.8" thickBot="1">
      <c r="A22" s="8"/>
      <c r="B22" s="8"/>
      <c r="C22" s="8"/>
      <c r="D22" s="8"/>
      <c r="F22" s="150"/>
      <c r="G22" s="118"/>
      <c r="H22" s="150"/>
      <c r="I22" s="8"/>
    </row>
    <row r="23" spans="1:11">
      <c r="A23" s="586" t="str">
        <f>Assm!A21</f>
        <v>Financial Closing</v>
      </c>
      <c r="B23" s="394" t="str">
        <f>Assm!A22</f>
        <v>Date Of Financial Close</v>
      </c>
      <c r="C23" s="698">
        <f ca="1">Fin_Close</f>
        <v>36770</v>
      </c>
      <c r="D23" s="74"/>
      <c r="E23" s="588"/>
      <c r="F23" s="887" t="s">
        <v>444</v>
      </c>
      <c r="G23" s="888">
        <v>36236</v>
      </c>
      <c r="H23" s="887" t="s">
        <v>103</v>
      </c>
      <c r="I23" s="889"/>
    </row>
    <row r="24" spans="1:11">
      <c r="A24" s="590"/>
      <c r="B24" s="3" t="str">
        <f>Assm!A23</f>
        <v>NTP To Financial Close  (Mos)</v>
      </c>
      <c r="C24" s="677">
        <f ca="1">Assm!F23</f>
        <v>29</v>
      </c>
      <c r="D24" s="8"/>
      <c r="E24" s="9"/>
      <c r="F24" s="890" t="s">
        <v>116</v>
      </c>
      <c r="G24" s="891"/>
      <c r="H24" s="890"/>
      <c r="I24" s="892"/>
    </row>
    <row r="25" spans="1:11" ht="13.8" thickBot="1">
      <c r="A25" s="591"/>
      <c r="B25" s="568" t="str">
        <f>Assm!A25</f>
        <v>First Debt Service Payment</v>
      </c>
      <c r="C25" s="676">
        <f>Debt_Serv</f>
        <v>37288</v>
      </c>
      <c r="D25" s="77"/>
      <c r="E25" s="592"/>
      <c r="F25" s="893" t="s">
        <v>116</v>
      </c>
      <c r="G25" s="894"/>
      <c r="H25" s="893"/>
      <c r="I25" s="895" t="s">
        <v>866</v>
      </c>
    </row>
    <row r="26" spans="1:11" ht="13.8" thickBot="1">
      <c r="A26" s="8"/>
      <c r="B26" s="8"/>
      <c r="C26" s="8"/>
      <c r="D26" s="8"/>
      <c r="F26" s="150"/>
      <c r="G26" s="8"/>
      <c r="H26" s="150"/>
      <c r="I26" s="8"/>
      <c r="J26" s="83"/>
      <c r="K26" s="8"/>
    </row>
    <row r="27" spans="1:11">
      <c r="A27" s="459" t="str">
        <f>Assm!A27</f>
        <v>Transport Charges</v>
      </c>
      <c r="B27" s="678"/>
      <c r="C27" s="679">
        <f>C37</f>
        <v>1998</v>
      </c>
      <c r="D27" s="643"/>
      <c r="E27" s="594"/>
      <c r="F27" s="887"/>
      <c r="G27" s="888"/>
      <c r="H27" s="887"/>
      <c r="I27" s="858"/>
    </row>
    <row r="28" spans="1:11">
      <c r="A28" s="137"/>
      <c r="B28" s="14" t="str">
        <f>Assm!A29</f>
        <v>Capacity Charge</v>
      </c>
      <c r="C28" s="371">
        <f>Assm!D29</f>
        <v>0.33510000000000001</v>
      </c>
      <c r="D28" s="644" t="str">
        <f>Assm!C29</f>
        <v>$ / MMBTU</v>
      </c>
      <c r="E28" s="119"/>
      <c r="F28" s="890" t="s">
        <v>899</v>
      </c>
      <c r="G28" s="891">
        <v>36224</v>
      </c>
      <c r="H28" s="890" t="s">
        <v>533</v>
      </c>
      <c r="I28" s="850" t="s">
        <v>901</v>
      </c>
    </row>
    <row r="29" spans="1:11">
      <c r="A29" s="137"/>
      <c r="B29" s="14" t="str">
        <f>Assm!A30</f>
        <v>Variable Charge</v>
      </c>
      <c r="C29" s="371">
        <f>Assm!D30</f>
        <v>5.0000000000000001E-3</v>
      </c>
      <c r="D29" s="644" t="str">
        <f>Assm!C30</f>
        <v>$ / MMBTU</v>
      </c>
      <c r="E29" s="119"/>
      <c r="F29" s="890" t="s">
        <v>899</v>
      </c>
      <c r="G29" s="891">
        <v>36224</v>
      </c>
      <c r="H29" s="890" t="s">
        <v>533</v>
      </c>
      <c r="I29" s="850" t="s">
        <v>901</v>
      </c>
    </row>
    <row r="30" spans="1:11" ht="13.8" thickBot="1">
      <c r="A30" s="139"/>
      <c r="B30" s="595" t="s">
        <v>440</v>
      </c>
      <c r="C30" s="983" t="str">
        <f>Assm!$F$29</f>
        <v>Greater Of CPI Or 1.005</v>
      </c>
      <c r="D30" s="645"/>
      <c r="E30" s="596"/>
      <c r="F30" s="893" t="s">
        <v>899</v>
      </c>
      <c r="G30" s="894">
        <v>36224</v>
      </c>
      <c r="H30" s="893" t="s">
        <v>533</v>
      </c>
      <c r="I30" s="895" t="s">
        <v>901</v>
      </c>
    </row>
    <row r="31" spans="1:11" ht="13.8" thickBot="1">
      <c r="A31" s="8"/>
      <c r="B31" s="8"/>
      <c r="C31" s="8"/>
      <c r="D31" s="8"/>
      <c r="F31" s="150"/>
      <c r="G31" s="8"/>
      <c r="H31" s="150"/>
      <c r="I31" s="8"/>
    </row>
    <row r="32" spans="1:11">
      <c r="A32" s="459" t="str">
        <f>Assm!A32</f>
        <v>Firm Service TOP</v>
      </c>
      <c r="B32" s="544" t="str">
        <f>Assm!E32</f>
        <v>Start Date</v>
      </c>
      <c r="C32" s="698">
        <f>Assm!F32</f>
        <v>37104</v>
      </c>
      <c r="D32" s="74"/>
      <c r="E32" s="74"/>
      <c r="F32" s="887" t="s">
        <v>899</v>
      </c>
      <c r="G32" s="888">
        <v>36224</v>
      </c>
      <c r="H32" s="887" t="s">
        <v>533</v>
      </c>
      <c r="I32" s="889" t="s">
        <v>902</v>
      </c>
    </row>
    <row r="33" spans="1:11" s="8" customFormat="1">
      <c r="A33" s="137"/>
      <c r="B33" s="14"/>
      <c r="C33" s="978" t="str">
        <f>Assm!D33</f>
        <v>Average</v>
      </c>
      <c r="D33" s="83"/>
      <c r="E33" s="83"/>
      <c r="F33" s="890"/>
      <c r="G33" s="891"/>
      <c r="H33" s="890"/>
      <c r="I33" s="892"/>
    </row>
    <row r="34" spans="1:11" s="8" customFormat="1">
      <c r="A34" s="137"/>
      <c r="B34" s="14"/>
      <c r="C34" s="979" t="str">
        <f>Assm!D34</f>
        <v>MAXDTQ</v>
      </c>
      <c r="D34" s="980" t="str">
        <f>Assm!E34</f>
        <v>TOP%</v>
      </c>
      <c r="E34" s="980" t="str">
        <f>Assm!F34</f>
        <v>TOP Vol</v>
      </c>
      <c r="F34" s="890"/>
      <c r="G34" s="891"/>
      <c r="H34" s="890"/>
      <c r="I34" s="892"/>
    </row>
    <row r="35" spans="1:11" s="8" customFormat="1" ht="13.8" thickBot="1">
      <c r="A35" s="139"/>
      <c r="B35" s="585"/>
      <c r="C35" s="981">
        <f>Assm!D35</f>
        <v>102990</v>
      </c>
      <c r="D35" s="982">
        <f>Assm!E35</f>
        <v>1</v>
      </c>
      <c r="E35" s="981">
        <f>Assm!F35</f>
        <v>102990</v>
      </c>
      <c r="F35" s="893" t="s">
        <v>899</v>
      </c>
      <c r="G35" s="894">
        <v>36224</v>
      </c>
      <c r="H35" s="893" t="s">
        <v>533</v>
      </c>
      <c r="I35" s="895" t="s">
        <v>902</v>
      </c>
    </row>
    <row r="36" spans="1:11" ht="13.8" thickBot="1">
      <c r="A36" s="8"/>
      <c r="B36" s="8"/>
      <c r="C36" s="8"/>
      <c r="D36" s="8"/>
      <c r="F36" s="150"/>
      <c r="G36" s="8"/>
      <c r="H36" s="150"/>
      <c r="I36" s="8"/>
    </row>
    <row r="37" spans="1:11">
      <c r="A37" s="586" t="str">
        <f>Assm!A37</f>
        <v>Operating Expenses ($000)</v>
      </c>
      <c r="B37" s="884" t="s">
        <v>104</v>
      </c>
      <c r="C37" s="593">
        <f>Assm!E39</f>
        <v>1998</v>
      </c>
      <c r="D37" s="74"/>
      <c r="E37" s="588"/>
      <c r="F37" s="887"/>
      <c r="G37" s="888"/>
      <c r="H37" s="887"/>
      <c r="I37" s="858"/>
      <c r="J37" s="8"/>
      <c r="K37" s="8"/>
    </row>
    <row r="38" spans="1:11">
      <c r="A38" s="590"/>
      <c r="B38" s="885" t="s">
        <v>105</v>
      </c>
      <c r="C38" s="372" t="str">
        <f>Assm!F37</f>
        <v>CPI Annual</v>
      </c>
      <c r="D38" s="8"/>
      <c r="E38" s="9"/>
      <c r="F38" s="890"/>
      <c r="G38" s="891"/>
      <c r="H38" s="890"/>
      <c r="I38" s="850" t="s">
        <v>870</v>
      </c>
      <c r="J38" s="8"/>
      <c r="K38" s="8"/>
    </row>
    <row r="39" spans="1:11">
      <c r="A39" s="590"/>
      <c r="B39" s="1014" t="str">
        <f>Assm!A39</f>
        <v>Fixed:</v>
      </c>
      <c r="C39" s="121"/>
      <c r="D39" s="45"/>
      <c r="E39" s="46"/>
      <c r="F39" s="890"/>
      <c r="G39" s="891"/>
      <c r="H39" s="890"/>
      <c r="I39" s="850"/>
      <c r="J39" s="8"/>
      <c r="K39" s="8"/>
    </row>
    <row r="40" spans="1:11">
      <c r="A40" s="590"/>
      <c r="B40" s="14" t="str">
        <f>Assm!A40</f>
        <v>Salaries &amp; Benefits</v>
      </c>
      <c r="C40" s="682">
        <f>Assm!E40</f>
        <v>174.548</v>
      </c>
      <c r="D40" s="216"/>
      <c r="E40" s="122"/>
      <c r="F40" s="890" t="s">
        <v>443</v>
      </c>
      <c r="G40" s="891">
        <v>35881</v>
      </c>
      <c r="H40" s="890" t="s">
        <v>120</v>
      </c>
      <c r="I40" s="850" t="s">
        <v>1086</v>
      </c>
      <c r="J40" s="8"/>
      <c r="K40" s="8"/>
    </row>
    <row r="41" spans="1:11">
      <c r="A41" s="590"/>
      <c r="B41" s="14" t="str">
        <f>Assm!A41</f>
        <v>Administrative Expenses - General</v>
      </c>
      <c r="C41" s="682">
        <f>Assm!E41</f>
        <v>54</v>
      </c>
      <c r="D41" s="216"/>
      <c r="E41" s="122"/>
      <c r="F41" s="890" t="s">
        <v>443</v>
      </c>
      <c r="G41" s="891">
        <v>35881</v>
      </c>
      <c r="H41" s="890" t="s">
        <v>120</v>
      </c>
      <c r="I41" s="850" t="s">
        <v>1086</v>
      </c>
      <c r="J41" s="8"/>
      <c r="K41" s="8"/>
    </row>
    <row r="42" spans="1:11">
      <c r="A42" s="590"/>
      <c r="B42" s="14" t="str">
        <f>Assm!A42</f>
        <v>Administrative Expenses - Transredes</v>
      </c>
      <c r="C42" s="682">
        <f>Assm!E42</f>
        <v>250</v>
      </c>
      <c r="D42" s="216"/>
      <c r="E42" s="122"/>
      <c r="F42" s="890" t="s">
        <v>443</v>
      </c>
      <c r="G42" s="891">
        <v>35881</v>
      </c>
      <c r="H42" s="890" t="s">
        <v>120</v>
      </c>
      <c r="I42" s="850" t="s">
        <v>1086</v>
      </c>
      <c r="J42" s="8"/>
      <c r="K42" s="8"/>
    </row>
    <row r="43" spans="1:11">
      <c r="A43" s="590"/>
      <c r="B43" s="14" t="str">
        <f>Assm!A43</f>
        <v>Equipment Rental</v>
      </c>
      <c r="C43" s="682">
        <f>Assm!E43</f>
        <v>658.06799999999998</v>
      </c>
      <c r="D43" s="646"/>
      <c r="E43" s="123"/>
      <c r="F43" s="890" t="s">
        <v>443</v>
      </c>
      <c r="G43" s="891">
        <v>35881</v>
      </c>
      <c r="H43" s="890" t="s">
        <v>120</v>
      </c>
      <c r="I43" s="850" t="s">
        <v>1086</v>
      </c>
      <c r="J43" s="8"/>
      <c r="K43" s="8"/>
    </row>
    <row r="44" spans="1:11">
      <c r="A44" s="590"/>
      <c r="B44" s="14" t="str">
        <f>Assm!A44</f>
        <v>Other O&amp;M Expenses</v>
      </c>
      <c r="C44" s="682">
        <f>Assm!E44</f>
        <v>7.2</v>
      </c>
      <c r="D44" s="271"/>
      <c r="E44" s="124"/>
      <c r="F44" s="890" t="s">
        <v>443</v>
      </c>
      <c r="G44" s="891">
        <v>35881</v>
      </c>
      <c r="H44" s="890" t="s">
        <v>120</v>
      </c>
      <c r="I44" s="850" t="s">
        <v>1086</v>
      </c>
      <c r="J44" s="8"/>
      <c r="K44" s="8"/>
    </row>
    <row r="45" spans="1:11">
      <c r="A45" s="590"/>
      <c r="B45" s="14" t="str">
        <f>Assm!A45</f>
        <v>Gas Loss</v>
      </c>
      <c r="C45" s="682">
        <f>Assm!E45</f>
        <v>0</v>
      </c>
      <c r="D45" s="54"/>
      <c r="E45" s="93"/>
      <c r="F45" s="890" t="s">
        <v>443</v>
      </c>
      <c r="G45" s="891">
        <v>35881</v>
      </c>
      <c r="H45" s="890" t="s">
        <v>120</v>
      </c>
      <c r="I45" s="850" t="s">
        <v>1086</v>
      </c>
      <c r="J45" s="8"/>
      <c r="K45" s="8"/>
    </row>
    <row r="46" spans="1:11">
      <c r="A46" s="590"/>
      <c r="B46" s="14" t="str">
        <f>Assm!A46</f>
        <v>Technical Services Fee</v>
      </c>
      <c r="C46" s="682">
        <f>Assm!E46</f>
        <v>169.31200000000001</v>
      </c>
      <c r="D46" s="8"/>
      <c r="E46" s="9"/>
      <c r="F46" s="890" t="s">
        <v>443</v>
      </c>
      <c r="G46" s="891">
        <v>35881</v>
      </c>
      <c r="H46" s="890" t="s">
        <v>120</v>
      </c>
      <c r="I46" s="850" t="s">
        <v>1086</v>
      </c>
    </row>
    <row r="47" spans="1:11">
      <c r="A47" s="590"/>
      <c r="B47" s="14" t="str">
        <f>Assm!A47</f>
        <v>Capital Budget Expenses (See Trapped Cash Sheet)</v>
      </c>
      <c r="C47" s="682">
        <f>Assm!E47</f>
        <v>54.825688073394495</v>
      </c>
      <c r="D47" s="153"/>
      <c r="E47" s="1049"/>
      <c r="F47" s="890" t="s">
        <v>443</v>
      </c>
      <c r="G47" s="891">
        <v>35881</v>
      </c>
      <c r="H47" s="890" t="s">
        <v>120</v>
      </c>
      <c r="I47" s="850" t="s">
        <v>1086</v>
      </c>
    </row>
    <row r="48" spans="1:11" ht="13.8" thickBot="1">
      <c r="A48" s="591"/>
      <c r="B48" s="585" t="str">
        <f>Assm!A48</f>
        <v>Operating Insurance</v>
      </c>
      <c r="C48" s="681">
        <f>Assm!E48</f>
        <v>370.83600000000001</v>
      </c>
      <c r="D48" s="77"/>
      <c r="E48" s="592"/>
      <c r="F48" s="893" t="s">
        <v>758</v>
      </c>
      <c r="G48" s="894">
        <v>36157</v>
      </c>
      <c r="H48" s="893" t="s">
        <v>121</v>
      </c>
      <c r="I48" s="896" t="s">
        <v>767</v>
      </c>
    </row>
    <row r="49" spans="1:9" ht="13.8" thickBot="1">
      <c r="F49" s="277"/>
      <c r="H49" s="277"/>
    </row>
    <row r="50" spans="1:9">
      <c r="A50" s="459" t="str">
        <f>Assm!A51</f>
        <v>TBS Transport Option ($000)</v>
      </c>
      <c r="B50" s="394" t="str">
        <f>CONCATENATE(Assm!C51," ",Assm!C52)</f>
        <v>Option Paid By TBS To GasMat To Expand Pipeline Facilities From 102,990 To 182,540 MMBTU/Day</v>
      </c>
      <c r="C50" s="686"/>
      <c r="D50" s="457"/>
      <c r="E50" s="598"/>
      <c r="F50" s="887"/>
      <c r="G50" s="888"/>
      <c r="H50" s="887"/>
      <c r="I50" s="858"/>
    </row>
    <row r="51" spans="1:9" s="8" customFormat="1">
      <c r="A51" s="137"/>
      <c r="B51" s="683"/>
      <c r="C51" s="685"/>
      <c r="D51" s="22"/>
      <c r="E51" s="684"/>
      <c r="F51" s="890"/>
      <c r="G51" s="891"/>
      <c r="H51" s="890"/>
      <c r="I51" s="850"/>
    </row>
    <row r="52" spans="1:9" s="8" customFormat="1">
      <c r="A52" s="137"/>
      <c r="B52" s="683" t="str">
        <f>Assm!A54</f>
        <v>Option Scenario (0=Off, 1=On)</v>
      </c>
      <c r="C52" s="677">
        <f>Assm!C54</f>
        <v>0</v>
      </c>
      <c r="D52" s="22"/>
      <c r="E52" s="684"/>
      <c r="F52" s="890"/>
      <c r="G52" s="891"/>
      <c r="H52" s="890"/>
      <c r="I52" s="850"/>
    </row>
    <row r="53" spans="1:9" s="8" customFormat="1">
      <c r="A53" s="137"/>
      <c r="B53" s="683" t="str">
        <f>Assm!D54</f>
        <v>Year Of Option Payment</v>
      </c>
      <c r="C53" s="677">
        <f>Assm!F54</f>
        <v>2004</v>
      </c>
      <c r="D53" s="22"/>
      <c r="E53" s="684"/>
      <c r="F53" s="890" t="s">
        <v>757</v>
      </c>
      <c r="G53" s="891">
        <v>36063</v>
      </c>
      <c r="H53" s="890" t="s">
        <v>101</v>
      </c>
      <c r="I53" s="850"/>
    </row>
    <row r="54" spans="1:9" ht="13.8" thickBot="1">
      <c r="A54" s="139"/>
      <c r="B54" s="595" t="str">
        <f>Assm!D55</f>
        <v>Option Amount</v>
      </c>
      <c r="C54" s="632">
        <f>Assm!F55</f>
        <v>5000</v>
      </c>
      <c r="D54" s="645"/>
      <c r="E54" s="596"/>
      <c r="F54" s="893" t="s">
        <v>899</v>
      </c>
      <c r="G54" s="894">
        <v>36224</v>
      </c>
      <c r="H54" s="893" t="s">
        <v>533</v>
      </c>
      <c r="I54" s="896" t="s">
        <v>967</v>
      </c>
    </row>
    <row r="55" spans="1:9" ht="13.8" thickBot="1">
      <c r="F55" s="277"/>
      <c r="H55" s="277"/>
    </row>
    <row r="56" spans="1:9">
      <c r="A56" s="459" t="str">
        <f>Assm!A57</f>
        <v>Fuel Conversion</v>
      </c>
      <c r="B56" s="544" t="s">
        <v>448</v>
      </c>
      <c r="C56" s="597">
        <f>Assm!D59</f>
        <v>9.1999999999999993</v>
      </c>
      <c r="D56" s="886" t="s">
        <v>449</v>
      </c>
      <c r="E56" s="598"/>
      <c r="F56" s="887" t="s">
        <v>759</v>
      </c>
      <c r="G56" s="888"/>
      <c r="H56" s="887"/>
      <c r="I56" s="858"/>
    </row>
    <row r="57" spans="1:9" s="8" customFormat="1">
      <c r="A57" s="137"/>
      <c r="B57" s="683" t="s">
        <v>451</v>
      </c>
      <c r="C57" s="685">
        <f>Assm!D60</f>
        <v>3.9683000000000002</v>
      </c>
      <c r="D57" s="842" t="s">
        <v>450</v>
      </c>
      <c r="E57" s="684"/>
      <c r="F57" s="890" t="s">
        <v>759</v>
      </c>
      <c r="G57" s="891"/>
      <c r="H57" s="890"/>
      <c r="I57" s="850"/>
    </row>
    <row r="58" spans="1:9" ht="13.8" thickBot="1">
      <c r="A58" s="139"/>
      <c r="B58" s="595" t="s">
        <v>291</v>
      </c>
      <c r="C58" s="599">
        <f>Assm!D61</f>
        <v>36.508359999999996</v>
      </c>
      <c r="D58" s="838" t="s">
        <v>744</v>
      </c>
      <c r="E58" s="596"/>
      <c r="F58" s="893" t="s">
        <v>116</v>
      </c>
      <c r="G58" s="894"/>
      <c r="H58" s="893"/>
      <c r="I58" s="896"/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I57"/>
  <sheetViews>
    <sheetView showGridLines="0" zoomScale="90" zoomScaleNormal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0.6640625" style="5" customWidth="1"/>
    <col min="9" max="9" width="40.6640625" style="5" customWidth="1"/>
    <col min="10" max="16384" width="9.109375" style="5"/>
  </cols>
  <sheetData>
    <row r="1" spans="1:9" s="242" customFormat="1" ht="15.6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</row>
    <row r="2" spans="1:9" s="242" customFormat="1" ht="15.6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</row>
    <row r="3" spans="1:9" s="242" customFormat="1" ht="1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</row>
    <row r="4" spans="1:9" s="242" customFormat="1" ht="15">
      <c r="A4" s="818" t="s">
        <v>110</v>
      </c>
      <c r="B4" s="133"/>
      <c r="C4" s="279"/>
      <c r="D4" s="133"/>
      <c r="E4" s="133"/>
      <c r="F4" s="283"/>
      <c r="G4" s="132"/>
      <c r="H4" s="283"/>
      <c r="I4" s="287"/>
    </row>
    <row r="5" spans="1:9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573"/>
      <c r="B6" s="576"/>
      <c r="C6" s="574"/>
      <c r="D6" s="603"/>
      <c r="E6" s="575"/>
      <c r="F6" s="576"/>
      <c r="G6" s="576"/>
      <c r="H6" s="576" t="s">
        <v>93</v>
      </c>
      <c r="I6" s="577"/>
    </row>
    <row r="7" spans="1:9">
      <c r="A7" s="578"/>
      <c r="B7" s="31"/>
      <c r="C7" s="110" t="s">
        <v>111</v>
      </c>
      <c r="D7" s="384"/>
      <c r="E7" s="115"/>
      <c r="F7" s="31"/>
      <c r="G7" s="31" t="s">
        <v>438</v>
      </c>
      <c r="H7" s="31" t="s">
        <v>112</v>
      </c>
      <c r="I7" s="439"/>
    </row>
    <row r="8" spans="1:9" ht="13.8" thickBot="1">
      <c r="A8" s="579" t="s">
        <v>95</v>
      </c>
      <c r="B8" s="583" t="s">
        <v>96</v>
      </c>
      <c r="C8" s="581" t="s">
        <v>113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9" s="8" customFormat="1" ht="13.8" thickBot="1">
      <c r="B9" s="32"/>
    </row>
    <row r="10" spans="1:9">
      <c r="A10" s="586" t="str">
        <f>Assm!H6</f>
        <v>Brazilian Taxes</v>
      </c>
      <c r="B10" s="1015" t="str">
        <f>Assm!H7</f>
        <v>Operating Taxes</v>
      </c>
      <c r="C10" s="654"/>
      <c r="D10" s="651"/>
      <c r="E10" s="588"/>
      <c r="F10" s="887"/>
      <c r="G10" s="888"/>
      <c r="H10" s="887"/>
      <c r="I10" s="889"/>
    </row>
    <row r="11" spans="1:9">
      <c r="A11" s="589"/>
      <c r="B11" s="14" t="str">
        <f>Assm!H8</f>
        <v>Corporate Income Tax</v>
      </c>
      <c r="C11" s="655">
        <f>Assm!J8</f>
        <v>0.15</v>
      </c>
      <c r="D11" s="652" t="str">
        <f>IF(Assm!K8=0," ",Assm!K8)</f>
        <v>Of Taxable Income</v>
      </c>
      <c r="E11" s="9"/>
      <c r="F11" s="890" t="s">
        <v>583</v>
      </c>
      <c r="G11" s="891">
        <v>35993</v>
      </c>
      <c r="H11" s="890" t="s">
        <v>114</v>
      </c>
      <c r="I11" s="892" t="s">
        <v>705</v>
      </c>
    </row>
    <row r="12" spans="1:9">
      <c r="A12" s="589"/>
      <c r="B12" s="14" t="str">
        <f>Assm!H9</f>
        <v>Additional Income Tax</v>
      </c>
      <c r="C12" s="655">
        <f>Assm!J9</f>
        <v>0.1</v>
      </c>
      <c r="D12" s="652" t="str">
        <f>IF(Assm!K9=0," ",Assm!K9)</f>
        <v>Income Over R$</v>
      </c>
      <c r="E12" s="9"/>
      <c r="F12" s="890" t="s">
        <v>583</v>
      </c>
      <c r="G12" s="891">
        <v>35993</v>
      </c>
      <c r="H12" s="890" t="s">
        <v>114</v>
      </c>
      <c r="I12" s="892" t="s">
        <v>706</v>
      </c>
    </row>
    <row r="13" spans="1:9">
      <c r="A13" s="589"/>
      <c r="B13" s="14" t="str">
        <f>Assm!H10</f>
        <v>Social Contribution Tax</v>
      </c>
      <c r="C13" s="655">
        <f>Assm!J10</f>
        <v>0.08</v>
      </c>
      <c r="D13" s="652" t="str">
        <f>IF(Assm!K10=0," ",Assm!K10)</f>
        <v>On Taxaable Income</v>
      </c>
      <c r="E13" s="9"/>
      <c r="F13" s="890" t="s">
        <v>583</v>
      </c>
      <c r="G13" s="891">
        <v>35993</v>
      </c>
      <c r="H13" s="890" t="s">
        <v>114</v>
      </c>
      <c r="I13" s="892" t="s">
        <v>707</v>
      </c>
    </row>
    <row r="14" spans="1:9">
      <c r="A14" s="589"/>
      <c r="B14" s="14" t="str">
        <f>Assm!H11</f>
        <v>NOL (Unlimited Carryforward, No Carryback) - Capped @</v>
      </c>
      <c r="C14" s="655">
        <f>Assm!J11</f>
        <v>0.3</v>
      </c>
      <c r="D14" s="652" t="str">
        <f>IF(Assm!K11=0," ",Assm!K11)</f>
        <v xml:space="preserve">Of Taxable Income </v>
      </c>
      <c r="E14" s="9"/>
      <c r="F14" s="890" t="s">
        <v>583</v>
      </c>
      <c r="G14" s="891">
        <v>35993</v>
      </c>
      <c r="H14" s="890" t="s">
        <v>114</v>
      </c>
      <c r="I14" s="892" t="s">
        <v>713</v>
      </c>
    </row>
    <row r="15" spans="1:9">
      <c r="A15" s="589"/>
      <c r="B15" s="14" t="str">
        <f>Assm!H12</f>
        <v>W/H Tax - Dividends (Non-Residents)</v>
      </c>
      <c r="C15" s="655">
        <f>Assm!J12</f>
        <v>0</v>
      </c>
      <c r="D15" s="652" t="str">
        <f>IF(Assm!K12=0," ",Assm!K12)</f>
        <v>Income Earned After 1/1/96 Exempt</v>
      </c>
      <c r="E15" s="9"/>
      <c r="F15" s="890" t="s">
        <v>583</v>
      </c>
      <c r="G15" s="891">
        <v>35993</v>
      </c>
      <c r="H15" s="890" t="s">
        <v>114</v>
      </c>
      <c r="I15" s="892" t="s">
        <v>708</v>
      </c>
    </row>
    <row r="16" spans="1:9">
      <c r="A16" s="589"/>
      <c r="B16" s="14" t="str">
        <f>Assm!H13</f>
        <v>W/H Tax - Interest (Non-MLA's)</v>
      </c>
      <c r="C16" s="655">
        <f>Assm!J13</f>
        <v>0.15</v>
      </c>
      <c r="D16" s="652" t="str">
        <f>IF(Assm!K13=0," ",Assm!K13)</f>
        <v>Gross Up For Interest Payments</v>
      </c>
      <c r="E16" s="9"/>
      <c r="F16" s="890" t="s">
        <v>583</v>
      </c>
      <c r="G16" s="891">
        <v>35993</v>
      </c>
      <c r="H16" s="890" t="s">
        <v>114</v>
      </c>
      <c r="I16" s="892" t="s">
        <v>709</v>
      </c>
    </row>
    <row r="17" spans="1:9">
      <c r="A17" s="589"/>
      <c r="B17" s="14" t="str">
        <f>Assm!H15</f>
        <v>W/H Tax On Services (Non-Residents)</v>
      </c>
      <c r="C17" s="655">
        <f>Assm!J15</f>
        <v>0.15</v>
      </c>
      <c r="D17" s="652" t="str">
        <f>IF(Assm!K15=0," ",Assm!K15)</f>
        <v>Grossed Up At Project Level</v>
      </c>
      <c r="E17" s="9"/>
      <c r="F17" s="890" t="s">
        <v>583</v>
      </c>
      <c r="G17" s="891">
        <v>35993</v>
      </c>
      <c r="H17" s="890" t="s">
        <v>114</v>
      </c>
      <c r="I17" s="892" t="s">
        <v>710</v>
      </c>
    </row>
    <row r="18" spans="1:9">
      <c r="A18" s="589"/>
      <c r="B18" s="14" t="str">
        <f>Assm!H16</f>
        <v>PIS - Social Contribution</v>
      </c>
      <c r="C18" s="655">
        <f>Assm!J16</f>
        <v>6.4999999999999997E-3</v>
      </c>
      <c r="D18" s="652" t="str">
        <f>IF(Assm!K16=0," ",Assm!K16)</f>
        <v>On Gross Turnover</v>
      </c>
      <c r="E18" s="9"/>
      <c r="F18" s="890" t="s">
        <v>583</v>
      </c>
      <c r="G18" s="891">
        <v>35993</v>
      </c>
      <c r="H18" s="890" t="s">
        <v>114</v>
      </c>
      <c r="I18" s="892" t="s">
        <v>711</v>
      </c>
    </row>
    <row r="19" spans="1:9">
      <c r="A19" s="589"/>
      <c r="B19" s="14" t="str">
        <f>Assm!H17</f>
        <v>COFINS - Social Contribution</v>
      </c>
      <c r="C19" s="655">
        <f>Assm!J17</f>
        <v>0.03</v>
      </c>
      <c r="D19" s="652" t="str">
        <f>IF(Assm!K17=0," ",Assm!K17)</f>
        <v>On Gross Turnover</v>
      </c>
      <c r="E19" s="9"/>
      <c r="F19" s="890" t="s">
        <v>583</v>
      </c>
      <c r="G19" s="891">
        <v>35993</v>
      </c>
      <c r="H19" s="890" t="s">
        <v>114</v>
      </c>
      <c r="I19" s="892" t="s">
        <v>712</v>
      </c>
    </row>
    <row r="20" spans="1:9">
      <c r="A20" s="589"/>
      <c r="B20" s="14" t="str">
        <f>Assm!H18</f>
        <v>Payroll Tax</v>
      </c>
      <c r="C20" s="655">
        <f>Assm!J18</f>
        <v>0.28999999999999998</v>
      </c>
      <c r="D20" s="652" t="str">
        <f>IF(Assm!K18=0," ",Assm!K18)</f>
        <v>On Payroll (Included In O&amp;M)</v>
      </c>
      <c r="E20" s="9"/>
      <c r="F20" s="890" t="s">
        <v>583</v>
      </c>
      <c r="G20" s="891">
        <v>35993</v>
      </c>
      <c r="H20" s="890" t="s">
        <v>114</v>
      </c>
      <c r="I20" s="892" t="s">
        <v>714</v>
      </c>
    </row>
    <row r="21" spans="1:9">
      <c r="A21" s="589"/>
      <c r="B21" s="14" t="str">
        <f>Assm!H19</f>
        <v>Severence Fund</v>
      </c>
      <c r="C21" s="655">
        <f>Assm!J19</f>
        <v>0.08</v>
      </c>
      <c r="D21" s="652" t="str">
        <f>IF(Assm!K19=0," ",Assm!K19)</f>
        <v>On Payroll (Included In O&amp;M)</v>
      </c>
      <c r="E21" s="9"/>
      <c r="F21" s="890" t="s">
        <v>583</v>
      </c>
      <c r="G21" s="891">
        <v>35993</v>
      </c>
      <c r="H21" s="890" t="s">
        <v>114</v>
      </c>
      <c r="I21" s="892" t="s">
        <v>715</v>
      </c>
    </row>
    <row r="22" spans="1:9">
      <c r="A22" s="589"/>
      <c r="B22" s="14" t="str">
        <f>Assm!H20</f>
        <v>Education Fund</v>
      </c>
      <c r="C22" s="655">
        <f>Assm!J20</f>
        <v>2.5000000000000001E-2</v>
      </c>
      <c r="D22" s="652" t="str">
        <f>IF(Assm!K20=0," ",Assm!K20)</f>
        <v>On Payroll (Included In O&amp;M)</v>
      </c>
      <c r="E22" s="9"/>
      <c r="F22" s="890" t="s">
        <v>979</v>
      </c>
      <c r="G22" s="891">
        <v>35765</v>
      </c>
      <c r="H22" s="890" t="s">
        <v>114</v>
      </c>
      <c r="I22" s="892" t="s">
        <v>980</v>
      </c>
    </row>
    <row r="23" spans="1:9">
      <c r="A23" s="589"/>
      <c r="B23" s="14" t="str">
        <f>Assm!H21</f>
        <v>ICMS - Fuel Purchases</v>
      </c>
      <c r="C23" s="655">
        <f>Assm!J21</f>
        <v>0.17</v>
      </c>
      <c r="D23" s="652" t="str">
        <f>IF(Assm!K21=0," ",Assm!K21)</f>
        <v>Exempt</v>
      </c>
      <c r="E23" s="9"/>
      <c r="F23" s="890" t="s">
        <v>583</v>
      </c>
      <c r="G23" s="891">
        <v>36059</v>
      </c>
      <c r="H23" s="890" t="s">
        <v>114</v>
      </c>
      <c r="I23" s="892" t="s">
        <v>978</v>
      </c>
    </row>
    <row r="24" spans="1:9">
      <c r="A24" s="589"/>
      <c r="B24" s="14" t="str">
        <f>Assm!H22</f>
        <v>ICMS - Transportation</v>
      </c>
      <c r="C24" s="655">
        <f>Assm!J22</f>
        <v>0.17</v>
      </c>
      <c r="D24" s="652" t="str">
        <f>IF(Assm!K22=0," ",Assm!K22)</f>
        <v>Exempt</v>
      </c>
      <c r="E24" s="9"/>
      <c r="F24" s="890" t="s">
        <v>583</v>
      </c>
      <c r="G24" s="891">
        <v>36059</v>
      </c>
      <c r="H24" s="890" t="s">
        <v>114</v>
      </c>
      <c r="I24" s="892" t="s">
        <v>978</v>
      </c>
    </row>
    <row r="25" spans="1:9">
      <c r="A25" s="589"/>
      <c r="B25" s="14" t="str">
        <f>Assm!H23</f>
        <v>ISS - Services Rendered Tax</v>
      </c>
      <c r="C25" s="655">
        <f>Assm!J23</f>
        <v>0</v>
      </c>
      <c r="D25" s="652" t="str">
        <f>IF(Assm!K23=0," ",Assm!K23)</f>
        <v>Avg Between 2%-5% (Exempt)</v>
      </c>
      <c r="E25" s="9"/>
      <c r="F25" s="890" t="s">
        <v>583</v>
      </c>
      <c r="G25" s="891">
        <v>35993</v>
      </c>
      <c r="H25" s="890" t="s">
        <v>114</v>
      </c>
      <c r="I25" s="892" t="s">
        <v>717</v>
      </c>
    </row>
    <row r="26" spans="1:9">
      <c r="A26" s="589"/>
      <c r="B26" s="1014" t="str">
        <f>Assm!H24</f>
        <v>Customs Duties</v>
      </c>
      <c r="C26" s="655"/>
      <c r="D26" s="652"/>
      <c r="E26" s="9"/>
      <c r="F26" s="890"/>
      <c r="G26" s="891"/>
      <c r="H26" s="890"/>
      <c r="I26" s="892"/>
    </row>
    <row r="27" spans="1:9">
      <c r="A27" s="589"/>
      <c r="B27" s="14" t="str">
        <f>Assm!H25</f>
        <v>ICMS - Equipment</v>
      </c>
      <c r="C27" s="655">
        <f>Assm!J25</f>
        <v>0.17</v>
      </c>
      <c r="D27" s="652" t="str">
        <f>IF(Assm!K25=0," ",Assm!K25)</f>
        <v>Included In Turnkey</v>
      </c>
      <c r="E27" s="9"/>
      <c r="F27" s="890" t="s">
        <v>965</v>
      </c>
      <c r="G27" s="891">
        <v>35664</v>
      </c>
      <c r="H27" s="890" t="s">
        <v>533</v>
      </c>
      <c r="I27" s="892" t="s">
        <v>966</v>
      </c>
    </row>
    <row r="28" spans="1:9">
      <c r="A28" s="589"/>
      <c r="B28" s="14" t="str">
        <f>Assm!H26</f>
        <v>Import Duties</v>
      </c>
      <c r="C28" s="655">
        <f>Assm!J26</f>
        <v>0.15</v>
      </c>
      <c r="D28" s="652" t="str">
        <f>IF(Assm!K26=0," ",Assm!K26)</f>
        <v>Included In Turnkey</v>
      </c>
      <c r="E28" s="9"/>
      <c r="F28" s="890" t="s">
        <v>965</v>
      </c>
      <c r="G28" s="891">
        <v>35664</v>
      </c>
      <c r="H28" s="890" t="s">
        <v>533</v>
      </c>
      <c r="I28" s="892" t="s">
        <v>966</v>
      </c>
    </row>
    <row r="29" spans="1:9" ht="13.8" thickBot="1">
      <c r="A29" s="606"/>
      <c r="B29" s="585" t="str">
        <f>Assm!H27</f>
        <v>IPI - Industrial Products Tax</v>
      </c>
      <c r="C29" s="656">
        <f>Assm!J27</f>
        <v>8.6999999999999994E-2</v>
      </c>
      <c r="D29" s="653" t="str">
        <f>IF(Assm!K27=0," ",Assm!K27)</f>
        <v>Included In Turnkey</v>
      </c>
      <c r="E29" s="592"/>
      <c r="F29" s="893" t="s">
        <v>965</v>
      </c>
      <c r="G29" s="894">
        <v>35664</v>
      </c>
      <c r="H29" s="893" t="s">
        <v>533</v>
      </c>
      <c r="I29" s="895" t="s">
        <v>966</v>
      </c>
    </row>
    <row r="30" spans="1:9" ht="13.8" thickBot="1">
      <c r="A30" s="8"/>
      <c r="B30" s="8"/>
      <c r="C30" s="8"/>
      <c r="F30" s="8"/>
      <c r="G30" s="8"/>
      <c r="H30" s="8"/>
      <c r="I30" s="8"/>
    </row>
    <row r="31" spans="1:9">
      <c r="A31" s="586" t="str">
        <f>Assm!H29</f>
        <v>Sudam Tax Credits</v>
      </c>
      <c r="B31" s="607" t="s">
        <v>514</v>
      </c>
      <c r="C31" s="608">
        <v>1</v>
      </c>
      <c r="D31" s="609"/>
      <c r="E31" s="609"/>
      <c r="F31" s="897"/>
      <c r="G31" s="897"/>
      <c r="H31" s="897"/>
      <c r="I31" s="898"/>
    </row>
    <row r="32" spans="1:9">
      <c r="A32" s="589"/>
      <c r="B32" s="380" t="str">
        <f>Assm!H30</f>
        <v>Credits Held In A Reserve (Non Distributable As Dividends, Only As Trapped Cash Loans)</v>
      </c>
      <c r="C32" s="373"/>
      <c r="D32" s="381"/>
      <c r="E32" s="381"/>
      <c r="F32" s="899" t="s">
        <v>578</v>
      </c>
      <c r="G32" s="891">
        <v>36061</v>
      </c>
      <c r="H32" s="899" t="s">
        <v>114</v>
      </c>
      <c r="I32" s="900"/>
    </row>
    <row r="33" spans="1:9">
      <c r="A33" s="589"/>
      <c r="B33" s="380" t="str">
        <f>Assm!H31</f>
        <v>Reserve Can Be Used Against Net Losses (Forward &amp; Backward)</v>
      </c>
      <c r="C33" s="373"/>
      <c r="D33" s="381"/>
      <c r="E33" s="381"/>
      <c r="F33" s="899" t="s">
        <v>578</v>
      </c>
      <c r="G33" s="891">
        <v>36061</v>
      </c>
      <c r="H33" s="899" t="s">
        <v>114</v>
      </c>
      <c r="I33" s="900"/>
    </row>
    <row r="34" spans="1:9">
      <c r="A34" s="589"/>
      <c r="B34" s="380" t="str">
        <f>Assm!H32</f>
        <v>Credit Available = Tax Rate X Operating Income Reduced By Below %</v>
      </c>
      <c r="C34" s="373"/>
      <c r="D34" s="381"/>
      <c r="E34" s="381"/>
      <c r="F34" s="899" t="s">
        <v>578</v>
      </c>
      <c r="G34" s="891">
        <v>36061</v>
      </c>
      <c r="H34" s="899" t="s">
        <v>114</v>
      </c>
      <c r="I34" s="900"/>
    </row>
    <row r="35" spans="1:9">
      <c r="A35" s="589"/>
      <c r="B35" s="380" t="str">
        <f>Assm!H33</f>
        <v>Final Year Of Tax Credits ==&gt;</v>
      </c>
      <c r="C35" s="385">
        <f>Assm!I33</f>
        <v>2013</v>
      </c>
      <c r="D35" s="381"/>
      <c r="E35" s="381"/>
      <c r="F35" s="899" t="s">
        <v>578</v>
      </c>
      <c r="G35" s="891">
        <v>36061</v>
      </c>
      <c r="H35" s="899" t="s">
        <v>114</v>
      </c>
      <c r="I35" s="900"/>
    </row>
    <row r="36" spans="1:9">
      <c r="A36" s="589"/>
      <c r="B36" s="3" t="str">
        <f>Assm!H35</f>
        <v>Tax Period Starting In Year</v>
      </c>
      <c r="C36" s="382">
        <f>Assm!I35</f>
        <v>1998</v>
      </c>
      <c r="D36" s="383">
        <f>Assm!J35</f>
        <v>2004</v>
      </c>
      <c r="E36" s="383">
        <f>Assm!K35</f>
        <v>2009</v>
      </c>
      <c r="F36" s="899" t="s">
        <v>578</v>
      </c>
      <c r="G36" s="891">
        <v>36061</v>
      </c>
      <c r="H36" s="899" t="s">
        <v>114</v>
      </c>
      <c r="I36" s="900"/>
    </row>
    <row r="37" spans="1:9" ht="13.8" thickBot="1">
      <c r="A37" s="606"/>
      <c r="B37" s="568" t="str">
        <f>Assm!H36</f>
        <v>Tax Credit Rate Applicable</v>
      </c>
      <c r="C37" s="610">
        <f>Assm!I36</f>
        <v>0.375</v>
      </c>
      <c r="D37" s="611">
        <f>Assm!J36</f>
        <v>0.25</v>
      </c>
      <c r="E37" s="611">
        <f>Assm!K36</f>
        <v>0.125</v>
      </c>
      <c r="F37" s="901" t="s">
        <v>578</v>
      </c>
      <c r="G37" s="894">
        <v>36061</v>
      </c>
      <c r="H37" s="901" t="s">
        <v>114</v>
      </c>
      <c r="I37" s="902"/>
    </row>
    <row r="38" spans="1:9" s="8" customFormat="1" ht="13.8" thickBot="1"/>
    <row r="39" spans="1:9">
      <c r="A39" s="586" t="str">
        <f>Assm!H38</f>
        <v>US Taxes</v>
      </c>
      <c r="B39" s="544" t="str">
        <f>Assm!H39</f>
        <v>Tax Position</v>
      </c>
      <c r="C39" s="612" t="str">
        <f>Assm!J39</f>
        <v>Deferral</v>
      </c>
      <c r="D39" s="146"/>
      <c r="E39" s="613"/>
      <c r="F39" s="887" t="s">
        <v>861</v>
      </c>
      <c r="G39" s="888">
        <v>36004</v>
      </c>
      <c r="H39" s="887" t="s">
        <v>533</v>
      </c>
      <c r="I39" s="889"/>
    </row>
    <row r="40" spans="1:9" ht="13.8" thickBot="1">
      <c r="A40" s="591"/>
      <c r="B40" s="585" t="str">
        <f>Assm!H40</f>
        <v>Federal Income Tax</v>
      </c>
      <c r="C40" s="614">
        <f>Assm!J40</f>
        <v>0.37</v>
      </c>
      <c r="D40" s="615"/>
      <c r="E40" s="616"/>
      <c r="F40" s="893" t="s">
        <v>871</v>
      </c>
      <c r="G40" s="894"/>
      <c r="H40" s="893"/>
      <c r="I40" s="895"/>
    </row>
    <row r="41" spans="1:9" ht="13.8" thickBot="1">
      <c r="A41" s="8"/>
      <c r="B41" s="8"/>
      <c r="C41" s="8"/>
      <c r="D41" s="8"/>
      <c r="F41" s="8"/>
      <c r="G41" s="8"/>
      <c r="H41" s="8"/>
      <c r="I41" s="8"/>
    </row>
    <row r="42" spans="1:9">
      <c r="A42" s="586" t="str">
        <f>Assm!H42</f>
        <v>Depreciation Assumptions</v>
      </c>
      <c r="B42" s="544"/>
      <c r="C42" s="688" t="s">
        <v>115</v>
      </c>
      <c r="D42" s="643" t="s">
        <v>149</v>
      </c>
      <c r="E42" s="594" t="s">
        <v>745</v>
      </c>
      <c r="F42" s="887"/>
      <c r="G42" s="888"/>
      <c r="H42" s="887"/>
      <c r="I42" s="889"/>
    </row>
    <row r="43" spans="1:9">
      <c r="A43" s="590"/>
      <c r="B43" s="14" t="str">
        <f>Assm!H44</f>
        <v>Tax</v>
      </c>
      <c r="C43" s="689">
        <f ca="1">Assm!J44</f>
        <v>126412.00464369243</v>
      </c>
      <c r="D43" s="43" t="str">
        <f>Assm!L44</f>
        <v>S/L</v>
      </c>
      <c r="E43" s="690">
        <f>Assm!K44</f>
        <v>20</v>
      </c>
      <c r="F43" s="890" t="s">
        <v>583</v>
      </c>
      <c r="G43" s="891">
        <v>35993</v>
      </c>
      <c r="H43" s="890" t="s">
        <v>114</v>
      </c>
      <c r="I43" s="892" t="s">
        <v>760</v>
      </c>
    </row>
    <row r="44" spans="1:9">
      <c r="A44" s="590"/>
      <c r="B44" s="14" t="str">
        <f>Assm!H45</f>
        <v>Book</v>
      </c>
      <c r="C44" s="691">
        <f ca="1">Assm!J45</f>
        <v>126412.00464369243</v>
      </c>
      <c r="D44" s="43" t="str">
        <f>Assm!L45</f>
        <v>S/L</v>
      </c>
      <c r="E44" s="690">
        <f>Assm!K45</f>
        <v>20</v>
      </c>
      <c r="F44" s="890" t="s">
        <v>872</v>
      </c>
      <c r="G44" s="891"/>
      <c r="H44" s="890"/>
      <c r="I44" s="892"/>
    </row>
    <row r="45" spans="1:9" ht="13.8" thickBot="1">
      <c r="A45" s="591"/>
      <c r="B45" s="585" t="str">
        <f>Assm!H46</f>
        <v>GAAP</v>
      </c>
      <c r="C45" s="221">
        <f ca="1">Assm!J46</f>
        <v>126412.00464369243</v>
      </c>
      <c r="D45" s="693" t="str">
        <f>Assm!L46</f>
        <v>S/L</v>
      </c>
      <c r="E45" s="692">
        <f>Assm!K46</f>
        <v>20</v>
      </c>
      <c r="F45" s="893" t="s">
        <v>872</v>
      </c>
      <c r="G45" s="894"/>
      <c r="H45" s="893"/>
      <c r="I45" s="895"/>
    </row>
    <row r="46" spans="1:9" ht="13.8" thickBot="1">
      <c r="A46" s="8"/>
      <c r="B46" s="8"/>
      <c r="C46" s="8"/>
      <c r="D46" s="8"/>
      <c r="F46" s="8"/>
      <c r="G46" s="8"/>
      <c r="H46" s="83"/>
      <c r="I46" s="8"/>
    </row>
    <row r="47" spans="1:9">
      <c r="A47" s="586" t="str">
        <f>Assm!H48</f>
        <v>Trapped Cash</v>
      </c>
      <c r="B47" s="544" t="str">
        <f>Assm!H49</f>
        <v>Distributions Limited To Retained Earnings</v>
      </c>
      <c r="C47" s="1087"/>
      <c r="D47" s="510"/>
      <c r="E47" s="1088"/>
      <c r="F47" s="887"/>
      <c r="G47" s="888"/>
      <c r="H47" s="887"/>
      <c r="I47" s="858"/>
    </row>
    <row r="48" spans="1:9">
      <c r="A48" s="137"/>
      <c r="B48" s="14" t="str">
        <f>Assm!H54</f>
        <v>Interest Income To Project On Trapped Cash Loans</v>
      </c>
      <c r="C48" s="350"/>
      <c r="D48" s="18">
        <f>Assm!L54</f>
        <v>0.05</v>
      </c>
      <c r="E48" s="351"/>
      <c r="F48" s="890" t="s">
        <v>861</v>
      </c>
      <c r="G48" s="891">
        <v>36004</v>
      </c>
      <c r="H48" s="890" t="s">
        <v>533</v>
      </c>
      <c r="I48" s="850" t="s">
        <v>1070</v>
      </c>
    </row>
    <row r="49" spans="1:9" ht="13.8" thickBot="1">
      <c r="A49" s="139"/>
      <c r="B49" s="585" t="str">
        <f>Assm!H55</f>
        <v>Interest Expense To Shareholders On Trapped Cash Loans</v>
      </c>
      <c r="C49" s="1090"/>
      <c r="D49" s="1091">
        <f>Assm!L55</f>
        <v>0.06</v>
      </c>
      <c r="E49" s="1089"/>
      <c r="F49" s="893" t="s">
        <v>861</v>
      </c>
      <c r="G49" s="894">
        <v>36004</v>
      </c>
      <c r="H49" s="893" t="s">
        <v>533</v>
      </c>
      <c r="I49" s="896" t="s">
        <v>1070</v>
      </c>
    </row>
    <row r="50" spans="1:9" ht="13.8" thickBot="1">
      <c r="A50" s="8"/>
      <c r="B50" s="95"/>
      <c r="C50" s="8"/>
      <c r="D50" s="81"/>
      <c r="E50" s="81"/>
      <c r="F50" s="8"/>
      <c r="G50" s="117"/>
      <c r="H50" s="8"/>
      <c r="I50" s="8"/>
    </row>
    <row r="51" spans="1:9" ht="13.8" thickBot="1">
      <c r="A51" s="620" t="str">
        <f>Assm!H57</f>
        <v>Exchange Rate</v>
      </c>
      <c r="B51" s="621"/>
      <c r="C51" s="622">
        <f>Assm!L57</f>
        <v>1.0649999999999999</v>
      </c>
      <c r="D51" s="623" t="s">
        <v>445</v>
      </c>
      <c r="E51" s="624"/>
      <c r="F51" s="903" t="s">
        <v>118</v>
      </c>
      <c r="G51" s="904">
        <v>35551</v>
      </c>
      <c r="H51" s="903" t="s">
        <v>118</v>
      </c>
      <c r="I51" s="905"/>
    </row>
    <row r="52" spans="1:9" ht="13.8" thickBot="1"/>
    <row r="53" spans="1:9">
      <c r="A53" s="586" t="str">
        <f>Assm!H63</f>
        <v>Interest On Net Equity (INE)</v>
      </c>
      <c r="B53" s="394" t="str">
        <f>Assm!H64</f>
        <v>Limited To The Lesser Of</v>
      </c>
      <c r="C53" s="605">
        <f>Assm!I64</f>
        <v>0.5</v>
      </c>
      <c r="D53" s="74" t="str">
        <f>Assm!J64</f>
        <v>Of Earnings Before Taxes</v>
      </c>
      <c r="E53" s="588"/>
      <c r="F53" s="887" t="s">
        <v>583</v>
      </c>
      <c r="G53" s="888">
        <v>35579</v>
      </c>
      <c r="H53" s="906" t="s">
        <v>114</v>
      </c>
      <c r="I53" s="858" t="s">
        <v>761</v>
      </c>
    </row>
    <row r="54" spans="1:9" ht="13.8" thickBot="1">
      <c r="A54" s="591"/>
      <c r="B54" s="568"/>
      <c r="C54" s="602">
        <f>Assm!I65</f>
        <v>0.1</v>
      </c>
      <c r="D54" s="77" t="str">
        <f>Assm!J65</f>
        <v>Of Total Equity For Life Of Project (TJLP)</v>
      </c>
      <c r="E54" s="617"/>
      <c r="F54" s="893" t="s">
        <v>583</v>
      </c>
      <c r="G54" s="894">
        <v>35579</v>
      </c>
      <c r="H54" s="907" t="s">
        <v>114</v>
      </c>
      <c r="I54" s="896" t="s">
        <v>761</v>
      </c>
    </row>
    <row r="55" spans="1:9" ht="13.8" thickBot="1"/>
    <row r="56" spans="1:9">
      <c r="A56" s="586" t="str">
        <f>Assm!H77</f>
        <v>Political Risk Insurance</v>
      </c>
      <c r="B56" s="680" t="str">
        <f>Assm!J78</f>
        <v>Partner Level Only</v>
      </c>
      <c r="C56" s="394"/>
      <c r="D56" s="74"/>
      <c r="E56" s="588"/>
      <c r="F56" s="887"/>
      <c r="G56" s="888"/>
      <c r="H56" s="887"/>
      <c r="I56" s="858"/>
    </row>
    <row r="57" spans="1:9" ht="13.8" thickBot="1">
      <c r="A57" s="591"/>
      <c r="B57" s="585" t="str">
        <f>Assm!H78</f>
        <v>Book Earnings Method</v>
      </c>
      <c r="C57" s="619">
        <f>Opic</f>
        <v>0.01</v>
      </c>
      <c r="D57" s="147"/>
      <c r="E57" s="617"/>
      <c r="F57" s="893" t="s">
        <v>762</v>
      </c>
      <c r="G57" s="894">
        <v>36084</v>
      </c>
      <c r="H57" s="893" t="s">
        <v>763</v>
      </c>
      <c r="I57" s="896" t="s">
        <v>582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autoPageBreaks="0" fitToPage="1"/>
  </sheetPr>
  <dimension ref="A1:I61"/>
  <sheetViews>
    <sheetView showGridLines="0" zoomScale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3.6640625" style="5" customWidth="1"/>
    <col min="9" max="9" width="40.6640625" style="5" customWidth="1"/>
    <col min="10" max="16384" width="9.109375" style="5"/>
  </cols>
  <sheetData>
    <row r="1" spans="1:9" s="242" customFormat="1" ht="15.6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</row>
    <row r="2" spans="1:9" s="242" customFormat="1" ht="15.6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</row>
    <row r="3" spans="1:9" s="242" customFormat="1" ht="1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</row>
    <row r="4" spans="1:9" s="242" customFormat="1" ht="15">
      <c r="A4" s="818" t="s">
        <v>119</v>
      </c>
      <c r="B4" s="133"/>
      <c r="C4" s="279"/>
      <c r="D4" s="133"/>
      <c r="E4" s="133"/>
      <c r="F4" s="283"/>
      <c r="G4" s="132"/>
      <c r="H4" s="283"/>
      <c r="I4" s="287"/>
    </row>
    <row r="5" spans="1:9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573"/>
      <c r="B6" s="576"/>
      <c r="C6" s="574"/>
      <c r="D6" s="603"/>
      <c r="E6" s="575"/>
      <c r="F6" s="576"/>
      <c r="G6" s="576"/>
      <c r="H6" s="576" t="s">
        <v>93</v>
      </c>
      <c r="I6" s="577"/>
    </row>
    <row r="7" spans="1:9">
      <c r="A7" s="578"/>
      <c r="B7" s="31"/>
      <c r="C7" s="110" t="s">
        <v>111</v>
      </c>
      <c r="D7" s="384"/>
      <c r="E7" s="115"/>
      <c r="F7" s="31"/>
      <c r="G7" s="31" t="s">
        <v>438</v>
      </c>
      <c r="H7" s="31" t="s">
        <v>112</v>
      </c>
      <c r="I7" s="439"/>
    </row>
    <row r="8" spans="1:9" ht="13.8" thickBot="1">
      <c r="A8" s="579" t="s">
        <v>95</v>
      </c>
      <c r="B8" s="583" t="s">
        <v>96</v>
      </c>
      <c r="C8" s="581" t="s">
        <v>113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9" s="8" customFormat="1" ht="13.8" thickBot="1">
      <c r="B9" s="32"/>
    </row>
    <row r="10" spans="1:9">
      <c r="A10" s="586" t="str">
        <f>Assm!N6</f>
        <v>Project Costs ($000)</v>
      </c>
      <c r="B10" s="884" t="s">
        <v>104</v>
      </c>
      <c r="C10" s="626" t="str">
        <f>Assm!R6</f>
        <v>Total</v>
      </c>
      <c r="D10" s="157"/>
      <c r="E10" s="627"/>
      <c r="F10" s="887"/>
      <c r="G10" s="888"/>
      <c r="H10" s="887"/>
      <c r="I10" s="889"/>
    </row>
    <row r="11" spans="1:9">
      <c r="A11" s="589"/>
      <c r="B11" s="14" t="str">
        <f>Assm!N7</f>
        <v>EPC Turnkey Contract</v>
      </c>
      <c r="C11" s="60">
        <f>Assm!R7</f>
        <v>66413.134999999995</v>
      </c>
      <c r="D11" s="54"/>
      <c r="E11" s="93"/>
      <c r="F11" s="890" t="s">
        <v>858</v>
      </c>
      <c r="G11" s="891">
        <v>35664</v>
      </c>
      <c r="H11" s="890" t="s">
        <v>533</v>
      </c>
      <c r="I11" s="892" t="s">
        <v>859</v>
      </c>
    </row>
    <row r="12" spans="1:9">
      <c r="A12" s="590"/>
      <c r="B12" s="14" t="str">
        <f>Assm!N8</f>
        <v>Approved Change Orders</v>
      </c>
      <c r="C12" s="60">
        <f>Assm!R8</f>
        <v>5631.9449999999997</v>
      </c>
      <c r="D12" s="54"/>
      <c r="E12" s="93"/>
      <c r="F12" s="890" t="s">
        <v>1058</v>
      </c>
      <c r="G12" s="891">
        <v>36209</v>
      </c>
      <c r="H12" s="890" t="s">
        <v>1059</v>
      </c>
      <c r="I12" s="892" t="s">
        <v>1060</v>
      </c>
    </row>
    <row r="13" spans="1:9">
      <c r="A13" s="590"/>
      <c r="B13" s="14" t="str">
        <f>Assm!N9</f>
        <v>Pending Change Orders</v>
      </c>
      <c r="C13" s="60">
        <f>Assm!R9</f>
        <v>200.44399999999999</v>
      </c>
      <c r="D13" s="54"/>
      <c r="E13" s="93"/>
      <c r="F13" s="890" t="s">
        <v>1061</v>
      </c>
      <c r="G13" s="891">
        <v>36407</v>
      </c>
      <c r="H13" s="890" t="s">
        <v>1089</v>
      </c>
      <c r="I13" s="892" t="s">
        <v>1090</v>
      </c>
    </row>
    <row r="14" spans="1:9">
      <c r="A14" s="590"/>
      <c r="B14" s="14" t="str">
        <f>Assm!N10</f>
        <v>Other Change Orders</v>
      </c>
      <c r="C14" s="60">
        <f>Assm!R10</f>
        <v>16999</v>
      </c>
      <c r="D14" s="54"/>
      <c r="E14" s="93"/>
      <c r="F14" s="890" t="s">
        <v>1062</v>
      </c>
      <c r="G14" s="891">
        <v>36297</v>
      </c>
      <c r="H14" s="890" t="s">
        <v>1063</v>
      </c>
      <c r="I14" s="892" t="s">
        <v>942</v>
      </c>
    </row>
    <row r="15" spans="1:9">
      <c r="A15" s="590"/>
      <c r="B15" s="14" t="str">
        <f>Assm!N12</f>
        <v>Turnkey Tax Adjustment (0=Off, 1=On)</v>
      </c>
      <c r="C15" s="330">
        <f>Assm!R12</f>
        <v>1136.7827419411765</v>
      </c>
      <c r="D15" s="54"/>
      <c r="E15" s="93"/>
      <c r="F15" s="890" t="s">
        <v>858</v>
      </c>
      <c r="G15" s="891">
        <v>35664</v>
      </c>
      <c r="H15" s="890" t="s">
        <v>533</v>
      </c>
      <c r="I15" s="892" t="s">
        <v>860</v>
      </c>
    </row>
    <row r="16" spans="1:9">
      <c r="A16" s="590"/>
      <c r="B16" s="114" t="str">
        <f>Assm!N13</f>
        <v>Total Turnkey Construction</v>
      </c>
      <c r="C16" s="329">
        <f>Assm!R13</f>
        <v>90202.157741941162</v>
      </c>
      <c r="D16" s="125"/>
      <c r="E16" s="106"/>
      <c r="F16" s="890"/>
      <c r="G16" s="891"/>
      <c r="H16" s="890"/>
      <c r="I16" s="892"/>
    </row>
    <row r="17" spans="1:9">
      <c r="A17" s="590"/>
      <c r="B17" s="114"/>
      <c r="C17" s="329"/>
      <c r="D17" s="125"/>
      <c r="E17" s="106"/>
      <c r="F17" s="890"/>
      <c r="G17" s="891"/>
      <c r="H17" s="890"/>
      <c r="I17" s="892"/>
    </row>
    <row r="18" spans="1:9">
      <c r="A18" s="590"/>
      <c r="B18" s="14" t="str">
        <f>Assm!N15</f>
        <v>Linefill</v>
      </c>
      <c r="C18" s="60">
        <f>Assm!R15</f>
        <v>146</v>
      </c>
      <c r="D18" s="54"/>
      <c r="E18" s="93"/>
      <c r="F18" s="890" t="s">
        <v>937</v>
      </c>
      <c r="G18" s="891">
        <v>36294</v>
      </c>
      <c r="H18" s="890" t="s">
        <v>938</v>
      </c>
      <c r="I18" s="892" t="s">
        <v>939</v>
      </c>
    </row>
    <row r="19" spans="1:9">
      <c r="A19" s="590"/>
      <c r="B19" s="14" t="str">
        <f>Assm!N16</f>
        <v>Land &amp; Rights Of Way</v>
      </c>
      <c r="C19" s="60">
        <f>Assm!R16</f>
        <v>994</v>
      </c>
      <c r="D19" s="54"/>
      <c r="E19" s="93"/>
      <c r="F19" s="890" t="s">
        <v>937</v>
      </c>
      <c r="G19" s="891">
        <v>36294</v>
      </c>
      <c r="H19" s="890" t="s">
        <v>938</v>
      </c>
      <c r="I19" s="892" t="s">
        <v>939</v>
      </c>
    </row>
    <row r="20" spans="1:9">
      <c r="A20" s="590"/>
      <c r="B20" s="14" t="str">
        <f>Assm!N17</f>
        <v>Consulting Fees</v>
      </c>
      <c r="C20" s="60">
        <f>Assm!R17</f>
        <v>556</v>
      </c>
      <c r="D20" s="54"/>
      <c r="E20" s="93"/>
      <c r="F20" s="890" t="s">
        <v>937</v>
      </c>
      <c r="G20" s="891">
        <v>36298</v>
      </c>
      <c r="H20" s="890" t="s">
        <v>938</v>
      </c>
      <c r="I20" s="892" t="s">
        <v>942</v>
      </c>
    </row>
    <row r="21" spans="1:9">
      <c r="A21" s="590"/>
      <c r="B21" s="14" t="str">
        <f>Assm!N18</f>
        <v>Owner's Engineer (Parsons)</v>
      </c>
      <c r="C21" s="60">
        <f>Assm!R18</f>
        <v>1850</v>
      </c>
      <c r="D21" s="54"/>
      <c r="E21" s="93"/>
      <c r="F21" s="890" t="s">
        <v>937</v>
      </c>
      <c r="G21" s="891">
        <v>36294</v>
      </c>
      <c r="H21" s="890" t="s">
        <v>938</v>
      </c>
      <c r="I21" s="892" t="s">
        <v>939</v>
      </c>
    </row>
    <row r="22" spans="1:9">
      <c r="A22" s="590"/>
      <c r="B22" s="14" t="str">
        <f>Assm!N19</f>
        <v>Other Engineering Costs</v>
      </c>
      <c r="C22" s="60">
        <f>Assm!R19</f>
        <v>26</v>
      </c>
      <c r="D22" s="54"/>
      <c r="E22" s="93"/>
      <c r="F22" s="890" t="s">
        <v>937</v>
      </c>
      <c r="G22" s="891">
        <v>36294</v>
      </c>
      <c r="H22" s="890" t="s">
        <v>938</v>
      </c>
      <c r="I22" s="892" t="s">
        <v>939</v>
      </c>
    </row>
    <row r="23" spans="1:9">
      <c r="A23" s="590"/>
      <c r="B23" s="14" t="str">
        <f>Assm!N20</f>
        <v>Environmental &amp; Permitting</v>
      </c>
      <c r="C23" s="60">
        <f>Assm!R20</f>
        <v>7450.9835577777776</v>
      </c>
      <c r="D23" s="54"/>
      <c r="E23" s="93"/>
      <c r="F23" s="890" t="s">
        <v>937</v>
      </c>
      <c r="G23" s="891">
        <v>36403</v>
      </c>
      <c r="H23" s="890" t="s">
        <v>938</v>
      </c>
      <c r="I23" s="892" t="s">
        <v>1094</v>
      </c>
    </row>
    <row r="24" spans="1:9">
      <c r="A24" s="590"/>
      <c r="B24" s="14" t="str">
        <f>Assm!N21</f>
        <v>Ingidenous People Programs</v>
      </c>
      <c r="C24" s="330">
        <f>Assm!R21</f>
        <v>988.82538111111114</v>
      </c>
      <c r="D24" s="54"/>
      <c r="E24" s="93"/>
      <c r="F24" s="890" t="s">
        <v>1092</v>
      </c>
      <c r="G24" s="891">
        <v>36390</v>
      </c>
      <c r="H24" s="890" t="s">
        <v>1091</v>
      </c>
      <c r="I24" s="892" t="s">
        <v>1093</v>
      </c>
    </row>
    <row r="25" spans="1:9">
      <c r="A25" s="590"/>
      <c r="B25" s="114" t="str">
        <f>Assm!N22</f>
        <v>Total Other Construction</v>
      </c>
      <c r="C25" s="329">
        <f>Assm!R22</f>
        <v>12011.808938888889</v>
      </c>
      <c r="D25" s="54"/>
      <c r="E25" s="93"/>
      <c r="F25" s="890"/>
      <c r="G25" s="891"/>
      <c r="H25" s="890"/>
      <c r="I25" s="892"/>
    </row>
    <row r="26" spans="1:9">
      <c r="A26" s="590"/>
      <c r="B26" s="114"/>
      <c r="C26" s="329"/>
      <c r="D26" s="125"/>
      <c r="E26" s="106"/>
      <c r="F26" s="890"/>
      <c r="G26" s="891"/>
      <c r="H26" s="890"/>
      <c r="I26" s="892"/>
    </row>
    <row r="27" spans="1:9">
      <c r="A27" s="590"/>
      <c r="B27" s="14" t="str">
        <f>Assm!N24</f>
        <v xml:space="preserve">Interest During Construction "IDC" </v>
      </c>
      <c r="C27" s="60">
        <f ca="1">Assm!R24</f>
        <v>7359.6573792726895</v>
      </c>
      <c r="D27" s="54"/>
      <c r="E27" s="93"/>
      <c r="F27" s="890" t="s">
        <v>116</v>
      </c>
      <c r="G27" s="891"/>
      <c r="H27" s="890"/>
      <c r="I27" s="892"/>
    </row>
    <row r="28" spans="1:9">
      <c r="A28" s="590"/>
      <c r="B28" s="14" t="str">
        <f>Assm!N25</f>
        <v>W/H Tax - IDC (Shareholder Construction Loan)</v>
      </c>
      <c r="C28" s="60">
        <f ca="1">Assm!R25</f>
        <v>628.25553831318177</v>
      </c>
      <c r="D28" s="54"/>
      <c r="E28" s="93"/>
      <c r="F28" s="890" t="s">
        <v>116</v>
      </c>
      <c r="G28" s="891"/>
      <c r="H28" s="890"/>
      <c r="I28" s="892"/>
    </row>
    <row r="29" spans="1:9">
      <c r="A29" s="590"/>
      <c r="B29" s="14" t="str">
        <f>Assm!N26</f>
        <v>Commitment Fee</v>
      </c>
      <c r="C29" s="60">
        <f ca="1">Assm!R26</f>
        <v>12.563102883268384</v>
      </c>
      <c r="D29" s="54"/>
      <c r="E29" s="93"/>
      <c r="F29" s="890" t="s">
        <v>116</v>
      </c>
      <c r="G29" s="891"/>
      <c r="H29" s="890"/>
      <c r="I29" s="892"/>
    </row>
    <row r="30" spans="1:9">
      <c r="A30" s="590"/>
      <c r="B30" s="14" t="str">
        <f>Assm!N27</f>
        <v>Upfront Fee</v>
      </c>
      <c r="C30" s="60">
        <f ca="1">Assm!R27</f>
        <v>1139.0220417932317</v>
      </c>
      <c r="D30" s="54"/>
      <c r="E30" s="93"/>
      <c r="F30" s="890" t="s">
        <v>116</v>
      </c>
      <c r="G30" s="891"/>
      <c r="H30" s="890"/>
      <c r="I30" s="892"/>
    </row>
    <row r="31" spans="1:9">
      <c r="A31" s="590"/>
      <c r="B31" s="14" t="str">
        <f>Assm!N28</f>
        <v>Financing Costs (Borrower And Lender)</v>
      </c>
      <c r="C31" s="60">
        <f>Assm!R28</f>
        <v>2831.3249999999998</v>
      </c>
      <c r="D31" s="54"/>
      <c r="E31" s="93"/>
      <c r="F31" s="890" t="s">
        <v>937</v>
      </c>
      <c r="G31" s="891">
        <v>36298</v>
      </c>
      <c r="H31" s="890" t="s">
        <v>938</v>
      </c>
      <c r="I31" s="892" t="s">
        <v>942</v>
      </c>
    </row>
    <row r="32" spans="1:9">
      <c r="A32" s="590"/>
      <c r="B32" s="14" t="str">
        <f>Assm!N29</f>
        <v>Financing Costs (Other)</v>
      </c>
      <c r="C32" s="60">
        <f>Assm!R29</f>
        <v>0</v>
      </c>
      <c r="D32" s="54"/>
      <c r="E32" s="93"/>
      <c r="F32" s="890" t="s">
        <v>937</v>
      </c>
      <c r="G32" s="891">
        <v>36298</v>
      </c>
      <c r="H32" s="890" t="s">
        <v>938</v>
      </c>
      <c r="I32" s="892" t="s">
        <v>942</v>
      </c>
    </row>
    <row r="33" spans="1:9">
      <c r="A33" s="590"/>
      <c r="B33" s="14" t="str">
        <f>Assm!N30</f>
        <v>3rd Party Legal Fees</v>
      </c>
      <c r="C33" s="60">
        <f>Assm!R30</f>
        <v>2182.2750000000001</v>
      </c>
      <c r="D33" s="54"/>
      <c r="E33" s="93"/>
      <c r="F33" s="890" t="s">
        <v>937</v>
      </c>
      <c r="G33" s="891">
        <v>36403</v>
      </c>
      <c r="H33" s="890" t="s">
        <v>938</v>
      </c>
      <c r="I33" s="892" t="s">
        <v>1094</v>
      </c>
    </row>
    <row r="34" spans="1:9">
      <c r="A34" s="590"/>
      <c r="B34" s="14" t="str">
        <f>Assm!N31</f>
        <v>Construction Insurance</v>
      </c>
      <c r="C34" s="330">
        <f>Assm!R31</f>
        <v>771.59400000000005</v>
      </c>
      <c r="D34" s="54"/>
      <c r="E34" s="93"/>
      <c r="F34" s="890" t="s">
        <v>758</v>
      </c>
      <c r="G34" s="891">
        <v>36157</v>
      </c>
      <c r="H34" s="890" t="s">
        <v>121</v>
      </c>
      <c r="I34" s="892" t="s">
        <v>768</v>
      </c>
    </row>
    <row r="35" spans="1:9">
      <c r="A35" s="590"/>
      <c r="B35" s="114" t="str">
        <f>Assm!N32</f>
        <v>Total 3rd Party Dev / Financing Costs</v>
      </c>
      <c r="C35" s="329">
        <f ca="1">Assm!R32</f>
        <v>14924.692062262369</v>
      </c>
      <c r="D35" s="54"/>
      <c r="E35" s="93"/>
      <c r="F35" s="890"/>
      <c r="G35" s="891"/>
      <c r="H35" s="890"/>
      <c r="I35" s="892"/>
    </row>
    <row r="36" spans="1:9">
      <c r="A36" s="590"/>
      <c r="B36" s="114"/>
      <c r="C36" s="60"/>
      <c r="D36" s="54"/>
      <c r="E36" s="93"/>
      <c r="F36" s="890"/>
      <c r="G36" s="891"/>
      <c r="H36" s="890"/>
      <c r="I36" s="892"/>
    </row>
    <row r="37" spans="1:9">
      <c r="A37" s="590"/>
      <c r="B37" s="14" t="str">
        <f>Assm!N34</f>
        <v>Development Costs</v>
      </c>
      <c r="C37" s="60">
        <f>Assm!R34</f>
        <v>6259.799400599999</v>
      </c>
      <c r="D37" s="54"/>
      <c r="E37" s="93"/>
      <c r="F37" s="890" t="s">
        <v>937</v>
      </c>
      <c r="G37" s="891">
        <v>36403</v>
      </c>
      <c r="H37" s="890" t="s">
        <v>938</v>
      </c>
      <c r="I37" s="892" t="s">
        <v>1094</v>
      </c>
    </row>
    <row r="38" spans="1:9">
      <c r="A38" s="590"/>
      <c r="B38" s="14" t="str">
        <f>Assm!N35</f>
        <v>Development Fee</v>
      </c>
      <c r="C38" s="60">
        <f>Assm!R35</f>
        <v>0</v>
      </c>
      <c r="D38" s="54"/>
      <c r="E38" s="93"/>
      <c r="F38" s="890"/>
      <c r="G38" s="891"/>
      <c r="H38" s="890"/>
      <c r="I38" s="892" t="s">
        <v>919</v>
      </c>
    </row>
    <row r="39" spans="1:9">
      <c r="A39" s="590"/>
      <c r="B39" s="14" t="str">
        <f>Assm!N36</f>
        <v>Operations Mobilization</v>
      </c>
      <c r="C39" s="330">
        <f>Assm!R36</f>
        <v>872.9</v>
      </c>
      <c r="D39" s="54"/>
      <c r="E39" s="93"/>
      <c r="F39" s="890" t="s">
        <v>937</v>
      </c>
      <c r="G39" s="891">
        <v>36294</v>
      </c>
      <c r="H39" s="890" t="s">
        <v>938</v>
      </c>
      <c r="I39" s="892" t="s">
        <v>939</v>
      </c>
    </row>
    <row r="40" spans="1:9">
      <c r="A40" s="590"/>
      <c r="B40" s="114" t="str">
        <f>Assm!N37</f>
        <v>Total Development Costs / Fees</v>
      </c>
      <c r="C40" s="329">
        <f>Assm!R37</f>
        <v>7132.6994005999986</v>
      </c>
      <c r="D40" s="54"/>
      <c r="E40" s="93"/>
      <c r="F40" s="890"/>
      <c r="G40" s="891"/>
      <c r="H40" s="890"/>
      <c r="I40" s="892"/>
    </row>
    <row r="41" spans="1:9">
      <c r="A41" s="590"/>
      <c r="B41" s="14"/>
      <c r="C41" s="60"/>
      <c r="D41" s="54"/>
      <c r="E41" s="93"/>
      <c r="F41" s="890"/>
      <c r="G41" s="891"/>
      <c r="H41" s="890"/>
      <c r="I41" s="892"/>
    </row>
    <row r="42" spans="1:9">
      <c r="A42" s="590"/>
      <c r="B42" s="14" t="str">
        <f>Assm!N39</f>
        <v xml:space="preserve">Working Capital </v>
      </c>
      <c r="C42" s="330">
        <f>Assm!R39</f>
        <v>0</v>
      </c>
      <c r="D42" s="54"/>
      <c r="E42" s="93"/>
      <c r="F42" s="890" t="s">
        <v>940</v>
      </c>
      <c r="G42" s="891"/>
      <c r="H42" s="890"/>
      <c r="I42" s="892"/>
    </row>
    <row r="43" spans="1:9">
      <c r="A43" s="590"/>
      <c r="B43" s="114" t="str">
        <f>Assm!N40</f>
        <v>Total Other Costs</v>
      </c>
      <c r="C43" s="329">
        <f>Assm!R40</f>
        <v>0</v>
      </c>
      <c r="D43" s="54"/>
      <c r="E43" s="93"/>
      <c r="F43" s="890"/>
      <c r="G43" s="891"/>
      <c r="H43" s="890"/>
      <c r="I43" s="892"/>
    </row>
    <row r="44" spans="1:9">
      <c r="A44" s="590"/>
      <c r="B44" s="114"/>
      <c r="C44" s="60"/>
      <c r="D44" s="125"/>
      <c r="E44" s="106"/>
      <c r="F44" s="890"/>
      <c r="G44" s="891"/>
      <c r="H44" s="890"/>
      <c r="I44" s="892"/>
    </row>
    <row r="45" spans="1:9">
      <c r="A45" s="590"/>
      <c r="B45" s="14" t="str">
        <f>Assm!N42</f>
        <v>Contingency - Change Orders</v>
      </c>
      <c r="C45" s="60">
        <f>Assm!R42</f>
        <v>2286.6464999999998</v>
      </c>
      <c r="D45" s="54"/>
      <c r="E45" s="93"/>
      <c r="F45" s="890" t="s">
        <v>116</v>
      </c>
      <c r="G45" s="891"/>
      <c r="H45" s="890"/>
      <c r="I45" s="892" t="str">
        <f>CONCATENATE(TEXT(Assm!Q42,"0.00%")," ",Assm!P42)</f>
        <v xml:space="preserve">0.00% </v>
      </c>
    </row>
    <row r="46" spans="1:9">
      <c r="A46" s="590"/>
      <c r="B46" s="14" t="str">
        <f>Assm!N43</f>
        <v>Contingency</v>
      </c>
      <c r="C46" s="330">
        <f>Assm!R43</f>
        <v>0</v>
      </c>
      <c r="D46" s="54"/>
      <c r="E46" s="93"/>
      <c r="F46" s="890" t="s">
        <v>116</v>
      </c>
      <c r="G46" s="891"/>
      <c r="H46" s="890"/>
      <c r="I46" s="892" t="str">
        <f>CONCATENATE(TEXT(Assm!Q43,"0.00%")," ",Assm!P43)</f>
        <v xml:space="preserve">0.00% </v>
      </c>
    </row>
    <row r="47" spans="1:9">
      <c r="A47" s="590"/>
      <c r="B47" s="114" t="str">
        <f>Assm!N44</f>
        <v>Total Contingency</v>
      </c>
      <c r="C47" s="329">
        <f>Assm!R44</f>
        <v>2286.6464999999998</v>
      </c>
      <c r="D47" s="54"/>
      <c r="E47" s="93"/>
      <c r="F47" s="890"/>
      <c r="G47" s="891"/>
      <c r="H47" s="890"/>
      <c r="I47" s="892"/>
    </row>
    <row r="48" spans="1:9">
      <c r="A48" s="590"/>
      <c r="B48" s="114"/>
      <c r="C48" s="60"/>
      <c r="D48" s="125"/>
      <c r="E48" s="106"/>
      <c r="F48" s="890"/>
      <c r="G48" s="891"/>
      <c r="H48" s="890"/>
      <c r="I48" s="892"/>
    </row>
    <row r="49" spans="1:9">
      <c r="A49" s="590"/>
      <c r="B49" s="114" t="str">
        <f>Assm!N46</f>
        <v>Total Project Costs</v>
      </c>
      <c r="C49" s="329">
        <f ca="1">Assm!R46</f>
        <v>126558.00464369243</v>
      </c>
      <c r="D49" s="125"/>
      <c r="E49" s="106"/>
      <c r="F49" s="890"/>
      <c r="G49" s="891"/>
      <c r="H49" s="890"/>
      <c r="I49" s="892"/>
    </row>
    <row r="50" spans="1:9" ht="13.8" thickBot="1">
      <c r="A50" s="591"/>
      <c r="B50" s="628" t="str">
        <f>Assm!N47</f>
        <v>Total Project Costs ($/MCM/Day)</v>
      </c>
      <c r="C50" s="751">
        <f ca="1">Assm!R47</f>
        <v>1.2288377963267543</v>
      </c>
      <c r="D50" s="229"/>
      <c r="E50" s="629"/>
      <c r="F50" s="893"/>
      <c r="G50" s="894"/>
      <c r="H50" s="893"/>
      <c r="I50" s="895"/>
    </row>
    <row r="51" spans="1:9" ht="13.8" thickBot="1"/>
    <row r="52" spans="1:9">
      <c r="A52" s="586" t="str">
        <f>Assm!H67</f>
        <v xml:space="preserve">Project Ownership </v>
      </c>
      <c r="B52" s="544"/>
      <c r="C52" s="630" t="str">
        <f>Assm!K67</f>
        <v>Equity %</v>
      </c>
      <c r="D52" s="647" t="str">
        <f>Assm!L67</f>
        <v>Cashflow %</v>
      </c>
      <c r="E52" s="631"/>
      <c r="F52" s="887"/>
      <c r="G52" s="888"/>
      <c r="H52" s="887"/>
      <c r="I52" s="889"/>
    </row>
    <row r="53" spans="1:9">
      <c r="A53" s="590"/>
      <c r="B53" s="14" t="str">
        <f>Assm!H68</f>
        <v>Enron</v>
      </c>
      <c r="C53" s="334">
        <f>Assm!K68</f>
        <v>0.5</v>
      </c>
      <c r="D53" s="16">
        <f>Assm!L68</f>
        <v>0.5</v>
      </c>
      <c r="E53" s="336"/>
      <c r="F53" s="890" t="s">
        <v>984</v>
      </c>
      <c r="G53" s="891" t="s">
        <v>985</v>
      </c>
      <c r="H53" s="890" t="s">
        <v>533</v>
      </c>
      <c r="I53" s="892" t="s">
        <v>988</v>
      </c>
    </row>
    <row r="54" spans="1:9">
      <c r="A54" s="590"/>
      <c r="B54" s="14" t="str">
        <f>Assm!H69</f>
        <v>Shell</v>
      </c>
      <c r="C54" s="334">
        <f>Assm!K69</f>
        <v>0.375</v>
      </c>
      <c r="D54" s="16">
        <f>Assm!L69</f>
        <v>0.375</v>
      </c>
      <c r="E54" s="336"/>
      <c r="F54" s="890" t="s">
        <v>984</v>
      </c>
      <c r="G54" s="891">
        <v>35950</v>
      </c>
      <c r="H54" s="890" t="s">
        <v>533</v>
      </c>
      <c r="I54" s="892" t="s">
        <v>987</v>
      </c>
    </row>
    <row r="55" spans="1:9">
      <c r="A55" s="590"/>
      <c r="B55" s="14" t="str">
        <f>Assm!H70</f>
        <v>Transredes</v>
      </c>
      <c r="C55" s="335">
        <f>Assm!K70</f>
        <v>0.125</v>
      </c>
      <c r="D55" s="648">
        <f>Assm!L70</f>
        <v>0.125</v>
      </c>
      <c r="E55" s="337"/>
      <c r="F55" s="890" t="s">
        <v>984</v>
      </c>
      <c r="G55" s="891">
        <v>36070</v>
      </c>
      <c r="H55" s="890" t="s">
        <v>533</v>
      </c>
      <c r="I55" s="892" t="s">
        <v>986</v>
      </c>
    </row>
    <row r="56" spans="1:9" ht="13.8" thickBot="1">
      <c r="A56" s="591"/>
      <c r="B56" s="585" t="str">
        <f>Assm!H71</f>
        <v xml:space="preserve">   Total</v>
      </c>
      <c r="C56" s="610">
        <f>Assm!K71</f>
        <v>1</v>
      </c>
      <c r="D56" s="611">
        <f>Assm!L71</f>
        <v>1</v>
      </c>
      <c r="E56" s="618"/>
      <c r="F56" s="893"/>
      <c r="G56" s="894"/>
      <c r="H56" s="893"/>
      <c r="I56" s="895"/>
    </row>
    <row r="57" spans="1:9" ht="13.8" thickBot="1"/>
    <row r="58" spans="1:9">
      <c r="A58" s="586" t="s">
        <v>303</v>
      </c>
      <c r="B58" s="680" t="str">
        <f ca="1">CONCATENATE("Discount Rate = ", TEXT(Disc,"0.00%")," / Target Rate = ",TEXT(Target,"0.00%"))</f>
        <v>Discount Rate = 19.00% / Target Rate = 15.00%</v>
      </c>
      <c r="C58" s="687"/>
      <c r="D58" s="571"/>
      <c r="E58" s="625"/>
      <c r="F58" s="897" t="s">
        <v>123</v>
      </c>
      <c r="G58" s="888">
        <v>35916</v>
      </c>
      <c r="H58" s="887" t="s">
        <v>446</v>
      </c>
      <c r="I58" s="889"/>
    </row>
    <row r="59" spans="1:9">
      <c r="A59" s="590"/>
      <c r="B59" s="14"/>
      <c r="C59" s="121" t="s">
        <v>161</v>
      </c>
      <c r="D59" s="45" t="s">
        <v>162</v>
      </c>
      <c r="E59" s="46"/>
      <c r="F59" s="890"/>
      <c r="G59" s="891"/>
      <c r="H59" s="890"/>
      <c r="I59" s="892"/>
    </row>
    <row r="60" spans="1:9">
      <c r="A60" s="590"/>
      <c r="B60" s="885" t="s">
        <v>633</v>
      </c>
      <c r="C60" s="334">
        <f ca="1">Irr</f>
        <v>9.0913681366370055E-2</v>
      </c>
      <c r="D60" s="691">
        <f ca="1">Npv</f>
        <v>-28234.245740358947</v>
      </c>
      <c r="E60" s="694"/>
      <c r="F60" s="890" t="s">
        <v>116</v>
      </c>
      <c r="G60" s="891">
        <v>35590</v>
      </c>
      <c r="H60" s="890"/>
      <c r="I60" s="892"/>
    </row>
    <row r="61" spans="1:9" ht="13.8" thickBot="1">
      <c r="A61" s="591"/>
      <c r="B61" s="911" t="s">
        <v>495</v>
      </c>
      <c r="C61" s="610">
        <f ca="1">Assm!Q54</f>
        <v>9.8889666987554858E-2</v>
      </c>
      <c r="D61" s="221">
        <f ca="1">Assm!R54</f>
        <v>-13071.758216920007</v>
      </c>
      <c r="E61" s="695"/>
      <c r="F61" s="893" t="s">
        <v>116</v>
      </c>
      <c r="G61" s="894">
        <v>35590</v>
      </c>
      <c r="H61" s="893"/>
      <c r="I61" s="895"/>
    </row>
  </sheetData>
  <printOptions horizontalCentered="1"/>
  <pageMargins left="0.25" right="0.25" top="0.5" bottom="0.5" header="0.25" footer="0.25"/>
  <pageSetup scale="60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F91"/>
  <sheetViews>
    <sheetView showGridLines="0" topLeftCell="A2" zoomScale="75" workbookViewId="0">
      <selection activeCell="D25" sqref="D25"/>
    </sheetView>
  </sheetViews>
  <sheetFormatPr defaultColWidth="9.109375" defaultRowHeight="13.2"/>
  <cols>
    <col min="1" max="1" width="20.6640625" style="5" customWidth="1"/>
    <col min="2" max="6" width="11.6640625" style="5" customWidth="1"/>
    <col min="7" max="7" width="3.6640625" style="5" customWidth="1"/>
    <col min="8" max="8" width="25.6640625" style="5" customWidth="1"/>
    <col min="9" max="11" width="13.6640625" style="5" customWidth="1"/>
    <col min="12" max="12" width="15.109375" style="5" customWidth="1"/>
    <col min="13" max="13" width="3.6640625" style="5" customWidth="1"/>
    <col min="14" max="14" width="24.109375" style="5" customWidth="1"/>
    <col min="15" max="18" width="12.6640625" style="5" customWidth="1"/>
    <col min="19" max="19" width="3.6640625" style="5" customWidth="1"/>
    <col min="20" max="20" width="28.6640625" style="5" customWidth="1"/>
    <col min="21" max="24" width="12.6640625" style="5" customWidth="1"/>
    <col min="25" max="25" width="9.109375" style="5"/>
    <col min="26" max="27" width="9.6640625" style="5" customWidth="1"/>
    <col min="28" max="28" width="9.109375" style="5"/>
    <col min="29" max="29" width="20.6640625" style="5" customWidth="1"/>
    <col min="30" max="32" width="11.6640625" style="5" customWidth="1"/>
    <col min="33" max="16384" width="9.109375" style="5"/>
  </cols>
  <sheetData>
    <row r="1" spans="1:32" ht="15.6">
      <c r="A1" s="997" t="str">
        <f>CONCATENATE(TOC!B2," ",TOC!B6)</f>
        <v>GASOCIDENTE DO MATO GROSSO LTDA (GASMAT) *** DRAFT COPY ***</v>
      </c>
      <c r="B1" s="132"/>
      <c r="C1" s="132"/>
      <c r="I1" s="1082" t="str">
        <f ca="1">IF(Loopfactor=0," ", "WARNING: MODEL HAS NOT BEEN CONVERGED")</f>
        <v xml:space="preserve"> </v>
      </c>
      <c r="O1" s="1082" t="str">
        <f ca="1">IF(((X9+X18+X27+X36+X45))-Debt&lt;0.05," ","WARNING:  THE SUM OF THE DEBT LISTED IN THE TRANCHES DOES NOT EQUAL TOTAL DEBT")</f>
        <v xml:space="preserve"> </v>
      </c>
      <c r="S1" s="94"/>
    </row>
    <row r="2" spans="1:32" ht="15.6">
      <c r="A2" s="997" t="str">
        <f>TOC!B3</f>
        <v>257 KM PIPELINE SPUR FOR CUIABA POWER PLANT (BRAZIL)</v>
      </c>
      <c r="B2" s="132"/>
      <c r="C2" s="132"/>
      <c r="I2" s="1082" t="str">
        <f ca="1">IF(Commit_Factor=0," ", "WARNING: COMMITMENT FEE HAS NOT BEEN CONVERGED")</f>
        <v xml:space="preserve"> </v>
      </c>
      <c r="O2" s="1082" t="str">
        <f ca="1">IF(ABS(Returns!AA10+Equity)&lt;0.5," ","WARNING:  EQUITY DISTRIBUTED IN THE RETURNS CALC DOES NOT EQUAL TOTAL EQUITY")</f>
        <v xml:space="preserve"> </v>
      </c>
      <c r="S2" s="94"/>
    </row>
    <row r="3" spans="1:32" ht="15">
      <c r="A3" s="206" t="str">
        <f>TOC!B4</f>
        <v>ENRON INTERNATIONAL</v>
      </c>
      <c r="B3" s="132"/>
      <c r="C3" s="132"/>
      <c r="F3" s="30"/>
      <c r="I3" s="1082" t="str">
        <f ca="1">IF(ABS(BS_IS!AC35)&lt;0.1," ","WARNING: BALANCE SHEET IS NOT BALANCED")</f>
        <v xml:space="preserve"> </v>
      </c>
      <c r="T3" s="70"/>
      <c r="U3" s="70"/>
    </row>
    <row r="4" spans="1:32" ht="15">
      <c r="A4" s="818" t="s">
        <v>125</v>
      </c>
      <c r="B4" s="132"/>
      <c r="C4" s="132"/>
      <c r="F4" s="30"/>
      <c r="I4" s="1082" t="str">
        <f ca="1">IF(V78&lt;W78,"WARNING: A-TAX TARGET MINIMUM DCR HAS NOT BEEN MET"," ")</f>
        <v>WARNING: A-TAX TARGET MINIMUM DCR HAS NOT BEEN MET</v>
      </c>
      <c r="O4" s="1082" t="str">
        <f ca="1">IF(V79&lt;W79,"WARNING:  A-TAX TARGET AVERAGE DCR HAS NOT BEEN MET"," ")</f>
        <v>WARNING:  A-TAX TARGET AVERAGE DCR HAS NOT BEEN MET</v>
      </c>
    </row>
    <row r="5" spans="1:32" ht="13.8" thickBot="1">
      <c r="A5" s="77" t="s">
        <v>127</v>
      </c>
      <c r="E5" s="47"/>
      <c r="F5" s="30"/>
    </row>
    <row r="6" spans="1:32" ht="13.8" thickBot="1">
      <c r="A6" s="211" t="s">
        <v>280</v>
      </c>
      <c r="B6" s="79"/>
      <c r="C6" s="79"/>
      <c r="D6" s="74"/>
      <c r="E6" s="136">
        <f>YEAR(Startops1)</f>
        <v>2001</v>
      </c>
      <c r="F6" s="140"/>
      <c r="H6" s="211" t="s">
        <v>460</v>
      </c>
      <c r="I6" s="79"/>
      <c r="J6" s="74"/>
      <c r="K6" s="156" t="s">
        <v>129</v>
      </c>
      <c r="L6" s="836" t="s">
        <v>130</v>
      </c>
      <c r="N6" s="211" t="s">
        <v>992</v>
      </c>
      <c r="O6" s="74"/>
      <c r="P6" s="74"/>
      <c r="Q6" s="74"/>
      <c r="R6" s="1021" t="s">
        <v>220</v>
      </c>
      <c r="S6" s="95"/>
      <c r="T6" s="211" t="s">
        <v>995</v>
      </c>
      <c r="U6" s="74"/>
      <c r="V6" s="74"/>
      <c r="W6" s="74"/>
      <c r="X6" s="142"/>
      <c r="AC6" s="215" t="s">
        <v>316</v>
      </c>
      <c r="AD6" s="157" t="s">
        <v>131</v>
      </c>
      <c r="AE6" s="157" t="s">
        <v>132</v>
      </c>
      <c r="AF6" s="158" t="s">
        <v>133</v>
      </c>
    </row>
    <row r="7" spans="1:32">
      <c r="A7" s="137" t="s">
        <v>459</v>
      </c>
      <c r="B7" s="32"/>
      <c r="C7" s="32"/>
      <c r="D7" s="8"/>
      <c r="E7" s="819">
        <v>257</v>
      </c>
      <c r="F7" s="141" t="s">
        <v>278</v>
      </c>
      <c r="H7" s="999" t="s">
        <v>134</v>
      </c>
      <c r="I7" s="8"/>
      <c r="J7" s="55"/>
      <c r="K7" s="8"/>
      <c r="L7" s="148"/>
      <c r="N7" s="137" t="s">
        <v>912</v>
      </c>
      <c r="O7" s="8"/>
      <c r="P7" s="8"/>
      <c r="Q7" s="8"/>
      <c r="R7" s="222">
        <f>Turnkey!C21</f>
        <v>66413.134999999995</v>
      </c>
      <c r="S7" s="34"/>
      <c r="T7" s="137"/>
      <c r="U7" s="8"/>
      <c r="V7" s="8"/>
      <c r="W7" s="8"/>
      <c r="X7" s="148"/>
      <c r="AC7" s="137"/>
      <c r="AD7" s="150"/>
      <c r="AE7" s="150"/>
      <c r="AF7" s="171"/>
    </row>
    <row r="8" spans="1:32" ht="13.8" thickBot="1">
      <c r="A8" s="139" t="s">
        <v>137</v>
      </c>
      <c r="B8" s="80"/>
      <c r="C8" s="80"/>
      <c r="D8" s="77"/>
      <c r="E8" s="823">
        <v>18</v>
      </c>
      <c r="F8" s="697" t="s">
        <v>279</v>
      </c>
      <c r="H8" s="137" t="s">
        <v>486</v>
      </c>
      <c r="I8" s="8"/>
      <c r="J8" s="833">
        <v>0.15</v>
      </c>
      <c r="K8" s="97" t="s">
        <v>293</v>
      </c>
      <c r="L8" s="148"/>
      <c r="N8" s="137" t="s">
        <v>1055</v>
      </c>
      <c r="O8" s="8"/>
      <c r="P8" s="8"/>
      <c r="Q8" s="8"/>
      <c r="R8" s="222">
        <f>Turnkey!D44</f>
        <v>5631.9449999999997</v>
      </c>
      <c r="S8" s="98"/>
      <c r="T8" s="1000" t="s">
        <v>585</v>
      </c>
      <c r="U8" s="195"/>
      <c r="V8" s="186"/>
      <c r="W8" s="186"/>
      <c r="X8" s="189"/>
      <c r="AC8" s="137" t="s">
        <v>317</v>
      </c>
      <c r="AD8" s="1256">
        <f ca="1">AE8</f>
        <v>126558.00464369243</v>
      </c>
      <c r="AE8" s="53">
        <f ca="1">Cost</f>
        <v>126558.00464369243</v>
      </c>
      <c r="AF8" s="214">
        <f ca="1">AE8-Est_Cost</f>
        <v>0</v>
      </c>
    </row>
    <row r="9" spans="1:32" ht="13.8" thickBot="1">
      <c r="B9" s="8"/>
      <c r="C9" s="8"/>
      <c r="H9" s="137" t="s">
        <v>461</v>
      </c>
      <c r="I9" s="8"/>
      <c r="J9" s="833">
        <v>0.1</v>
      </c>
      <c r="K9" s="97" t="s">
        <v>945</v>
      </c>
      <c r="L9" s="1039">
        <f>20*12</f>
        <v>240</v>
      </c>
      <c r="N9" s="137" t="s">
        <v>1057</v>
      </c>
      <c r="O9" s="8"/>
      <c r="P9" s="8"/>
      <c r="Q9" s="8"/>
      <c r="R9" s="222">
        <f>Turnkey!D49</f>
        <v>200.44399999999999</v>
      </c>
      <c r="S9" s="98"/>
      <c r="T9" s="137" t="s">
        <v>108</v>
      </c>
      <c r="U9" s="8"/>
      <c r="V9" s="8"/>
      <c r="W9" s="919">
        <f ca="1">X9/Debt</f>
        <v>1</v>
      </c>
      <c r="X9" s="183">
        <f ca="1">Debt-SUM(X18,X27,X36,X45)</f>
        <v>75934.802786215441</v>
      </c>
      <c r="AC9" s="137" t="s">
        <v>318</v>
      </c>
      <c r="AD9" s="1256">
        <f ca="1">AE9</f>
        <v>7359.6573792726895</v>
      </c>
      <c r="AE9" s="53">
        <f ca="1">IDC!$D$69</f>
        <v>7359.6573792726895</v>
      </c>
      <c r="AF9" s="214">
        <f ca="1">AE9-Est_IDC</f>
        <v>0</v>
      </c>
    </row>
    <row r="10" spans="1:32" ht="13.8" thickBot="1">
      <c r="A10" s="211" t="s">
        <v>138</v>
      </c>
      <c r="B10" s="74"/>
      <c r="C10" s="74"/>
      <c r="D10" s="74"/>
      <c r="E10" s="74"/>
      <c r="F10" s="142"/>
      <c r="H10" s="137" t="s">
        <v>488</v>
      </c>
      <c r="I10" s="8"/>
      <c r="J10" s="833">
        <v>0.08</v>
      </c>
      <c r="K10" s="97" t="s">
        <v>462</v>
      </c>
      <c r="L10" s="148"/>
      <c r="N10" s="137" t="s">
        <v>1056</v>
      </c>
      <c r="O10" s="8"/>
      <c r="P10" s="25"/>
      <c r="Q10" s="8"/>
      <c r="R10" s="222">
        <f>Turnkey!D57</f>
        <v>16999</v>
      </c>
      <c r="S10" s="98"/>
      <c r="T10" s="137" t="s">
        <v>822</v>
      </c>
      <c r="U10" s="8"/>
      <c r="V10" s="8"/>
      <c r="W10" s="187"/>
      <c r="X10" s="925">
        <v>3</v>
      </c>
      <c r="AC10" s="137" t="s">
        <v>808</v>
      </c>
      <c r="AD10" s="1256">
        <f ca="1">AE10</f>
        <v>628.25553831318177</v>
      </c>
      <c r="AE10" s="53">
        <f ca="1">IDC!AO53</f>
        <v>628.25553831318177</v>
      </c>
      <c r="AF10" s="214">
        <f ca="1">AE10-AD10</f>
        <v>0</v>
      </c>
    </row>
    <row r="11" spans="1:32">
      <c r="A11" s="137" t="s">
        <v>281</v>
      </c>
      <c r="B11" s="8"/>
      <c r="C11" s="8"/>
      <c r="D11" s="8"/>
      <c r="F11" s="1030">
        <v>35886</v>
      </c>
      <c r="H11" s="137" t="s">
        <v>753</v>
      </c>
      <c r="I11" s="8"/>
      <c r="J11" s="834">
        <v>0.3</v>
      </c>
      <c r="K11" s="97" t="s">
        <v>289</v>
      </c>
      <c r="L11" s="148"/>
      <c r="N11" s="137" t="s">
        <v>1098</v>
      </c>
      <c r="O11" s="8"/>
      <c r="P11" s="25"/>
      <c r="Q11" s="8"/>
      <c r="R11" s="851">
        <v>-179.149</v>
      </c>
      <c r="S11" s="98"/>
      <c r="T11" s="160" t="s">
        <v>845</v>
      </c>
      <c r="U11" s="926">
        <v>15</v>
      </c>
      <c r="W11" s="921" t="s">
        <v>844</v>
      </c>
      <c r="X11" s="190">
        <f ca="1">IF(U11=0,0,U11-ROUND(((Startops2-Fin_Close)/365),0)+X12/2)*2</f>
        <v>29</v>
      </c>
      <c r="Z11" s="207" t="s">
        <v>142</v>
      </c>
      <c r="AA11" s="208"/>
      <c r="AC11" s="137" t="s">
        <v>107</v>
      </c>
      <c r="AD11" s="1256">
        <f ca="1">AE11</f>
        <v>12.563102883268384</v>
      </c>
      <c r="AE11" s="53">
        <f ca="1">IDC!D86</f>
        <v>12.563102883268384</v>
      </c>
      <c r="AF11" s="214">
        <f ca="1">AE11-Est_Commit</f>
        <v>0</v>
      </c>
    </row>
    <row r="12" spans="1:32" ht="13.8" thickBot="1">
      <c r="A12" s="137" t="s">
        <v>928</v>
      </c>
      <c r="B12" s="8"/>
      <c r="C12" s="8"/>
      <c r="D12" s="8"/>
      <c r="F12" s="1030">
        <v>36342</v>
      </c>
      <c r="H12" s="137" t="s">
        <v>696</v>
      </c>
      <c r="I12" s="8"/>
      <c r="J12" s="833">
        <v>0</v>
      </c>
      <c r="K12" s="97" t="s">
        <v>704</v>
      </c>
      <c r="L12" s="148"/>
      <c r="N12" s="137" t="s">
        <v>911</v>
      </c>
      <c r="O12" s="8"/>
      <c r="P12" s="868">
        <v>1</v>
      </c>
      <c r="R12" s="223">
        <f>(-Turnkey!C20+Turnkey!D20)*$P12</f>
        <v>1136.7827419411765</v>
      </c>
      <c r="S12" s="98"/>
      <c r="T12" s="160" t="s">
        <v>846</v>
      </c>
      <c r="U12" s="924">
        <f ca="1">IF(X12=0,0,X12+ROUND(((Startops2-Fin_Close)/365),2))</f>
        <v>1.92</v>
      </c>
      <c r="W12" s="921" t="s">
        <v>847</v>
      </c>
      <c r="X12" s="927">
        <f>1</f>
        <v>1</v>
      </c>
      <c r="Z12" s="209">
        <f ca="1">IF(ABS(SUM(AF14))&lt;0.05,0,1)</f>
        <v>0</v>
      </c>
      <c r="AA12" s="210"/>
      <c r="AC12" s="137" t="s">
        <v>442</v>
      </c>
      <c r="AD12" s="1256">
        <f ca="1">AE12</f>
        <v>1139.0220417932317</v>
      </c>
      <c r="AE12" s="53">
        <f ca="1">Debt*X74</f>
        <v>1139.0220417932317</v>
      </c>
      <c r="AF12" s="214">
        <f ca="1">AE12-AD12</f>
        <v>0</v>
      </c>
    </row>
    <row r="13" spans="1:32">
      <c r="A13" s="137" t="s">
        <v>929</v>
      </c>
      <c r="B13" s="8"/>
      <c r="C13" s="8"/>
      <c r="D13" s="8"/>
      <c r="F13" s="1030">
        <f>[4]RAROC!$J$50</f>
        <v>36892</v>
      </c>
      <c r="H13" s="137" t="s">
        <v>697</v>
      </c>
      <c r="I13" s="8"/>
      <c r="J13" s="833">
        <v>0.15</v>
      </c>
      <c r="K13" s="97" t="s">
        <v>698</v>
      </c>
      <c r="L13" s="148"/>
      <c r="N13" s="174" t="s">
        <v>920</v>
      </c>
      <c r="O13" s="25"/>
      <c r="P13" s="25"/>
      <c r="Q13" s="8"/>
      <c r="R13" s="224">
        <f>SUM(R7:R12)</f>
        <v>90202.157741941162</v>
      </c>
      <c r="S13" s="98"/>
      <c r="T13" s="137" t="s">
        <v>857</v>
      </c>
      <c r="U13" s="8"/>
      <c r="V13" s="8"/>
      <c r="W13" s="188"/>
      <c r="X13" s="190">
        <f ca="1">IF(X9=0,0,ROUND(U11/2+(Term_C/12),1))</f>
        <v>10.4</v>
      </c>
      <c r="AC13" s="137"/>
      <c r="AD13" s="8"/>
      <c r="AE13" s="8"/>
      <c r="AF13" s="148"/>
    </row>
    <row r="14" spans="1:32" ht="13.8" thickBot="1">
      <c r="A14" s="143" t="s">
        <v>282</v>
      </c>
      <c r="B14" s="8"/>
      <c r="C14" s="8"/>
      <c r="D14" s="8"/>
      <c r="E14" s="100"/>
      <c r="F14" s="148">
        <f>ROUND((Startops1-Startconst)/(365/12),0)</f>
        <v>35</v>
      </c>
      <c r="H14" s="137" t="s">
        <v>603</v>
      </c>
      <c r="I14" s="8"/>
      <c r="J14" s="833">
        <v>0.25</v>
      </c>
      <c r="K14" s="97" t="s">
        <v>607</v>
      </c>
      <c r="L14" s="148"/>
      <c r="N14" s="174"/>
      <c r="O14" s="25"/>
      <c r="P14" s="25"/>
      <c r="Q14" s="8"/>
      <c r="R14" s="175"/>
      <c r="S14" s="98"/>
      <c r="T14" s="137" t="s">
        <v>968</v>
      </c>
      <c r="U14" s="8"/>
      <c r="V14" s="928">
        <v>6.3125000000000001E-2</v>
      </c>
      <c r="W14" s="928">
        <v>4.7E-2</v>
      </c>
      <c r="X14" s="191">
        <f>W14+V14</f>
        <v>0.110125</v>
      </c>
      <c r="AC14" s="359" t="s">
        <v>504</v>
      </c>
      <c r="AD14" s="360"/>
      <c r="AE14" s="360"/>
      <c r="AF14" s="361">
        <f ca="1">SUM(AF8:AF13)</f>
        <v>0</v>
      </c>
    </row>
    <row r="15" spans="1:32">
      <c r="A15" s="137" t="s">
        <v>611</v>
      </c>
      <c r="B15" s="8"/>
      <c r="C15" s="13"/>
      <c r="F15" s="1028">
        <f>[4]RAROC!$J$51</f>
        <v>36951</v>
      </c>
      <c r="H15" s="137" t="s">
        <v>699</v>
      </c>
      <c r="I15" s="8"/>
      <c r="J15" s="833">
        <v>0.15</v>
      </c>
      <c r="K15" s="97" t="s">
        <v>700</v>
      </c>
      <c r="L15" s="148"/>
      <c r="N15" s="137" t="s">
        <v>183</v>
      </c>
      <c r="O15" s="8"/>
      <c r="P15" s="8"/>
      <c r="Q15" s="8"/>
      <c r="R15" s="853">
        <f>240-94</f>
        <v>146</v>
      </c>
      <c r="S15" s="98"/>
      <c r="T15" s="137" t="s">
        <v>442</v>
      </c>
      <c r="U15" s="8"/>
      <c r="V15" s="150"/>
      <c r="W15" s="150"/>
      <c r="X15" s="929">
        <v>1.4999999999999999E-2</v>
      </c>
    </row>
    <row r="16" spans="1:32">
      <c r="A16" s="137" t="s">
        <v>612</v>
      </c>
      <c r="B16" s="8"/>
      <c r="C16" s="13"/>
      <c r="F16" s="1028">
        <f>[4]RAROC!$J$52</f>
        <v>37104</v>
      </c>
      <c r="H16" s="137" t="s">
        <v>463</v>
      </c>
      <c r="I16" s="8"/>
      <c r="J16" s="833">
        <v>6.4999999999999997E-3</v>
      </c>
      <c r="K16" s="97" t="s">
        <v>294</v>
      </c>
      <c r="L16" s="148"/>
      <c r="N16" s="137" t="s">
        <v>918</v>
      </c>
      <c r="O16" s="8"/>
      <c r="P16" s="8"/>
      <c r="Q16" s="8"/>
      <c r="R16" s="853">
        <v>994</v>
      </c>
      <c r="S16" s="101"/>
      <c r="T16" s="137" t="s">
        <v>107</v>
      </c>
      <c r="U16" s="8"/>
      <c r="V16" s="150"/>
      <c r="W16" s="150"/>
      <c r="X16" s="929">
        <v>5.0000000000000001E-3</v>
      </c>
    </row>
    <row r="17" spans="1:24">
      <c r="A17" s="137" t="s">
        <v>805</v>
      </c>
      <c r="B17" s="8"/>
      <c r="C17" s="13"/>
      <c r="D17" s="8"/>
      <c r="F17" s="1028">
        <v>43556</v>
      </c>
      <c r="H17" s="137" t="s">
        <v>464</v>
      </c>
      <c r="I17" s="8"/>
      <c r="J17" s="1170">
        <v>0.03</v>
      </c>
      <c r="K17" s="97" t="s">
        <v>294</v>
      </c>
      <c r="L17" s="148"/>
      <c r="N17" s="137" t="s">
        <v>941</v>
      </c>
      <c r="O17" s="825">
        <v>556</v>
      </c>
      <c r="P17" s="1033" t="s">
        <v>930</v>
      </c>
      <c r="Q17" s="825">
        <v>0</v>
      </c>
      <c r="R17" s="222">
        <f>SUM(O17,Q17)</f>
        <v>556</v>
      </c>
      <c r="S17" s="102"/>
      <c r="T17" s="1001" t="s">
        <v>681</v>
      </c>
      <c r="U17" s="916"/>
      <c r="V17" s="917"/>
      <c r="W17" s="917"/>
      <c r="X17" s="918"/>
    </row>
    <row r="18" spans="1:24">
      <c r="A18" s="137" t="s">
        <v>283</v>
      </c>
      <c r="B18" s="8"/>
      <c r="C18" s="20"/>
      <c r="D18" s="8"/>
      <c r="E18" s="8"/>
      <c r="F18" s="821">
        <v>20</v>
      </c>
      <c r="H18" s="137" t="s">
        <v>467</v>
      </c>
      <c r="I18" s="8"/>
      <c r="J18" s="833">
        <v>0.28999999999999998</v>
      </c>
      <c r="K18" s="97" t="s">
        <v>470</v>
      </c>
      <c r="L18" s="148"/>
      <c r="N18" s="137" t="s">
        <v>913</v>
      </c>
      <c r="O18" s="8"/>
      <c r="P18" s="22"/>
      <c r="Q18" s="8"/>
      <c r="R18" s="853">
        <f>1000+850</f>
        <v>1850</v>
      </c>
      <c r="S18" s="101"/>
      <c r="T18" s="160" t="s">
        <v>108</v>
      </c>
      <c r="U18" s="24"/>
      <c r="V18" s="24"/>
      <c r="W18" s="919">
        <f ca="1">X18/Debt</f>
        <v>0</v>
      </c>
      <c r="X18" s="851">
        <v>0</v>
      </c>
    </row>
    <row r="19" spans="1:24" ht="13.8" thickBot="1">
      <c r="A19" s="139" t="s">
        <v>135</v>
      </c>
      <c r="B19" s="80"/>
      <c r="C19" s="80"/>
      <c r="D19" s="77"/>
      <c r="E19" s="77"/>
      <c r="F19" s="984" t="s">
        <v>136</v>
      </c>
      <c r="H19" s="137" t="s">
        <v>468</v>
      </c>
      <c r="I19" s="8"/>
      <c r="J19" s="833">
        <v>0.08</v>
      </c>
      <c r="K19" s="97" t="s">
        <v>470</v>
      </c>
      <c r="L19" s="148"/>
      <c r="N19" s="137" t="s">
        <v>915</v>
      </c>
      <c r="O19" s="8"/>
      <c r="P19" s="8"/>
      <c r="Q19" s="8"/>
      <c r="R19" s="853">
        <v>26</v>
      </c>
      <c r="S19" s="102"/>
      <c r="T19" s="160" t="s">
        <v>822</v>
      </c>
      <c r="U19" s="24"/>
      <c r="V19" s="24"/>
      <c r="W19" s="920"/>
      <c r="X19" s="939">
        <v>2</v>
      </c>
    </row>
    <row r="20" spans="1:24" ht="13.8" thickBot="1">
      <c r="B20" s="8"/>
      <c r="C20" s="8"/>
      <c r="H20" s="137" t="s">
        <v>469</v>
      </c>
      <c r="I20" s="8"/>
      <c r="J20" s="833">
        <v>2.5000000000000001E-2</v>
      </c>
      <c r="K20" s="97" t="s">
        <v>470</v>
      </c>
      <c r="L20" s="148"/>
      <c r="N20" s="137" t="s">
        <v>914</v>
      </c>
      <c r="O20" s="8"/>
      <c r="P20" s="8"/>
      <c r="Q20" s="8"/>
      <c r="R20" s="853">
        <v>7450.9835577777776</v>
      </c>
      <c r="S20" s="102"/>
      <c r="T20" s="160" t="s">
        <v>845</v>
      </c>
      <c r="U20" s="926">
        <v>0</v>
      </c>
      <c r="W20" s="921" t="s">
        <v>844</v>
      </c>
      <c r="X20" s="190">
        <f ca="1">IF(U20=0,0,U20-ROUND(((Startops2-Fin_Close)/365),0)+X21/2)*2</f>
        <v>0</v>
      </c>
    </row>
    <row r="21" spans="1:24" ht="13.8" thickBot="1">
      <c r="A21" s="211" t="s">
        <v>754</v>
      </c>
      <c r="B21" s="74"/>
      <c r="C21" s="74"/>
      <c r="D21" s="74"/>
      <c r="E21" s="74"/>
      <c r="F21" s="142"/>
      <c r="H21" s="137" t="s">
        <v>472</v>
      </c>
      <c r="I21" s="8"/>
      <c r="J21" s="833">
        <v>0.17</v>
      </c>
      <c r="K21" s="97" t="s">
        <v>579</v>
      </c>
      <c r="L21" s="148"/>
      <c r="N21" s="137" t="s">
        <v>943</v>
      </c>
      <c r="O21" s="8"/>
      <c r="P21" s="8"/>
      <c r="Q21" s="8"/>
      <c r="R21" s="854">
        <v>988.82538111111114</v>
      </c>
      <c r="S21" s="98"/>
      <c r="T21" s="160" t="s">
        <v>846</v>
      </c>
      <c r="U21" s="924">
        <f ca="1">IF(X21=0,0,X21+ROUND(((Startops2-Fin_Close)/365),2))</f>
        <v>1.92</v>
      </c>
      <c r="W21" s="921" t="s">
        <v>847</v>
      </c>
      <c r="X21" s="927">
        <f>1</f>
        <v>1</v>
      </c>
    </row>
    <row r="22" spans="1:24">
      <c r="A22" s="137" t="s">
        <v>755</v>
      </c>
      <c r="B22" s="8"/>
      <c r="C22" s="8"/>
      <c r="E22" s="8"/>
      <c r="F22" s="1028">
        <f ca="1">[2]RAC_ASSUMP!$C$15</f>
        <v>36770</v>
      </c>
      <c r="H22" s="137" t="s">
        <v>471</v>
      </c>
      <c r="I22" s="8"/>
      <c r="J22" s="833">
        <v>0.17</v>
      </c>
      <c r="K22" s="97" t="s">
        <v>579</v>
      </c>
      <c r="L22" s="148"/>
      <c r="N22" s="174" t="s">
        <v>921</v>
      </c>
      <c r="O22" s="25"/>
      <c r="P22" s="25"/>
      <c r="Q22" s="8"/>
      <c r="R22" s="224">
        <f>SUM(R15:R21)</f>
        <v>12011.808938888889</v>
      </c>
      <c r="S22" s="98"/>
      <c r="T22" s="137" t="s">
        <v>857</v>
      </c>
      <c r="U22" s="24"/>
      <c r="V22" s="24"/>
      <c r="W22" s="347"/>
      <c r="X22" s="190">
        <f>IF(X18=0,0,ROUND(U20/2+(Term_C/12),1))</f>
        <v>0</v>
      </c>
    </row>
    <row r="23" spans="1:24">
      <c r="A23" s="137" t="s">
        <v>284</v>
      </c>
      <c r="B23" s="8"/>
      <c r="C23" s="8"/>
      <c r="D23" s="8"/>
      <c r="E23" s="8"/>
      <c r="F23" s="148">
        <f ca="1">ROUND((Fin_Close-Startconst)/(365/12),0)</f>
        <v>29</v>
      </c>
      <c r="H23" s="137" t="s">
        <v>465</v>
      </c>
      <c r="I23" s="8"/>
      <c r="J23" s="833">
        <v>0</v>
      </c>
      <c r="K23" s="97" t="s">
        <v>466</v>
      </c>
      <c r="L23" s="148"/>
      <c r="N23" s="174"/>
      <c r="O23" s="25"/>
      <c r="P23" s="25"/>
      <c r="Q23" s="8"/>
      <c r="R23" s="175"/>
      <c r="S23" s="98"/>
      <c r="T23" s="137" t="s">
        <v>968</v>
      </c>
      <c r="U23" s="24"/>
      <c r="V23" s="847">
        <v>6.7699999999999996E-2</v>
      </c>
      <c r="W23" s="847">
        <v>2.5000000000000001E-2</v>
      </c>
      <c r="X23" s="922">
        <f>W23+V23</f>
        <v>9.2700000000000005E-2</v>
      </c>
    </row>
    <row r="24" spans="1:24">
      <c r="A24" s="137" t="s">
        <v>950</v>
      </c>
      <c r="B24" s="8"/>
      <c r="C24" s="8"/>
      <c r="D24" s="8"/>
      <c r="E24" s="8"/>
      <c r="F24" s="821">
        <v>6</v>
      </c>
      <c r="H24" s="144" t="s">
        <v>702</v>
      </c>
      <c r="I24" s="8"/>
      <c r="J24" s="96"/>
      <c r="K24" s="97"/>
      <c r="L24" s="148"/>
      <c r="N24" s="137" t="s">
        <v>302</v>
      </c>
      <c r="O24" s="8"/>
      <c r="P24" s="8"/>
      <c r="Q24" s="8"/>
      <c r="R24" s="222">
        <f ca="1">Est_IDC</f>
        <v>7359.6573792726895</v>
      </c>
      <c r="S24" s="98"/>
      <c r="T24" s="160" t="s">
        <v>442</v>
      </c>
      <c r="U24" s="24"/>
      <c r="V24" s="279"/>
      <c r="W24" s="279"/>
      <c r="X24" s="856">
        <v>1.4999999999999999E-2</v>
      </c>
    </row>
    <row r="25" spans="1:24" ht="13.8" thickBot="1">
      <c r="A25" s="139" t="s">
        <v>664</v>
      </c>
      <c r="B25" s="77"/>
      <c r="C25" s="77"/>
      <c r="D25" s="77"/>
      <c r="E25" s="77"/>
      <c r="F25" s="1029">
        <f>EDATE(Startops2,F24)</f>
        <v>37288</v>
      </c>
      <c r="H25" s="137" t="s">
        <v>701</v>
      </c>
      <c r="I25" s="8"/>
      <c r="J25" s="833">
        <v>0.17</v>
      </c>
      <c r="K25" s="97" t="s">
        <v>703</v>
      </c>
      <c r="L25" s="148"/>
      <c r="N25" s="137" t="s">
        <v>874</v>
      </c>
      <c r="O25" s="8"/>
      <c r="P25" s="8"/>
      <c r="Q25" s="8"/>
      <c r="R25" s="222">
        <f ca="1">AD10</f>
        <v>628.25553831318177</v>
      </c>
      <c r="S25" s="98"/>
      <c r="T25" s="160" t="s">
        <v>107</v>
      </c>
      <c r="U25" s="24"/>
      <c r="V25" s="279"/>
      <c r="W25" s="279"/>
      <c r="X25" s="856">
        <v>2.5000000000000001E-3</v>
      </c>
    </row>
    <row r="26" spans="1:24" ht="13.8" thickBot="1">
      <c r="H26" s="137" t="s">
        <v>473</v>
      </c>
      <c r="I26" s="8"/>
      <c r="J26" s="833">
        <v>0.15</v>
      </c>
      <c r="K26" s="97" t="s">
        <v>703</v>
      </c>
      <c r="L26" s="148"/>
      <c r="N26" s="137" t="s">
        <v>107</v>
      </c>
      <c r="O26" s="8"/>
      <c r="P26" s="8"/>
      <c r="Q26" s="8"/>
      <c r="R26" s="222">
        <f ca="1">Est_Commit</f>
        <v>12.563102883268384</v>
      </c>
      <c r="S26" s="98"/>
      <c r="T26" s="1001" t="s">
        <v>309</v>
      </c>
      <c r="U26" s="916"/>
      <c r="V26" s="917"/>
      <c r="W26" s="917"/>
      <c r="X26" s="918"/>
    </row>
    <row r="27" spans="1:24" ht="13.8" thickBot="1">
      <c r="A27" s="211" t="s">
        <v>884</v>
      </c>
      <c r="B27" s="74"/>
      <c r="C27" s="1042">
        <f>0.3351+0.005</f>
        <v>0.34010000000000001</v>
      </c>
      <c r="D27" s="146"/>
      <c r="E27" s="146"/>
      <c r="F27" s="142"/>
      <c r="H27" s="139" t="s">
        <v>716</v>
      </c>
      <c r="I27" s="77"/>
      <c r="J27" s="835">
        <v>8.6999999999999994E-2</v>
      </c>
      <c r="K27" s="341" t="s">
        <v>703</v>
      </c>
      <c r="L27" s="149"/>
      <c r="N27" s="137" t="s">
        <v>442</v>
      </c>
      <c r="O27" s="8"/>
      <c r="P27" s="8"/>
      <c r="Q27" s="8"/>
      <c r="R27" s="222">
        <f ca="1">AD12</f>
        <v>1139.0220417932317</v>
      </c>
      <c r="S27" s="98"/>
      <c r="T27" s="160" t="s">
        <v>108</v>
      </c>
      <c r="U27" s="24"/>
      <c r="V27" s="24"/>
      <c r="W27" s="919">
        <f ca="1">X27/Debt</f>
        <v>0</v>
      </c>
      <c r="X27" s="851">
        <v>0</v>
      </c>
    </row>
    <row r="28" spans="1:24" ht="13.8" thickBot="1">
      <c r="A28" s="137"/>
      <c r="B28" s="8"/>
      <c r="C28" s="8"/>
      <c r="D28" s="154">
        <v>1998</v>
      </c>
      <c r="F28" s="138" t="s">
        <v>143</v>
      </c>
      <c r="N28" s="137" t="s">
        <v>836</v>
      </c>
      <c r="O28" s="8"/>
      <c r="P28" s="8"/>
      <c r="Q28" s="8"/>
      <c r="R28" s="853">
        <v>2831.3249999999998</v>
      </c>
      <c r="S28" s="98"/>
      <c r="T28" s="160" t="s">
        <v>822</v>
      </c>
      <c r="U28" s="24"/>
      <c r="V28" s="24"/>
      <c r="W28" s="920"/>
      <c r="X28" s="939">
        <v>0</v>
      </c>
    </row>
    <row r="29" spans="1:24" ht="13.8" thickBot="1">
      <c r="A29" s="137" t="s">
        <v>882</v>
      </c>
      <c r="B29" s="8"/>
      <c r="C29" s="150" t="s">
        <v>285</v>
      </c>
      <c r="D29" s="950">
        <f>ROUND($C$27*(0.3351/(0.3351+0.005)),4)</f>
        <v>0.33510000000000001</v>
      </c>
      <c r="E29" s="951"/>
      <c r="F29" s="952" t="s">
        <v>756</v>
      </c>
      <c r="H29" s="211" t="s">
        <v>513</v>
      </c>
      <c r="I29" s="74"/>
      <c r="J29" s="74"/>
      <c r="K29" s="365" t="s">
        <v>514</v>
      </c>
      <c r="L29" s="839">
        <v>1</v>
      </c>
      <c r="N29" s="137" t="s">
        <v>837</v>
      </c>
      <c r="O29" s="8"/>
      <c r="P29" s="8"/>
      <c r="Q29" s="8"/>
      <c r="R29" s="853">
        <v>0</v>
      </c>
      <c r="S29" s="98"/>
      <c r="T29" s="160" t="s">
        <v>845</v>
      </c>
      <c r="U29" s="926">
        <v>0</v>
      </c>
      <c r="W29" s="921" t="s">
        <v>844</v>
      </c>
      <c r="X29" s="190">
        <f ca="1">IF(U29=0,0,U29-ROUND(((Startops2-Fin_Close)/365),0)+X30/2)*2</f>
        <v>0</v>
      </c>
    </row>
    <row r="30" spans="1:24" ht="13.8" thickBot="1">
      <c r="A30" s="139" t="s">
        <v>883</v>
      </c>
      <c r="B30" s="77"/>
      <c r="C30" s="147" t="s">
        <v>285</v>
      </c>
      <c r="D30" s="824">
        <f>ROUND($C$27*(0.005/(0.3351+0.005)),4)</f>
        <v>5.0000000000000001E-3</v>
      </c>
      <c r="E30" s="77"/>
      <c r="F30" s="953" t="str">
        <f>F29</f>
        <v>Greater Of CPI Or 1.005</v>
      </c>
      <c r="H30" s="137" t="s">
        <v>575</v>
      </c>
      <c r="I30" s="8"/>
      <c r="J30" s="8"/>
      <c r="K30" s="378"/>
      <c r="L30" s="366"/>
      <c r="N30" s="137" t="s">
        <v>493</v>
      </c>
      <c r="O30" s="8"/>
      <c r="P30" s="8"/>
      <c r="Q30" s="8"/>
      <c r="R30" s="853">
        <v>2182.2750000000001</v>
      </c>
      <c r="S30" s="98"/>
      <c r="T30" s="160" t="s">
        <v>846</v>
      </c>
      <c r="U30" s="924">
        <f ca="1">IF(X30=0,0,X30+ROUND(((Startops2-Fin_Close)/365),2))</f>
        <v>0</v>
      </c>
      <c r="W30" s="921" t="s">
        <v>847</v>
      </c>
      <c r="X30" s="927">
        <v>0</v>
      </c>
    </row>
    <row r="31" spans="1:24" ht="13.8" thickBot="1">
      <c r="B31" s="8"/>
      <c r="C31" s="8"/>
      <c r="H31" s="137" t="s">
        <v>576</v>
      </c>
      <c r="I31" s="8"/>
      <c r="J31" s="8"/>
      <c r="K31" s="378"/>
      <c r="L31" s="366"/>
      <c r="N31" s="137" t="s">
        <v>766</v>
      </c>
      <c r="O31" s="8"/>
      <c r="P31" s="8"/>
      <c r="Q31" s="8"/>
      <c r="R31" s="854">
        <f>771.594</f>
        <v>771.59400000000005</v>
      </c>
      <c r="S31" s="98"/>
      <c r="T31" s="137" t="s">
        <v>857</v>
      </c>
      <c r="U31" s="24"/>
      <c r="V31" s="24"/>
      <c r="W31" s="347"/>
      <c r="X31" s="190">
        <f>IF(X27=0,0,ROUND(U29/2+(Term_C/12),1))</f>
        <v>0</v>
      </c>
    </row>
    <row r="32" spans="1:24" ht="13.8" thickBot="1">
      <c r="A32" s="211" t="s">
        <v>885</v>
      </c>
      <c r="B32" s="74"/>
      <c r="C32" s="74"/>
      <c r="D32" s="74"/>
      <c r="E32" s="365" t="s">
        <v>886</v>
      </c>
      <c r="F32" s="954">
        <f>Startops2</f>
        <v>37104</v>
      </c>
      <c r="H32" s="137" t="s">
        <v>577</v>
      </c>
      <c r="I32" s="8"/>
      <c r="J32" s="8"/>
      <c r="K32" s="378"/>
      <c r="L32" s="366"/>
      <c r="N32" s="174" t="s">
        <v>657</v>
      </c>
      <c r="O32" s="25"/>
      <c r="P32" s="25"/>
      <c r="Q32" s="8"/>
      <c r="R32" s="224">
        <f ca="1">SUM(R24:R31)</f>
        <v>14924.692062262369</v>
      </c>
      <c r="S32" s="98"/>
      <c r="T32" s="137" t="s">
        <v>968</v>
      </c>
      <c r="U32" s="24"/>
      <c r="V32" s="847">
        <v>0</v>
      </c>
      <c r="W32" s="847">
        <v>0</v>
      </c>
      <c r="X32" s="922">
        <f>W32+V32</f>
        <v>0</v>
      </c>
    </row>
    <row r="33" spans="1:24">
      <c r="A33" s="137"/>
      <c r="B33" s="8"/>
      <c r="C33" s="130" t="s">
        <v>887</v>
      </c>
      <c r="D33" s="378" t="s">
        <v>155</v>
      </c>
      <c r="E33" s="378"/>
      <c r="F33" s="955"/>
      <c r="H33" s="379" t="s">
        <v>515</v>
      </c>
      <c r="I33" s="828">
        <v>2013</v>
      </c>
      <c r="J33" s="8"/>
      <c r="K33" s="378"/>
      <c r="L33" s="366"/>
      <c r="N33" s="174"/>
      <c r="O33" s="25"/>
      <c r="P33" s="25"/>
      <c r="Q33" s="8"/>
      <c r="R33" s="175"/>
      <c r="S33" s="98"/>
      <c r="T33" s="160" t="s">
        <v>442</v>
      </c>
      <c r="U33" s="24"/>
      <c r="V33" s="279"/>
      <c r="W33" s="279"/>
      <c r="X33" s="856">
        <v>0</v>
      </c>
    </row>
    <row r="34" spans="1:24">
      <c r="A34" s="137"/>
      <c r="B34" s="956" t="s">
        <v>888</v>
      </c>
      <c r="C34" s="957" t="s">
        <v>764</v>
      </c>
      <c r="D34" s="956" t="s">
        <v>888</v>
      </c>
      <c r="E34" s="957" t="s">
        <v>889</v>
      </c>
      <c r="F34" s="958" t="s">
        <v>890</v>
      </c>
      <c r="H34" s="137"/>
      <c r="I34" s="8"/>
      <c r="J34" s="8"/>
      <c r="K34" s="8"/>
      <c r="L34" s="148"/>
      <c r="M34" s="367">
        <v>1</v>
      </c>
      <c r="N34" s="137" t="s">
        <v>300</v>
      </c>
      <c r="O34" s="825">
        <v>6259.799400599999</v>
      </c>
      <c r="P34" s="1033" t="s">
        <v>930</v>
      </c>
      <c r="Q34" s="825">
        <v>0</v>
      </c>
      <c r="R34" s="222">
        <f>SUM(O34,Q34)</f>
        <v>6259.799400599999</v>
      </c>
      <c r="S34" s="98"/>
      <c r="T34" s="160" t="s">
        <v>107</v>
      </c>
      <c r="U34" s="24"/>
      <c r="V34" s="279"/>
      <c r="W34" s="279"/>
      <c r="X34" s="856">
        <v>0</v>
      </c>
    </row>
    <row r="35" spans="1:24" ht="13.8" thickBot="1">
      <c r="A35" s="139"/>
      <c r="B35" s="820">
        <v>102990</v>
      </c>
      <c r="C35" s="959">
        <v>0</v>
      </c>
      <c r="D35" s="960">
        <f>B35*((365-C35)/365)</f>
        <v>102990</v>
      </c>
      <c r="E35" s="961">
        <v>1</v>
      </c>
      <c r="F35" s="962">
        <f>D35*E35</f>
        <v>102990</v>
      </c>
      <c r="H35" s="137" t="s">
        <v>516</v>
      </c>
      <c r="I35" s="837">
        <v>1998</v>
      </c>
      <c r="J35" s="837">
        <v>2004</v>
      </c>
      <c r="K35" s="837">
        <v>2009</v>
      </c>
      <c r="L35" s="148"/>
      <c r="M35" s="367">
        <v>2</v>
      </c>
      <c r="N35" s="137" t="s">
        <v>301</v>
      </c>
      <c r="O35" s="825">
        <v>0</v>
      </c>
      <c r="P35" s="1033" t="s">
        <v>930</v>
      </c>
      <c r="Q35" s="825">
        <v>0</v>
      </c>
      <c r="R35" s="222">
        <f>SUM(O35,Q35)</f>
        <v>0</v>
      </c>
      <c r="S35" s="101"/>
      <c r="T35" s="1001" t="s">
        <v>310</v>
      </c>
      <c r="U35" s="916"/>
      <c r="V35" s="917"/>
      <c r="W35" s="917"/>
      <c r="X35" s="918"/>
    </row>
    <row r="36" spans="1:24" ht="13.8" thickBot="1">
      <c r="B36" s="8"/>
      <c r="C36" s="8"/>
      <c r="H36" s="139" t="s">
        <v>517</v>
      </c>
      <c r="I36" s="838">
        <v>0.375</v>
      </c>
      <c r="J36" s="838">
        <v>0.25</v>
      </c>
      <c r="K36" s="838">
        <v>0.125</v>
      </c>
      <c r="L36" s="149"/>
      <c r="N36" s="137" t="s">
        <v>299</v>
      </c>
      <c r="O36" s="99"/>
      <c r="P36" s="8"/>
      <c r="Q36" s="8"/>
      <c r="R36" s="852">
        <f>478.9+394</f>
        <v>872.9</v>
      </c>
      <c r="S36" s="103"/>
      <c r="T36" s="160" t="s">
        <v>108</v>
      </c>
      <c r="U36" s="24"/>
      <c r="V36" s="24"/>
      <c r="W36" s="919">
        <f ca="1">X36/Debt</f>
        <v>0</v>
      </c>
      <c r="X36" s="851">
        <v>0</v>
      </c>
    </row>
    <row r="37" spans="1:24" ht="13.8" thickBot="1">
      <c r="A37" s="212" t="s">
        <v>989</v>
      </c>
      <c r="B37" s="398"/>
      <c r="C37" s="74"/>
      <c r="D37" s="74"/>
      <c r="E37" s="156" t="s">
        <v>531</v>
      </c>
      <c r="F37" s="826" t="s">
        <v>806</v>
      </c>
      <c r="N37" s="174" t="s">
        <v>658</v>
      </c>
      <c r="O37" s="25"/>
      <c r="P37" s="25"/>
      <c r="Q37" s="8"/>
      <c r="R37" s="224">
        <f>SUM(R34:R36)</f>
        <v>7132.6994005999986</v>
      </c>
      <c r="S37" s="98"/>
      <c r="T37" s="160" t="s">
        <v>822</v>
      </c>
      <c r="U37" s="24"/>
      <c r="V37" s="24"/>
      <c r="W37" s="920"/>
      <c r="X37" s="939">
        <v>0</v>
      </c>
    </row>
    <row r="38" spans="1:24" ht="13.8" thickBot="1">
      <c r="A38" s="137"/>
      <c r="B38" s="8"/>
      <c r="C38" s="8"/>
      <c r="D38" s="8"/>
      <c r="E38" s="92"/>
      <c r="F38" s="148"/>
      <c r="H38" s="211" t="s">
        <v>144</v>
      </c>
      <c r="I38" s="74"/>
      <c r="J38" s="74"/>
      <c r="K38" s="74"/>
      <c r="L38" s="142"/>
      <c r="N38" s="174"/>
      <c r="O38" s="25"/>
      <c r="P38" s="25"/>
      <c r="Q38" s="8"/>
      <c r="R38" s="175"/>
      <c r="S38" s="98"/>
      <c r="T38" s="160" t="s">
        <v>845</v>
      </c>
      <c r="U38" s="926">
        <v>0</v>
      </c>
      <c r="W38" s="921" t="s">
        <v>844</v>
      </c>
      <c r="X38" s="190">
        <f ca="1">IF(U38=0,0,U38-ROUND(((Startops2-Fin_Close)/365),0)+X39/2)*2</f>
        <v>0</v>
      </c>
    </row>
    <row r="39" spans="1:24">
      <c r="A39" s="144" t="s">
        <v>145</v>
      </c>
      <c r="B39" s="8"/>
      <c r="C39" s="8"/>
      <c r="D39" s="8"/>
      <c r="E39" s="154">
        <v>1998</v>
      </c>
      <c r="F39" s="138" t="s">
        <v>143</v>
      </c>
      <c r="H39" s="137" t="s">
        <v>746</v>
      </c>
      <c r="I39" s="8"/>
      <c r="J39" s="819" t="s">
        <v>1069</v>
      </c>
      <c r="K39" s="8"/>
      <c r="L39" s="148"/>
      <c r="N39" s="137" t="s">
        <v>1130</v>
      </c>
      <c r="O39" s="97" t="s">
        <v>796</v>
      </c>
      <c r="P39" s="8"/>
      <c r="Q39" s="8"/>
      <c r="R39" s="852">
        <f>(SUM(E49-E48)/365*30+E48)*0</f>
        <v>0</v>
      </c>
      <c r="S39" s="98"/>
      <c r="T39" s="160" t="s">
        <v>846</v>
      </c>
      <c r="U39" s="924">
        <f ca="1">IF(X39=0,0,X39+ROUND(((Startops2-Fin_Close)/365),2))</f>
        <v>0</v>
      </c>
      <c r="W39" s="921" t="s">
        <v>847</v>
      </c>
      <c r="X39" s="927">
        <v>0</v>
      </c>
    </row>
    <row r="40" spans="1:24" ht="13.8" thickBot="1">
      <c r="A40" s="137" t="s">
        <v>441</v>
      </c>
      <c r="B40" s="8"/>
      <c r="C40" s="8"/>
      <c r="D40" s="8"/>
      <c r="E40" s="827">
        <f>174.548*[4]RAROC!$D$78</f>
        <v>174.548</v>
      </c>
      <c r="F40" s="369" t="str">
        <f t="shared" ref="F40:F49" si="0">CPI</f>
        <v>CPI Annual</v>
      </c>
      <c r="H40" s="139" t="s">
        <v>747</v>
      </c>
      <c r="I40" s="77"/>
      <c r="J40" s="835">
        <v>0.37</v>
      </c>
      <c r="K40" s="77"/>
      <c r="L40" s="149"/>
      <c r="N40" s="174" t="s">
        <v>659</v>
      </c>
      <c r="O40" s="25"/>
      <c r="P40" s="25"/>
      <c r="Q40" s="8"/>
      <c r="R40" s="224">
        <f>SUM(R39:R39)</f>
        <v>0</v>
      </c>
      <c r="S40" s="98"/>
      <c r="T40" s="137" t="s">
        <v>857</v>
      </c>
      <c r="U40" s="24"/>
      <c r="V40" s="24"/>
      <c r="W40" s="347"/>
      <c r="X40" s="190">
        <f>IF(X36=0,0,ROUND(U38/2+(Term_C/12),1))</f>
        <v>0</v>
      </c>
    </row>
    <row r="41" spans="1:24" ht="13.8" thickBot="1">
      <c r="A41" s="137" t="s">
        <v>770</v>
      </c>
      <c r="B41" s="8"/>
      <c r="C41" s="8"/>
      <c r="D41" s="8"/>
      <c r="E41" s="827">
        <f>54*[4]RAROC!$D$78</f>
        <v>54</v>
      </c>
      <c r="F41" s="369" t="str">
        <f t="shared" si="0"/>
        <v>CPI Annual</v>
      </c>
      <c r="N41" s="174"/>
      <c r="O41" s="25"/>
      <c r="P41" s="25"/>
      <c r="Q41" s="8"/>
      <c r="R41" s="175"/>
      <c r="S41" s="98"/>
      <c r="T41" s="137" t="s">
        <v>968</v>
      </c>
      <c r="U41" s="24"/>
      <c r="V41" s="847">
        <v>0</v>
      </c>
      <c r="W41" s="847">
        <v>0</v>
      </c>
      <c r="X41" s="922">
        <f>W41+V41</f>
        <v>0</v>
      </c>
    </row>
    <row r="42" spans="1:24" ht="13.8" thickBot="1">
      <c r="A42" s="137" t="s">
        <v>771</v>
      </c>
      <c r="B42" s="8"/>
      <c r="C42" s="8"/>
      <c r="D42" s="8"/>
      <c r="E42" s="827">
        <f>250*[4]RAROC!$D$78</f>
        <v>250</v>
      </c>
      <c r="F42" s="369" t="str">
        <f t="shared" si="0"/>
        <v>CPI Annual</v>
      </c>
      <c r="H42" s="211" t="s">
        <v>146</v>
      </c>
      <c r="I42" s="74"/>
      <c r="J42" s="157" t="s">
        <v>147</v>
      </c>
      <c r="K42" s="157" t="s">
        <v>148</v>
      </c>
      <c r="L42" s="158" t="s">
        <v>149</v>
      </c>
      <c r="N42" s="137" t="s">
        <v>795</v>
      </c>
      <c r="O42" s="1"/>
      <c r="P42" s="1034"/>
      <c r="Q42" s="22"/>
      <c r="R42" s="851">
        <f>2286.6465</f>
        <v>2286.6464999999998</v>
      </c>
      <c r="S42" s="101"/>
      <c r="T42" s="160" t="s">
        <v>442</v>
      </c>
      <c r="U42" s="24"/>
      <c r="V42" s="279"/>
      <c r="W42" s="279"/>
      <c r="X42" s="856">
        <v>0</v>
      </c>
    </row>
    <row r="43" spans="1:24">
      <c r="A43" s="137" t="s">
        <v>769</v>
      </c>
      <c r="B43" s="825">
        <v>600</v>
      </c>
      <c r="C43" s="8" t="s">
        <v>286</v>
      </c>
      <c r="D43" s="8"/>
      <c r="E43" s="827">
        <f>658.068*[4]RAROC!$D$78</f>
        <v>658.06799999999998</v>
      </c>
      <c r="F43" s="369" t="str">
        <f t="shared" si="0"/>
        <v>CPI Annual</v>
      </c>
      <c r="H43" s="137"/>
      <c r="I43" s="8"/>
      <c r="J43" s="43"/>
      <c r="K43" s="43"/>
      <c r="L43" s="159"/>
      <c r="N43" s="137" t="s">
        <v>610</v>
      </c>
      <c r="O43" s="8"/>
      <c r="P43" s="1034"/>
      <c r="Q43" s="22"/>
      <c r="R43" s="852">
        <v>0</v>
      </c>
      <c r="S43" s="103"/>
      <c r="T43" s="160" t="s">
        <v>107</v>
      </c>
      <c r="U43" s="24"/>
      <c r="V43" s="279"/>
      <c r="W43" s="279"/>
      <c r="X43" s="856">
        <v>0</v>
      </c>
    </row>
    <row r="44" spans="1:24">
      <c r="A44" s="137" t="s">
        <v>150</v>
      </c>
      <c r="B44" s="825">
        <v>20</v>
      </c>
      <c r="C44" s="8" t="s">
        <v>287</v>
      </c>
      <c r="D44" s="8"/>
      <c r="E44" s="827">
        <f>7.2*[4]RAROC!$D$78</f>
        <v>7.2</v>
      </c>
      <c r="F44" s="369" t="str">
        <f t="shared" si="0"/>
        <v>CPI Annual</v>
      </c>
      <c r="H44" s="137" t="s">
        <v>242</v>
      </c>
      <c r="I44" s="8"/>
      <c r="J44" s="219">
        <f ca="1">Depr!D16</f>
        <v>126412.00464369243</v>
      </c>
      <c r="K44" s="822">
        <v>20</v>
      </c>
      <c r="L44" s="159" t="s">
        <v>151</v>
      </c>
      <c r="N44" s="174" t="s">
        <v>660</v>
      </c>
      <c r="O44" s="25"/>
      <c r="P44" s="25"/>
      <c r="Q44" s="8"/>
      <c r="R44" s="224">
        <f>SUM(R42:R43)</f>
        <v>2286.6464999999998</v>
      </c>
      <c r="S44" s="98"/>
      <c r="T44" s="1001" t="s">
        <v>313</v>
      </c>
      <c r="U44" s="916"/>
      <c r="V44" s="917"/>
      <c r="W44" s="917"/>
      <c r="X44" s="918"/>
    </row>
    <row r="45" spans="1:24">
      <c r="A45" s="137" t="s">
        <v>152</v>
      </c>
      <c r="B45" s="8"/>
      <c r="C45" s="8"/>
      <c r="D45" s="8"/>
      <c r="E45" s="827">
        <v>0</v>
      </c>
      <c r="F45" s="369" t="str">
        <f t="shared" si="0"/>
        <v>CPI Annual</v>
      </c>
      <c r="H45" s="160" t="s">
        <v>243</v>
      </c>
      <c r="I45" s="24"/>
      <c r="J45" s="220">
        <f ca="1">Depr!F16</f>
        <v>126412.00464369243</v>
      </c>
      <c r="K45" s="822">
        <v>20</v>
      </c>
      <c r="L45" s="161" t="s">
        <v>151</v>
      </c>
      <c r="N45" s="174"/>
      <c r="O45" s="25"/>
      <c r="P45" s="25"/>
      <c r="Q45" s="8"/>
      <c r="R45" s="176"/>
      <c r="S45" s="98"/>
      <c r="T45" s="160" t="s">
        <v>108</v>
      </c>
      <c r="U45" s="24"/>
      <c r="V45" s="24"/>
      <c r="W45" s="919">
        <f ca="1">X45/Debt</f>
        <v>0</v>
      </c>
      <c r="X45" s="851">
        <v>0</v>
      </c>
    </row>
    <row r="46" spans="1:24" ht="13.8" thickBot="1">
      <c r="A46" s="137" t="s">
        <v>689</v>
      </c>
      <c r="B46" s="8"/>
      <c r="C46" s="8"/>
      <c r="D46" s="8"/>
      <c r="E46" s="827">
        <f>169.312*[4]RAROC!$D$78</f>
        <v>169.31200000000001</v>
      </c>
      <c r="F46" s="369" t="str">
        <f t="shared" si="0"/>
        <v>CPI Annual</v>
      </c>
      <c r="H46" s="139" t="s">
        <v>153</v>
      </c>
      <c r="I46" s="77"/>
      <c r="J46" s="221">
        <f ca="1">Depr!H16</f>
        <v>126412.00464369243</v>
      </c>
      <c r="K46" s="840">
        <v>20</v>
      </c>
      <c r="L46" s="162" t="s">
        <v>151</v>
      </c>
      <c r="N46" s="177" t="s">
        <v>661</v>
      </c>
      <c r="O46" s="178"/>
      <c r="P46" s="178"/>
      <c r="Q46" s="179"/>
      <c r="R46" s="225">
        <f ca="1">SUM(R13,R22,R32,R37,R40,R44)</f>
        <v>126558.00464369243</v>
      </c>
      <c r="S46" s="98"/>
      <c r="T46" s="160" t="s">
        <v>822</v>
      </c>
      <c r="U46" s="24"/>
      <c r="V46" s="24"/>
      <c r="W46" s="920"/>
      <c r="X46" s="939">
        <v>0</v>
      </c>
    </row>
    <row r="47" spans="1:24" ht="13.8" thickBot="1">
      <c r="A47" s="137" t="s">
        <v>690</v>
      </c>
      <c r="B47" s="703"/>
      <c r="C47" s="704"/>
      <c r="D47" s="378" t="s">
        <v>155</v>
      </c>
      <c r="E47" s="153">
        <f>Trapped!$AA$43/(Trapped!$AA$9/12)</f>
        <v>54.825688073394495</v>
      </c>
      <c r="F47" s="369" t="str">
        <f t="shared" si="0"/>
        <v>CPI Annual</v>
      </c>
      <c r="N47" s="76" t="s">
        <v>662</v>
      </c>
      <c r="O47" s="77"/>
      <c r="P47" s="77"/>
      <c r="Q47" s="77"/>
      <c r="R47" s="227">
        <f ca="1">Cost/Capacity</f>
        <v>1.2288377963267543</v>
      </c>
      <c r="S47" s="101"/>
      <c r="T47" s="160" t="s">
        <v>845</v>
      </c>
      <c r="U47" s="926">
        <v>0</v>
      </c>
      <c r="W47" s="921" t="s">
        <v>844</v>
      </c>
      <c r="X47" s="190">
        <f ca="1">IF(U47=0,0,U47-ROUND(((Startops2-Fin_Close)/365),0)+X48/2)*2</f>
        <v>0</v>
      </c>
    </row>
    <row r="48" spans="1:24" ht="13.8" thickBot="1">
      <c r="A48" s="137" t="s">
        <v>688</v>
      </c>
      <c r="B48" s="8"/>
      <c r="C48" s="8"/>
      <c r="D48" s="8"/>
      <c r="E48" s="1036">
        <f>370.836*[4]RAROC!$D$78</f>
        <v>370.83600000000001</v>
      </c>
      <c r="F48" s="369" t="str">
        <f t="shared" si="0"/>
        <v>CPI Annual</v>
      </c>
      <c r="H48" s="211" t="s">
        <v>1068</v>
      </c>
      <c r="I48" s="74"/>
      <c r="J48" s="1060"/>
      <c r="K48" s="1060"/>
      <c r="L48" s="1061"/>
      <c r="S48" s="103"/>
      <c r="T48" s="160" t="s">
        <v>846</v>
      </c>
      <c r="U48" s="924">
        <f ca="1">IF(X48=0,0,X48+ROUND(((Startops2-Fin_Close)/365),2))</f>
        <v>0</v>
      </c>
      <c r="W48" s="921" t="s">
        <v>847</v>
      </c>
      <c r="X48" s="927">
        <v>0</v>
      </c>
    </row>
    <row r="49" spans="1:24" ht="13.8" thickBot="1">
      <c r="A49" s="139" t="s">
        <v>932</v>
      </c>
      <c r="B49" s="77"/>
      <c r="C49" s="77"/>
      <c r="D49" s="77"/>
      <c r="E49" s="1035">
        <f>SUM(E40:E48)</f>
        <v>1738.7896880733947</v>
      </c>
      <c r="F49" s="370" t="str">
        <f t="shared" si="0"/>
        <v>CPI Annual</v>
      </c>
      <c r="H49" s="137" t="s">
        <v>492</v>
      </c>
      <c r="I49" s="8"/>
      <c r="J49" s="373"/>
      <c r="K49" s="373"/>
      <c r="L49" s="1062"/>
      <c r="N49" s="212" t="s">
        <v>993</v>
      </c>
      <c r="O49" s="213"/>
      <c r="P49" s="74"/>
      <c r="Q49" s="74"/>
      <c r="R49" s="142"/>
      <c r="S49" s="98"/>
      <c r="T49" s="137" t="s">
        <v>857</v>
      </c>
      <c r="U49" s="24"/>
      <c r="V49" s="24"/>
      <c r="W49" s="347"/>
      <c r="X49" s="190">
        <f>IF(X45=0,0,ROUND(U47/2+(Term_C/12),1))</f>
        <v>0</v>
      </c>
    </row>
    <row r="50" spans="1:24" ht="13.8" thickBot="1">
      <c r="H50" s="137" t="s">
        <v>1036</v>
      </c>
      <c r="I50" s="8"/>
      <c r="J50" s="373"/>
      <c r="K50" s="373"/>
      <c r="L50" s="1063">
        <v>0</v>
      </c>
      <c r="N50" s="390"/>
      <c r="O50" s="373"/>
      <c r="P50" s="34" t="s">
        <v>160</v>
      </c>
      <c r="Q50" s="34" t="s">
        <v>161</v>
      </c>
      <c r="R50" s="138" t="s">
        <v>162</v>
      </c>
      <c r="S50" s="98"/>
      <c r="T50" s="137" t="s">
        <v>968</v>
      </c>
      <c r="U50" s="24"/>
      <c r="V50" s="847">
        <v>0</v>
      </c>
      <c r="W50" s="847">
        <v>0</v>
      </c>
      <c r="X50" s="922">
        <f>W50+V50</f>
        <v>0</v>
      </c>
    </row>
    <row r="51" spans="1:24" ht="13.8" thickBot="1">
      <c r="A51" s="212" t="s">
        <v>990</v>
      </c>
      <c r="B51" s="398"/>
      <c r="C51" s="399" t="s">
        <v>695</v>
      </c>
      <c r="D51" s="74"/>
      <c r="E51" s="74"/>
      <c r="F51" s="142"/>
      <c r="H51" s="137" t="s">
        <v>1032</v>
      </c>
      <c r="I51" s="8"/>
      <c r="J51" s="373"/>
      <c r="K51" s="373"/>
      <c r="L51" s="1063">
        <v>1</v>
      </c>
      <c r="N51" s="391" t="s">
        <v>663</v>
      </c>
      <c r="O51" s="373"/>
      <c r="P51" s="855">
        <f ca="1">[2]!GasMat_Disc</f>
        <v>0.19</v>
      </c>
      <c r="Q51" s="180">
        <f ca="1">Returns!C22</f>
        <v>9.0913681366370055E-2</v>
      </c>
      <c r="R51" s="181">
        <f ca="1">Returns!C21</f>
        <v>-28234.245740358947</v>
      </c>
      <c r="S51" s="98"/>
      <c r="T51" s="160" t="s">
        <v>442</v>
      </c>
      <c r="U51" s="24"/>
      <c r="V51" s="279"/>
      <c r="W51" s="279"/>
      <c r="X51" s="856">
        <v>0</v>
      </c>
    </row>
    <row r="52" spans="1:24">
      <c r="A52" s="137"/>
      <c r="B52" s="8"/>
      <c r="C52" s="20" t="s">
        <v>691</v>
      </c>
      <c r="D52" s="8"/>
      <c r="E52" s="8"/>
      <c r="F52" s="148"/>
      <c r="H52" s="137" t="s">
        <v>1031</v>
      </c>
      <c r="I52" s="8"/>
      <c r="J52" s="373"/>
      <c r="K52" s="373"/>
      <c r="L52" s="1063">
        <v>1</v>
      </c>
      <c r="N52" s="390"/>
      <c r="O52" s="373"/>
      <c r="P52" s="150"/>
      <c r="Q52" s="834">
        <v>0.15</v>
      </c>
      <c r="R52" s="182" t="s">
        <v>164</v>
      </c>
      <c r="S52" s="98"/>
      <c r="T52" s="160" t="s">
        <v>107</v>
      </c>
      <c r="U52" s="24"/>
      <c r="V52" s="279"/>
      <c r="W52" s="279"/>
      <c r="X52" s="856">
        <v>0</v>
      </c>
    </row>
    <row r="53" spans="1:24">
      <c r="A53" s="137"/>
      <c r="B53" s="8"/>
      <c r="C53" s="8"/>
      <c r="D53" s="8"/>
      <c r="E53" s="8"/>
      <c r="F53" s="148"/>
      <c r="H53" s="137"/>
      <c r="I53" s="8"/>
      <c r="J53" s="373"/>
      <c r="K53" s="373"/>
      <c r="L53" s="1062"/>
      <c r="N53" s="390"/>
      <c r="O53" s="373"/>
      <c r="P53" s="8"/>
      <c r="Q53" s="8"/>
      <c r="R53" s="148"/>
      <c r="S53" s="107"/>
      <c r="T53" s="1001" t="s">
        <v>10</v>
      </c>
      <c r="U53" s="916"/>
      <c r="V53" s="917"/>
      <c r="W53" s="917"/>
      <c r="X53" s="918"/>
    </row>
    <row r="54" spans="1:24">
      <c r="A54" s="137" t="s">
        <v>692</v>
      </c>
      <c r="B54" s="8"/>
      <c r="C54" s="1083">
        <v>0</v>
      </c>
      <c r="D54" s="8" t="s">
        <v>693</v>
      </c>
      <c r="E54" s="8"/>
      <c r="F54" s="829">
        <v>2004</v>
      </c>
      <c r="H54" s="137" t="s">
        <v>1038</v>
      </c>
      <c r="I54" s="8"/>
      <c r="J54" s="373"/>
      <c r="K54" s="373"/>
      <c r="L54" s="1064">
        <v>0.05</v>
      </c>
      <c r="N54" s="390" t="str">
        <f>H68</f>
        <v>Enron</v>
      </c>
      <c r="O54" s="373"/>
      <c r="P54" s="22">
        <f ca="1">Disc</f>
        <v>0.19</v>
      </c>
      <c r="Q54" s="22">
        <f ca="1">Returns!C64</f>
        <v>9.8889666987554858E-2</v>
      </c>
      <c r="R54" s="183">
        <f ca="1">Returns!C63</f>
        <v>-13071.758216920007</v>
      </c>
      <c r="S54" s="108"/>
      <c r="T54" s="160" t="s">
        <v>108</v>
      </c>
      <c r="U54" s="24"/>
      <c r="V54" s="24"/>
      <c r="W54" s="919">
        <f ca="1">X54/Debt</f>
        <v>0.28304134917891521</v>
      </c>
      <c r="X54" s="222">
        <f ca="1">X69</f>
        <v>21492.689030245267</v>
      </c>
    </row>
    <row r="55" spans="1:24" ht="13.8" thickBot="1">
      <c r="A55" s="139"/>
      <c r="B55" s="77"/>
      <c r="C55" s="77"/>
      <c r="D55" s="77" t="s">
        <v>694</v>
      </c>
      <c r="E55" s="77"/>
      <c r="F55" s="830">
        <v>5000</v>
      </c>
      <c r="H55" s="139" t="s">
        <v>1037</v>
      </c>
      <c r="I55" s="77"/>
      <c r="J55" s="357"/>
      <c r="K55" s="357"/>
      <c r="L55" s="841">
        <v>0.06</v>
      </c>
      <c r="N55" s="390" t="str">
        <f>H69</f>
        <v>Shell</v>
      </c>
      <c r="O55" s="373"/>
      <c r="P55" s="22">
        <f ca="1">Disc</f>
        <v>0.19</v>
      </c>
      <c r="Q55" s="22">
        <f ca="1">Returns!C101</f>
        <v>9.5688676281288701E-2</v>
      </c>
      <c r="R55" s="183">
        <f ca="1">Returns!C100</f>
        <v>-10146.418291947484</v>
      </c>
      <c r="S55" s="103"/>
      <c r="T55" s="160" t="s">
        <v>822</v>
      </c>
      <c r="U55" s="24"/>
      <c r="V55" s="24"/>
      <c r="W55" s="920"/>
      <c r="X55" s="939">
        <v>2</v>
      </c>
    </row>
    <row r="56" spans="1:24" ht="13.8" thickBot="1">
      <c r="N56" s="390" t="str">
        <f>H70</f>
        <v>Transredes</v>
      </c>
      <c r="O56" s="373"/>
      <c r="P56" s="22">
        <f ca="1">Disc</f>
        <v>0.19</v>
      </c>
      <c r="Q56" s="22">
        <f ca="1">Returns!C121</f>
        <v>0.10737349783261498</v>
      </c>
      <c r="R56" s="184">
        <f ca="1">Returns!C120</f>
        <v>-2917.2842601763964</v>
      </c>
      <c r="S56" s="98"/>
      <c r="T56" s="160" t="s">
        <v>845</v>
      </c>
      <c r="U56" s="926">
        <v>12</v>
      </c>
      <c r="W56" s="921" t="s">
        <v>844</v>
      </c>
      <c r="X56" s="190">
        <f ca="1">IF(U56=0,0,U56-ROUND(((Startops2-Fin_Close)/365),0)+X57/2)*2</f>
        <v>23</v>
      </c>
    </row>
    <row r="57" spans="1:24" ht="13.8" thickBot="1">
      <c r="A57" s="211" t="str">
        <f>PROPER("Fuel CONVERSION")</f>
        <v>Fuel Conversion</v>
      </c>
      <c r="B57" s="74"/>
      <c r="C57" s="74"/>
      <c r="D57" s="74"/>
      <c r="E57" s="74"/>
      <c r="F57" s="142"/>
      <c r="H57" s="211" t="s">
        <v>532</v>
      </c>
      <c r="I57" s="1085"/>
      <c r="J57" s="675" t="s">
        <v>1067</v>
      </c>
      <c r="K57" s="675"/>
      <c r="L57" s="1086">
        <v>1.0649999999999999</v>
      </c>
      <c r="N57" s="390" t="s">
        <v>503</v>
      </c>
      <c r="O57" s="373"/>
      <c r="P57" s="373"/>
      <c r="Q57" s="373"/>
      <c r="R57" s="183">
        <f ca="1">SUM(R54:R56)</f>
        <v>-26135.460769043886</v>
      </c>
      <c r="S57" s="98"/>
      <c r="T57" s="160" t="s">
        <v>846</v>
      </c>
      <c r="U57" s="924">
        <f ca="1">IF(X57=0,0,X57+ROUND(((Startops2-Fin_Close)/365),2))</f>
        <v>1.92</v>
      </c>
      <c r="W57" s="921" t="s">
        <v>847</v>
      </c>
      <c r="X57" s="927">
        <v>1</v>
      </c>
    </row>
    <row r="58" spans="1:24" ht="13.8" thickBot="1">
      <c r="A58" s="137"/>
      <c r="B58" s="8"/>
      <c r="C58" s="8"/>
      <c r="D58" s="59" t="s">
        <v>108</v>
      </c>
      <c r="E58" s="59" t="s">
        <v>292</v>
      </c>
      <c r="F58" s="148"/>
      <c r="H58" s="139"/>
      <c r="I58" s="77"/>
      <c r="J58" s="147" t="s">
        <v>1066</v>
      </c>
      <c r="K58" s="388"/>
      <c r="L58" s="1084">
        <v>0</v>
      </c>
      <c r="N58" s="390"/>
      <c r="O58" s="373"/>
      <c r="P58" s="373"/>
      <c r="Q58" s="373"/>
      <c r="R58" s="183"/>
      <c r="S58" s="98"/>
      <c r="T58" s="137" t="s">
        <v>857</v>
      </c>
      <c r="U58" s="24"/>
      <c r="V58" s="24"/>
      <c r="W58" s="347"/>
      <c r="X58" s="190">
        <f ca="1">IF(X54=0,0,ROUND(U56/2+(Term_C/12),1))</f>
        <v>8.9</v>
      </c>
    </row>
    <row r="59" spans="1:24" ht="13.8" thickBot="1">
      <c r="A59" s="137" t="s">
        <v>291</v>
      </c>
      <c r="B59" s="8"/>
      <c r="C59" s="150" t="s">
        <v>975</v>
      </c>
      <c r="D59" s="831">
        <v>9.1999999999999993</v>
      </c>
      <c r="E59" s="43" t="s">
        <v>290</v>
      </c>
      <c r="F59" s="148"/>
      <c r="H59" s="8"/>
      <c r="I59" s="8"/>
      <c r="J59" s="150"/>
      <c r="K59" s="8"/>
      <c r="L59" s="1106"/>
      <c r="N59" s="390" t="s">
        <v>304</v>
      </c>
      <c r="O59" s="373"/>
      <c r="P59" s="373"/>
      <c r="Q59" s="393" t="s">
        <v>211</v>
      </c>
      <c r="R59" s="183">
        <f ca="1">-(Returns!AB28+Returns!AB86+Returns!AB106)</f>
        <v>0</v>
      </c>
      <c r="S59" s="109"/>
      <c r="T59" s="137" t="s">
        <v>968</v>
      </c>
      <c r="U59" s="24"/>
      <c r="V59" s="24"/>
      <c r="W59" s="24"/>
      <c r="X59" s="856">
        <v>0.13</v>
      </c>
    </row>
    <row r="60" spans="1:24" ht="13.8" thickBot="1">
      <c r="A60" s="137"/>
      <c r="B60" s="8"/>
      <c r="C60" s="150" t="s">
        <v>173</v>
      </c>
      <c r="D60" s="832">
        <v>3.9683000000000002</v>
      </c>
      <c r="E60" s="43" t="s">
        <v>976</v>
      </c>
      <c r="F60" s="148"/>
      <c r="H60" s="211" t="s">
        <v>1087</v>
      </c>
      <c r="I60" s="487"/>
      <c r="J60" s="1108"/>
      <c r="K60" s="74"/>
      <c r="L60" s="1107"/>
      <c r="N60" s="390" t="s">
        <v>963</v>
      </c>
      <c r="O60" s="373"/>
      <c r="P60" s="373"/>
      <c r="Q60" s="393"/>
      <c r="R60" s="183">
        <f ca="1">Returns!AB13</f>
        <v>-27.322442357224737</v>
      </c>
      <c r="S60" s="103"/>
      <c r="T60" s="160" t="s">
        <v>442</v>
      </c>
      <c r="U60" s="24"/>
      <c r="V60" s="279"/>
      <c r="W60" s="279"/>
      <c r="X60" s="856">
        <v>0</v>
      </c>
    </row>
    <row r="61" spans="1:24" ht="13.8" thickBot="1">
      <c r="A61" s="139"/>
      <c r="B61" s="77"/>
      <c r="C61" s="147" t="s">
        <v>977</v>
      </c>
      <c r="D61" s="642">
        <f>D59*D60</f>
        <v>36.508359999999996</v>
      </c>
      <c r="E61" s="151" t="s">
        <v>174</v>
      </c>
      <c r="F61" s="149"/>
      <c r="H61" s="494" t="s">
        <v>1088</v>
      </c>
      <c r="I61" s="250"/>
      <c r="J61" s="250"/>
      <c r="K61" s="250"/>
      <c r="L61" s="1114">
        <f ca="1">'[1]Monthly Curve Calc.'!$F$12</f>
        <v>0</v>
      </c>
      <c r="N61" s="390" t="s">
        <v>170</v>
      </c>
      <c r="O61" s="373"/>
      <c r="P61" s="373"/>
      <c r="Q61" s="393" t="s">
        <v>211</v>
      </c>
      <c r="R61" s="183">
        <f ca="1">-Returns!AB38</f>
        <v>413.21964983763309</v>
      </c>
      <c r="S61" s="103"/>
      <c r="T61" s="494" t="s">
        <v>107</v>
      </c>
      <c r="U61" s="250"/>
      <c r="V61" s="923"/>
      <c r="W61" s="923"/>
      <c r="X61" s="857">
        <v>0</v>
      </c>
    </row>
    <row r="62" spans="1:24" ht="13.8" thickBot="1">
      <c r="N62" s="390" t="s">
        <v>306</v>
      </c>
      <c r="O62" s="373"/>
      <c r="P62" s="373"/>
      <c r="Q62" s="393" t="s">
        <v>211</v>
      </c>
      <c r="R62" s="183">
        <f ca="1">-Returns!AB31-Returns!AB89-Returns!AB109</f>
        <v>-1868.4607859772259</v>
      </c>
    </row>
    <row r="63" spans="1:24" ht="13.8" thickBot="1">
      <c r="H63" s="211" t="s">
        <v>742</v>
      </c>
      <c r="I63" s="74"/>
      <c r="J63" s="74"/>
      <c r="K63" s="74"/>
      <c r="L63" s="142"/>
      <c r="N63" s="390" t="s">
        <v>176</v>
      </c>
      <c r="O63" s="373"/>
      <c r="P63" s="373"/>
      <c r="Q63" s="393" t="s">
        <v>211</v>
      </c>
      <c r="R63" s="183">
        <f ca="1">-Returns!AB39</f>
        <v>-4257.0970088049407</v>
      </c>
      <c r="T63" s="211" t="s">
        <v>1079</v>
      </c>
      <c r="U63" s="74" t="s">
        <v>1080</v>
      </c>
      <c r="V63" s="74"/>
      <c r="W63" s="74"/>
      <c r="X63" s="1097">
        <v>25</v>
      </c>
    </row>
    <row r="64" spans="1:24">
      <c r="H64" s="137" t="s">
        <v>581</v>
      </c>
      <c r="I64" s="842">
        <v>0.5</v>
      </c>
      <c r="J64" s="8" t="s">
        <v>484</v>
      </c>
      <c r="K64" s="8"/>
      <c r="L64" s="148"/>
      <c r="N64" s="390" t="s">
        <v>305</v>
      </c>
      <c r="O64" s="373"/>
      <c r="P64" s="373"/>
      <c r="Q64" s="393" t="s">
        <v>211</v>
      </c>
      <c r="R64" s="183">
        <f ca="1">-Returns!AB40</f>
        <v>638.56455132074097</v>
      </c>
      <c r="T64" s="137"/>
      <c r="U64" s="8" t="s">
        <v>1081</v>
      </c>
      <c r="V64" s="8"/>
      <c r="W64" s="1098">
        <v>0.2</v>
      </c>
      <c r="X64" s="183">
        <f>W64*X63</f>
        <v>5</v>
      </c>
    </row>
    <row r="65" spans="8:26" ht="13.8" thickBot="1">
      <c r="H65" s="386"/>
      <c r="I65" s="838">
        <v>0.1</v>
      </c>
      <c r="J65" s="77" t="s">
        <v>580</v>
      </c>
      <c r="K65" s="77"/>
      <c r="L65" s="149"/>
      <c r="N65" s="390" t="s">
        <v>175</v>
      </c>
      <c r="O65" s="373"/>
      <c r="P65" s="373"/>
      <c r="Q65" s="393" t="s">
        <v>211</v>
      </c>
      <c r="R65" s="183">
        <f ca="1">-Returns!AB35</f>
        <v>0</v>
      </c>
      <c r="T65" s="139"/>
      <c r="U65" s="77" t="s">
        <v>1082</v>
      </c>
      <c r="V65" s="77"/>
      <c r="W65" s="1099">
        <f ca="1">YEAR(Fin_Close)+U11</f>
        <v>2015</v>
      </c>
      <c r="X65" s="1100"/>
    </row>
    <row r="66" spans="8:26" ht="13.8" thickBot="1">
      <c r="N66" s="390" t="s">
        <v>177</v>
      </c>
      <c r="O66" s="373"/>
      <c r="P66" s="373"/>
      <c r="Q66" s="393" t="s">
        <v>211</v>
      </c>
      <c r="R66" s="183">
        <f ca="1">-(Returns!AB34+Returns!AB92+Returns!AB112)</f>
        <v>0</v>
      </c>
    </row>
    <row r="67" spans="8:26" ht="13.8" thickBot="1">
      <c r="H67" s="211" t="s">
        <v>156</v>
      </c>
      <c r="I67" s="74"/>
      <c r="J67" s="136" t="s">
        <v>991</v>
      </c>
      <c r="K67" s="136" t="s">
        <v>298</v>
      </c>
      <c r="L67" s="164" t="s">
        <v>297</v>
      </c>
      <c r="N67" s="390" t="s">
        <v>1101</v>
      </c>
      <c r="O67" s="373"/>
      <c r="P67" s="373"/>
      <c r="Q67" s="393" t="s">
        <v>211</v>
      </c>
      <c r="R67" s="183">
        <f ca="1">-Returns!AB36</f>
        <v>46.513958218326131</v>
      </c>
      <c r="T67" s="211" t="s">
        <v>996</v>
      </c>
      <c r="U67" s="74"/>
      <c r="V67" s="74"/>
      <c r="W67" s="74"/>
      <c r="X67" s="142"/>
    </row>
    <row r="68" spans="8:26">
      <c r="H68" s="137" t="s">
        <v>157</v>
      </c>
      <c r="I68" s="8"/>
      <c r="J68" s="216">
        <f ca="1">K68*Equity</f>
        <v>14565.256413615854</v>
      </c>
      <c r="K68" s="163">
        <f>1-K69-K70</f>
        <v>0.5</v>
      </c>
      <c r="L68" s="165">
        <f>1-L69-L70</f>
        <v>0.5</v>
      </c>
      <c r="N68" s="390" t="s">
        <v>1102</v>
      </c>
      <c r="O68" s="373"/>
      <c r="P68" s="373"/>
      <c r="Q68" s="393" t="s">
        <v>211</v>
      </c>
      <c r="R68" s="183">
        <f ca="1">-Returns!AB37</f>
        <v>355.20929165686442</v>
      </c>
      <c r="T68" s="198" t="s">
        <v>296</v>
      </c>
      <c r="U68" s="8"/>
      <c r="V68" s="8"/>
      <c r="W68" s="192">
        <f ca="1">1-Equity_Perc-Subdebt_Perc</f>
        <v>0.59999999999999987</v>
      </c>
      <c r="X68" s="183">
        <f ca="1">Cost*Debt_Perc</f>
        <v>75934.802786215441</v>
      </c>
      <c r="Z68" s="5">
        <f ca="1">0.3*Cost</f>
        <v>37967.401393107728</v>
      </c>
    </row>
    <row r="69" spans="8:26">
      <c r="H69" s="137" t="s">
        <v>158</v>
      </c>
      <c r="I69" s="8"/>
      <c r="J69" s="216">
        <f ca="1">K69*Equity</f>
        <v>10923.942310211891</v>
      </c>
      <c r="K69" s="843">
        <v>0.375</v>
      </c>
      <c r="L69" s="844">
        <v>0.375</v>
      </c>
      <c r="N69" s="390" t="s">
        <v>1103</v>
      </c>
      <c r="O69" s="373"/>
      <c r="P69" s="373"/>
      <c r="Q69" s="393" t="s">
        <v>211</v>
      </c>
      <c r="R69" s="183">
        <f ca="1">-Returns!AB113</f>
        <v>-737.86534995677027</v>
      </c>
      <c r="T69" s="137" t="s">
        <v>9</v>
      </c>
      <c r="U69" s="8"/>
      <c r="V69" s="8"/>
      <c r="W69" s="192">
        <f ca="1">0.4-Equity_Perc</f>
        <v>0.16982480950734907</v>
      </c>
      <c r="X69" s="183">
        <f ca="1">Cost*Subdebt_Perc</f>
        <v>21492.689030245267</v>
      </c>
      <c r="Z69" s="5">
        <f ca="1">Equity</f>
        <v>29130.512827231709</v>
      </c>
    </row>
    <row r="70" spans="8:26">
      <c r="H70" s="137" t="s">
        <v>159</v>
      </c>
      <c r="I70" s="8"/>
      <c r="J70" s="217">
        <f ca="1">K70*Equity</f>
        <v>3641.3141034039636</v>
      </c>
      <c r="K70" s="845">
        <v>0.125</v>
      </c>
      <c r="L70" s="846">
        <v>0.125</v>
      </c>
      <c r="N70" s="390" t="s">
        <v>307</v>
      </c>
      <c r="O70" s="373"/>
      <c r="P70" s="373"/>
      <c r="Q70" s="373"/>
      <c r="R70" s="183">
        <f ca="1">-Returns!AB41-Returns!AB94-Returns!AB114</f>
        <v>2001.6688066709876</v>
      </c>
      <c r="T70" s="137" t="s">
        <v>311</v>
      </c>
      <c r="U70" s="8"/>
      <c r="V70" s="8"/>
      <c r="W70" s="1265">
        <f ca="1">IDC!$AO$60/Cost</f>
        <v>0.23017519049265095</v>
      </c>
      <c r="X70" s="184">
        <f ca="1">Cost*Equity_Perc</f>
        <v>29130.512827231709</v>
      </c>
      <c r="Y70" s="5" t="s">
        <v>1132</v>
      </c>
      <c r="Z70" s="5">
        <f ca="1">Z68-Z69</f>
        <v>8836.8885658760191</v>
      </c>
    </row>
    <row r="71" spans="8:26" ht="13.8" thickBot="1">
      <c r="H71" s="139" t="s">
        <v>117</v>
      </c>
      <c r="I71" s="77"/>
      <c r="J71" s="218">
        <f ca="1">SUM(J68:J70)</f>
        <v>29130.512827231709</v>
      </c>
      <c r="K71" s="166">
        <f>SUM(K68:K70)</f>
        <v>1</v>
      </c>
      <c r="L71" s="167">
        <f>SUM(L68:L70)</f>
        <v>1</v>
      </c>
      <c r="N71" s="390" t="s">
        <v>171</v>
      </c>
      <c r="O71" s="373"/>
      <c r="P71" s="373"/>
      <c r="Q71" s="373"/>
      <c r="R71" s="183">
        <f ca="1">-Returns!AB52</f>
        <v>27736.687010213365</v>
      </c>
      <c r="T71" s="199" t="s">
        <v>312</v>
      </c>
      <c r="U71" s="193"/>
      <c r="V71" s="193"/>
      <c r="W71" s="194">
        <f ca="1">SUM(W68:W70)</f>
        <v>1</v>
      </c>
      <c r="X71" s="226">
        <f ca="1">SUM(X68:X70)</f>
        <v>126558.00464369242</v>
      </c>
    </row>
    <row r="72" spans="8:26" ht="13.8" thickBot="1">
      <c r="N72" s="390" t="s">
        <v>172</v>
      </c>
      <c r="O72" s="373"/>
      <c r="P72" s="373"/>
      <c r="Q72" s="373"/>
      <c r="R72" s="183">
        <f ca="1">-Returns!AB53</f>
        <v>-25910.734944716885</v>
      </c>
      <c r="T72" s="137" t="s">
        <v>315</v>
      </c>
      <c r="U72" s="8"/>
      <c r="V72" s="8"/>
      <c r="W72" s="8"/>
      <c r="X72" s="200">
        <f ca="1">MAX(X11,X20,X29,X38,X47,X56)</f>
        <v>29</v>
      </c>
    </row>
    <row r="73" spans="8:26" ht="13.8" thickBot="1">
      <c r="H73" s="211" t="s">
        <v>718</v>
      </c>
      <c r="I73" s="157" t="s">
        <v>157</v>
      </c>
      <c r="J73" s="157" t="s">
        <v>158</v>
      </c>
      <c r="K73" s="157" t="s">
        <v>159</v>
      </c>
      <c r="L73" s="164" t="s">
        <v>220</v>
      </c>
      <c r="N73" s="390" t="s">
        <v>646</v>
      </c>
      <c r="O73" s="373"/>
      <c r="P73" s="373"/>
      <c r="Q73" s="393" t="s">
        <v>362</v>
      </c>
      <c r="R73" s="183">
        <f ca="1">-Returns!AB54</f>
        <v>-837.21169591037233</v>
      </c>
      <c r="T73" s="201" t="s">
        <v>314</v>
      </c>
      <c r="U73" s="196"/>
      <c r="V73" s="197">
        <f ca="1">IF(Debt=0,0,(($X$27*V32)+($X$18*V23)+($X$9*V14)+($X$36*V41)+($X$45*V50)+($X$54*V59))/(Debt))</f>
        <v>6.3125000000000001E-2</v>
      </c>
      <c r="W73" s="197">
        <f ca="1">IF(Debt=0,0,(($X$27*W32)+($X$18*W23)+($X$9*W14)+($X$36*W41)+($X$45*W50)+($X$54*W59))/(Debt))</f>
        <v>4.7E-2</v>
      </c>
      <c r="X73" s="202">
        <f ca="1">V73+W73</f>
        <v>0.110125</v>
      </c>
    </row>
    <row r="74" spans="8:26">
      <c r="H74" s="137" t="s">
        <v>301</v>
      </c>
      <c r="I74" s="847">
        <v>0.2</v>
      </c>
      <c r="J74" s="847">
        <v>0.2</v>
      </c>
      <c r="K74" s="847">
        <v>0.6</v>
      </c>
      <c r="L74" s="165">
        <f>SUM(I74:K74)</f>
        <v>1</v>
      </c>
      <c r="N74" s="390" t="s">
        <v>645</v>
      </c>
      <c r="O74" s="373"/>
      <c r="P74" s="373"/>
      <c r="Q74" s="393" t="s">
        <v>362</v>
      </c>
      <c r="R74" s="183">
        <f ca="1">-Returns!AB56</f>
        <v>140.31000082236082</v>
      </c>
      <c r="T74" s="137" t="s">
        <v>875</v>
      </c>
      <c r="U74" s="8"/>
      <c r="V74" s="8"/>
      <c r="W74" s="8"/>
      <c r="X74" s="204">
        <f ca="1">IF(Debt=0,0,((X$9*X15)+(X$18*X24)+(X$27*X$33)+(X$36*X42)+(X$45*X51)+(X$54*X60))/(Debt))</f>
        <v>1.5000000000000001E-2</v>
      </c>
    </row>
    <row r="75" spans="8:26" ht="13.8" thickBot="1">
      <c r="H75" s="139" t="s">
        <v>689</v>
      </c>
      <c r="I75" s="848">
        <v>0</v>
      </c>
      <c r="J75" s="848">
        <v>0</v>
      </c>
      <c r="K75" s="848">
        <v>1</v>
      </c>
      <c r="L75" s="167">
        <f>SUM(I75:K75)</f>
        <v>1</v>
      </c>
      <c r="N75" s="390" t="s">
        <v>647</v>
      </c>
      <c r="O75" s="373"/>
      <c r="P75" s="373"/>
      <c r="Q75" s="373"/>
      <c r="R75" s="184">
        <f ca="1">-Returns!AB57</f>
        <v>180.41154531085482</v>
      </c>
      <c r="T75" s="139" t="s">
        <v>876</v>
      </c>
      <c r="U75" s="77"/>
      <c r="V75" s="77"/>
      <c r="W75" s="77"/>
      <c r="X75" s="203">
        <f ca="1">IF(Debt=0,0,((X$9*X16)+(X$18*X25)+(X$27*X$33)+(X$36*X43)+(X$45*X52)+(X$54*X61))/(Debt))</f>
        <v>5.0000000000000001E-3</v>
      </c>
    </row>
    <row r="76" spans="8:26" ht="13.8" thickBot="1">
      <c r="N76" s="390" t="s">
        <v>178</v>
      </c>
      <c r="O76" s="373"/>
      <c r="P76" s="373"/>
      <c r="Q76" s="373"/>
      <c r="R76" s="183">
        <f ca="1">SUM(R59:R75)</f>
        <v>-2126.107413672285</v>
      </c>
    </row>
    <row r="77" spans="8:26" ht="13.8" thickBot="1">
      <c r="H77" s="211" t="s">
        <v>447</v>
      </c>
      <c r="I77" s="74"/>
      <c r="J77" s="74"/>
      <c r="K77" s="74"/>
      <c r="L77" s="142"/>
      <c r="N77" s="390"/>
      <c r="O77" s="373"/>
      <c r="P77" s="373"/>
      <c r="Q77" s="373"/>
      <c r="R77" s="183"/>
      <c r="T77" s="211" t="s">
        <v>167</v>
      </c>
      <c r="U77" s="157" t="s">
        <v>168</v>
      </c>
      <c r="V77" s="157" t="s">
        <v>169</v>
      </c>
      <c r="W77" s="157" t="s">
        <v>295</v>
      </c>
      <c r="X77" s="170"/>
    </row>
    <row r="78" spans="8:26" ht="13.8" thickBot="1">
      <c r="H78" s="139" t="s">
        <v>631</v>
      </c>
      <c r="I78" s="77"/>
      <c r="J78" s="145" t="s">
        <v>632</v>
      </c>
      <c r="K78" s="77"/>
      <c r="L78" s="849">
        <v>0.01</v>
      </c>
      <c r="N78" s="390" t="s">
        <v>308</v>
      </c>
      <c r="O78" s="373"/>
      <c r="P78" s="373"/>
      <c r="Q78" s="373"/>
      <c r="R78" s="184">
        <f ca="1">R57+R76</f>
        <v>-28261.568182716172</v>
      </c>
      <c r="T78" s="342" t="s">
        <v>491</v>
      </c>
      <c r="U78" s="104">
        <f ca="1">MIN(PLRisk!G60:Z60)</f>
        <v>0.75662182185004945</v>
      </c>
      <c r="V78" s="104">
        <f ca="1">MIN(PLRisk!G66:Z66)</f>
        <v>0.75662182185004945</v>
      </c>
      <c r="W78" s="860">
        <v>1.4</v>
      </c>
      <c r="X78" s="171" t="s">
        <v>296</v>
      </c>
    </row>
    <row r="79" spans="8:26" ht="13.8" thickBot="1">
      <c r="N79" s="392" t="s">
        <v>179</v>
      </c>
      <c r="O79" s="357"/>
      <c r="P79" s="357"/>
      <c r="Q79" s="357"/>
      <c r="R79" s="185">
        <f ca="1">R78-R51</f>
        <v>-27.322442357224645</v>
      </c>
      <c r="T79" s="343" t="s">
        <v>155</v>
      </c>
      <c r="U79" s="172">
        <f ca="1">AVERAGE(PLRisk!G60:Z60)</f>
        <v>1.4100115187949476</v>
      </c>
      <c r="V79" s="172">
        <f ca="1">AVERAGE(PLRisk!G66:Z66)</f>
        <v>1.3340827139896225</v>
      </c>
      <c r="W79" s="861">
        <v>1.8</v>
      </c>
      <c r="X79" s="173" t="s">
        <v>296</v>
      </c>
    </row>
    <row r="80" spans="8:26" ht="13.8" thickBot="1">
      <c r="H80" s="212" t="s">
        <v>1071</v>
      </c>
      <c r="I80" s="673"/>
      <c r="J80" s="74"/>
      <c r="K80" s="152" t="s">
        <v>1072</v>
      </c>
      <c r="L80" s="1092">
        <v>1</v>
      </c>
    </row>
    <row r="81" spans="8:24" ht="13.8" thickBot="1">
      <c r="H81" s="137" t="s">
        <v>1073</v>
      </c>
      <c r="I81" s="8"/>
      <c r="J81" s="8"/>
      <c r="K81" s="8"/>
      <c r="L81" s="1093">
        <f ca="1">CF!Y43</f>
        <v>6402.9711653059658</v>
      </c>
      <c r="N81" s="212" t="s">
        <v>994</v>
      </c>
      <c r="O81" s="398"/>
      <c r="P81" s="74"/>
      <c r="Q81" s="74"/>
      <c r="R81" s="142"/>
      <c r="T81" s="211" t="s">
        <v>163</v>
      </c>
      <c r="U81" s="74"/>
      <c r="V81" s="152" t="s">
        <v>751</v>
      </c>
      <c r="W81" s="1102" t="s">
        <v>338</v>
      </c>
      <c r="X81" s="1101"/>
    </row>
    <row r="82" spans="8:24">
      <c r="H82" s="137" t="s">
        <v>1074</v>
      </c>
      <c r="I82" s="8"/>
      <c r="J82" s="8"/>
      <c r="K82" s="8"/>
      <c r="L82" s="1094">
        <f>CF!Y9</f>
        <v>4</v>
      </c>
      <c r="N82" s="1121" t="s">
        <v>1099</v>
      </c>
      <c r="O82" s="8"/>
      <c r="P82" s="8"/>
      <c r="Q82" s="8"/>
      <c r="R82" s="1122">
        <f>(710.927/4775.883)*775.883</f>
        <v>115.49616553441533</v>
      </c>
      <c r="T82" s="137"/>
      <c r="U82" s="859">
        <v>6</v>
      </c>
      <c r="V82" s="8" t="s">
        <v>288</v>
      </c>
      <c r="W82" s="8"/>
      <c r="X82" s="148"/>
    </row>
    <row r="83" spans="8:24" ht="13.8" thickBot="1">
      <c r="H83" s="137" t="s">
        <v>1075</v>
      </c>
      <c r="I83" s="8"/>
      <c r="J83" s="8"/>
      <c r="K83" s="8"/>
      <c r="L83" s="222">
        <f ca="1">L81/L82*12</f>
        <v>19208.913495917899</v>
      </c>
      <c r="N83" s="137" t="s">
        <v>1100</v>
      </c>
      <c r="O83" s="8"/>
      <c r="P83" s="8"/>
      <c r="Q83" s="1165">
        <f>(R82+R83)-0.35*SUM(R82,R83)</f>
        <v>648.37250759737003</v>
      </c>
      <c r="R83" s="1122">
        <v>882</v>
      </c>
      <c r="T83" s="139"/>
      <c r="U83" s="838">
        <v>2.5000000000000001E-2</v>
      </c>
      <c r="V83" s="77" t="s">
        <v>166</v>
      </c>
      <c r="W83" s="77"/>
      <c r="X83" s="149"/>
    </row>
    <row r="84" spans="8:24" ht="13.8" thickBot="1">
      <c r="H84" s="137" t="s">
        <v>1076</v>
      </c>
      <c r="I84" s="8"/>
      <c r="J84" s="8"/>
      <c r="K84" s="8"/>
      <c r="L84" s="1095">
        <v>10</v>
      </c>
      <c r="N84" s="137"/>
      <c r="O84" s="8"/>
      <c r="P84" s="8"/>
      <c r="Q84" s="8"/>
      <c r="R84" s="148"/>
    </row>
    <row r="85" spans="8:24" ht="13.8" thickBot="1">
      <c r="H85" s="139" t="s">
        <v>1071</v>
      </c>
      <c r="I85" s="77"/>
      <c r="J85" s="77"/>
      <c r="K85" s="77"/>
      <c r="L85" s="1096">
        <f ca="1">L83*L84</f>
        <v>192089.13495917898</v>
      </c>
      <c r="N85" s="137"/>
      <c r="O85" s="154">
        <f>EINC!E7</f>
        <v>1998</v>
      </c>
      <c r="P85" s="154">
        <f>EINC!F7</f>
        <v>1999</v>
      </c>
      <c r="Q85" s="154">
        <f>EINC!G7</f>
        <v>2000</v>
      </c>
      <c r="R85" s="338">
        <f>EINC!H7</f>
        <v>2001</v>
      </c>
      <c r="T85" s="211" t="s">
        <v>879</v>
      </c>
      <c r="U85" s="74"/>
      <c r="V85" s="74"/>
      <c r="W85" s="74"/>
      <c r="X85" s="949" t="s">
        <v>880</v>
      </c>
    </row>
    <row r="86" spans="8:24">
      <c r="N86" s="137" t="s">
        <v>87</v>
      </c>
      <c r="O86" s="153">
        <f ca="1">EINC!E50</f>
        <v>265.75230895853667</v>
      </c>
      <c r="P86" s="153">
        <f ca="1">EINC!F50</f>
        <v>956.60270674267474</v>
      </c>
      <c r="Q86" s="153">
        <f ca="1">EINC!G50</f>
        <v>-87.984162530347788</v>
      </c>
      <c r="R86" s="339">
        <f ca="1">EINC!H50</f>
        <v>-1579.0780316842397</v>
      </c>
      <c r="T86" s="137" t="s">
        <v>108</v>
      </c>
      <c r="U86" s="53">
        <f ca="1">HLOOKUP(Fin_Close,Idc_Table,IDC!$AP$25)</f>
        <v>73384.383510427142</v>
      </c>
      <c r="V86" s="8"/>
      <c r="W86" s="8"/>
      <c r="X86" s="148"/>
    </row>
    <row r="87" spans="8:24" ht="13.8" thickBot="1">
      <c r="M87" s="8"/>
      <c r="N87" s="137" t="str">
        <f>EINC!A60</f>
        <v>Enron Avg Book Income (Yrs 1-5) - Comm Ops</v>
      </c>
      <c r="O87" s="43"/>
      <c r="P87" s="43"/>
      <c r="Q87" s="43"/>
      <c r="R87" s="339">
        <f ca="1">EINC!C60</f>
        <v>-1838.7092239929291</v>
      </c>
      <c r="T87" s="386" t="s">
        <v>109</v>
      </c>
      <c r="U87" s="838">
        <v>0.06</v>
      </c>
      <c r="V87" s="77"/>
      <c r="W87" s="388" t="s">
        <v>878</v>
      </c>
      <c r="X87" s="857">
        <v>6.5000000000000002E-2</v>
      </c>
    </row>
    <row r="88" spans="8:24" ht="13.8" thickBot="1">
      <c r="N88" s="139" t="str">
        <f>EINC!A61</f>
        <v>Enron Avg Book Income (Project Life) - Comm Ops</v>
      </c>
      <c r="O88" s="151"/>
      <c r="P88" s="151"/>
      <c r="Q88" s="151"/>
      <c r="R88" s="340">
        <f ca="1">EINC!C61</f>
        <v>1058.0483960573454</v>
      </c>
    </row>
    <row r="89" spans="8:24" ht="13.8" thickBot="1">
      <c r="T89" s="211" t="s">
        <v>1133</v>
      </c>
      <c r="U89" s="74"/>
      <c r="V89" s="74"/>
      <c r="W89" s="74"/>
      <c r="X89" s="949" t="s">
        <v>1134</v>
      </c>
    </row>
    <row r="90" spans="8:24">
      <c r="T90" s="137" t="s">
        <v>1135</v>
      </c>
      <c r="U90" s="8"/>
      <c r="V90" s="8"/>
      <c r="W90" s="8"/>
      <c r="X90" s="1162">
        <v>1</v>
      </c>
    </row>
    <row r="91" spans="8:24" ht="13.8" thickBot="1">
      <c r="T91" s="139"/>
      <c r="U91" s="77"/>
      <c r="V91" s="77"/>
      <c r="W91" s="77"/>
      <c r="X91" s="149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colBreaks count="1" manualBreakCount="1">
    <brk id="1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518160</xdr:colOff>
                    <xdr:row>2</xdr:row>
                    <xdr:rowOff>45720</xdr:rowOff>
                  </from>
                  <to>
                    <xdr:col>2</xdr:col>
                    <xdr:colOff>693420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_Model">
                <anchor moveWithCells="1" sizeWithCells="1">
                  <from>
                    <xdr:col>4</xdr:col>
                    <xdr:colOff>350520</xdr:colOff>
                    <xdr:row>2</xdr:row>
                    <xdr:rowOff>38100</xdr:rowOff>
                  </from>
                  <to>
                    <xdr:col>5</xdr:col>
                    <xdr:colOff>624840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" name="Button 122">
              <controlPr defaultSize="0" print="0" autoFill="0" autoPict="0" macro="[0]!Converge_Commit">
                <anchor moveWithCells="1" sizeWithCells="1">
                  <from>
                    <xdr:col>3</xdr:col>
                    <xdr:colOff>30480</xdr:colOff>
                    <xdr:row>2</xdr:row>
                    <xdr:rowOff>53340</xdr:rowOff>
                  </from>
                  <to>
                    <xdr:col>4</xdr:col>
                    <xdr:colOff>213360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" name="Button 123">
              <controlPr defaultSize="0" print="0" autoFill="0" autoPict="0" macro="[0]!Print_Append">
                <anchor moveWithCells="1" sizeWithCells="1">
                  <from>
                    <xdr:col>5</xdr:col>
                    <xdr:colOff>754380</xdr:colOff>
                    <xdr:row>2</xdr:row>
                    <xdr:rowOff>38100</xdr:rowOff>
                  </from>
                  <to>
                    <xdr:col>7</xdr:col>
                    <xdr:colOff>769620</xdr:colOff>
                    <xdr:row>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I67"/>
  <sheetViews>
    <sheetView showGridLines="0" zoomScale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3.6640625" style="277" customWidth="1"/>
    <col min="9" max="9" width="40.6640625" style="5" customWidth="1"/>
    <col min="10" max="16384" width="9.109375" style="5"/>
  </cols>
  <sheetData>
    <row r="1" spans="1:9" s="242" customFormat="1" ht="15.6">
      <c r="A1" s="998" t="str">
        <f>Assm!A1</f>
        <v>GASOCIDENTE DO MATO GROSSO LTDA (GASMAT) *** DRAFT COPY ***</v>
      </c>
      <c r="B1" s="998"/>
      <c r="C1" s="279"/>
      <c r="D1" s="241"/>
      <c r="E1" s="241"/>
      <c r="F1" s="283"/>
      <c r="G1" s="132"/>
      <c r="H1" s="283"/>
      <c r="I1" s="283"/>
    </row>
    <row r="2" spans="1:9" s="242" customFormat="1" ht="15.6">
      <c r="A2" s="998" t="str">
        <f>Assm!A2</f>
        <v>257 KM PIPELINE SPUR FOR CUIABA POWER PLANT (BRAZIL)</v>
      </c>
      <c r="B2" s="998"/>
      <c r="C2" s="279"/>
      <c r="D2" s="241"/>
      <c r="E2" s="241"/>
      <c r="F2" s="283"/>
      <c r="G2" s="132"/>
      <c r="H2" s="283"/>
      <c r="I2" s="283"/>
    </row>
    <row r="3" spans="1:9" s="242" customFormat="1" ht="1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</row>
    <row r="4" spans="1:9" s="242" customFormat="1" ht="15">
      <c r="A4" s="818" t="s">
        <v>122</v>
      </c>
      <c r="B4" s="133"/>
      <c r="C4" s="279"/>
      <c r="D4" s="133"/>
      <c r="E4" s="133"/>
      <c r="F4" s="283"/>
      <c r="G4" s="132"/>
      <c r="H4" s="283"/>
      <c r="I4" s="287"/>
    </row>
    <row r="5" spans="1:9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573"/>
      <c r="B6" s="576"/>
      <c r="C6" s="574"/>
      <c r="D6" s="603"/>
      <c r="E6" s="575"/>
      <c r="F6" s="576"/>
      <c r="G6" s="576"/>
      <c r="H6" s="576" t="s">
        <v>93</v>
      </c>
      <c r="I6" s="577"/>
    </row>
    <row r="7" spans="1:9">
      <c r="A7" s="578"/>
      <c r="B7" s="31"/>
      <c r="C7" s="110" t="s">
        <v>111</v>
      </c>
      <c r="D7" s="384"/>
      <c r="E7" s="115"/>
      <c r="F7" s="31"/>
      <c r="G7" s="31" t="s">
        <v>438</v>
      </c>
      <c r="H7" s="31" t="s">
        <v>94</v>
      </c>
      <c r="I7" s="439"/>
    </row>
    <row r="8" spans="1:9" ht="13.8" thickBot="1">
      <c r="A8" s="579" t="s">
        <v>95</v>
      </c>
      <c r="B8" s="583" t="s">
        <v>96</v>
      </c>
      <c r="C8" s="581" t="s">
        <v>113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9" s="8" customFormat="1" ht="13.8" thickBot="1">
      <c r="H9" s="150"/>
    </row>
    <row r="10" spans="1:9">
      <c r="A10" s="586" t="str">
        <f>Assm!T6</f>
        <v>Project Financing ($000)</v>
      </c>
      <c r="B10" s="79" t="str">
        <f>Assm!T8</f>
        <v>Tranche 1: MLA - OPIC</v>
      </c>
      <c r="C10" s="633"/>
      <c r="D10" s="74"/>
      <c r="E10" s="74"/>
      <c r="F10" s="908"/>
      <c r="G10" s="888"/>
      <c r="H10" s="887"/>
      <c r="I10" s="889"/>
    </row>
    <row r="11" spans="1:9">
      <c r="A11" s="590"/>
      <c r="B11" s="8" t="str">
        <f>Assm!T9</f>
        <v>Amount</v>
      </c>
      <c r="C11" s="332">
        <f ca="1">Assm!X9</f>
        <v>75934.802786215441</v>
      </c>
      <c r="D11" s="8"/>
      <c r="F11" s="909" t="s">
        <v>867</v>
      </c>
      <c r="G11" s="891">
        <v>36391</v>
      </c>
      <c r="H11" s="890" t="s">
        <v>103</v>
      </c>
      <c r="I11" s="892" t="s">
        <v>944</v>
      </c>
    </row>
    <row r="12" spans="1:9">
      <c r="A12" s="590"/>
      <c r="B12" s="8" t="str">
        <f>Assm!T10</f>
        <v>Loan Amortization (1=S/L, 2=MTG, 3=Custom)</v>
      </c>
      <c r="C12" s="116" t="str">
        <f>IF(Assm!X10=0,"Not Amortized",CHOOSE(Assm!X10,"Straightline","Mortgage","Custom"))</f>
        <v>Custom</v>
      </c>
      <c r="D12" s="8"/>
      <c r="F12" s="909"/>
      <c r="G12" s="891"/>
      <c r="H12" s="890"/>
      <c r="I12" s="892"/>
    </row>
    <row r="13" spans="1:9">
      <c r="A13" s="590"/>
      <c r="B13" s="8" t="str">
        <f>Assm!T11</f>
        <v>Term (Years) - Post Closing</v>
      </c>
      <c r="C13" s="333">
        <f ca="1">Assm!X11</f>
        <v>29</v>
      </c>
      <c r="D13" s="8"/>
      <c r="F13" s="909"/>
      <c r="G13" s="891"/>
      <c r="H13" s="890"/>
      <c r="I13" s="892"/>
    </row>
    <row r="14" spans="1:9">
      <c r="A14" s="590"/>
      <c r="B14" s="8" t="str">
        <f>Assm!T12</f>
        <v>Grace (Periods) - Post Closing</v>
      </c>
      <c r="C14" s="333">
        <f>Assm!X12</f>
        <v>1</v>
      </c>
      <c r="D14" s="8"/>
      <c r="F14" s="909"/>
      <c r="G14" s="891"/>
      <c r="H14" s="890"/>
      <c r="I14" s="892"/>
    </row>
    <row r="15" spans="1:9">
      <c r="A15" s="590"/>
      <c r="B15" s="8" t="str">
        <f>Assm!T13</f>
        <v>Average Life Of Loan (Years)</v>
      </c>
      <c r="C15" s="333">
        <f ca="1">Assm!X13</f>
        <v>10.4</v>
      </c>
      <c r="D15" s="8"/>
      <c r="F15" s="909"/>
      <c r="G15" s="891"/>
      <c r="H15" s="890"/>
      <c r="I15" s="892"/>
    </row>
    <row r="16" spans="1:9">
      <c r="A16" s="590"/>
      <c r="B16" s="8" t="str">
        <f>Assm!T14</f>
        <v>Interest Rate / Spread</v>
      </c>
      <c r="C16" s="120">
        <f>Assm!X14</f>
        <v>0.110125</v>
      </c>
      <c r="D16" s="8"/>
      <c r="F16" s="909"/>
      <c r="G16" s="891"/>
      <c r="H16" s="890"/>
      <c r="I16" s="892"/>
    </row>
    <row r="17" spans="1:9">
      <c r="A17" s="590"/>
      <c r="B17" s="8" t="str">
        <f>Assm!T15</f>
        <v>Upfront Fee</v>
      </c>
      <c r="C17" s="111">
        <f>Assm!X15</f>
        <v>1.4999999999999999E-2</v>
      </c>
      <c r="D17" s="8"/>
      <c r="F17" s="909"/>
      <c r="G17" s="891"/>
      <c r="H17" s="890"/>
      <c r="I17" s="892"/>
    </row>
    <row r="18" spans="1:9">
      <c r="A18" s="590"/>
      <c r="B18" s="8" t="str">
        <f>Assm!T16</f>
        <v>Commitment Fee</v>
      </c>
      <c r="C18" s="111">
        <f>Assm!X16</f>
        <v>5.0000000000000001E-3</v>
      </c>
      <c r="D18" s="8"/>
      <c r="F18" s="909"/>
      <c r="G18" s="891"/>
      <c r="H18" s="890"/>
      <c r="I18" s="892"/>
    </row>
    <row r="19" spans="1:9">
      <c r="A19" s="590"/>
      <c r="B19" s="32" t="str">
        <f>Assm!T17</f>
        <v>Tranche 2: KFW (Uncovered Loan)</v>
      </c>
      <c r="C19" s="82"/>
      <c r="D19" s="8"/>
      <c r="F19" s="909"/>
      <c r="G19" s="891"/>
      <c r="H19" s="890"/>
      <c r="I19" s="892"/>
    </row>
    <row r="20" spans="1:9">
      <c r="A20" s="590"/>
      <c r="B20" s="8" t="str">
        <f>Assm!T18</f>
        <v>Amount</v>
      </c>
      <c r="C20" s="332">
        <f>Assm!X18</f>
        <v>0</v>
      </c>
      <c r="D20" s="8"/>
      <c r="F20" s="909" t="s">
        <v>867</v>
      </c>
      <c r="G20" s="891">
        <v>36391</v>
      </c>
      <c r="H20" s="890" t="s">
        <v>103</v>
      </c>
      <c r="I20" s="892" t="s">
        <v>944</v>
      </c>
    </row>
    <row r="21" spans="1:9">
      <c r="A21" s="590"/>
      <c r="B21" s="8" t="str">
        <f>Assm!T19</f>
        <v>Loan Amortization (1=S/L, 2=MTG, 3=Custom)</v>
      </c>
      <c r="C21" s="116" t="str">
        <f>IF(Assm!X19=0,"Not Amortized",CHOOSE(Assm!X19,"Straightline","Mortgage","Custom"))</f>
        <v>Mortgage</v>
      </c>
      <c r="D21" s="8"/>
      <c r="F21" s="909"/>
      <c r="G21" s="891"/>
      <c r="H21" s="890"/>
      <c r="I21" s="892"/>
    </row>
    <row r="22" spans="1:9">
      <c r="A22" s="590"/>
      <c r="B22" s="8" t="str">
        <f>Assm!T20</f>
        <v>Term (Years) - Post Closing</v>
      </c>
      <c r="C22" s="333">
        <f ca="1">Assm!X20</f>
        <v>0</v>
      </c>
      <c r="D22" s="8"/>
      <c r="F22" s="909"/>
      <c r="G22" s="891"/>
      <c r="H22" s="890"/>
      <c r="I22" s="892"/>
    </row>
    <row r="23" spans="1:9">
      <c r="A23" s="590"/>
      <c r="B23" s="8" t="str">
        <f>Assm!T21</f>
        <v>Grace (Periods) - Post Closing</v>
      </c>
      <c r="C23" s="333">
        <f>Assm!X21</f>
        <v>1</v>
      </c>
      <c r="D23" s="8"/>
      <c r="F23" s="909"/>
      <c r="G23" s="891"/>
      <c r="H23" s="890"/>
      <c r="I23" s="892"/>
    </row>
    <row r="24" spans="1:9">
      <c r="A24" s="590"/>
      <c r="B24" s="8" t="str">
        <f>Assm!T22</f>
        <v>Average Life Of Loan (Years)</v>
      </c>
      <c r="C24" s="333">
        <f>Assm!X22</f>
        <v>0</v>
      </c>
      <c r="D24" s="8"/>
      <c r="F24" s="909"/>
      <c r="G24" s="891"/>
      <c r="H24" s="890"/>
      <c r="I24" s="892"/>
    </row>
    <row r="25" spans="1:9">
      <c r="A25" s="590"/>
      <c r="B25" s="8" t="str">
        <f>Assm!T23</f>
        <v>Interest Rate / Spread</v>
      </c>
      <c r="C25" s="120">
        <f>Assm!X23</f>
        <v>9.2700000000000005E-2</v>
      </c>
      <c r="D25" s="8"/>
      <c r="F25" s="909"/>
      <c r="G25" s="891"/>
      <c r="H25" s="890"/>
      <c r="I25" s="892"/>
    </row>
    <row r="26" spans="1:9">
      <c r="A26" s="590"/>
      <c r="B26" s="8" t="str">
        <f>Assm!T24</f>
        <v>Upfront Fee</v>
      </c>
      <c r="C26" s="111">
        <f>Assm!X24</f>
        <v>1.4999999999999999E-2</v>
      </c>
      <c r="D26" s="8"/>
      <c r="F26" s="909"/>
      <c r="G26" s="891"/>
      <c r="H26" s="890"/>
      <c r="I26" s="892"/>
    </row>
    <row r="27" spans="1:9">
      <c r="A27" s="590"/>
      <c r="B27" s="8" t="str">
        <f>Assm!T25</f>
        <v>Commitment Fee</v>
      </c>
      <c r="C27" s="111">
        <f>Assm!X25</f>
        <v>2.5000000000000001E-3</v>
      </c>
      <c r="D27" s="8"/>
      <c r="F27" s="909"/>
      <c r="G27" s="891"/>
      <c r="H27" s="890"/>
      <c r="I27" s="892"/>
    </row>
    <row r="28" spans="1:9">
      <c r="A28" s="590"/>
      <c r="B28" s="32" t="str">
        <f>Assm!T26</f>
        <v xml:space="preserve">Tranche 3: </v>
      </c>
      <c r="C28" s="82"/>
      <c r="D28" s="8"/>
      <c r="F28" s="909"/>
      <c r="G28" s="891"/>
      <c r="H28" s="890"/>
      <c r="I28" s="892"/>
    </row>
    <row r="29" spans="1:9">
      <c r="A29" s="590"/>
      <c r="B29" s="8" t="str">
        <f>Assm!T27</f>
        <v>Amount</v>
      </c>
      <c r="C29" s="332">
        <f>Assm!X27</f>
        <v>0</v>
      </c>
      <c r="D29" s="8"/>
      <c r="F29" s="909" t="s">
        <v>867</v>
      </c>
      <c r="G29" s="891">
        <v>36391</v>
      </c>
      <c r="H29" s="890" t="s">
        <v>103</v>
      </c>
      <c r="I29" s="892" t="s">
        <v>944</v>
      </c>
    </row>
    <row r="30" spans="1:9">
      <c r="A30" s="590"/>
      <c r="B30" s="8" t="str">
        <f>Assm!T28</f>
        <v>Loan Amortization (1=S/L, 2=MTG, 3=Custom)</v>
      </c>
      <c r="C30" s="116" t="str">
        <f>IF(Assm!X28=0,"Not Amortized",CHOOSE(Assm!X28,"Straightline","Mortgage","Custom"))</f>
        <v>Not Amortized</v>
      </c>
      <c r="D30" s="8"/>
      <c r="F30" s="909"/>
      <c r="G30" s="891"/>
      <c r="H30" s="890"/>
      <c r="I30" s="892"/>
    </row>
    <row r="31" spans="1:9">
      <c r="A31" s="590"/>
      <c r="B31" s="8" t="str">
        <f>Assm!T29</f>
        <v>Term (Years) - Post Closing</v>
      </c>
      <c r="C31" s="333">
        <f ca="1">Assm!X29</f>
        <v>0</v>
      </c>
      <c r="D31" s="8"/>
      <c r="F31" s="909"/>
      <c r="G31" s="891"/>
      <c r="H31" s="890"/>
      <c r="I31" s="892"/>
    </row>
    <row r="32" spans="1:9">
      <c r="A32" s="590"/>
      <c r="B32" s="8" t="str">
        <f>Assm!T30</f>
        <v>Grace (Periods) - Post Closing</v>
      </c>
      <c r="C32" s="333">
        <f>Assm!X30</f>
        <v>0</v>
      </c>
      <c r="D32" s="8"/>
      <c r="F32" s="909"/>
      <c r="G32" s="891"/>
      <c r="H32" s="890"/>
      <c r="I32" s="892"/>
    </row>
    <row r="33" spans="1:9">
      <c r="A33" s="590"/>
      <c r="B33" s="8" t="str">
        <f>Assm!T31</f>
        <v>Average Life Of Loan (Years)</v>
      </c>
      <c r="C33" s="333">
        <f>Assm!X31</f>
        <v>0</v>
      </c>
      <c r="D33" s="8"/>
      <c r="F33" s="909"/>
      <c r="G33" s="891"/>
      <c r="H33" s="890"/>
      <c r="I33" s="892"/>
    </row>
    <row r="34" spans="1:9">
      <c r="A34" s="590"/>
      <c r="B34" s="8" t="str">
        <f>Assm!T32</f>
        <v>Interest Rate / Spread</v>
      </c>
      <c r="C34" s="120">
        <f>Assm!X32</f>
        <v>0</v>
      </c>
      <c r="D34" s="8"/>
      <c r="F34" s="909"/>
      <c r="G34" s="891"/>
      <c r="H34" s="890"/>
      <c r="I34" s="892"/>
    </row>
    <row r="35" spans="1:9">
      <c r="A35" s="590"/>
      <c r="B35" s="8" t="str">
        <f>Assm!T33</f>
        <v>Upfront Fee</v>
      </c>
      <c r="C35" s="111">
        <f>Assm!X33</f>
        <v>0</v>
      </c>
      <c r="D35" s="8"/>
      <c r="F35" s="909"/>
      <c r="G35" s="891"/>
      <c r="H35" s="890"/>
      <c r="I35" s="892"/>
    </row>
    <row r="36" spans="1:9">
      <c r="A36" s="590"/>
      <c r="B36" s="8" t="str">
        <f>Assm!T34</f>
        <v>Commitment Fee</v>
      </c>
      <c r="C36" s="111">
        <f>Assm!X34</f>
        <v>0</v>
      </c>
      <c r="D36" s="8"/>
      <c r="F36" s="909"/>
      <c r="G36" s="891"/>
      <c r="H36" s="890"/>
      <c r="I36" s="892"/>
    </row>
    <row r="37" spans="1:9">
      <c r="A37" s="590"/>
      <c r="B37" s="32" t="str">
        <f>Assm!T35</f>
        <v>Tranche 4:</v>
      </c>
      <c r="C37" s="82"/>
      <c r="D37" s="8"/>
      <c r="F37" s="909"/>
      <c r="G37" s="891"/>
      <c r="H37" s="890"/>
      <c r="I37" s="892"/>
    </row>
    <row r="38" spans="1:9">
      <c r="A38" s="590"/>
      <c r="B38" s="8" t="str">
        <f>Assm!T36</f>
        <v>Amount</v>
      </c>
      <c r="C38" s="332">
        <f>Assm!X36</f>
        <v>0</v>
      </c>
      <c r="D38" s="8"/>
      <c r="F38" s="909" t="s">
        <v>867</v>
      </c>
      <c r="G38" s="891">
        <v>36391</v>
      </c>
      <c r="H38" s="890" t="s">
        <v>103</v>
      </c>
      <c r="I38" s="892" t="s">
        <v>944</v>
      </c>
    </row>
    <row r="39" spans="1:9">
      <c r="A39" s="590"/>
      <c r="B39" s="8" t="str">
        <f>Assm!T37</f>
        <v>Loan Amortization (1=S/L, 2=MTG, 3=Custom)</v>
      </c>
      <c r="C39" s="116" t="str">
        <f>IF(Assm!X37=0,"Not Amortized",CHOOSE(Assm!X37,"Straightline","Mortgage","Custom"))</f>
        <v>Not Amortized</v>
      </c>
      <c r="D39" s="8"/>
      <c r="F39" s="909"/>
      <c r="G39" s="891"/>
      <c r="H39" s="890"/>
      <c r="I39" s="892"/>
    </row>
    <row r="40" spans="1:9">
      <c r="A40" s="590"/>
      <c r="B40" s="8" t="str">
        <f>Assm!T38</f>
        <v>Term (Years) - Post Closing</v>
      </c>
      <c r="C40" s="333">
        <f ca="1">Assm!X38</f>
        <v>0</v>
      </c>
      <c r="D40" s="8"/>
      <c r="F40" s="909"/>
      <c r="G40" s="891"/>
      <c r="H40" s="890"/>
      <c r="I40" s="892"/>
    </row>
    <row r="41" spans="1:9">
      <c r="A41" s="590"/>
      <c r="B41" s="8" t="str">
        <f>Assm!T39</f>
        <v>Grace (Periods) - Post Closing</v>
      </c>
      <c r="C41" s="333">
        <f>Assm!X39</f>
        <v>0</v>
      </c>
      <c r="D41" s="8"/>
      <c r="F41" s="909"/>
      <c r="G41" s="891"/>
      <c r="H41" s="890"/>
      <c r="I41" s="892"/>
    </row>
    <row r="42" spans="1:9">
      <c r="A42" s="590"/>
      <c r="B42" s="8" t="str">
        <f>Assm!T40</f>
        <v>Average Life Of Loan (Years)</v>
      </c>
      <c r="C42" s="333">
        <f>Assm!X40</f>
        <v>0</v>
      </c>
      <c r="D42" s="8"/>
      <c r="F42" s="909"/>
      <c r="G42" s="891"/>
      <c r="H42" s="890"/>
      <c r="I42" s="892"/>
    </row>
    <row r="43" spans="1:9">
      <c r="A43" s="590"/>
      <c r="B43" s="8" t="str">
        <f>Assm!T41</f>
        <v>Interest Rate / Spread</v>
      </c>
      <c r="C43" s="120">
        <f>Assm!X41</f>
        <v>0</v>
      </c>
      <c r="D43" s="8"/>
      <c r="F43" s="909"/>
      <c r="G43" s="891"/>
      <c r="H43" s="890"/>
      <c r="I43" s="892"/>
    </row>
    <row r="44" spans="1:9">
      <c r="A44" s="590"/>
      <c r="B44" s="8" t="str">
        <f>Assm!T42</f>
        <v>Upfront Fee</v>
      </c>
      <c r="C44" s="120">
        <f>Assm!X42</f>
        <v>0</v>
      </c>
      <c r="D44" s="8"/>
      <c r="F44" s="909"/>
      <c r="G44" s="891"/>
      <c r="H44" s="890"/>
      <c r="I44" s="892"/>
    </row>
    <row r="45" spans="1:9">
      <c r="A45" s="590"/>
      <c r="B45" s="8" t="str">
        <f>Assm!T43</f>
        <v>Commitment Fee</v>
      </c>
      <c r="C45" s="120">
        <f>Assm!X43</f>
        <v>0</v>
      </c>
      <c r="D45" s="8"/>
      <c r="F45" s="909"/>
      <c r="G45" s="891"/>
      <c r="H45" s="890"/>
      <c r="I45" s="892"/>
    </row>
    <row r="46" spans="1:9">
      <c r="A46" s="590"/>
      <c r="B46" s="32" t="str">
        <f>Assm!T44</f>
        <v>Tranche 5:</v>
      </c>
      <c r="C46" s="82"/>
      <c r="D46" s="8"/>
      <c r="F46" s="909"/>
      <c r="G46" s="891"/>
      <c r="H46" s="890"/>
      <c r="I46" s="892"/>
    </row>
    <row r="47" spans="1:9">
      <c r="A47" s="590"/>
      <c r="B47" s="8" t="str">
        <f>Assm!T45</f>
        <v>Amount</v>
      </c>
      <c r="C47" s="332">
        <f>Assm!X45</f>
        <v>0</v>
      </c>
      <c r="D47" s="8"/>
      <c r="F47" s="909" t="s">
        <v>867</v>
      </c>
      <c r="G47" s="891">
        <v>36391</v>
      </c>
      <c r="H47" s="890" t="s">
        <v>103</v>
      </c>
      <c r="I47" s="892" t="s">
        <v>944</v>
      </c>
    </row>
    <row r="48" spans="1:9">
      <c r="A48" s="590"/>
      <c r="B48" s="8" t="str">
        <f>Assm!T46</f>
        <v>Loan Amortization (1=S/L, 2=MTG, 3=Custom)</v>
      </c>
      <c r="C48" s="116" t="str">
        <f>IF(Assm!X46=0,"Not Amortized",CHOOSE(Assm!X46,"Straightline","Mortgage","Custom"))</f>
        <v>Not Amortized</v>
      </c>
      <c r="D48" s="8"/>
      <c r="F48" s="909"/>
      <c r="G48" s="891"/>
      <c r="H48" s="890"/>
      <c r="I48" s="892"/>
    </row>
    <row r="49" spans="1:9">
      <c r="A49" s="590"/>
      <c r="B49" s="8" t="str">
        <f>Assm!T47</f>
        <v>Term (Years) - Post Closing</v>
      </c>
      <c r="C49" s="333">
        <f ca="1">Assm!X47</f>
        <v>0</v>
      </c>
      <c r="D49" s="8"/>
      <c r="F49" s="909"/>
      <c r="G49" s="891"/>
      <c r="H49" s="890"/>
      <c r="I49" s="892"/>
    </row>
    <row r="50" spans="1:9">
      <c r="A50" s="590"/>
      <c r="B50" s="8" t="str">
        <f>Assm!T48</f>
        <v>Grace (Periods) - Post Closing</v>
      </c>
      <c r="C50" s="333">
        <f>Assm!X48</f>
        <v>0</v>
      </c>
      <c r="D50" s="8"/>
      <c r="F50" s="909"/>
      <c r="G50" s="891"/>
      <c r="H50" s="890"/>
      <c r="I50" s="892"/>
    </row>
    <row r="51" spans="1:9">
      <c r="A51" s="590"/>
      <c r="B51" s="8" t="str">
        <f>Assm!T49</f>
        <v>Average Life Of Loan (Years)</v>
      </c>
      <c r="C51" s="333">
        <f>Assm!X49</f>
        <v>0</v>
      </c>
      <c r="D51" s="8"/>
      <c r="F51" s="909"/>
      <c r="G51" s="891"/>
      <c r="H51" s="890"/>
      <c r="I51" s="892"/>
    </row>
    <row r="52" spans="1:9">
      <c r="A52" s="590"/>
      <c r="B52" s="8" t="str">
        <f>Assm!T50</f>
        <v>Interest Rate / Spread</v>
      </c>
      <c r="C52" s="120">
        <f>Assm!X50</f>
        <v>0</v>
      </c>
      <c r="D52" s="8"/>
      <c r="F52" s="909"/>
      <c r="G52" s="891"/>
      <c r="H52" s="890"/>
      <c r="I52" s="892"/>
    </row>
    <row r="53" spans="1:9">
      <c r="A53" s="590"/>
      <c r="B53" s="8" t="str">
        <f>Assm!T51</f>
        <v>Upfront Fee</v>
      </c>
      <c r="C53" s="120">
        <f>Assm!X51</f>
        <v>0</v>
      </c>
      <c r="D53" s="8"/>
      <c r="F53" s="909"/>
      <c r="G53" s="891"/>
      <c r="H53" s="890"/>
      <c r="I53" s="892"/>
    </row>
    <row r="54" spans="1:9">
      <c r="A54" s="590"/>
      <c r="B54" s="8" t="str">
        <f>Assm!T52</f>
        <v>Commitment Fee</v>
      </c>
      <c r="C54" s="120">
        <f>Assm!X52</f>
        <v>0</v>
      </c>
      <c r="D54" s="8"/>
      <c r="F54" s="909"/>
      <c r="G54" s="891"/>
      <c r="H54" s="890"/>
      <c r="I54" s="892"/>
    </row>
    <row r="55" spans="1:9">
      <c r="A55" s="590"/>
      <c r="B55" s="32" t="str">
        <f>Assm!T53</f>
        <v>Tranche 6: Subordinated Debt</v>
      </c>
      <c r="C55" s="82"/>
      <c r="D55" s="8"/>
      <c r="F55" s="909"/>
      <c r="G55" s="891"/>
      <c r="H55" s="890"/>
      <c r="I55" s="892"/>
    </row>
    <row r="56" spans="1:9">
      <c r="A56" s="590"/>
      <c r="B56" s="8" t="str">
        <f>Assm!T54</f>
        <v>Amount</v>
      </c>
      <c r="C56" s="332">
        <f ca="1">Assm!X54</f>
        <v>21492.689030245267</v>
      </c>
      <c r="D56" s="8"/>
      <c r="F56" s="909" t="s">
        <v>867</v>
      </c>
      <c r="G56" s="891">
        <v>36391</v>
      </c>
      <c r="H56" s="890" t="s">
        <v>103</v>
      </c>
      <c r="I56" s="892" t="s">
        <v>944</v>
      </c>
    </row>
    <row r="57" spans="1:9">
      <c r="A57" s="590"/>
      <c r="B57" s="8" t="str">
        <f>Assm!T55</f>
        <v>Loan Amortization (1=S/L, 2=MTG, 3=Custom)</v>
      </c>
      <c r="C57" s="116" t="str">
        <f>IF(Assm!X55=0,"Not Amortized",CHOOSE(Assm!X55,"Straightline","Mortgage","Custom"))</f>
        <v>Mortgage</v>
      </c>
      <c r="D57" s="8"/>
      <c r="F57" s="909"/>
      <c r="G57" s="891"/>
      <c r="H57" s="890"/>
      <c r="I57" s="892"/>
    </row>
    <row r="58" spans="1:9">
      <c r="A58" s="590"/>
      <c r="B58" s="8" t="str">
        <f>Assm!T56</f>
        <v>Term (Years) - Post Closing</v>
      </c>
      <c r="C58" s="333">
        <f ca="1">Assm!X56</f>
        <v>23</v>
      </c>
      <c r="D58" s="8"/>
      <c r="F58" s="909"/>
      <c r="G58" s="891"/>
      <c r="H58" s="890"/>
      <c r="I58" s="892"/>
    </row>
    <row r="59" spans="1:9">
      <c r="A59" s="590"/>
      <c r="B59" s="8" t="str">
        <f>Assm!T57</f>
        <v>Grace (Periods) - Post Closing</v>
      </c>
      <c r="C59" s="333">
        <f>Assm!X57</f>
        <v>1</v>
      </c>
      <c r="D59" s="8"/>
      <c r="F59" s="909"/>
      <c r="G59" s="891"/>
      <c r="H59" s="890"/>
      <c r="I59" s="892"/>
    </row>
    <row r="60" spans="1:9">
      <c r="A60" s="590"/>
      <c r="B60" s="8" t="str">
        <f>Assm!T58</f>
        <v>Average Life Of Loan (Years)</v>
      </c>
      <c r="C60" s="333">
        <f ca="1">Assm!X58</f>
        <v>8.9</v>
      </c>
      <c r="D60" s="8"/>
      <c r="F60" s="909"/>
      <c r="G60" s="891"/>
      <c r="H60" s="890"/>
      <c r="I60" s="892"/>
    </row>
    <row r="61" spans="1:9">
      <c r="A61" s="590"/>
      <c r="B61" s="8" t="str">
        <f>Assm!T59</f>
        <v>Interest Rate / Spread</v>
      </c>
      <c r="C61" s="120">
        <f>Assm!X59</f>
        <v>0.13</v>
      </c>
      <c r="D61" s="8"/>
      <c r="F61" s="909"/>
      <c r="G61" s="891"/>
      <c r="H61" s="890"/>
      <c r="I61" s="892"/>
    </row>
    <row r="62" spans="1:9">
      <c r="A62" s="590"/>
      <c r="B62" s="8" t="str">
        <f>Assm!T60</f>
        <v>Upfront Fee</v>
      </c>
      <c r="C62" s="120">
        <f>Assm!X60</f>
        <v>0</v>
      </c>
      <c r="D62" s="8"/>
      <c r="F62" s="909"/>
      <c r="G62" s="891"/>
      <c r="H62" s="890"/>
      <c r="I62" s="892"/>
    </row>
    <row r="63" spans="1:9" ht="13.8" thickBot="1">
      <c r="A63" s="591"/>
      <c r="B63" s="77" t="str">
        <f>Assm!T61</f>
        <v>Commitment Fee</v>
      </c>
      <c r="C63" s="1018">
        <f>Assm!X61</f>
        <v>0</v>
      </c>
      <c r="D63" s="77"/>
      <c r="E63" s="77"/>
      <c r="F63" s="1019"/>
      <c r="G63" s="894"/>
      <c r="H63" s="893"/>
      <c r="I63" s="895"/>
    </row>
    <row r="64" spans="1:9" ht="13.8" thickBot="1"/>
    <row r="65" spans="1:9" s="8" customFormat="1">
      <c r="A65" s="586" t="str">
        <f>Assm!T67</f>
        <v>Capital Structure ($000)</v>
      </c>
      <c r="B65" s="544" t="str">
        <f>Assm!T68</f>
        <v>Senior Debt</v>
      </c>
      <c r="C65" s="605">
        <f ca="1">Assm!W68</f>
        <v>0.59999999999999987</v>
      </c>
      <c r="D65" s="1016">
        <f ca="1">Assm!$X$68</f>
        <v>75934.802786215441</v>
      </c>
      <c r="E65" s="1017"/>
      <c r="F65" s="908" t="s">
        <v>867</v>
      </c>
      <c r="G65" s="888">
        <v>36391</v>
      </c>
      <c r="H65" s="887" t="s">
        <v>103</v>
      </c>
      <c r="I65" s="889" t="s">
        <v>944</v>
      </c>
    </row>
    <row r="66" spans="1:9">
      <c r="A66" s="590"/>
      <c r="B66" s="14" t="str">
        <f>Assm!T70</f>
        <v>Equity</v>
      </c>
      <c r="C66" s="113">
        <f ca="1">Assm!W70</f>
        <v>0.23017519049265095</v>
      </c>
      <c r="D66" s="649">
        <f ca="1">Assm!$X$70</f>
        <v>29130.512827231709</v>
      </c>
      <c r="E66" s="331"/>
      <c r="F66" s="909" t="s">
        <v>867</v>
      </c>
      <c r="G66" s="891">
        <v>36391</v>
      </c>
      <c r="H66" s="890" t="s">
        <v>103</v>
      </c>
      <c r="I66" s="892" t="s">
        <v>944</v>
      </c>
    </row>
    <row r="67" spans="1:9" ht="13.8" thickBot="1">
      <c r="A67" s="591"/>
      <c r="B67" s="585" t="str">
        <f>Assm!T71</f>
        <v>Total Investment</v>
      </c>
      <c r="C67" s="602">
        <f ca="1">SUM(C65:C66)</f>
        <v>0.83017519049265087</v>
      </c>
      <c r="D67" s="650">
        <f ca="1">SUM(D65:D66)</f>
        <v>105065.31561344715</v>
      </c>
      <c r="E67" s="634"/>
      <c r="F67" s="910"/>
      <c r="G67" s="894"/>
      <c r="H67" s="893"/>
      <c r="I67" s="895"/>
    </row>
  </sheetData>
  <printOptions horizontalCentered="1"/>
  <pageMargins left="0.25" right="0.25" top="0.5" bottom="0.5" header="0.25" footer="0.25"/>
  <pageSetup scale="5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AD25"/>
  <sheetViews>
    <sheetView showGridLines="0" zoomScale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0.6640625" style="5" customWidth="1"/>
    <col min="9" max="9" width="40.6640625" style="5" customWidth="1"/>
    <col min="10" max="10" width="20.6640625" style="5" customWidth="1"/>
    <col min="11" max="11" width="32.33203125" style="5" customWidth="1"/>
    <col min="12" max="16384" width="9.109375" style="5"/>
  </cols>
  <sheetData>
    <row r="1" spans="1:30" s="242" customFormat="1" ht="15.6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  <c r="J1" s="283"/>
      <c r="K1" s="284"/>
      <c r="L1" s="283"/>
      <c r="M1" s="283"/>
      <c r="N1" s="285"/>
      <c r="O1" s="283"/>
      <c r="P1" s="283"/>
      <c r="Q1" s="283"/>
      <c r="R1" s="283"/>
      <c r="S1" s="283"/>
      <c r="T1" s="283"/>
      <c r="U1" s="283"/>
      <c r="V1" s="286"/>
      <c r="W1" s="283"/>
      <c r="X1" s="283"/>
      <c r="Y1" s="283"/>
      <c r="Z1" s="283"/>
      <c r="AA1" s="283"/>
      <c r="AB1" s="279"/>
      <c r="AC1" s="279"/>
      <c r="AD1" s="24"/>
    </row>
    <row r="2" spans="1:30" s="242" customFormat="1" ht="15.6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  <c r="J2" s="283"/>
      <c r="K2" s="284"/>
      <c r="L2" s="283"/>
      <c r="M2" s="283"/>
      <c r="N2" s="285"/>
      <c r="O2" s="283"/>
      <c r="P2" s="283"/>
      <c r="Q2" s="283"/>
      <c r="R2" s="283"/>
      <c r="S2" s="283"/>
      <c r="T2" s="283"/>
      <c r="U2" s="283"/>
      <c r="V2" s="286"/>
      <c r="W2" s="283"/>
      <c r="X2" s="283"/>
      <c r="Y2" s="283"/>
      <c r="Z2" s="283"/>
      <c r="AA2" s="283"/>
      <c r="AB2" s="279"/>
      <c r="AC2" s="279"/>
      <c r="AD2" s="24"/>
    </row>
    <row r="3" spans="1:30" s="242" customFormat="1" ht="1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  <c r="J3" s="283"/>
      <c r="K3" s="284"/>
      <c r="L3" s="283"/>
      <c r="M3" s="283"/>
      <c r="N3" s="285"/>
      <c r="O3" s="283"/>
      <c r="P3" s="283"/>
      <c r="Q3" s="283"/>
      <c r="R3" s="283"/>
      <c r="S3" s="283"/>
      <c r="T3" s="283"/>
      <c r="U3" s="283"/>
      <c r="V3" s="283"/>
      <c r="W3" s="288"/>
      <c r="X3" s="288"/>
      <c r="Y3" s="283"/>
      <c r="Z3" s="283"/>
      <c r="AA3" s="283"/>
      <c r="AB3" s="279"/>
      <c r="AC3" s="279"/>
      <c r="AD3" s="24"/>
    </row>
    <row r="4" spans="1:30" s="242" customFormat="1" ht="15">
      <c r="A4" s="818" t="s">
        <v>743</v>
      </c>
      <c r="B4" s="133"/>
      <c r="C4" s="279"/>
      <c r="D4" s="133"/>
      <c r="E4" s="133"/>
      <c r="F4" s="283"/>
      <c r="G4" s="132"/>
      <c r="H4" s="283"/>
      <c r="I4" s="287"/>
      <c r="J4" s="283"/>
      <c r="K4" s="284"/>
      <c r="L4" s="283"/>
      <c r="M4" s="283"/>
      <c r="N4" s="285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79"/>
      <c r="AC4" s="279"/>
      <c r="AD4" s="24"/>
    </row>
    <row r="5" spans="1:30" s="242" customFormat="1" ht="13.8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>
      <c r="A6" s="573"/>
      <c r="B6" s="574"/>
      <c r="C6" s="574"/>
      <c r="D6" s="603"/>
      <c r="E6" s="575"/>
      <c r="F6" s="576"/>
      <c r="G6" s="576"/>
      <c r="H6" s="576" t="s">
        <v>93</v>
      </c>
      <c r="I6" s="577"/>
    </row>
    <row r="7" spans="1:30">
      <c r="A7" s="578"/>
      <c r="B7" s="69"/>
      <c r="C7" s="69"/>
      <c r="D7" s="55"/>
      <c r="E7" s="56"/>
      <c r="F7" s="31"/>
      <c r="G7" s="31" t="s">
        <v>438</v>
      </c>
      <c r="H7" s="31" t="s">
        <v>94</v>
      </c>
      <c r="I7" s="439"/>
    </row>
    <row r="8" spans="1:30" ht="13.8" thickBot="1">
      <c r="A8" s="579" t="s">
        <v>95</v>
      </c>
      <c r="B8" s="580" t="s">
        <v>96</v>
      </c>
      <c r="C8" s="581" t="s">
        <v>97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30" s="8" customFormat="1" ht="13.8" thickBot="1"/>
    <row r="10" spans="1:30">
      <c r="A10" s="586" t="str">
        <f>Assm!T63</f>
        <v>Other Senior Debt Fees</v>
      </c>
      <c r="B10" s="544" t="str">
        <f>Assm!U63</f>
        <v>OPIC Agency Fee ($000)</v>
      </c>
      <c r="C10" s="1087"/>
      <c r="D10" s="1103">
        <f>Assm!X63</f>
        <v>25</v>
      </c>
      <c r="E10" s="588"/>
      <c r="F10" s="887" t="s">
        <v>867</v>
      </c>
      <c r="G10" s="888">
        <v>36391</v>
      </c>
      <c r="H10" s="887" t="s">
        <v>103</v>
      </c>
      <c r="I10" s="889" t="s">
        <v>944</v>
      </c>
    </row>
    <row r="11" spans="1:30">
      <c r="A11" s="589"/>
      <c r="B11" s="14" t="str">
        <f>Assm!U64</f>
        <v>EPE Percent / Amount</v>
      </c>
      <c r="C11" s="1104">
        <f>Assm!W64</f>
        <v>0.2</v>
      </c>
      <c r="D11" s="153">
        <f>Assm!X64</f>
        <v>5</v>
      </c>
      <c r="E11" s="9"/>
      <c r="F11" s="890" t="s">
        <v>867</v>
      </c>
      <c r="G11" s="891">
        <v>36391</v>
      </c>
      <c r="H11" s="890" t="s">
        <v>103</v>
      </c>
      <c r="I11" s="892" t="s">
        <v>944</v>
      </c>
    </row>
    <row r="12" spans="1:30" ht="13.8" thickBot="1">
      <c r="A12" s="591"/>
      <c r="B12" s="585" t="str">
        <f>Assm!U65</f>
        <v>Final Year Of Payment</v>
      </c>
      <c r="C12" s="1105">
        <f ca="1">Assm!W65</f>
        <v>2015</v>
      </c>
      <c r="D12" s="948"/>
      <c r="E12" s="592"/>
      <c r="F12" s="893" t="s">
        <v>867</v>
      </c>
      <c r="G12" s="894">
        <v>36391</v>
      </c>
      <c r="H12" s="893" t="s">
        <v>103</v>
      </c>
      <c r="I12" s="895" t="s">
        <v>944</v>
      </c>
    </row>
    <row r="13" spans="1:30" ht="13.8" thickBot="1"/>
    <row r="14" spans="1:30">
      <c r="A14" s="586" t="str">
        <f>Assm!T77</f>
        <v>DS Coverage Ratios</v>
      </c>
      <c r="B14" s="544"/>
      <c r="C14" s="688" t="s">
        <v>491</v>
      </c>
      <c r="D14" s="643" t="s">
        <v>155</v>
      </c>
      <c r="E14" s="588"/>
      <c r="F14" s="887"/>
      <c r="G14" s="888"/>
      <c r="H14" s="887"/>
      <c r="I14" s="889"/>
    </row>
    <row r="15" spans="1:30">
      <c r="A15" s="590"/>
      <c r="B15" s="14" t="s">
        <v>748</v>
      </c>
      <c r="C15" s="696">
        <f>Assm!W78</f>
        <v>1.4</v>
      </c>
      <c r="D15" s="104">
        <f>Assm!W79</f>
        <v>1.8</v>
      </c>
      <c r="F15" s="899" t="s">
        <v>444</v>
      </c>
      <c r="G15" s="891">
        <v>36166</v>
      </c>
      <c r="H15" s="890" t="s">
        <v>103</v>
      </c>
      <c r="I15" s="892" t="s">
        <v>868</v>
      </c>
    </row>
    <row r="16" spans="1:30">
      <c r="A16" s="590"/>
      <c r="B16" s="14" t="s">
        <v>749</v>
      </c>
      <c r="C16" s="104">
        <f ca="1">Assm!U78</f>
        <v>0.75662182185004945</v>
      </c>
      <c r="D16" s="104">
        <f ca="1">Assm!U79</f>
        <v>1.4100115187949476</v>
      </c>
      <c r="F16" s="899" t="s">
        <v>116</v>
      </c>
      <c r="G16" s="891"/>
      <c r="H16" s="890"/>
      <c r="I16" s="892"/>
    </row>
    <row r="17" spans="1:9" ht="13.8" thickBot="1">
      <c r="A17" s="591"/>
      <c r="B17" s="585" t="s">
        <v>750</v>
      </c>
      <c r="C17" s="172">
        <f ca="1">Assm!V78</f>
        <v>0.75662182185004945</v>
      </c>
      <c r="D17" s="172">
        <f ca="1">Assm!V79</f>
        <v>1.3340827139896225</v>
      </c>
      <c r="E17" s="77"/>
      <c r="F17" s="901" t="s">
        <v>116</v>
      </c>
      <c r="G17" s="894"/>
      <c r="H17" s="893"/>
      <c r="I17" s="895"/>
    </row>
    <row r="18" spans="1:9" s="8" customFormat="1" ht="13.8" thickBot="1"/>
    <row r="19" spans="1:9">
      <c r="A19" s="586" t="str">
        <f>Assm!T81</f>
        <v>Debt Reserve</v>
      </c>
      <c r="B19" s="544" t="str">
        <f>Assm!V81</f>
        <v>Service To Be Provided By</v>
      </c>
      <c r="C19" s="633" t="str">
        <f>Assm!W81</f>
        <v>Dresdner Bank</v>
      </c>
      <c r="D19" s="457"/>
      <c r="E19" s="588"/>
      <c r="F19" s="887" t="s">
        <v>444</v>
      </c>
      <c r="G19" s="888">
        <v>36389</v>
      </c>
      <c r="H19" s="887" t="s">
        <v>103</v>
      </c>
      <c r="I19" s="889" t="s">
        <v>582</v>
      </c>
    </row>
    <row r="20" spans="1:9">
      <c r="A20" s="589"/>
      <c r="B20" s="14" t="str">
        <f>Assm!V82</f>
        <v>Months Of Debt Service Required</v>
      </c>
      <c r="C20" s="3">
        <f>Assm!U82</f>
        <v>6</v>
      </c>
      <c r="D20" s="8"/>
      <c r="E20" s="9"/>
      <c r="F20" s="890" t="s">
        <v>865</v>
      </c>
      <c r="G20" s="891">
        <v>36019</v>
      </c>
      <c r="H20" s="890" t="s">
        <v>103</v>
      </c>
      <c r="I20" s="892" t="s">
        <v>981</v>
      </c>
    </row>
    <row r="21" spans="1:9" ht="13.8" thickBot="1">
      <c r="A21" s="591"/>
      <c r="B21" s="585" t="str">
        <f>Assm!V83</f>
        <v>L/C Fee p.a.</v>
      </c>
      <c r="C21" s="600">
        <f>Assm!U83</f>
        <v>2.5000000000000001E-2</v>
      </c>
      <c r="D21" s="77"/>
      <c r="E21" s="592"/>
      <c r="F21" s="893" t="s">
        <v>865</v>
      </c>
      <c r="G21" s="894">
        <v>36019</v>
      </c>
      <c r="H21" s="893" t="s">
        <v>103</v>
      </c>
      <c r="I21" s="895" t="s">
        <v>981</v>
      </c>
    </row>
    <row r="22" spans="1:9" ht="13.8" thickBot="1"/>
    <row r="23" spans="1:9">
      <c r="A23" s="586" t="str">
        <f>Assm!T85</f>
        <v>Shareholder Constr Loan</v>
      </c>
      <c r="B23" s="544" t="str">
        <f>Assm!T86</f>
        <v>Amount</v>
      </c>
      <c r="C23" s="601">
        <f ca="1">Assm!$U86</f>
        <v>73384.383510427142</v>
      </c>
      <c r="D23" s="74"/>
      <c r="E23" s="588"/>
      <c r="F23" s="887" t="s">
        <v>116</v>
      </c>
      <c r="G23" s="888"/>
      <c r="H23" s="887"/>
      <c r="I23" s="858"/>
    </row>
    <row r="24" spans="1:9">
      <c r="A24" s="590"/>
      <c r="B24" s="14" t="str">
        <f>Assm!T87</f>
        <v>Interest Rate</v>
      </c>
      <c r="C24" s="111">
        <f>Int_BL</f>
        <v>0.06</v>
      </c>
      <c r="D24" s="8"/>
      <c r="E24" s="9"/>
      <c r="F24" s="890" t="s">
        <v>982</v>
      </c>
      <c r="G24" s="891">
        <v>36004</v>
      </c>
      <c r="H24" s="890" t="s">
        <v>533</v>
      </c>
      <c r="I24" s="850" t="s">
        <v>983</v>
      </c>
    </row>
    <row r="25" spans="1:9" ht="13.8" thickBot="1">
      <c r="A25" s="591"/>
      <c r="B25" s="585" t="str">
        <f>Assm!W87</f>
        <v>Enron Cost Of Funds</v>
      </c>
      <c r="C25" s="602">
        <f>Assm!$X87</f>
        <v>6.5000000000000002E-2</v>
      </c>
      <c r="D25" s="77"/>
      <c r="E25" s="592"/>
      <c r="F25" s="893" t="s">
        <v>862</v>
      </c>
      <c r="G25" s="894">
        <v>36217</v>
      </c>
      <c r="H25" s="893" t="s">
        <v>863</v>
      </c>
      <c r="I25" s="896" t="s">
        <v>864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289"/>
  <sheetViews>
    <sheetView showGridLines="0" tabSelected="1" zoomScale="90" workbookViewId="0">
      <selection activeCell="N21" sqref="N21"/>
    </sheetView>
  </sheetViews>
  <sheetFormatPr defaultColWidth="9.109375" defaultRowHeight="13.2"/>
  <cols>
    <col min="1" max="1" width="9.33203125" style="721" customWidth="1"/>
    <col min="2" max="2" width="2.44140625" style="721" customWidth="1"/>
    <col min="3" max="3" width="9.33203125" style="5" customWidth="1"/>
    <col min="4" max="4" width="11" style="719" customWidth="1"/>
    <col min="5" max="6" width="11" style="721" customWidth="1"/>
    <col min="7" max="7" width="11" style="719" customWidth="1"/>
    <col min="8" max="10" width="11" style="721" customWidth="1"/>
    <col min="11" max="11" width="11" style="719" customWidth="1"/>
    <col min="12" max="13" width="11" style="721" customWidth="1"/>
    <col min="14" max="14" width="12.6640625" style="5" customWidth="1"/>
    <col min="15" max="15" width="13.6640625" style="5" customWidth="1"/>
    <col min="16" max="16" width="12.6640625" style="5" customWidth="1"/>
    <col min="17" max="17" width="13.6640625" style="5" customWidth="1"/>
    <col min="18" max="18" width="12.6640625" style="5" customWidth="1"/>
    <col min="19" max="19" width="13.6640625" style="5" customWidth="1"/>
    <col min="20" max="24" width="9.109375" style="5"/>
    <col min="25" max="16384" width="9.109375" style="721"/>
  </cols>
  <sheetData>
    <row r="1" spans="1:13" s="719" customFormat="1" ht="15.6">
      <c r="A1" s="998" t="str">
        <f>Assm!A1</f>
        <v>GASOCIDENTE DO MATO GROSSO LTDA (GASMAT) *** DRAFT COPY ***</v>
      </c>
      <c r="C1" s="8"/>
    </row>
    <row r="2" spans="1:13" s="719" customFormat="1" ht="15.6">
      <c r="A2" s="998" t="str">
        <f>Assm!A2</f>
        <v>257 KM PIPELINE SPUR FOR CUIABA POWER PLANT (BRAZIL)</v>
      </c>
      <c r="C2" s="8"/>
    </row>
    <row r="3" spans="1:13" s="719" customFormat="1" ht="13.8">
      <c r="A3" s="246" t="str">
        <f>Assm!A3</f>
        <v>ENRON INTERNATIONAL</v>
      </c>
      <c r="C3" s="8"/>
    </row>
    <row r="4" spans="1:13" s="719" customFormat="1" ht="13.8">
      <c r="A4" s="912" t="s">
        <v>1009</v>
      </c>
      <c r="B4" s="913"/>
      <c r="C4" s="865"/>
      <c r="D4" s="913"/>
      <c r="E4" s="913"/>
      <c r="F4" s="913"/>
      <c r="H4" s="987" t="s">
        <v>909</v>
      </c>
      <c r="I4" s="988"/>
    </row>
    <row r="5" spans="1:13" s="720" customFormat="1">
      <c r="C5" s="8"/>
      <c r="D5" s="719"/>
      <c r="F5" s="719"/>
      <c r="G5" s="719"/>
      <c r="I5" s="719"/>
      <c r="J5" s="719"/>
      <c r="K5" s="719"/>
      <c r="L5" s="719"/>
      <c r="M5" s="719"/>
    </row>
    <row r="6" spans="1:13">
      <c r="C6" s="1020" t="s">
        <v>797</v>
      </c>
      <c r="D6" s="722"/>
      <c r="E6" s="722"/>
      <c r="F6" s="722"/>
      <c r="G6" s="722"/>
      <c r="H6" s="722"/>
      <c r="I6" s="722"/>
      <c r="J6" s="722"/>
      <c r="K6" s="722"/>
      <c r="L6" s="722"/>
      <c r="M6" s="723"/>
    </row>
    <row r="7" spans="1:13" ht="13.8" thickBot="1">
      <c r="D7" s="721"/>
      <c r="G7" s="721"/>
      <c r="K7" s="721"/>
    </row>
    <row r="8" spans="1:13">
      <c r="A8" s="724"/>
      <c r="C8" s="725" t="s">
        <v>764</v>
      </c>
      <c r="D8" s="726" t="s">
        <v>891</v>
      </c>
      <c r="E8" s="726" t="s">
        <v>892</v>
      </c>
      <c r="F8" s="963" t="s">
        <v>892</v>
      </c>
      <c r="G8" s="964" t="s">
        <v>891</v>
      </c>
      <c r="H8" s="726" t="s">
        <v>893</v>
      </c>
      <c r="I8" s="963" t="s">
        <v>893</v>
      </c>
      <c r="J8" s="964" t="s">
        <v>799</v>
      </c>
      <c r="K8" s="726"/>
      <c r="L8" s="726" t="s">
        <v>799</v>
      </c>
      <c r="M8" s="727" t="s">
        <v>800</v>
      </c>
    </row>
    <row r="9" spans="1:13">
      <c r="A9" s="728"/>
      <c r="C9" s="342" t="s">
        <v>801</v>
      </c>
      <c r="D9" s="729" t="s">
        <v>894</v>
      </c>
      <c r="E9" s="729" t="s">
        <v>895</v>
      </c>
      <c r="F9" s="965" t="s">
        <v>896</v>
      </c>
      <c r="G9" s="966" t="s">
        <v>894</v>
      </c>
      <c r="H9" s="729" t="s">
        <v>895</v>
      </c>
      <c r="I9" s="965" t="s">
        <v>896</v>
      </c>
      <c r="J9" s="966" t="s">
        <v>896</v>
      </c>
      <c r="K9" s="730" t="str">
        <f ca="1">Escalation!O14</f>
        <v>US</v>
      </c>
      <c r="L9" s="729" t="s">
        <v>896</v>
      </c>
      <c r="M9" s="731" t="s">
        <v>165</v>
      </c>
    </row>
    <row r="10" spans="1:13">
      <c r="A10" s="732" t="s">
        <v>802</v>
      </c>
      <c r="C10" s="733" t="s">
        <v>139</v>
      </c>
      <c r="D10" s="45" t="s">
        <v>888</v>
      </c>
      <c r="E10" s="734" t="s">
        <v>897</v>
      </c>
      <c r="F10" s="967" t="s">
        <v>897</v>
      </c>
      <c r="G10" s="968" t="s">
        <v>898</v>
      </c>
      <c r="H10" s="734" t="s">
        <v>897</v>
      </c>
      <c r="I10" s="967" t="s">
        <v>897</v>
      </c>
      <c r="J10" s="975" t="s">
        <v>897</v>
      </c>
      <c r="K10" s="735" t="str">
        <f ca="1">Escalation!P14</f>
        <v>CPI</v>
      </c>
      <c r="L10" s="734" t="s">
        <v>798</v>
      </c>
      <c r="M10" s="736" t="s">
        <v>803</v>
      </c>
    </row>
    <row r="11" spans="1:13">
      <c r="A11" s="728"/>
      <c r="C11" s="137"/>
      <c r="D11" s="8"/>
      <c r="E11" s="719"/>
      <c r="F11" s="969"/>
      <c r="G11" s="970"/>
      <c r="H11" s="719"/>
      <c r="I11" s="969"/>
      <c r="J11" s="976"/>
      <c r="L11" s="719"/>
      <c r="M11" s="737"/>
    </row>
    <row r="12" spans="1:13">
      <c r="A12" s="738">
        <f>Startops1</f>
        <v>36951</v>
      </c>
      <c r="C12" s="739">
        <f>A13-A12</f>
        <v>31</v>
      </c>
      <c r="D12" s="742">
        <f ca="1">IF($A12&gt;Endyr,0,IF($A12&lt;Assm!$F$32,G12,Capacity*C12))</f>
        <v>127260</v>
      </c>
      <c r="E12" s="740">
        <f>IF($A12&gt;Endyr,0,Tariff_Cap)</f>
        <v>0.33510000000000001</v>
      </c>
      <c r="F12" s="971">
        <f ca="1">D12*E12/1000</f>
        <v>42.644826000000002</v>
      </c>
      <c r="G12" s="972">
        <f ca="1">[3]MMBTU!R35</f>
        <v>127260</v>
      </c>
      <c r="H12" s="740">
        <f>IF($A12&gt;Endyr,0,Tariff_Var)</f>
        <v>5.0000000000000001E-3</v>
      </c>
      <c r="I12" s="971">
        <f ca="1">G12*H12/1000</f>
        <v>0.63630000000000009</v>
      </c>
      <c r="J12" s="977">
        <f ca="1">SUM(F12,I12)</f>
        <v>43.281126</v>
      </c>
      <c r="K12" s="741">
        <f ca="1">VLOOKUP($A12,Curves_Table,Escalation!$P$291)</f>
        <v>1.0620799950339679</v>
      </c>
      <c r="L12" s="743">
        <f ca="1">J12*K12</f>
        <v>45.968018087144536</v>
      </c>
      <c r="M12" s="744" t="str">
        <f ca="1">IF(MONTH($A12)=12,SUM(L1:L12)," ")</f>
        <v xml:space="preserve"> </v>
      </c>
    </row>
    <row r="13" spans="1:13">
      <c r="A13" s="738">
        <f t="shared" ref="A13:A76" si="0">EDATE(A12,1)</f>
        <v>36982</v>
      </c>
      <c r="C13" s="739">
        <f t="shared" ref="C13:C76" si="1">A14-A13</f>
        <v>30</v>
      </c>
      <c r="D13" s="742">
        <f ca="1">IF($A13&gt;Endyr,0,IF($A13&lt;Assm!$F$32,G13,Capacity*C13))</f>
        <v>709020</v>
      </c>
      <c r="E13" s="740">
        <f t="shared" ref="E13:E76" si="2">IF($A13&gt;Endyr,0,Tariff_Cap)</f>
        <v>0.33510000000000001</v>
      </c>
      <c r="F13" s="971">
        <f t="shared" ref="F13:F76" ca="1" si="3">D13*E13/1000</f>
        <v>237.592602</v>
      </c>
      <c r="G13" s="972">
        <f ca="1">[3]MMBTU!R36</f>
        <v>709020</v>
      </c>
      <c r="H13" s="740">
        <f t="shared" ref="H13:H76" si="4">IF($A13&gt;Endyr,0,Tariff_Var)</f>
        <v>5.0000000000000001E-3</v>
      </c>
      <c r="I13" s="971">
        <f t="shared" ref="I13:I76" ca="1" si="5">G13*H13/1000</f>
        <v>3.5450999999999997</v>
      </c>
      <c r="J13" s="977">
        <f t="shared" ref="J13:J76" ca="1" si="6">SUM(F13,I13)</f>
        <v>241.13770199999999</v>
      </c>
      <c r="K13" s="741">
        <f ca="1">VLOOKUP($A13,Curves_Table,Escalation!$P$291)</f>
        <v>1.0620799950339679</v>
      </c>
      <c r="L13" s="743">
        <f t="shared" ref="L13:L76" ca="1" si="7">J13*K13</f>
        <v>256.10752934266242</v>
      </c>
      <c r="M13" s="744" t="str">
        <f t="shared" ref="M13:M76" ca="1" si="8">IF(MONTH($A13)=12,SUM(L2:L13)," ")</f>
        <v xml:space="preserve"> </v>
      </c>
    </row>
    <row r="14" spans="1:13">
      <c r="A14" s="738">
        <f t="shared" si="0"/>
        <v>37012</v>
      </c>
      <c r="C14" s="739">
        <f t="shared" si="1"/>
        <v>31</v>
      </c>
      <c r="D14" s="742">
        <f ca="1">IF($A14&gt;Endyr,0,IF($A14&lt;Assm!$F$32,G14,Capacity*C14))</f>
        <v>1483488</v>
      </c>
      <c r="E14" s="740">
        <f t="shared" si="2"/>
        <v>0.33510000000000001</v>
      </c>
      <c r="F14" s="971">
        <f t="shared" ca="1" si="3"/>
        <v>497.11682880000001</v>
      </c>
      <c r="G14" s="972">
        <f ca="1">[3]MMBTU!R37</f>
        <v>1483488</v>
      </c>
      <c r="H14" s="740">
        <f t="shared" si="4"/>
        <v>5.0000000000000001E-3</v>
      </c>
      <c r="I14" s="971">
        <f t="shared" ca="1" si="5"/>
        <v>7.4174400000000009</v>
      </c>
      <c r="J14" s="977">
        <f t="shared" ca="1" si="6"/>
        <v>504.53426880000001</v>
      </c>
      <c r="K14" s="741">
        <f ca="1">VLOOKUP($A14,Curves_Table,Escalation!$P$291)</f>
        <v>1.097180617479341</v>
      </c>
      <c r="L14" s="743">
        <f t="shared" ca="1" si="7"/>
        <v>553.56522058147186</v>
      </c>
      <c r="M14" s="744" t="str">
        <f t="shared" ca="1" si="8"/>
        <v xml:space="preserve"> </v>
      </c>
    </row>
    <row r="15" spans="1:13">
      <c r="A15" s="738">
        <f t="shared" si="0"/>
        <v>37043</v>
      </c>
      <c r="C15" s="739">
        <f t="shared" si="1"/>
        <v>30</v>
      </c>
      <c r="D15" s="742">
        <f ca="1">IF($A15&gt;Endyr,0,IF($A15&lt;Assm!$F$32,G15,Capacity*C15))</f>
        <v>2344492.7999999998</v>
      </c>
      <c r="E15" s="740">
        <f t="shared" si="2"/>
        <v>0.33510000000000001</v>
      </c>
      <c r="F15" s="971">
        <f t="shared" ca="1" si="3"/>
        <v>785.6395372799999</v>
      </c>
      <c r="G15" s="972">
        <f ca="1">[3]MMBTU!R38</f>
        <v>2344492.7999999998</v>
      </c>
      <c r="H15" s="740">
        <f t="shared" si="4"/>
        <v>5.0000000000000001E-3</v>
      </c>
      <c r="I15" s="971">
        <f t="shared" ca="1" si="5"/>
        <v>11.722464</v>
      </c>
      <c r="J15" s="977">
        <f t="shared" ca="1" si="6"/>
        <v>797.36200127999984</v>
      </c>
      <c r="K15" s="741">
        <f ca="1">VLOOKUP($A15,Curves_Table,Escalation!$P$291)</f>
        <v>1.097180617479341</v>
      </c>
      <c r="L15" s="743">
        <f t="shared" ca="1" si="7"/>
        <v>874.85013291895336</v>
      </c>
      <c r="M15" s="744" t="str">
        <f t="shared" ca="1" si="8"/>
        <v xml:space="preserve"> </v>
      </c>
    </row>
    <row r="16" spans="1:13">
      <c r="A16" s="738">
        <f t="shared" si="0"/>
        <v>37073</v>
      </c>
      <c r="C16" s="739">
        <f t="shared" si="1"/>
        <v>31</v>
      </c>
      <c r="D16" s="742">
        <f ca="1">IF($A16&gt;Endyr,0,IF($A16&lt;Assm!$F$32,G16,Capacity*C16))</f>
        <v>2367541</v>
      </c>
      <c r="E16" s="740">
        <f t="shared" si="2"/>
        <v>0.33510000000000001</v>
      </c>
      <c r="F16" s="971">
        <f t="shared" ca="1" si="3"/>
        <v>793.36298910000005</v>
      </c>
      <c r="G16" s="972">
        <f ca="1">[3]MMBTU!R39</f>
        <v>2367541</v>
      </c>
      <c r="H16" s="740">
        <f t="shared" si="4"/>
        <v>5.0000000000000001E-3</v>
      </c>
      <c r="I16" s="971">
        <f t="shared" ca="1" si="5"/>
        <v>11.837705</v>
      </c>
      <c r="J16" s="977">
        <f t="shared" ca="1" si="6"/>
        <v>805.20069410000008</v>
      </c>
      <c r="K16" s="741">
        <f ca="1">VLOOKUP($A16,Curves_Table,Escalation!$P$291)</f>
        <v>1.097180617479341</v>
      </c>
      <c r="L16" s="743">
        <f t="shared" ca="1" si="7"/>
        <v>883.45059474743209</v>
      </c>
      <c r="M16" s="744" t="str">
        <f t="shared" ca="1" si="8"/>
        <v xml:space="preserve"> </v>
      </c>
    </row>
    <row r="17" spans="1:14">
      <c r="A17" s="738">
        <f t="shared" si="0"/>
        <v>37104</v>
      </c>
      <c r="C17" s="739">
        <f t="shared" si="1"/>
        <v>31</v>
      </c>
      <c r="D17" s="742">
        <f ca="1">IF($A17&gt;Endyr,0,IF($A17&lt;Assm!$F$32,G17,Capacity*C17))</f>
        <v>3192690</v>
      </c>
      <c r="E17" s="740">
        <f t="shared" si="2"/>
        <v>0.33510000000000001</v>
      </c>
      <c r="F17" s="971">
        <f t="shared" ca="1" si="3"/>
        <v>1069.8704190000001</v>
      </c>
      <c r="G17" s="972">
        <f ca="1">[3]MMBTU!R40</f>
        <v>2092866.048</v>
      </c>
      <c r="H17" s="740">
        <f t="shared" si="4"/>
        <v>5.0000000000000001E-3</v>
      </c>
      <c r="I17" s="971">
        <f t="shared" ca="1" si="5"/>
        <v>10.464330239999999</v>
      </c>
      <c r="J17" s="977">
        <f t="shared" ca="1" si="6"/>
        <v>1080.3347492400001</v>
      </c>
      <c r="K17" s="741">
        <f ca="1">VLOOKUP($A17,Curves_Table,Escalation!$P$291)</f>
        <v>1.097180617479341</v>
      </c>
      <c r="L17" s="743">
        <f t="shared" ca="1" si="7"/>
        <v>1185.3223472555323</v>
      </c>
      <c r="M17" s="744" t="str">
        <f t="shared" ca="1" si="8"/>
        <v xml:space="preserve"> </v>
      </c>
    </row>
    <row r="18" spans="1:14">
      <c r="A18" s="738">
        <f t="shared" si="0"/>
        <v>37135</v>
      </c>
      <c r="C18" s="739">
        <f t="shared" si="1"/>
        <v>30</v>
      </c>
      <c r="D18" s="742">
        <f ca="1">IF($A18&gt;Endyr,0,IF($A18&lt;Assm!$F$32,G18,Capacity*C18))</f>
        <v>3089700</v>
      </c>
      <c r="E18" s="740">
        <f t="shared" si="2"/>
        <v>0.33510000000000001</v>
      </c>
      <c r="F18" s="971">
        <f t="shared" ca="1" si="3"/>
        <v>1035.3584699999999</v>
      </c>
      <c r="G18" s="972">
        <f ca="1">[3]MMBTU!R41</f>
        <v>2025354.24</v>
      </c>
      <c r="H18" s="740">
        <f t="shared" si="4"/>
        <v>5.0000000000000001E-3</v>
      </c>
      <c r="I18" s="971">
        <f t="shared" ca="1" si="5"/>
        <v>10.1267712</v>
      </c>
      <c r="J18" s="977">
        <f t="shared" ca="1" si="6"/>
        <v>1045.4852411999998</v>
      </c>
      <c r="K18" s="741">
        <f ca="1">VLOOKUP($A18,Curves_Table,Escalation!$P$291)</f>
        <v>1.097180617479341</v>
      </c>
      <c r="L18" s="743">
        <f t="shared" ca="1" si="7"/>
        <v>1147.0861425053536</v>
      </c>
      <c r="M18" s="744" t="str">
        <f t="shared" ca="1" si="8"/>
        <v xml:space="preserve"> </v>
      </c>
    </row>
    <row r="19" spans="1:14">
      <c r="A19" s="738">
        <f t="shared" si="0"/>
        <v>37165</v>
      </c>
      <c r="C19" s="739">
        <f t="shared" si="1"/>
        <v>31</v>
      </c>
      <c r="D19" s="742">
        <f ca="1">IF($A19&gt;Endyr,0,IF($A19&lt;Assm!$F$32,G19,Capacity*C19))</f>
        <v>3192690</v>
      </c>
      <c r="E19" s="740">
        <f t="shared" si="2"/>
        <v>0.33510000000000001</v>
      </c>
      <c r="F19" s="971">
        <f t="shared" ca="1" si="3"/>
        <v>1069.8704190000001</v>
      </c>
      <c r="G19" s="972">
        <f ca="1">[3]MMBTU!R42</f>
        <v>2092866.048</v>
      </c>
      <c r="H19" s="740">
        <f t="shared" si="4"/>
        <v>5.0000000000000001E-3</v>
      </c>
      <c r="I19" s="971">
        <f t="shared" ca="1" si="5"/>
        <v>10.464330239999999</v>
      </c>
      <c r="J19" s="977">
        <f t="shared" ca="1" si="6"/>
        <v>1080.3347492400001</v>
      </c>
      <c r="K19" s="741">
        <f ca="1">VLOOKUP($A19,Curves_Table,Escalation!$P$291)</f>
        <v>1.097180617479341</v>
      </c>
      <c r="L19" s="743">
        <f t="shared" ca="1" si="7"/>
        <v>1185.3223472555323</v>
      </c>
      <c r="M19" s="744" t="str">
        <f t="shared" ca="1" si="8"/>
        <v xml:space="preserve"> </v>
      </c>
    </row>
    <row r="20" spans="1:14">
      <c r="A20" s="738">
        <f t="shared" si="0"/>
        <v>37196</v>
      </c>
      <c r="C20" s="739">
        <f t="shared" si="1"/>
        <v>30</v>
      </c>
      <c r="D20" s="742">
        <f ca="1">IF($A20&gt;Endyr,0,IF($A20&lt;Assm!$F$32,G20,Capacity*C20))</f>
        <v>3089700</v>
      </c>
      <c r="E20" s="740">
        <f t="shared" si="2"/>
        <v>0.33510000000000001</v>
      </c>
      <c r="F20" s="971">
        <f t="shared" ca="1" si="3"/>
        <v>1035.3584699999999</v>
      </c>
      <c r="G20" s="972">
        <f ca="1">[3]MMBTU!R43</f>
        <v>2025354.24</v>
      </c>
      <c r="H20" s="740">
        <f t="shared" si="4"/>
        <v>5.0000000000000001E-3</v>
      </c>
      <c r="I20" s="971">
        <f t="shared" ca="1" si="5"/>
        <v>10.1267712</v>
      </c>
      <c r="J20" s="977">
        <f t="shared" ca="1" si="6"/>
        <v>1045.4852411999998</v>
      </c>
      <c r="K20" s="741">
        <f ca="1">VLOOKUP($A20,Curves_Table,Escalation!$P$291)</f>
        <v>1.097180617479341</v>
      </c>
      <c r="L20" s="743">
        <f t="shared" ca="1" si="7"/>
        <v>1147.0861425053536</v>
      </c>
      <c r="M20" s="744" t="str">
        <f t="shared" ca="1" si="8"/>
        <v xml:space="preserve"> </v>
      </c>
    </row>
    <row r="21" spans="1:14">
      <c r="A21" s="738">
        <f t="shared" si="0"/>
        <v>37226</v>
      </c>
      <c r="C21" s="739">
        <f t="shared" si="1"/>
        <v>31</v>
      </c>
      <c r="D21" s="742">
        <f ca="1">IF($A21&gt;Endyr,0,IF($A21&lt;Assm!$F$32,G21,Capacity*C21))</f>
        <v>3192690</v>
      </c>
      <c r="E21" s="740">
        <f t="shared" si="2"/>
        <v>0.33510000000000001</v>
      </c>
      <c r="F21" s="971">
        <f t="shared" ca="1" si="3"/>
        <v>1069.8704190000001</v>
      </c>
      <c r="G21" s="972">
        <f ca="1">[3]MMBTU!R44</f>
        <v>2092866.048</v>
      </c>
      <c r="H21" s="740">
        <f t="shared" si="4"/>
        <v>5.0000000000000001E-3</v>
      </c>
      <c r="I21" s="971">
        <f t="shared" ca="1" si="5"/>
        <v>10.464330239999999</v>
      </c>
      <c r="J21" s="977">
        <f t="shared" ca="1" si="6"/>
        <v>1080.3347492400001</v>
      </c>
      <c r="K21" s="741">
        <f ca="1">VLOOKUP($A21,Curves_Table,Escalation!$P$291)</f>
        <v>1.097180617479341</v>
      </c>
      <c r="L21" s="743">
        <f t="shared" ca="1" si="7"/>
        <v>1185.3223472555323</v>
      </c>
      <c r="M21" s="744">
        <f ca="1">IF(MONTH($A21)=12,SUM(L10:L21)," ")</f>
        <v>8464.0808224549692</v>
      </c>
      <c r="N21" s="1325">
        <f ca="1">SUM(D12:D21)</f>
        <v>22789271.800000001</v>
      </c>
    </row>
    <row r="22" spans="1:14">
      <c r="A22" s="738">
        <f t="shared" si="0"/>
        <v>37257</v>
      </c>
      <c r="C22" s="739">
        <f t="shared" si="1"/>
        <v>31</v>
      </c>
      <c r="D22" s="742">
        <f ca="1">IF($A22&gt;Endyr,0,IF($A22&lt;Assm!$F$32,G22,Capacity*C22))</f>
        <v>3192690</v>
      </c>
      <c r="E22" s="740">
        <f t="shared" si="2"/>
        <v>0.33510000000000001</v>
      </c>
      <c r="F22" s="971">
        <f t="shared" ca="1" si="3"/>
        <v>1069.8704190000001</v>
      </c>
      <c r="G22" s="972">
        <f ca="1">[3]MMBTU!R45</f>
        <v>2092866.048</v>
      </c>
      <c r="H22" s="740">
        <f t="shared" si="4"/>
        <v>5.0000000000000001E-3</v>
      </c>
      <c r="I22" s="971">
        <f t="shared" ca="1" si="5"/>
        <v>10.464330239999999</v>
      </c>
      <c r="J22" s="977">
        <f t="shared" ca="1" si="6"/>
        <v>1080.3347492400001</v>
      </c>
      <c r="K22" s="741">
        <f ca="1">VLOOKUP($A22,Curves_Table,Escalation!$P$291)</f>
        <v>1.097180617479341</v>
      </c>
      <c r="L22" s="743">
        <f t="shared" ca="1" si="7"/>
        <v>1185.3223472555323</v>
      </c>
      <c r="M22" s="744" t="str">
        <f t="shared" ca="1" si="8"/>
        <v xml:space="preserve"> </v>
      </c>
    </row>
    <row r="23" spans="1:14">
      <c r="A23" s="738">
        <f t="shared" si="0"/>
        <v>37288</v>
      </c>
      <c r="C23" s="739">
        <f t="shared" si="1"/>
        <v>28</v>
      </c>
      <c r="D23" s="742">
        <f ca="1">IF($A23&gt;Endyr,0,IF($A23&lt;Assm!$F$32,G23,Capacity*C23))</f>
        <v>2883720</v>
      </c>
      <c r="E23" s="740">
        <f t="shared" si="2"/>
        <v>0.33510000000000001</v>
      </c>
      <c r="F23" s="971">
        <f t="shared" ca="1" si="3"/>
        <v>966.33457200000009</v>
      </c>
      <c r="G23" s="972">
        <f ca="1">[3]MMBTU!R46</f>
        <v>1890330.6240000003</v>
      </c>
      <c r="H23" s="740">
        <f t="shared" si="4"/>
        <v>5.0000000000000001E-3</v>
      </c>
      <c r="I23" s="971">
        <f t="shared" ca="1" si="5"/>
        <v>9.4516531200000014</v>
      </c>
      <c r="J23" s="977">
        <f t="shared" ca="1" si="6"/>
        <v>975.78622512000004</v>
      </c>
      <c r="K23" s="741">
        <f ca="1">VLOOKUP($A23,Curves_Table,Escalation!$P$291)</f>
        <v>1.097180617479341</v>
      </c>
      <c r="L23" s="743">
        <f t="shared" ca="1" si="7"/>
        <v>1070.6137330049969</v>
      </c>
      <c r="M23" s="744" t="str">
        <f t="shared" ca="1" si="8"/>
        <v xml:space="preserve"> </v>
      </c>
    </row>
    <row r="24" spans="1:14">
      <c r="A24" s="738">
        <f t="shared" si="0"/>
        <v>37316</v>
      </c>
      <c r="C24" s="739">
        <f t="shared" si="1"/>
        <v>31</v>
      </c>
      <c r="D24" s="742">
        <f ca="1">IF($A24&gt;Endyr,0,IF($A24&lt;Assm!$F$32,G24,Capacity*C24))</f>
        <v>3192690</v>
      </c>
      <c r="E24" s="740">
        <f t="shared" si="2"/>
        <v>0.33510000000000001</v>
      </c>
      <c r="F24" s="971">
        <f t="shared" ca="1" si="3"/>
        <v>1069.8704190000001</v>
      </c>
      <c r="G24" s="972">
        <f ca="1">[3]MMBTU!R47</f>
        <v>2092866.048</v>
      </c>
      <c r="H24" s="740">
        <f t="shared" si="4"/>
        <v>5.0000000000000001E-3</v>
      </c>
      <c r="I24" s="971">
        <f t="shared" ca="1" si="5"/>
        <v>10.464330239999999</v>
      </c>
      <c r="J24" s="977">
        <f t="shared" ca="1" si="6"/>
        <v>1080.3347492400001</v>
      </c>
      <c r="K24" s="741">
        <f ca="1">VLOOKUP($A24,Curves_Table,Escalation!$P$291)</f>
        <v>1.097180617479341</v>
      </c>
      <c r="L24" s="743">
        <f t="shared" ca="1" si="7"/>
        <v>1185.3223472555323</v>
      </c>
      <c r="M24" s="744" t="str">
        <f t="shared" ca="1" si="8"/>
        <v xml:space="preserve"> </v>
      </c>
    </row>
    <row r="25" spans="1:14">
      <c r="A25" s="738">
        <f t="shared" si="0"/>
        <v>37347</v>
      </c>
      <c r="C25" s="739">
        <f t="shared" si="1"/>
        <v>30</v>
      </c>
      <c r="D25" s="742">
        <f ca="1">IF($A25&gt;Endyr,0,IF($A25&lt;Assm!$F$32,G25,Capacity*C25))</f>
        <v>3089700</v>
      </c>
      <c r="E25" s="740">
        <f t="shared" si="2"/>
        <v>0.33510000000000001</v>
      </c>
      <c r="F25" s="971">
        <f t="shared" ca="1" si="3"/>
        <v>1035.3584699999999</v>
      </c>
      <c r="G25" s="972">
        <f ca="1">[3]MMBTU!R48</f>
        <v>2025354.24</v>
      </c>
      <c r="H25" s="740">
        <f t="shared" si="4"/>
        <v>5.0000000000000001E-3</v>
      </c>
      <c r="I25" s="971">
        <f t="shared" ca="1" si="5"/>
        <v>10.1267712</v>
      </c>
      <c r="J25" s="977">
        <f t="shared" ca="1" si="6"/>
        <v>1045.4852411999998</v>
      </c>
      <c r="K25" s="741">
        <f ca="1">VLOOKUP($A25,Curves_Table,Escalation!$P$291)</f>
        <v>1.097180617479341</v>
      </c>
      <c r="L25" s="743">
        <f t="shared" ca="1" si="7"/>
        <v>1147.0861425053536</v>
      </c>
      <c r="M25" s="744" t="str">
        <f t="shared" ca="1" si="8"/>
        <v xml:space="preserve"> </v>
      </c>
    </row>
    <row r="26" spans="1:14">
      <c r="A26" s="738">
        <f t="shared" si="0"/>
        <v>37377</v>
      </c>
      <c r="C26" s="739">
        <f t="shared" si="1"/>
        <v>31</v>
      </c>
      <c r="D26" s="742">
        <f ca="1">IF($A26&gt;Endyr,0,IF($A26&lt;Assm!$F$32,G26,Capacity*C26))</f>
        <v>3192690</v>
      </c>
      <c r="E26" s="740">
        <f t="shared" si="2"/>
        <v>0.33510000000000001</v>
      </c>
      <c r="F26" s="971">
        <f t="shared" ca="1" si="3"/>
        <v>1069.8704190000001</v>
      </c>
      <c r="G26" s="972">
        <f ca="1">[3]MMBTU!R49</f>
        <v>2092866.048</v>
      </c>
      <c r="H26" s="740">
        <f t="shared" si="4"/>
        <v>5.0000000000000001E-3</v>
      </c>
      <c r="I26" s="971">
        <f t="shared" ca="1" si="5"/>
        <v>10.464330239999999</v>
      </c>
      <c r="J26" s="977">
        <f t="shared" ca="1" si="6"/>
        <v>1080.3347492400001</v>
      </c>
      <c r="K26" s="741">
        <f ca="1">VLOOKUP($A26,Curves_Table,Escalation!$P$291)</f>
        <v>1.1321906668383659</v>
      </c>
      <c r="L26" s="743">
        <f t="shared" ca="1" si="7"/>
        <v>1223.1449201506944</v>
      </c>
      <c r="M26" s="744" t="str">
        <f t="shared" ca="1" si="8"/>
        <v xml:space="preserve"> </v>
      </c>
    </row>
    <row r="27" spans="1:14">
      <c r="A27" s="738">
        <f t="shared" si="0"/>
        <v>37408</v>
      </c>
      <c r="C27" s="739">
        <f t="shared" si="1"/>
        <v>30</v>
      </c>
      <c r="D27" s="742">
        <f ca="1">IF($A27&gt;Endyr,0,IF($A27&lt;Assm!$F$32,G27,Capacity*C27))</f>
        <v>3089700</v>
      </c>
      <c r="E27" s="740">
        <f t="shared" si="2"/>
        <v>0.33510000000000001</v>
      </c>
      <c r="F27" s="971">
        <f t="shared" ca="1" si="3"/>
        <v>1035.3584699999999</v>
      </c>
      <c r="G27" s="972">
        <f ca="1">[3]MMBTU!R50</f>
        <v>2025354.24</v>
      </c>
      <c r="H27" s="740">
        <f t="shared" si="4"/>
        <v>5.0000000000000001E-3</v>
      </c>
      <c r="I27" s="971">
        <f t="shared" ca="1" si="5"/>
        <v>10.1267712</v>
      </c>
      <c r="J27" s="977">
        <f t="shared" ca="1" si="6"/>
        <v>1045.4852411999998</v>
      </c>
      <c r="K27" s="741">
        <f ca="1">VLOOKUP($A27,Curves_Table,Escalation!$P$291)</f>
        <v>1.1321906668383659</v>
      </c>
      <c r="L27" s="743">
        <f t="shared" ca="1" si="7"/>
        <v>1183.6886324038976</v>
      </c>
      <c r="M27" s="744" t="str">
        <f t="shared" ca="1" si="8"/>
        <v xml:space="preserve"> </v>
      </c>
    </row>
    <row r="28" spans="1:14">
      <c r="A28" s="738">
        <f t="shared" si="0"/>
        <v>37438</v>
      </c>
      <c r="C28" s="739">
        <f t="shared" si="1"/>
        <v>31</v>
      </c>
      <c r="D28" s="742">
        <f ca="1">IF($A28&gt;Endyr,0,IF($A28&lt;Assm!$F$32,G28,Capacity*C28))</f>
        <v>3192690</v>
      </c>
      <c r="E28" s="740">
        <f t="shared" si="2"/>
        <v>0.33510000000000001</v>
      </c>
      <c r="F28" s="971">
        <f t="shared" ca="1" si="3"/>
        <v>1069.8704190000001</v>
      </c>
      <c r="G28" s="972">
        <f ca="1">[3]MMBTU!R51</f>
        <v>2092866.048</v>
      </c>
      <c r="H28" s="740">
        <f t="shared" si="4"/>
        <v>5.0000000000000001E-3</v>
      </c>
      <c r="I28" s="971">
        <f t="shared" ca="1" si="5"/>
        <v>10.464330239999999</v>
      </c>
      <c r="J28" s="977">
        <f t="shared" ca="1" si="6"/>
        <v>1080.3347492400001</v>
      </c>
      <c r="K28" s="741">
        <f ca="1">VLOOKUP($A28,Curves_Table,Escalation!$P$291)</f>
        <v>1.1321906668383659</v>
      </c>
      <c r="L28" s="743">
        <f t="shared" ca="1" si="7"/>
        <v>1223.1449201506944</v>
      </c>
      <c r="M28" s="744" t="str">
        <f t="shared" ca="1" si="8"/>
        <v xml:space="preserve"> </v>
      </c>
    </row>
    <row r="29" spans="1:14">
      <c r="A29" s="738">
        <f t="shared" si="0"/>
        <v>37469</v>
      </c>
      <c r="C29" s="739">
        <f t="shared" si="1"/>
        <v>31</v>
      </c>
      <c r="D29" s="742">
        <f ca="1">IF($A29&gt;Endyr,0,IF($A29&lt;Assm!$F$32,G29,Capacity*C29))</f>
        <v>3192690</v>
      </c>
      <c r="E29" s="740">
        <f t="shared" si="2"/>
        <v>0.33510000000000001</v>
      </c>
      <c r="F29" s="971">
        <f t="shared" ca="1" si="3"/>
        <v>1069.8704190000001</v>
      </c>
      <c r="G29" s="972">
        <f ca="1">[3]MMBTU!R52</f>
        <v>2092866.048</v>
      </c>
      <c r="H29" s="740">
        <f t="shared" si="4"/>
        <v>5.0000000000000001E-3</v>
      </c>
      <c r="I29" s="971">
        <f t="shared" ca="1" si="5"/>
        <v>10.464330239999999</v>
      </c>
      <c r="J29" s="977">
        <f t="shared" ca="1" si="6"/>
        <v>1080.3347492400001</v>
      </c>
      <c r="K29" s="741">
        <f ca="1">VLOOKUP($A29,Curves_Table,Escalation!$P$291)</f>
        <v>1.1321906668383659</v>
      </c>
      <c r="L29" s="743">
        <f t="shared" ca="1" si="7"/>
        <v>1223.1449201506944</v>
      </c>
      <c r="M29" s="744" t="str">
        <f t="shared" ca="1" si="8"/>
        <v xml:space="preserve"> </v>
      </c>
    </row>
    <row r="30" spans="1:14">
      <c r="A30" s="738">
        <f t="shared" si="0"/>
        <v>37500</v>
      </c>
      <c r="C30" s="739">
        <f t="shared" si="1"/>
        <v>30</v>
      </c>
      <c r="D30" s="742">
        <f ca="1">IF($A30&gt;Endyr,0,IF($A30&lt;Assm!$F$32,G30,Capacity*C30))</f>
        <v>3089700</v>
      </c>
      <c r="E30" s="740">
        <f t="shared" si="2"/>
        <v>0.33510000000000001</v>
      </c>
      <c r="F30" s="971">
        <f t="shared" ca="1" si="3"/>
        <v>1035.3584699999999</v>
      </c>
      <c r="G30" s="972">
        <f ca="1">[3]MMBTU!R53</f>
        <v>2025354.24</v>
      </c>
      <c r="H30" s="740">
        <f t="shared" si="4"/>
        <v>5.0000000000000001E-3</v>
      </c>
      <c r="I30" s="971">
        <f t="shared" ca="1" si="5"/>
        <v>10.1267712</v>
      </c>
      <c r="J30" s="977">
        <f t="shared" ca="1" si="6"/>
        <v>1045.4852411999998</v>
      </c>
      <c r="K30" s="741">
        <f ca="1">VLOOKUP($A30,Curves_Table,Escalation!$P$291)</f>
        <v>1.1321906668383659</v>
      </c>
      <c r="L30" s="743">
        <f t="shared" ca="1" si="7"/>
        <v>1183.6886324038976</v>
      </c>
      <c r="M30" s="744" t="str">
        <f t="shared" ca="1" si="8"/>
        <v xml:space="preserve"> </v>
      </c>
    </row>
    <row r="31" spans="1:14">
      <c r="A31" s="738">
        <f t="shared" si="0"/>
        <v>37530</v>
      </c>
      <c r="C31" s="739">
        <f t="shared" si="1"/>
        <v>31</v>
      </c>
      <c r="D31" s="742">
        <f ca="1">IF($A31&gt;Endyr,0,IF($A31&lt;Assm!$F$32,G31,Capacity*C31))</f>
        <v>3192690</v>
      </c>
      <c r="E31" s="740">
        <f t="shared" si="2"/>
        <v>0.33510000000000001</v>
      </c>
      <c r="F31" s="971">
        <f t="shared" ca="1" si="3"/>
        <v>1069.8704190000001</v>
      </c>
      <c r="G31" s="972">
        <f ca="1">[3]MMBTU!R54</f>
        <v>2092866.048</v>
      </c>
      <c r="H31" s="740">
        <f t="shared" si="4"/>
        <v>5.0000000000000001E-3</v>
      </c>
      <c r="I31" s="971">
        <f t="shared" ca="1" si="5"/>
        <v>10.464330239999999</v>
      </c>
      <c r="J31" s="977">
        <f t="shared" ca="1" si="6"/>
        <v>1080.3347492400001</v>
      </c>
      <c r="K31" s="741">
        <f ca="1">VLOOKUP($A31,Curves_Table,Escalation!$P$291)</f>
        <v>1.1321906668383659</v>
      </c>
      <c r="L31" s="743">
        <f t="shared" ca="1" si="7"/>
        <v>1223.1449201506944</v>
      </c>
      <c r="M31" s="744" t="str">
        <f t="shared" ca="1" si="8"/>
        <v xml:space="preserve"> </v>
      </c>
    </row>
    <row r="32" spans="1:14">
      <c r="A32" s="738">
        <f t="shared" si="0"/>
        <v>37561</v>
      </c>
      <c r="C32" s="739">
        <f t="shared" si="1"/>
        <v>30</v>
      </c>
      <c r="D32" s="742">
        <f ca="1">IF($A32&gt;Endyr,0,IF($A32&lt;Assm!$F$32,G32,Capacity*C32))</f>
        <v>3089700</v>
      </c>
      <c r="E32" s="740">
        <f t="shared" si="2"/>
        <v>0.33510000000000001</v>
      </c>
      <c r="F32" s="971">
        <f t="shared" ca="1" si="3"/>
        <v>1035.3584699999999</v>
      </c>
      <c r="G32" s="972">
        <f ca="1">[3]MMBTU!R55</f>
        <v>2025354.24</v>
      </c>
      <c r="H32" s="740">
        <f t="shared" si="4"/>
        <v>5.0000000000000001E-3</v>
      </c>
      <c r="I32" s="971">
        <f t="shared" ca="1" si="5"/>
        <v>10.1267712</v>
      </c>
      <c r="J32" s="977">
        <f t="shared" ca="1" si="6"/>
        <v>1045.4852411999998</v>
      </c>
      <c r="K32" s="741">
        <f ca="1">VLOOKUP($A32,Curves_Table,Escalation!$P$291)</f>
        <v>1.1321906668383659</v>
      </c>
      <c r="L32" s="743">
        <f t="shared" ca="1" si="7"/>
        <v>1183.6886324038976</v>
      </c>
      <c r="M32" s="744" t="str">
        <f t="shared" ca="1" si="8"/>
        <v xml:space="preserve"> </v>
      </c>
    </row>
    <row r="33" spans="1:14">
      <c r="A33" s="738">
        <f t="shared" si="0"/>
        <v>37591</v>
      </c>
      <c r="C33" s="739">
        <f t="shared" si="1"/>
        <v>31</v>
      </c>
      <c r="D33" s="742">
        <f ca="1">IF($A33&gt;Endyr,0,IF($A33&lt;Assm!$F$32,G33,Capacity*C33))</f>
        <v>3192690</v>
      </c>
      <c r="E33" s="740">
        <f t="shared" si="2"/>
        <v>0.33510000000000001</v>
      </c>
      <c r="F33" s="971">
        <f t="shared" ca="1" si="3"/>
        <v>1069.8704190000001</v>
      </c>
      <c r="G33" s="972">
        <f ca="1">[3]MMBTU!R56</f>
        <v>2092866.048</v>
      </c>
      <c r="H33" s="740">
        <f t="shared" si="4"/>
        <v>5.0000000000000001E-3</v>
      </c>
      <c r="I33" s="971">
        <f t="shared" ca="1" si="5"/>
        <v>10.464330239999999</v>
      </c>
      <c r="J33" s="977">
        <f t="shared" ca="1" si="6"/>
        <v>1080.3347492400001</v>
      </c>
      <c r="K33" s="741">
        <f ca="1">VLOOKUP($A33,Curves_Table,Escalation!$P$291)</f>
        <v>1.1321906668383659</v>
      </c>
      <c r="L33" s="743">
        <f t="shared" ca="1" si="7"/>
        <v>1223.1449201506944</v>
      </c>
      <c r="M33" s="744">
        <f t="shared" ca="1" si="8"/>
        <v>14255.135067986579</v>
      </c>
      <c r="N33" s="30">
        <f ca="1">SUM(G22:G33)</f>
        <v>24641809.920000002</v>
      </c>
    </row>
    <row r="34" spans="1:14">
      <c r="A34" s="738">
        <f t="shared" si="0"/>
        <v>37622</v>
      </c>
      <c r="C34" s="739">
        <f t="shared" si="1"/>
        <v>31</v>
      </c>
      <c r="D34" s="742">
        <f ca="1">IF($A34&gt;Endyr,0,IF($A34&lt;Assm!$F$32,G34,Capacity*C34))</f>
        <v>3192690</v>
      </c>
      <c r="E34" s="740">
        <f t="shared" si="2"/>
        <v>0.33510000000000001</v>
      </c>
      <c r="F34" s="971">
        <f t="shared" ca="1" si="3"/>
        <v>1069.8704190000001</v>
      </c>
      <c r="G34" s="972">
        <f ca="1">[3]MMBTU!R57</f>
        <v>2092866.048</v>
      </c>
      <c r="H34" s="740">
        <f t="shared" si="4"/>
        <v>5.0000000000000001E-3</v>
      </c>
      <c r="I34" s="971">
        <f t="shared" ca="1" si="5"/>
        <v>10.464330239999999</v>
      </c>
      <c r="J34" s="977">
        <f t="shared" ca="1" si="6"/>
        <v>1080.3347492400001</v>
      </c>
      <c r="K34" s="741">
        <f ca="1">VLOOKUP($A34,Curves_Table,Escalation!$P$291)</f>
        <v>1.1321906668383659</v>
      </c>
      <c r="L34" s="743">
        <f t="shared" ca="1" si="7"/>
        <v>1223.1449201506944</v>
      </c>
      <c r="M34" s="744" t="str">
        <f t="shared" ca="1" si="8"/>
        <v xml:space="preserve"> </v>
      </c>
    </row>
    <row r="35" spans="1:14">
      <c r="A35" s="738">
        <f t="shared" si="0"/>
        <v>37653</v>
      </c>
      <c r="C35" s="739">
        <f t="shared" si="1"/>
        <v>28</v>
      </c>
      <c r="D35" s="742">
        <f ca="1">IF($A35&gt;Endyr,0,IF($A35&lt;Assm!$F$32,G35,Capacity*C35))</f>
        <v>2883720</v>
      </c>
      <c r="E35" s="740">
        <f t="shared" si="2"/>
        <v>0.33510000000000001</v>
      </c>
      <c r="F35" s="971">
        <f t="shared" ca="1" si="3"/>
        <v>966.33457200000009</v>
      </c>
      <c r="G35" s="972">
        <f ca="1">[3]MMBTU!R58</f>
        <v>1890330.6240000003</v>
      </c>
      <c r="H35" s="740">
        <f t="shared" si="4"/>
        <v>5.0000000000000001E-3</v>
      </c>
      <c r="I35" s="971">
        <f t="shared" ca="1" si="5"/>
        <v>9.4516531200000014</v>
      </c>
      <c r="J35" s="977">
        <f t="shared" ca="1" si="6"/>
        <v>975.78622512000004</v>
      </c>
      <c r="K35" s="741">
        <f ca="1">VLOOKUP($A35,Curves_Table,Escalation!$P$291)</f>
        <v>1.1321906668383659</v>
      </c>
      <c r="L35" s="743">
        <f t="shared" ca="1" si="7"/>
        <v>1104.7760569103048</v>
      </c>
      <c r="M35" s="744" t="str">
        <f t="shared" ca="1" si="8"/>
        <v xml:space="preserve"> </v>
      </c>
    </row>
    <row r="36" spans="1:14">
      <c r="A36" s="738">
        <f t="shared" si="0"/>
        <v>37681</v>
      </c>
      <c r="C36" s="739">
        <f t="shared" si="1"/>
        <v>31</v>
      </c>
      <c r="D36" s="742">
        <f ca="1">IF($A36&gt;Endyr,0,IF($A36&lt;Assm!$F$32,G36,Capacity*C36))</f>
        <v>3192690</v>
      </c>
      <c r="E36" s="740">
        <f t="shared" si="2"/>
        <v>0.33510000000000001</v>
      </c>
      <c r="F36" s="971">
        <f t="shared" ca="1" si="3"/>
        <v>1069.8704190000001</v>
      </c>
      <c r="G36" s="972">
        <f ca="1">[3]MMBTU!R59</f>
        <v>2092866.048</v>
      </c>
      <c r="H36" s="740">
        <f t="shared" si="4"/>
        <v>5.0000000000000001E-3</v>
      </c>
      <c r="I36" s="971">
        <f t="shared" ca="1" si="5"/>
        <v>10.464330239999999</v>
      </c>
      <c r="J36" s="977">
        <f t="shared" ca="1" si="6"/>
        <v>1080.3347492400001</v>
      </c>
      <c r="K36" s="741">
        <f ca="1">VLOOKUP($A36,Curves_Table,Escalation!$P$291)</f>
        <v>1.1321906668383659</v>
      </c>
      <c r="L36" s="743">
        <f t="shared" ca="1" si="7"/>
        <v>1223.1449201506944</v>
      </c>
      <c r="M36" s="744" t="str">
        <f t="shared" ca="1" si="8"/>
        <v xml:space="preserve"> </v>
      </c>
    </row>
    <row r="37" spans="1:14">
      <c r="A37" s="738">
        <f t="shared" si="0"/>
        <v>37712</v>
      </c>
      <c r="C37" s="739">
        <f t="shared" si="1"/>
        <v>30</v>
      </c>
      <c r="D37" s="742">
        <f ca="1">IF($A37&gt;Endyr,0,IF($A37&lt;Assm!$F$32,G37,Capacity*C37))</f>
        <v>3089700</v>
      </c>
      <c r="E37" s="740">
        <f t="shared" si="2"/>
        <v>0.33510000000000001</v>
      </c>
      <c r="F37" s="971">
        <f t="shared" ca="1" si="3"/>
        <v>1035.3584699999999</v>
      </c>
      <c r="G37" s="972">
        <f ca="1">[3]MMBTU!R60</f>
        <v>2025354.24</v>
      </c>
      <c r="H37" s="740">
        <f t="shared" si="4"/>
        <v>5.0000000000000001E-3</v>
      </c>
      <c r="I37" s="971">
        <f t="shared" ca="1" si="5"/>
        <v>10.1267712</v>
      </c>
      <c r="J37" s="977">
        <f t="shared" ca="1" si="6"/>
        <v>1045.4852411999998</v>
      </c>
      <c r="K37" s="741">
        <f ca="1">VLOOKUP($A37,Curves_Table,Escalation!$P$291)</f>
        <v>1.1321906668383659</v>
      </c>
      <c r="L37" s="743">
        <f t="shared" ca="1" si="7"/>
        <v>1183.6886324038976</v>
      </c>
      <c r="M37" s="744" t="str">
        <f t="shared" ca="1" si="8"/>
        <v xml:space="preserve"> </v>
      </c>
    </row>
    <row r="38" spans="1:14">
      <c r="A38" s="738">
        <f t="shared" si="0"/>
        <v>37742</v>
      </c>
      <c r="C38" s="739">
        <f t="shared" si="1"/>
        <v>31</v>
      </c>
      <c r="D38" s="742">
        <f ca="1">IF($A38&gt;Endyr,0,IF($A38&lt;Assm!$F$32,G38,Capacity*C38))</f>
        <v>3192690</v>
      </c>
      <c r="E38" s="740">
        <f t="shared" si="2"/>
        <v>0.33510000000000001</v>
      </c>
      <c r="F38" s="971">
        <f t="shared" ca="1" si="3"/>
        <v>1069.8704190000001</v>
      </c>
      <c r="G38" s="972">
        <f ca="1">[3]MMBTU!R61</f>
        <v>2092866.048</v>
      </c>
      <c r="H38" s="740">
        <f t="shared" si="4"/>
        <v>5.0000000000000001E-3</v>
      </c>
      <c r="I38" s="971">
        <f t="shared" ca="1" si="5"/>
        <v>10.464330239999999</v>
      </c>
      <c r="J38" s="977">
        <f t="shared" ca="1" si="6"/>
        <v>1080.3347492400001</v>
      </c>
      <c r="K38" s="741">
        <f ca="1">VLOOKUP($A38,Curves_Table,Escalation!$P$291)</f>
        <v>1.166287045927733</v>
      </c>
      <c r="L38" s="743">
        <f t="shared" ca="1" si="7"/>
        <v>1259.980423304198</v>
      </c>
      <c r="M38" s="744" t="str">
        <f t="shared" ca="1" si="8"/>
        <v xml:space="preserve"> </v>
      </c>
    </row>
    <row r="39" spans="1:14">
      <c r="A39" s="738">
        <f t="shared" si="0"/>
        <v>37773</v>
      </c>
      <c r="C39" s="739">
        <f t="shared" si="1"/>
        <v>30</v>
      </c>
      <c r="D39" s="742">
        <f ca="1">IF($A39&gt;Endyr,0,IF($A39&lt;Assm!$F$32,G39,Capacity*C39))</f>
        <v>3089700</v>
      </c>
      <c r="E39" s="740">
        <f t="shared" si="2"/>
        <v>0.33510000000000001</v>
      </c>
      <c r="F39" s="971">
        <f t="shared" ca="1" si="3"/>
        <v>1035.3584699999999</v>
      </c>
      <c r="G39" s="972">
        <f ca="1">[3]MMBTU!R62</f>
        <v>2025354.24</v>
      </c>
      <c r="H39" s="740">
        <f t="shared" si="4"/>
        <v>5.0000000000000001E-3</v>
      </c>
      <c r="I39" s="971">
        <f t="shared" ca="1" si="5"/>
        <v>10.1267712</v>
      </c>
      <c r="J39" s="977">
        <f t="shared" ca="1" si="6"/>
        <v>1045.4852411999998</v>
      </c>
      <c r="K39" s="741">
        <f ca="1">VLOOKUP($A39,Curves_Table,Escalation!$P$291)</f>
        <v>1.166287045927733</v>
      </c>
      <c r="L39" s="743">
        <f t="shared" ca="1" si="7"/>
        <v>1219.3358935201911</v>
      </c>
      <c r="M39" s="744" t="str">
        <f t="shared" ca="1" si="8"/>
        <v xml:space="preserve"> </v>
      </c>
    </row>
    <row r="40" spans="1:14">
      <c r="A40" s="738">
        <f t="shared" si="0"/>
        <v>37803</v>
      </c>
      <c r="C40" s="739">
        <f t="shared" si="1"/>
        <v>31</v>
      </c>
      <c r="D40" s="742">
        <f ca="1">IF($A40&gt;Endyr,0,IF($A40&lt;Assm!$F$32,G40,Capacity*C40))</f>
        <v>3192690</v>
      </c>
      <c r="E40" s="740">
        <f t="shared" si="2"/>
        <v>0.33510000000000001</v>
      </c>
      <c r="F40" s="971">
        <f t="shared" ca="1" si="3"/>
        <v>1069.8704190000001</v>
      </c>
      <c r="G40" s="972">
        <f ca="1">[3]MMBTU!R63</f>
        <v>2092866.048</v>
      </c>
      <c r="H40" s="740">
        <f t="shared" si="4"/>
        <v>5.0000000000000001E-3</v>
      </c>
      <c r="I40" s="971">
        <f t="shared" ca="1" si="5"/>
        <v>10.464330239999999</v>
      </c>
      <c r="J40" s="977">
        <f t="shared" ca="1" si="6"/>
        <v>1080.3347492400001</v>
      </c>
      <c r="K40" s="741">
        <f ca="1">VLOOKUP($A40,Curves_Table,Escalation!$P$291)</f>
        <v>1.166287045927733</v>
      </c>
      <c r="L40" s="743">
        <f t="shared" ca="1" si="7"/>
        <v>1259.980423304198</v>
      </c>
      <c r="M40" s="744" t="str">
        <f t="shared" ca="1" si="8"/>
        <v xml:space="preserve"> </v>
      </c>
    </row>
    <row r="41" spans="1:14">
      <c r="A41" s="738">
        <f t="shared" si="0"/>
        <v>37834</v>
      </c>
      <c r="C41" s="739">
        <f t="shared" si="1"/>
        <v>31</v>
      </c>
      <c r="D41" s="742">
        <f ca="1">IF($A41&gt;Endyr,0,IF($A41&lt;Assm!$F$32,G41,Capacity*C41))</f>
        <v>3192690</v>
      </c>
      <c r="E41" s="740">
        <f t="shared" si="2"/>
        <v>0.33510000000000001</v>
      </c>
      <c r="F41" s="971">
        <f t="shared" ca="1" si="3"/>
        <v>1069.8704190000001</v>
      </c>
      <c r="G41" s="972">
        <f ca="1">[3]MMBTU!R64</f>
        <v>2092866.048</v>
      </c>
      <c r="H41" s="740">
        <f t="shared" si="4"/>
        <v>5.0000000000000001E-3</v>
      </c>
      <c r="I41" s="971">
        <f t="shared" ca="1" si="5"/>
        <v>10.464330239999999</v>
      </c>
      <c r="J41" s="977">
        <f t="shared" ca="1" si="6"/>
        <v>1080.3347492400001</v>
      </c>
      <c r="K41" s="741">
        <f ca="1">VLOOKUP($A41,Curves_Table,Escalation!$P$291)</f>
        <v>1.166287045927733</v>
      </c>
      <c r="L41" s="743">
        <f t="shared" ca="1" si="7"/>
        <v>1259.980423304198</v>
      </c>
      <c r="M41" s="744" t="str">
        <f t="shared" ca="1" si="8"/>
        <v xml:space="preserve"> </v>
      </c>
    </row>
    <row r="42" spans="1:14">
      <c r="A42" s="738">
        <f t="shared" si="0"/>
        <v>37865</v>
      </c>
      <c r="C42" s="739">
        <f t="shared" si="1"/>
        <v>30</v>
      </c>
      <c r="D42" s="742">
        <f ca="1">IF($A42&gt;Endyr,0,IF($A42&lt;Assm!$F$32,G42,Capacity*C42))</f>
        <v>3089700</v>
      </c>
      <c r="E42" s="740">
        <f t="shared" si="2"/>
        <v>0.33510000000000001</v>
      </c>
      <c r="F42" s="971">
        <f t="shared" ca="1" si="3"/>
        <v>1035.3584699999999</v>
      </c>
      <c r="G42" s="972">
        <f ca="1">[3]MMBTU!R65</f>
        <v>2025354.24</v>
      </c>
      <c r="H42" s="740">
        <f t="shared" si="4"/>
        <v>5.0000000000000001E-3</v>
      </c>
      <c r="I42" s="971">
        <f t="shared" ca="1" si="5"/>
        <v>10.1267712</v>
      </c>
      <c r="J42" s="977">
        <f t="shared" ca="1" si="6"/>
        <v>1045.4852411999998</v>
      </c>
      <c r="K42" s="741">
        <f ca="1">VLOOKUP($A42,Curves_Table,Escalation!$P$291)</f>
        <v>1.166287045927733</v>
      </c>
      <c r="L42" s="743">
        <f t="shared" ca="1" si="7"/>
        <v>1219.3358935201911</v>
      </c>
      <c r="M42" s="744" t="str">
        <f t="shared" ca="1" si="8"/>
        <v xml:space="preserve"> </v>
      </c>
    </row>
    <row r="43" spans="1:14">
      <c r="A43" s="738">
        <f t="shared" si="0"/>
        <v>37895</v>
      </c>
      <c r="C43" s="739">
        <f t="shared" si="1"/>
        <v>31</v>
      </c>
      <c r="D43" s="742">
        <f ca="1">IF($A43&gt;Endyr,0,IF($A43&lt;Assm!$F$32,G43,Capacity*C43))</f>
        <v>3192690</v>
      </c>
      <c r="E43" s="740">
        <f t="shared" si="2"/>
        <v>0.33510000000000001</v>
      </c>
      <c r="F43" s="971">
        <f t="shared" ca="1" si="3"/>
        <v>1069.8704190000001</v>
      </c>
      <c r="G43" s="972">
        <f ca="1">[3]MMBTU!R66</f>
        <v>2092866.048</v>
      </c>
      <c r="H43" s="740">
        <f t="shared" si="4"/>
        <v>5.0000000000000001E-3</v>
      </c>
      <c r="I43" s="971">
        <f t="shared" ca="1" si="5"/>
        <v>10.464330239999999</v>
      </c>
      <c r="J43" s="977">
        <f t="shared" ca="1" si="6"/>
        <v>1080.3347492400001</v>
      </c>
      <c r="K43" s="741">
        <f ca="1">VLOOKUP($A43,Curves_Table,Escalation!$P$291)</f>
        <v>1.166287045927733</v>
      </c>
      <c r="L43" s="743">
        <f t="shared" ca="1" si="7"/>
        <v>1259.980423304198</v>
      </c>
      <c r="M43" s="744" t="str">
        <f t="shared" ca="1" si="8"/>
        <v xml:space="preserve"> </v>
      </c>
    </row>
    <row r="44" spans="1:14">
      <c r="A44" s="738">
        <f t="shared" si="0"/>
        <v>37926</v>
      </c>
      <c r="C44" s="739">
        <f t="shared" si="1"/>
        <v>30</v>
      </c>
      <c r="D44" s="742">
        <f ca="1">IF($A44&gt;Endyr,0,IF($A44&lt;Assm!$F$32,G44,Capacity*C44))</f>
        <v>3089700</v>
      </c>
      <c r="E44" s="740">
        <f t="shared" si="2"/>
        <v>0.33510000000000001</v>
      </c>
      <c r="F44" s="971">
        <f t="shared" ca="1" si="3"/>
        <v>1035.3584699999999</v>
      </c>
      <c r="G44" s="972">
        <f ca="1">[3]MMBTU!R67</f>
        <v>2025354.24</v>
      </c>
      <c r="H44" s="740">
        <f t="shared" si="4"/>
        <v>5.0000000000000001E-3</v>
      </c>
      <c r="I44" s="971">
        <f t="shared" ca="1" si="5"/>
        <v>10.1267712</v>
      </c>
      <c r="J44" s="977">
        <f t="shared" ca="1" si="6"/>
        <v>1045.4852411999998</v>
      </c>
      <c r="K44" s="741">
        <f ca="1">VLOOKUP($A44,Curves_Table,Escalation!$P$291)</f>
        <v>1.166287045927733</v>
      </c>
      <c r="L44" s="743">
        <f t="shared" ca="1" si="7"/>
        <v>1219.3358935201911</v>
      </c>
      <c r="M44" s="744" t="str">
        <f t="shared" ca="1" si="8"/>
        <v xml:space="preserve"> </v>
      </c>
    </row>
    <row r="45" spans="1:14">
      <c r="A45" s="738">
        <f t="shared" si="0"/>
        <v>37956</v>
      </c>
      <c r="C45" s="739">
        <f t="shared" si="1"/>
        <v>31</v>
      </c>
      <c r="D45" s="742">
        <f ca="1">IF($A45&gt;Endyr,0,IF($A45&lt;Assm!$F$32,G45,Capacity*C45))</f>
        <v>3192690</v>
      </c>
      <c r="E45" s="740">
        <f t="shared" si="2"/>
        <v>0.33510000000000001</v>
      </c>
      <c r="F45" s="971">
        <f t="shared" ca="1" si="3"/>
        <v>1069.8704190000001</v>
      </c>
      <c r="G45" s="972">
        <f ca="1">[3]MMBTU!R68</f>
        <v>2092866.048</v>
      </c>
      <c r="H45" s="740">
        <f t="shared" si="4"/>
        <v>5.0000000000000001E-3</v>
      </c>
      <c r="I45" s="971">
        <f t="shared" ca="1" si="5"/>
        <v>10.464330239999999</v>
      </c>
      <c r="J45" s="977">
        <f t="shared" ca="1" si="6"/>
        <v>1080.3347492400001</v>
      </c>
      <c r="K45" s="741">
        <f ca="1">VLOOKUP($A45,Curves_Table,Escalation!$P$291)</f>
        <v>1.166287045927733</v>
      </c>
      <c r="L45" s="743">
        <f t="shared" ca="1" si="7"/>
        <v>1259.980423304198</v>
      </c>
      <c r="M45" s="744">
        <f t="shared" ca="1" si="8"/>
        <v>14692.664326697153</v>
      </c>
      <c r="N45" s="30">
        <f ca="1">SUM(G36:G45)</f>
        <v>20658613.248</v>
      </c>
    </row>
    <row r="46" spans="1:14">
      <c r="A46" s="738">
        <f t="shared" si="0"/>
        <v>37987</v>
      </c>
      <c r="C46" s="739">
        <f t="shared" si="1"/>
        <v>31</v>
      </c>
      <c r="D46" s="742">
        <f ca="1">IF($A46&gt;Endyr,0,IF($A46&lt;Assm!$F$32,G46,Capacity*C46))</f>
        <v>3192690</v>
      </c>
      <c r="E46" s="740">
        <f t="shared" si="2"/>
        <v>0.33510000000000001</v>
      </c>
      <c r="F46" s="971">
        <f t="shared" ca="1" si="3"/>
        <v>1069.8704190000001</v>
      </c>
      <c r="G46" s="972">
        <f ca="1">[3]MMBTU!R69</f>
        <v>2092866.048</v>
      </c>
      <c r="H46" s="740">
        <f t="shared" si="4"/>
        <v>5.0000000000000001E-3</v>
      </c>
      <c r="I46" s="971">
        <f t="shared" ca="1" si="5"/>
        <v>10.464330239999999</v>
      </c>
      <c r="J46" s="977">
        <f t="shared" ca="1" si="6"/>
        <v>1080.3347492400001</v>
      </c>
      <c r="K46" s="741">
        <f ca="1">VLOOKUP($A46,Curves_Table,Escalation!$P$291)</f>
        <v>1.166287045927733</v>
      </c>
      <c r="L46" s="743">
        <f t="shared" ca="1" si="7"/>
        <v>1259.980423304198</v>
      </c>
      <c r="M46" s="744" t="str">
        <f t="shared" ca="1" si="8"/>
        <v xml:space="preserve"> </v>
      </c>
    </row>
    <row r="47" spans="1:14">
      <c r="A47" s="738">
        <f t="shared" si="0"/>
        <v>38018</v>
      </c>
      <c r="C47" s="739">
        <f t="shared" si="1"/>
        <v>29</v>
      </c>
      <c r="D47" s="742">
        <f ca="1">IF($A47&gt;Endyr,0,IF($A47&lt;Assm!$F$32,G47,Capacity*C47))</f>
        <v>2986710</v>
      </c>
      <c r="E47" s="740">
        <f t="shared" si="2"/>
        <v>0.33510000000000001</v>
      </c>
      <c r="F47" s="971">
        <f t="shared" ca="1" si="3"/>
        <v>1000.8465210000001</v>
      </c>
      <c r="G47" s="972">
        <f ca="1">[3]MMBTU!R70</f>
        <v>1957842.432</v>
      </c>
      <c r="H47" s="740">
        <f t="shared" si="4"/>
        <v>5.0000000000000001E-3</v>
      </c>
      <c r="I47" s="971">
        <f t="shared" ca="1" si="5"/>
        <v>9.7892121600000017</v>
      </c>
      <c r="J47" s="977">
        <f t="shared" ca="1" si="6"/>
        <v>1010.6357331600001</v>
      </c>
      <c r="K47" s="741">
        <f ca="1">VLOOKUP($A47,Curves_Table,Escalation!$P$291)</f>
        <v>1.166287045927733</v>
      </c>
      <c r="L47" s="743">
        <f t="shared" ca="1" si="7"/>
        <v>1178.6913637361852</v>
      </c>
      <c r="M47" s="744" t="str">
        <f t="shared" ca="1" si="8"/>
        <v xml:space="preserve"> </v>
      </c>
    </row>
    <row r="48" spans="1:14">
      <c r="A48" s="738">
        <f t="shared" si="0"/>
        <v>38047</v>
      </c>
      <c r="C48" s="739">
        <f t="shared" si="1"/>
        <v>31</v>
      </c>
      <c r="D48" s="742">
        <f ca="1">IF($A48&gt;Endyr,0,IF($A48&lt;Assm!$F$32,G48,Capacity*C48))</f>
        <v>3192690</v>
      </c>
      <c r="E48" s="740">
        <f t="shared" si="2"/>
        <v>0.33510000000000001</v>
      </c>
      <c r="F48" s="971">
        <f t="shared" ca="1" si="3"/>
        <v>1069.8704190000001</v>
      </c>
      <c r="G48" s="972">
        <f ca="1">[3]MMBTU!R71</f>
        <v>2092866.048</v>
      </c>
      <c r="H48" s="740">
        <f t="shared" si="4"/>
        <v>5.0000000000000001E-3</v>
      </c>
      <c r="I48" s="971">
        <f t="shared" ca="1" si="5"/>
        <v>10.464330239999999</v>
      </c>
      <c r="J48" s="977">
        <f t="shared" ca="1" si="6"/>
        <v>1080.3347492400001</v>
      </c>
      <c r="K48" s="741">
        <f ca="1">VLOOKUP($A48,Curves_Table,Escalation!$P$291)</f>
        <v>1.166287045927733</v>
      </c>
      <c r="L48" s="743">
        <f t="shared" ca="1" si="7"/>
        <v>1259.980423304198</v>
      </c>
      <c r="M48" s="744" t="str">
        <f t="shared" ca="1" si="8"/>
        <v xml:space="preserve"> </v>
      </c>
    </row>
    <row r="49" spans="1:14">
      <c r="A49" s="738">
        <f t="shared" si="0"/>
        <v>38078</v>
      </c>
      <c r="C49" s="739">
        <f t="shared" si="1"/>
        <v>30</v>
      </c>
      <c r="D49" s="742">
        <f ca="1">IF($A49&gt;Endyr,0,IF($A49&lt;Assm!$F$32,G49,Capacity*C49))</f>
        <v>3089700</v>
      </c>
      <c r="E49" s="740">
        <f t="shared" si="2"/>
        <v>0.33510000000000001</v>
      </c>
      <c r="F49" s="971">
        <f t="shared" ca="1" si="3"/>
        <v>1035.3584699999999</v>
      </c>
      <c r="G49" s="972">
        <f ca="1">[3]MMBTU!R72</f>
        <v>2025354.24</v>
      </c>
      <c r="H49" s="740">
        <f t="shared" si="4"/>
        <v>5.0000000000000001E-3</v>
      </c>
      <c r="I49" s="971">
        <f t="shared" ca="1" si="5"/>
        <v>10.1267712</v>
      </c>
      <c r="J49" s="977">
        <f t="shared" ca="1" si="6"/>
        <v>1045.4852411999998</v>
      </c>
      <c r="K49" s="741">
        <f ca="1">VLOOKUP($A49,Curves_Table,Escalation!$P$291)</f>
        <v>1.166287045927733</v>
      </c>
      <c r="L49" s="743">
        <f t="shared" ca="1" si="7"/>
        <v>1219.3358935201911</v>
      </c>
      <c r="M49" s="744" t="str">
        <f t="shared" ca="1" si="8"/>
        <v xml:space="preserve"> </v>
      </c>
    </row>
    <row r="50" spans="1:14">
      <c r="A50" s="738">
        <f t="shared" si="0"/>
        <v>38108</v>
      </c>
      <c r="C50" s="739">
        <f t="shared" si="1"/>
        <v>31</v>
      </c>
      <c r="D50" s="742">
        <f ca="1">IF($A50&gt;Endyr,0,IF($A50&lt;Assm!$F$32,G50,Capacity*C50))</f>
        <v>3192690</v>
      </c>
      <c r="E50" s="740">
        <f t="shared" si="2"/>
        <v>0.33510000000000001</v>
      </c>
      <c r="F50" s="971">
        <f t="shared" ca="1" si="3"/>
        <v>1069.8704190000001</v>
      </c>
      <c r="G50" s="972">
        <f ca="1">[3]MMBTU!R73</f>
        <v>2092866.048</v>
      </c>
      <c r="H50" s="740">
        <f t="shared" si="4"/>
        <v>5.0000000000000001E-3</v>
      </c>
      <c r="I50" s="971">
        <f t="shared" ca="1" si="5"/>
        <v>10.464330239999999</v>
      </c>
      <c r="J50" s="977">
        <f t="shared" ca="1" si="6"/>
        <v>1080.3347492400001</v>
      </c>
      <c r="K50" s="741">
        <f ca="1">VLOOKUP($A50,Curves_Table,Escalation!$P$291)</f>
        <v>1.2003493342906499</v>
      </c>
      <c r="L50" s="743">
        <f t="shared" ca="1" si="7"/>
        <v>1296.7790970612903</v>
      </c>
      <c r="M50" s="744" t="str">
        <f t="shared" ca="1" si="8"/>
        <v xml:space="preserve"> </v>
      </c>
    </row>
    <row r="51" spans="1:14">
      <c r="A51" s="738">
        <f t="shared" si="0"/>
        <v>38139</v>
      </c>
      <c r="C51" s="739">
        <f t="shared" si="1"/>
        <v>30</v>
      </c>
      <c r="D51" s="742">
        <f ca="1">IF($A51&gt;Endyr,0,IF($A51&lt;Assm!$F$32,G51,Capacity*C51))</f>
        <v>3089700</v>
      </c>
      <c r="E51" s="740">
        <f t="shared" si="2"/>
        <v>0.33510000000000001</v>
      </c>
      <c r="F51" s="971">
        <f t="shared" ca="1" si="3"/>
        <v>1035.3584699999999</v>
      </c>
      <c r="G51" s="972">
        <f ca="1">[3]MMBTU!R74</f>
        <v>2025354.24</v>
      </c>
      <c r="H51" s="740">
        <f t="shared" si="4"/>
        <v>5.0000000000000001E-3</v>
      </c>
      <c r="I51" s="971">
        <f t="shared" ca="1" si="5"/>
        <v>10.1267712</v>
      </c>
      <c r="J51" s="977">
        <f t="shared" ca="1" si="6"/>
        <v>1045.4852411999998</v>
      </c>
      <c r="K51" s="741">
        <f ca="1">VLOOKUP($A51,Curves_Table,Escalation!$P$291)</f>
        <v>1.2003493342906499</v>
      </c>
      <c r="L51" s="743">
        <f t="shared" ca="1" si="7"/>
        <v>1254.9475132851194</v>
      </c>
      <c r="M51" s="744" t="str">
        <f t="shared" ca="1" si="8"/>
        <v xml:space="preserve"> </v>
      </c>
    </row>
    <row r="52" spans="1:14">
      <c r="A52" s="738">
        <f t="shared" si="0"/>
        <v>38169</v>
      </c>
      <c r="C52" s="739">
        <f t="shared" si="1"/>
        <v>31</v>
      </c>
      <c r="D52" s="742">
        <f ca="1">IF($A52&gt;Endyr,0,IF($A52&lt;Assm!$F$32,G52,Capacity*C52))</f>
        <v>3192690</v>
      </c>
      <c r="E52" s="740">
        <f t="shared" si="2"/>
        <v>0.33510000000000001</v>
      </c>
      <c r="F52" s="971">
        <f t="shared" ca="1" si="3"/>
        <v>1069.8704190000001</v>
      </c>
      <c r="G52" s="972">
        <f ca="1">[3]MMBTU!R75</f>
        <v>2092866.048</v>
      </c>
      <c r="H52" s="740">
        <f t="shared" si="4"/>
        <v>5.0000000000000001E-3</v>
      </c>
      <c r="I52" s="971">
        <f t="shared" ca="1" si="5"/>
        <v>10.464330239999999</v>
      </c>
      <c r="J52" s="977">
        <f t="shared" ca="1" si="6"/>
        <v>1080.3347492400001</v>
      </c>
      <c r="K52" s="741">
        <f ca="1">VLOOKUP($A52,Curves_Table,Escalation!$P$291)</f>
        <v>1.2003493342906499</v>
      </c>
      <c r="L52" s="743">
        <f t="shared" ca="1" si="7"/>
        <v>1296.7790970612903</v>
      </c>
      <c r="M52" s="744" t="str">
        <f t="shared" ca="1" si="8"/>
        <v xml:space="preserve"> </v>
      </c>
    </row>
    <row r="53" spans="1:14">
      <c r="A53" s="738">
        <f t="shared" si="0"/>
        <v>38200</v>
      </c>
      <c r="C53" s="739">
        <f t="shared" si="1"/>
        <v>31</v>
      </c>
      <c r="D53" s="742">
        <f ca="1">IF($A53&gt;Endyr,0,IF($A53&lt;Assm!$F$32,G53,Capacity*C53))</f>
        <v>3192690</v>
      </c>
      <c r="E53" s="740">
        <f t="shared" si="2"/>
        <v>0.33510000000000001</v>
      </c>
      <c r="F53" s="971">
        <f t="shared" ca="1" si="3"/>
        <v>1069.8704190000001</v>
      </c>
      <c r="G53" s="972">
        <f ca="1">[3]MMBTU!R76</f>
        <v>2092866.048</v>
      </c>
      <c r="H53" s="740">
        <f t="shared" si="4"/>
        <v>5.0000000000000001E-3</v>
      </c>
      <c r="I53" s="971">
        <f t="shared" ca="1" si="5"/>
        <v>10.464330239999999</v>
      </c>
      <c r="J53" s="977">
        <f t="shared" ca="1" si="6"/>
        <v>1080.3347492400001</v>
      </c>
      <c r="K53" s="741">
        <f ca="1">VLOOKUP($A53,Curves_Table,Escalation!$P$291)</f>
        <v>1.2003493342906499</v>
      </c>
      <c r="L53" s="743">
        <f t="shared" ca="1" si="7"/>
        <v>1296.7790970612903</v>
      </c>
      <c r="M53" s="744" t="str">
        <f t="shared" ca="1" si="8"/>
        <v xml:space="preserve"> </v>
      </c>
    </row>
    <row r="54" spans="1:14">
      <c r="A54" s="738">
        <f t="shared" si="0"/>
        <v>38231</v>
      </c>
      <c r="C54" s="739">
        <f t="shared" si="1"/>
        <v>30</v>
      </c>
      <c r="D54" s="742">
        <f ca="1">IF($A54&gt;Endyr,0,IF($A54&lt;Assm!$F$32,G54,Capacity*C54))</f>
        <v>3089700</v>
      </c>
      <c r="E54" s="740">
        <f t="shared" si="2"/>
        <v>0.33510000000000001</v>
      </c>
      <c r="F54" s="971">
        <f t="shared" ca="1" si="3"/>
        <v>1035.3584699999999</v>
      </c>
      <c r="G54" s="972">
        <f ca="1">[3]MMBTU!R77</f>
        <v>2025354.24</v>
      </c>
      <c r="H54" s="740">
        <f t="shared" si="4"/>
        <v>5.0000000000000001E-3</v>
      </c>
      <c r="I54" s="971">
        <f t="shared" ca="1" si="5"/>
        <v>10.1267712</v>
      </c>
      <c r="J54" s="977">
        <f t="shared" ca="1" si="6"/>
        <v>1045.4852411999998</v>
      </c>
      <c r="K54" s="741">
        <f ca="1">VLOOKUP($A54,Curves_Table,Escalation!$P$291)</f>
        <v>1.2003493342906499</v>
      </c>
      <c r="L54" s="743">
        <f t="shared" ca="1" si="7"/>
        <v>1254.9475132851194</v>
      </c>
      <c r="M54" s="744" t="str">
        <f t="shared" ca="1" si="8"/>
        <v xml:space="preserve"> </v>
      </c>
    </row>
    <row r="55" spans="1:14">
      <c r="A55" s="738">
        <f t="shared" si="0"/>
        <v>38261</v>
      </c>
      <c r="C55" s="739">
        <f t="shared" si="1"/>
        <v>31</v>
      </c>
      <c r="D55" s="742">
        <f ca="1">IF($A55&gt;Endyr,0,IF($A55&lt;Assm!$F$32,G55,Capacity*C55))</f>
        <v>3192690</v>
      </c>
      <c r="E55" s="740">
        <f t="shared" si="2"/>
        <v>0.33510000000000001</v>
      </c>
      <c r="F55" s="971">
        <f t="shared" ca="1" si="3"/>
        <v>1069.8704190000001</v>
      </c>
      <c r="G55" s="972">
        <f ca="1">[3]MMBTU!R78</f>
        <v>2092866.048</v>
      </c>
      <c r="H55" s="740">
        <f t="shared" si="4"/>
        <v>5.0000000000000001E-3</v>
      </c>
      <c r="I55" s="971">
        <f t="shared" ca="1" si="5"/>
        <v>10.464330239999999</v>
      </c>
      <c r="J55" s="977">
        <f t="shared" ca="1" si="6"/>
        <v>1080.3347492400001</v>
      </c>
      <c r="K55" s="741">
        <f ca="1">VLOOKUP($A55,Curves_Table,Escalation!$P$291)</f>
        <v>1.2003493342906499</v>
      </c>
      <c r="L55" s="743">
        <f t="shared" ca="1" si="7"/>
        <v>1296.7790970612903</v>
      </c>
      <c r="M55" s="744" t="str">
        <f t="shared" ca="1" si="8"/>
        <v xml:space="preserve"> </v>
      </c>
    </row>
    <row r="56" spans="1:14">
      <c r="A56" s="738">
        <f t="shared" si="0"/>
        <v>38292</v>
      </c>
      <c r="C56" s="739">
        <f t="shared" si="1"/>
        <v>30</v>
      </c>
      <c r="D56" s="742">
        <f ca="1">IF($A56&gt;Endyr,0,IF($A56&lt;Assm!$F$32,G56,Capacity*C56))</f>
        <v>3089700</v>
      </c>
      <c r="E56" s="740">
        <f t="shared" si="2"/>
        <v>0.33510000000000001</v>
      </c>
      <c r="F56" s="971">
        <f t="shared" ca="1" si="3"/>
        <v>1035.3584699999999</v>
      </c>
      <c r="G56" s="972">
        <f ca="1">[3]MMBTU!R79</f>
        <v>2025354.24</v>
      </c>
      <c r="H56" s="740">
        <f t="shared" si="4"/>
        <v>5.0000000000000001E-3</v>
      </c>
      <c r="I56" s="971">
        <f t="shared" ca="1" si="5"/>
        <v>10.1267712</v>
      </c>
      <c r="J56" s="977">
        <f t="shared" ca="1" si="6"/>
        <v>1045.4852411999998</v>
      </c>
      <c r="K56" s="741">
        <f ca="1">VLOOKUP($A56,Curves_Table,Escalation!$P$291)</f>
        <v>1.2003493342906499</v>
      </c>
      <c r="L56" s="743">
        <f t="shared" ca="1" si="7"/>
        <v>1254.9475132851194</v>
      </c>
      <c r="M56" s="744" t="str">
        <f t="shared" ca="1" si="8"/>
        <v xml:space="preserve"> </v>
      </c>
    </row>
    <row r="57" spans="1:14">
      <c r="A57" s="738">
        <f t="shared" si="0"/>
        <v>38322</v>
      </c>
      <c r="C57" s="739">
        <f t="shared" si="1"/>
        <v>31</v>
      </c>
      <c r="D57" s="742">
        <f ca="1">IF($A57&gt;Endyr,0,IF($A57&lt;Assm!$F$32,G57,Capacity*C57))</f>
        <v>3192690</v>
      </c>
      <c r="E57" s="740">
        <f t="shared" si="2"/>
        <v>0.33510000000000001</v>
      </c>
      <c r="F57" s="971">
        <f t="shared" ca="1" si="3"/>
        <v>1069.8704190000001</v>
      </c>
      <c r="G57" s="972">
        <f ca="1">[3]MMBTU!R80</f>
        <v>2092866.048</v>
      </c>
      <c r="H57" s="740">
        <f t="shared" si="4"/>
        <v>5.0000000000000001E-3</v>
      </c>
      <c r="I57" s="971">
        <f t="shared" ca="1" si="5"/>
        <v>10.464330239999999</v>
      </c>
      <c r="J57" s="977">
        <f t="shared" ca="1" si="6"/>
        <v>1080.3347492400001</v>
      </c>
      <c r="K57" s="741">
        <f ca="1">VLOOKUP($A57,Curves_Table,Escalation!$P$291)</f>
        <v>1.2003493342906499</v>
      </c>
      <c r="L57" s="743">
        <f t="shared" ca="1" si="7"/>
        <v>1296.7790970612903</v>
      </c>
      <c r="M57" s="744">
        <f t="shared" ca="1" si="8"/>
        <v>15166.72612902658</v>
      </c>
      <c r="N57" s="30">
        <f ca="1">SUM(G48:G57)</f>
        <v>20658613.248</v>
      </c>
    </row>
    <row r="58" spans="1:14">
      <c r="A58" s="738">
        <f t="shared" si="0"/>
        <v>38353</v>
      </c>
      <c r="C58" s="739">
        <f t="shared" si="1"/>
        <v>31</v>
      </c>
      <c r="D58" s="742">
        <f ca="1">IF($A58&gt;Endyr,0,IF($A58&lt;Assm!$F$32,G58,Capacity*C58))</f>
        <v>3192690</v>
      </c>
      <c r="E58" s="740">
        <f t="shared" si="2"/>
        <v>0.33510000000000001</v>
      </c>
      <c r="F58" s="971">
        <f t="shared" ca="1" si="3"/>
        <v>1069.8704190000001</v>
      </c>
      <c r="G58" s="972">
        <f ca="1">[3]MMBTU!R81</f>
        <v>2092866.048</v>
      </c>
      <c r="H58" s="740">
        <f t="shared" si="4"/>
        <v>5.0000000000000001E-3</v>
      </c>
      <c r="I58" s="971">
        <f t="shared" ca="1" si="5"/>
        <v>10.464330239999999</v>
      </c>
      <c r="J58" s="977">
        <f t="shared" ca="1" si="6"/>
        <v>1080.3347492400001</v>
      </c>
      <c r="K58" s="741">
        <f ca="1">VLOOKUP($A58,Curves_Table,Escalation!$P$291)</f>
        <v>1.2003493342906499</v>
      </c>
      <c r="L58" s="743">
        <f t="shared" ca="1" si="7"/>
        <v>1296.7790970612903</v>
      </c>
      <c r="M58" s="744" t="str">
        <f t="shared" ca="1" si="8"/>
        <v xml:space="preserve"> </v>
      </c>
    </row>
    <row r="59" spans="1:14">
      <c r="A59" s="738">
        <f t="shared" si="0"/>
        <v>38384</v>
      </c>
      <c r="C59" s="739">
        <f t="shared" si="1"/>
        <v>28</v>
      </c>
      <c r="D59" s="742">
        <f ca="1">IF($A59&gt;Endyr,0,IF($A59&lt;Assm!$F$32,G59,Capacity*C59))</f>
        <v>2883720</v>
      </c>
      <c r="E59" s="740">
        <f t="shared" si="2"/>
        <v>0.33510000000000001</v>
      </c>
      <c r="F59" s="971">
        <f t="shared" ca="1" si="3"/>
        <v>966.33457200000009</v>
      </c>
      <c r="G59" s="972">
        <f ca="1">[3]MMBTU!R82</f>
        <v>1890330.6240000003</v>
      </c>
      <c r="H59" s="740">
        <f t="shared" si="4"/>
        <v>5.0000000000000001E-3</v>
      </c>
      <c r="I59" s="971">
        <f t="shared" ca="1" si="5"/>
        <v>9.4516531200000014</v>
      </c>
      <c r="J59" s="977">
        <f t="shared" ca="1" si="6"/>
        <v>975.78622512000004</v>
      </c>
      <c r="K59" s="741">
        <f ca="1">VLOOKUP($A59,Curves_Table,Escalation!$P$291)</f>
        <v>1.2003493342906499</v>
      </c>
      <c r="L59" s="743">
        <f t="shared" ca="1" si="7"/>
        <v>1171.2843457327783</v>
      </c>
      <c r="M59" s="744" t="str">
        <f t="shared" ca="1" si="8"/>
        <v xml:space="preserve"> </v>
      </c>
    </row>
    <row r="60" spans="1:14">
      <c r="A60" s="738">
        <f t="shared" si="0"/>
        <v>38412</v>
      </c>
      <c r="C60" s="739">
        <f t="shared" si="1"/>
        <v>31</v>
      </c>
      <c r="D60" s="742">
        <f ca="1">IF($A60&gt;Endyr,0,IF($A60&lt;Assm!$F$32,G60,Capacity*C60))</f>
        <v>3192690</v>
      </c>
      <c r="E60" s="740">
        <f t="shared" si="2"/>
        <v>0.33510000000000001</v>
      </c>
      <c r="F60" s="971">
        <f t="shared" ca="1" si="3"/>
        <v>1069.8704190000001</v>
      </c>
      <c r="G60" s="972">
        <f ca="1">[3]MMBTU!R83</f>
        <v>2092866.048</v>
      </c>
      <c r="H60" s="740">
        <f t="shared" si="4"/>
        <v>5.0000000000000001E-3</v>
      </c>
      <c r="I60" s="971">
        <f t="shared" ca="1" si="5"/>
        <v>10.464330239999999</v>
      </c>
      <c r="J60" s="977">
        <f t="shared" ca="1" si="6"/>
        <v>1080.3347492400001</v>
      </c>
      <c r="K60" s="741">
        <f ca="1">VLOOKUP($A60,Curves_Table,Escalation!$P$291)</f>
        <v>1.2003493342906499</v>
      </c>
      <c r="L60" s="743">
        <f t="shared" ca="1" si="7"/>
        <v>1296.7790970612903</v>
      </c>
      <c r="M60" s="744" t="str">
        <f t="shared" ca="1" si="8"/>
        <v xml:space="preserve"> </v>
      </c>
    </row>
    <row r="61" spans="1:14">
      <c r="A61" s="738">
        <f t="shared" si="0"/>
        <v>38443</v>
      </c>
      <c r="C61" s="739">
        <f t="shared" si="1"/>
        <v>30</v>
      </c>
      <c r="D61" s="742">
        <f ca="1">IF($A61&gt;Endyr,0,IF($A61&lt;Assm!$F$32,G61,Capacity*C61))</f>
        <v>3089700</v>
      </c>
      <c r="E61" s="740">
        <f t="shared" si="2"/>
        <v>0.33510000000000001</v>
      </c>
      <c r="F61" s="971">
        <f t="shared" ca="1" si="3"/>
        <v>1035.3584699999999</v>
      </c>
      <c r="G61" s="972">
        <f ca="1">[3]MMBTU!R84</f>
        <v>2025354.24</v>
      </c>
      <c r="H61" s="740">
        <f t="shared" si="4"/>
        <v>5.0000000000000001E-3</v>
      </c>
      <c r="I61" s="971">
        <f t="shared" ca="1" si="5"/>
        <v>10.1267712</v>
      </c>
      <c r="J61" s="977">
        <f t="shared" ca="1" si="6"/>
        <v>1045.4852411999998</v>
      </c>
      <c r="K61" s="741">
        <f ca="1">VLOOKUP($A61,Curves_Table,Escalation!$P$291)</f>
        <v>1.2003493342906499</v>
      </c>
      <c r="L61" s="743">
        <f t="shared" ca="1" si="7"/>
        <v>1254.9475132851194</v>
      </c>
      <c r="M61" s="744" t="str">
        <f t="shared" ca="1" si="8"/>
        <v xml:space="preserve"> </v>
      </c>
    </row>
    <row r="62" spans="1:14">
      <c r="A62" s="738">
        <f t="shared" si="0"/>
        <v>38473</v>
      </c>
      <c r="C62" s="739">
        <f t="shared" si="1"/>
        <v>31</v>
      </c>
      <c r="D62" s="742">
        <f ca="1">IF($A62&gt;Endyr,0,IF($A62&lt;Assm!$F$32,G62,Capacity*C62))</f>
        <v>3192690</v>
      </c>
      <c r="E62" s="740">
        <f t="shared" si="2"/>
        <v>0.33510000000000001</v>
      </c>
      <c r="F62" s="971">
        <f t="shared" ca="1" si="3"/>
        <v>1069.8704190000001</v>
      </c>
      <c r="G62" s="972">
        <f ca="1">[3]MMBTU!R85</f>
        <v>2092866.048</v>
      </c>
      <c r="H62" s="740">
        <f t="shared" si="4"/>
        <v>5.0000000000000001E-3</v>
      </c>
      <c r="I62" s="971">
        <f t="shared" ca="1" si="5"/>
        <v>10.464330239999999</v>
      </c>
      <c r="J62" s="977">
        <f t="shared" ca="1" si="6"/>
        <v>1080.3347492400001</v>
      </c>
      <c r="K62" s="741">
        <f ca="1">VLOOKUP($A62,Curves_Table,Escalation!$P$291)</f>
        <v>1.2346229437596627</v>
      </c>
      <c r="L62" s="743">
        <f t="shared" ca="1" si="7"/>
        <v>1333.8060683525459</v>
      </c>
      <c r="M62" s="744" t="str">
        <f t="shared" ca="1" si="8"/>
        <v xml:space="preserve"> </v>
      </c>
    </row>
    <row r="63" spans="1:14">
      <c r="A63" s="738">
        <f t="shared" si="0"/>
        <v>38504</v>
      </c>
      <c r="C63" s="739">
        <f t="shared" si="1"/>
        <v>30</v>
      </c>
      <c r="D63" s="742">
        <f ca="1">IF($A63&gt;Endyr,0,IF($A63&lt;Assm!$F$32,G63,Capacity*C63))</f>
        <v>3089700</v>
      </c>
      <c r="E63" s="740">
        <f t="shared" si="2"/>
        <v>0.33510000000000001</v>
      </c>
      <c r="F63" s="971">
        <f t="shared" ca="1" si="3"/>
        <v>1035.3584699999999</v>
      </c>
      <c r="G63" s="972">
        <f ca="1">[3]MMBTU!R86</f>
        <v>2025354.24</v>
      </c>
      <c r="H63" s="740">
        <f t="shared" si="4"/>
        <v>5.0000000000000001E-3</v>
      </c>
      <c r="I63" s="971">
        <f t="shared" ca="1" si="5"/>
        <v>10.1267712</v>
      </c>
      <c r="J63" s="977">
        <f t="shared" ca="1" si="6"/>
        <v>1045.4852411999998</v>
      </c>
      <c r="K63" s="741">
        <f ca="1">VLOOKUP($A63,Curves_Table,Escalation!$P$291)</f>
        <v>1.2346229437596627</v>
      </c>
      <c r="L63" s="743">
        <f t="shared" ca="1" si="7"/>
        <v>1290.7800661476249</v>
      </c>
      <c r="M63" s="744" t="str">
        <f t="shared" ca="1" si="8"/>
        <v xml:space="preserve"> </v>
      </c>
    </row>
    <row r="64" spans="1:14">
      <c r="A64" s="738">
        <f t="shared" si="0"/>
        <v>38534</v>
      </c>
      <c r="C64" s="739">
        <f t="shared" si="1"/>
        <v>31</v>
      </c>
      <c r="D64" s="742">
        <f ca="1">IF($A64&gt;Endyr,0,IF($A64&lt;Assm!$F$32,G64,Capacity*C64))</f>
        <v>3192690</v>
      </c>
      <c r="E64" s="740">
        <f t="shared" si="2"/>
        <v>0.33510000000000001</v>
      </c>
      <c r="F64" s="971">
        <f t="shared" ca="1" si="3"/>
        <v>1069.8704190000001</v>
      </c>
      <c r="G64" s="972">
        <f ca="1">[3]MMBTU!R87</f>
        <v>2092866.048</v>
      </c>
      <c r="H64" s="740">
        <f t="shared" si="4"/>
        <v>5.0000000000000001E-3</v>
      </c>
      <c r="I64" s="971">
        <f t="shared" ca="1" si="5"/>
        <v>10.464330239999999</v>
      </c>
      <c r="J64" s="977">
        <f t="shared" ca="1" si="6"/>
        <v>1080.3347492400001</v>
      </c>
      <c r="K64" s="741">
        <f ca="1">VLOOKUP($A64,Curves_Table,Escalation!$P$291)</f>
        <v>1.2346229437596627</v>
      </c>
      <c r="L64" s="743">
        <f t="shared" ca="1" si="7"/>
        <v>1333.8060683525459</v>
      </c>
      <c r="M64" s="744" t="str">
        <f t="shared" ca="1" si="8"/>
        <v xml:space="preserve"> </v>
      </c>
    </row>
    <row r="65" spans="1:14">
      <c r="A65" s="738">
        <f t="shared" si="0"/>
        <v>38565</v>
      </c>
      <c r="C65" s="739">
        <f t="shared" si="1"/>
        <v>31</v>
      </c>
      <c r="D65" s="742">
        <f ca="1">IF($A65&gt;Endyr,0,IF($A65&lt;Assm!$F$32,G65,Capacity*C65))</f>
        <v>3192690</v>
      </c>
      <c r="E65" s="740">
        <f t="shared" si="2"/>
        <v>0.33510000000000001</v>
      </c>
      <c r="F65" s="971">
        <f t="shared" ca="1" si="3"/>
        <v>1069.8704190000001</v>
      </c>
      <c r="G65" s="972">
        <f ca="1">[3]MMBTU!R88</f>
        <v>2092866.048</v>
      </c>
      <c r="H65" s="740">
        <f t="shared" si="4"/>
        <v>5.0000000000000001E-3</v>
      </c>
      <c r="I65" s="971">
        <f t="shared" ca="1" si="5"/>
        <v>10.464330239999999</v>
      </c>
      <c r="J65" s="977">
        <f t="shared" ca="1" si="6"/>
        <v>1080.3347492400001</v>
      </c>
      <c r="K65" s="741">
        <f ca="1">VLOOKUP($A65,Curves_Table,Escalation!$P$291)</f>
        <v>1.2346229437596627</v>
      </c>
      <c r="L65" s="743">
        <f t="shared" ca="1" si="7"/>
        <v>1333.8060683525459</v>
      </c>
      <c r="M65" s="744" t="str">
        <f t="shared" ca="1" si="8"/>
        <v xml:space="preserve"> </v>
      </c>
    </row>
    <row r="66" spans="1:14">
      <c r="A66" s="738">
        <f t="shared" si="0"/>
        <v>38596</v>
      </c>
      <c r="C66" s="739">
        <f t="shared" si="1"/>
        <v>30</v>
      </c>
      <c r="D66" s="742">
        <f ca="1">IF($A66&gt;Endyr,0,IF($A66&lt;Assm!$F$32,G66,Capacity*C66))</f>
        <v>3089700</v>
      </c>
      <c r="E66" s="740">
        <f t="shared" si="2"/>
        <v>0.33510000000000001</v>
      </c>
      <c r="F66" s="971">
        <f t="shared" ca="1" si="3"/>
        <v>1035.3584699999999</v>
      </c>
      <c r="G66" s="972">
        <f ca="1">[3]MMBTU!R89</f>
        <v>2025354.24</v>
      </c>
      <c r="H66" s="740">
        <f t="shared" si="4"/>
        <v>5.0000000000000001E-3</v>
      </c>
      <c r="I66" s="971">
        <f t="shared" ca="1" si="5"/>
        <v>10.1267712</v>
      </c>
      <c r="J66" s="977">
        <f t="shared" ca="1" si="6"/>
        <v>1045.4852411999998</v>
      </c>
      <c r="K66" s="741">
        <f ca="1">VLOOKUP($A66,Curves_Table,Escalation!$P$291)</f>
        <v>1.2346229437596627</v>
      </c>
      <c r="L66" s="743">
        <f t="shared" ca="1" si="7"/>
        <v>1290.7800661476249</v>
      </c>
      <c r="M66" s="744" t="str">
        <f t="shared" ca="1" si="8"/>
        <v xml:space="preserve"> </v>
      </c>
    </row>
    <row r="67" spans="1:14">
      <c r="A67" s="738">
        <f t="shared" si="0"/>
        <v>38626</v>
      </c>
      <c r="C67" s="739">
        <f t="shared" si="1"/>
        <v>31</v>
      </c>
      <c r="D67" s="742">
        <f ca="1">IF($A67&gt;Endyr,0,IF($A67&lt;Assm!$F$32,G67,Capacity*C67))</f>
        <v>3192690</v>
      </c>
      <c r="E67" s="740">
        <f t="shared" si="2"/>
        <v>0.33510000000000001</v>
      </c>
      <c r="F67" s="971">
        <f t="shared" ca="1" si="3"/>
        <v>1069.8704190000001</v>
      </c>
      <c r="G67" s="972">
        <f ca="1">[3]MMBTU!R90</f>
        <v>2092866.048</v>
      </c>
      <c r="H67" s="740">
        <f t="shared" si="4"/>
        <v>5.0000000000000001E-3</v>
      </c>
      <c r="I67" s="971">
        <f t="shared" ca="1" si="5"/>
        <v>10.464330239999999</v>
      </c>
      <c r="J67" s="977">
        <f t="shared" ca="1" si="6"/>
        <v>1080.3347492400001</v>
      </c>
      <c r="K67" s="741">
        <f ca="1">VLOOKUP($A67,Curves_Table,Escalation!$P$291)</f>
        <v>1.2346229437596627</v>
      </c>
      <c r="L67" s="743">
        <f t="shared" ca="1" si="7"/>
        <v>1333.8060683525459</v>
      </c>
      <c r="M67" s="744" t="str">
        <f t="shared" ca="1" si="8"/>
        <v xml:space="preserve"> </v>
      </c>
    </row>
    <row r="68" spans="1:14">
      <c r="A68" s="738">
        <f t="shared" si="0"/>
        <v>38657</v>
      </c>
      <c r="C68" s="739">
        <f t="shared" si="1"/>
        <v>30</v>
      </c>
      <c r="D68" s="742">
        <f ca="1">IF($A68&gt;Endyr,0,IF($A68&lt;Assm!$F$32,G68,Capacity*C68))</f>
        <v>3089700</v>
      </c>
      <c r="E68" s="740">
        <f t="shared" si="2"/>
        <v>0.33510000000000001</v>
      </c>
      <c r="F68" s="971">
        <f t="shared" ca="1" si="3"/>
        <v>1035.3584699999999</v>
      </c>
      <c r="G68" s="972">
        <f ca="1">[3]MMBTU!R91</f>
        <v>2025354.24</v>
      </c>
      <c r="H68" s="740">
        <f t="shared" si="4"/>
        <v>5.0000000000000001E-3</v>
      </c>
      <c r="I68" s="971">
        <f t="shared" ca="1" si="5"/>
        <v>10.1267712</v>
      </c>
      <c r="J68" s="977">
        <f t="shared" ca="1" si="6"/>
        <v>1045.4852411999998</v>
      </c>
      <c r="K68" s="741">
        <f ca="1">VLOOKUP($A68,Curves_Table,Escalation!$P$291)</f>
        <v>1.2346229437596627</v>
      </c>
      <c r="L68" s="743">
        <f t="shared" ca="1" si="7"/>
        <v>1290.7800661476249</v>
      </c>
      <c r="M68" s="744" t="str">
        <f t="shared" ca="1" si="8"/>
        <v xml:space="preserve"> </v>
      </c>
    </row>
    <row r="69" spans="1:14">
      <c r="A69" s="738">
        <f t="shared" si="0"/>
        <v>38687</v>
      </c>
      <c r="C69" s="739">
        <f t="shared" si="1"/>
        <v>31</v>
      </c>
      <c r="D69" s="742">
        <f ca="1">IF($A69&gt;Endyr,0,IF($A69&lt;Assm!$F$32,G69,Capacity*C69))</f>
        <v>3192690</v>
      </c>
      <c r="E69" s="740">
        <f t="shared" si="2"/>
        <v>0.33510000000000001</v>
      </c>
      <c r="F69" s="971">
        <f t="shared" ca="1" si="3"/>
        <v>1069.8704190000001</v>
      </c>
      <c r="G69" s="972">
        <f ca="1">[3]MMBTU!R92</f>
        <v>2092866.048</v>
      </c>
      <c r="H69" s="740">
        <f t="shared" si="4"/>
        <v>5.0000000000000001E-3</v>
      </c>
      <c r="I69" s="971">
        <f t="shared" ca="1" si="5"/>
        <v>10.464330239999999</v>
      </c>
      <c r="J69" s="977">
        <f t="shared" ca="1" si="6"/>
        <v>1080.3347492400001</v>
      </c>
      <c r="K69" s="741">
        <f ca="1">VLOOKUP($A69,Curves_Table,Escalation!$P$291)</f>
        <v>1.2346229437596627</v>
      </c>
      <c r="L69" s="743">
        <f t="shared" ca="1" si="7"/>
        <v>1333.8060683525459</v>
      </c>
      <c r="M69" s="744">
        <f t="shared" ca="1" si="8"/>
        <v>15561.160593346081</v>
      </c>
      <c r="N69" s="30">
        <f ca="1">SUM(G60:G69)</f>
        <v>20658613.248</v>
      </c>
    </row>
    <row r="70" spans="1:14">
      <c r="A70" s="738">
        <f t="shared" si="0"/>
        <v>38718</v>
      </c>
      <c r="C70" s="739">
        <f t="shared" si="1"/>
        <v>31</v>
      </c>
      <c r="D70" s="742">
        <f ca="1">IF($A70&gt;Endyr,0,IF($A70&lt;Assm!$F$32,G70,Capacity*C70))</f>
        <v>3192690</v>
      </c>
      <c r="E70" s="740">
        <f t="shared" si="2"/>
        <v>0.33510000000000001</v>
      </c>
      <c r="F70" s="971">
        <f t="shared" ca="1" si="3"/>
        <v>1069.8704190000001</v>
      </c>
      <c r="G70" s="972">
        <f ca="1">[3]MMBTU!R93</f>
        <v>2092866.048</v>
      </c>
      <c r="H70" s="740">
        <f t="shared" si="4"/>
        <v>5.0000000000000001E-3</v>
      </c>
      <c r="I70" s="971">
        <f t="shared" ca="1" si="5"/>
        <v>10.464330239999999</v>
      </c>
      <c r="J70" s="977">
        <f t="shared" ca="1" si="6"/>
        <v>1080.3347492400001</v>
      </c>
      <c r="K70" s="741">
        <f ca="1">VLOOKUP($A70,Curves_Table,Escalation!$P$291)</f>
        <v>1.2346229437596627</v>
      </c>
      <c r="L70" s="743">
        <f t="shared" ca="1" si="7"/>
        <v>1333.8060683525459</v>
      </c>
      <c r="M70" s="744" t="str">
        <f t="shared" ca="1" si="8"/>
        <v xml:space="preserve"> </v>
      </c>
    </row>
    <row r="71" spans="1:14">
      <c r="A71" s="738">
        <f t="shared" si="0"/>
        <v>38749</v>
      </c>
      <c r="C71" s="739">
        <f t="shared" si="1"/>
        <v>28</v>
      </c>
      <c r="D71" s="742">
        <f ca="1">IF($A71&gt;Endyr,0,IF($A71&lt;Assm!$F$32,G71,Capacity*C71))</f>
        <v>2883720</v>
      </c>
      <c r="E71" s="740">
        <f t="shared" si="2"/>
        <v>0.33510000000000001</v>
      </c>
      <c r="F71" s="971">
        <f t="shared" ca="1" si="3"/>
        <v>966.33457200000009</v>
      </c>
      <c r="G71" s="972">
        <f ca="1">[3]MMBTU!R94</f>
        <v>1890330.6240000003</v>
      </c>
      <c r="H71" s="740">
        <f t="shared" si="4"/>
        <v>5.0000000000000001E-3</v>
      </c>
      <c r="I71" s="971">
        <f t="shared" ca="1" si="5"/>
        <v>9.4516531200000014</v>
      </c>
      <c r="J71" s="977">
        <f t="shared" ca="1" si="6"/>
        <v>975.78622512000004</v>
      </c>
      <c r="K71" s="741">
        <f ca="1">VLOOKUP($A71,Curves_Table,Escalation!$P$291)</f>
        <v>1.2346229437596627</v>
      </c>
      <c r="L71" s="743">
        <f t="shared" ca="1" si="7"/>
        <v>1204.7280617377835</v>
      </c>
      <c r="M71" s="744" t="str">
        <f t="shared" ca="1" si="8"/>
        <v xml:space="preserve"> </v>
      </c>
    </row>
    <row r="72" spans="1:14">
      <c r="A72" s="738">
        <f t="shared" si="0"/>
        <v>38777</v>
      </c>
      <c r="C72" s="739">
        <f t="shared" si="1"/>
        <v>31</v>
      </c>
      <c r="D72" s="742">
        <f ca="1">IF($A72&gt;Endyr,0,IF($A72&lt;Assm!$F$32,G72,Capacity*C72))</f>
        <v>3192690</v>
      </c>
      <c r="E72" s="740">
        <f t="shared" si="2"/>
        <v>0.33510000000000001</v>
      </c>
      <c r="F72" s="971">
        <f t="shared" ca="1" si="3"/>
        <v>1069.8704190000001</v>
      </c>
      <c r="G72" s="972">
        <f ca="1">[3]MMBTU!R95</f>
        <v>2092866.048</v>
      </c>
      <c r="H72" s="740">
        <f t="shared" si="4"/>
        <v>5.0000000000000001E-3</v>
      </c>
      <c r="I72" s="971">
        <f t="shared" ca="1" si="5"/>
        <v>10.464330239999999</v>
      </c>
      <c r="J72" s="977">
        <f t="shared" ca="1" si="6"/>
        <v>1080.3347492400001</v>
      </c>
      <c r="K72" s="741">
        <f ca="1">VLOOKUP($A72,Curves_Table,Escalation!$P$291)</f>
        <v>1.2346229437596627</v>
      </c>
      <c r="L72" s="743">
        <f t="shared" ca="1" si="7"/>
        <v>1333.8060683525459</v>
      </c>
      <c r="M72" s="744" t="str">
        <f t="shared" ca="1" si="8"/>
        <v xml:space="preserve"> </v>
      </c>
    </row>
    <row r="73" spans="1:14">
      <c r="A73" s="738">
        <f t="shared" si="0"/>
        <v>38808</v>
      </c>
      <c r="C73" s="739">
        <f t="shared" si="1"/>
        <v>30</v>
      </c>
      <c r="D73" s="742">
        <f ca="1">IF($A73&gt;Endyr,0,IF($A73&lt;Assm!$F$32,G73,Capacity*C73))</f>
        <v>3089700</v>
      </c>
      <c r="E73" s="740">
        <f t="shared" si="2"/>
        <v>0.33510000000000001</v>
      </c>
      <c r="F73" s="971">
        <f t="shared" ca="1" si="3"/>
        <v>1035.3584699999999</v>
      </c>
      <c r="G73" s="972">
        <f ca="1">[3]MMBTU!R96</f>
        <v>2025354.24</v>
      </c>
      <c r="H73" s="740">
        <f t="shared" si="4"/>
        <v>5.0000000000000001E-3</v>
      </c>
      <c r="I73" s="971">
        <f t="shared" ca="1" si="5"/>
        <v>10.1267712</v>
      </c>
      <c r="J73" s="977">
        <f t="shared" ca="1" si="6"/>
        <v>1045.4852411999998</v>
      </c>
      <c r="K73" s="741">
        <f ca="1">VLOOKUP($A73,Curves_Table,Escalation!$P$291)</f>
        <v>1.2346229437596627</v>
      </c>
      <c r="L73" s="743">
        <f t="shared" ca="1" si="7"/>
        <v>1290.7800661476249</v>
      </c>
      <c r="M73" s="744" t="str">
        <f t="shared" ca="1" si="8"/>
        <v xml:space="preserve"> </v>
      </c>
    </row>
    <row r="74" spans="1:14">
      <c r="A74" s="738">
        <f t="shared" si="0"/>
        <v>38838</v>
      </c>
      <c r="C74" s="739">
        <f t="shared" si="1"/>
        <v>31</v>
      </c>
      <c r="D74" s="742">
        <f ca="1">IF($A74&gt;Endyr,0,IF($A74&lt;Assm!$F$32,G74,Capacity*C74))</f>
        <v>3192690</v>
      </c>
      <c r="E74" s="740">
        <f t="shared" si="2"/>
        <v>0.33510000000000001</v>
      </c>
      <c r="F74" s="971">
        <f t="shared" ca="1" si="3"/>
        <v>1069.8704190000001</v>
      </c>
      <c r="G74" s="972">
        <f ca="1">[3]MMBTU!R97</f>
        <v>2092866.048</v>
      </c>
      <c r="H74" s="740">
        <f t="shared" si="4"/>
        <v>5.0000000000000001E-3</v>
      </c>
      <c r="I74" s="971">
        <f t="shared" ca="1" si="5"/>
        <v>10.464330239999999</v>
      </c>
      <c r="J74" s="977">
        <f t="shared" ca="1" si="6"/>
        <v>1080.3347492400001</v>
      </c>
      <c r="K74" s="741">
        <f ca="1">VLOOKUP($A74,Curves_Table,Escalation!$P$291)</f>
        <v>1.2691909562879884</v>
      </c>
      <c r="L74" s="743">
        <f t="shared" ca="1" si="7"/>
        <v>1371.1510934990599</v>
      </c>
      <c r="M74" s="744" t="str">
        <f t="shared" ca="1" si="8"/>
        <v xml:space="preserve"> </v>
      </c>
    </row>
    <row r="75" spans="1:14">
      <c r="A75" s="738">
        <f t="shared" si="0"/>
        <v>38869</v>
      </c>
      <c r="C75" s="739">
        <f t="shared" si="1"/>
        <v>30</v>
      </c>
      <c r="D75" s="742">
        <f ca="1">IF($A75&gt;Endyr,0,IF($A75&lt;Assm!$F$32,G75,Capacity*C75))</f>
        <v>3089700</v>
      </c>
      <c r="E75" s="740">
        <f t="shared" si="2"/>
        <v>0.33510000000000001</v>
      </c>
      <c r="F75" s="971">
        <f t="shared" ca="1" si="3"/>
        <v>1035.3584699999999</v>
      </c>
      <c r="G75" s="972">
        <f ca="1">[3]MMBTU!R98</f>
        <v>2025354.24</v>
      </c>
      <c r="H75" s="740">
        <f t="shared" si="4"/>
        <v>5.0000000000000001E-3</v>
      </c>
      <c r="I75" s="971">
        <f t="shared" ca="1" si="5"/>
        <v>10.1267712</v>
      </c>
      <c r="J75" s="977">
        <f t="shared" ca="1" si="6"/>
        <v>1045.4852411999998</v>
      </c>
      <c r="K75" s="741">
        <f ca="1">VLOOKUP($A75,Curves_Table,Escalation!$P$291)</f>
        <v>1.2691909562879884</v>
      </c>
      <c r="L75" s="743">
        <f t="shared" ca="1" si="7"/>
        <v>1326.920413063606</v>
      </c>
      <c r="M75" s="744" t="str">
        <f t="shared" ca="1" si="8"/>
        <v xml:space="preserve"> </v>
      </c>
    </row>
    <row r="76" spans="1:14">
      <c r="A76" s="738">
        <f t="shared" si="0"/>
        <v>38899</v>
      </c>
      <c r="C76" s="739">
        <f t="shared" si="1"/>
        <v>31</v>
      </c>
      <c r="D76" s="742">
        <f ca="1">IF($A76&gt;Endyr,0,IF($A76&lt;Assm!$F$32,G76,Capacity*C76))</f>
        <v>3192690</v>
      </c>
      <c r="E76" s="740">
        <f t="shared" si="2"/>
        <v>0.33510000000000001</v>
      </c>
      <c r="F76" s="971">
        <f t="shared" ca="1" si="3"/>
        <v>1069.8704190000001</v>
      </c>
      <c r="G76" s="972">
        <f ca="1">[3]MMBTU!R99</f>
        <v>2092866.048</v>
      </c>
      <c r="H76" s="740">
        <f t="shared" si="4"/>
        <v>5.0000000000000001E-3</v>
      </c>
      <c r="I76" s="971">
        <f t="shared" ca="1" si="5"/>
        <v>10.464330239999999</v>
      </c>
      <c r="J76" s="977">
        <f t="shared" ca="1" si="6"/>
        <v>1080.3347492400001</v>
      </c>
      <c r="K76" s="741">
        <f ca="1">VLOOKUP($A76,Curves_Table,Escalation!$P$291)</f>
        <v>1.2691909562879884</v>
      </c>
      <c r="L76" s="743">
        <f t="shared" ca="1" si="7"/>
        <v>1371.1510934990599</v>
      </c>
      <c r="M76" s="744" t="str">
        <f t="shared" ca="1" si="8"/>
        <v xml:space="preserve"> </v>
      </c>
    </row>
    <row r="77" spans="1:14">
      <c r="A77" s="738">
        <f t="shared" ref="A77:A140" si="9">EDATE(A76,1)</f>
        <v>38930</v>
      </c>
      <c r="C77" s="739">
        <f t="shared" ref="C77:C140" si="10">A78-A77</f>
        <v>31</v>
      </c>
      <c r="D77" s="742">
        <f ca="1">IF($A77&gt;Endyr,0,IF($A77&lt;Assm!$F$32,G77,Capacity*C77))</f>
        <v>3192690</v>
      </c>
      <c r="E77" s="740">
        <f t="shared" ref="E77:E140" si="11">IF($A77&gt;Endyr,0,Tariff_Cap)</f>
        <v>0.33510000000000001</v>
      </c>
      <c r="F77" s="971">
        <f t="shared" ref="F77:F140" ca="1" si="12">D77*E77/1000</f>
        <v>1069.8704190000001</v>
      </c>
      <c r="G77" s="972">
        <f ca="1">[3]MMBTU!R100</f>
        <v>2092866.048</v>
      </c>
      <c r="H77" s="740">
        <f t="shared" ref="H77:H140" si="13">IF($A77&gt;Endyr,0,Tariff_Var)</f>
        <v>5.0000000000000001E-3</v>
      </c>
      <c r="I77" s="971">
        <f t="shared" ref="I77:I140" ca="1" si="14">G77*H77/1000</f>
        <v>10.464330239999999</v>
      </c>
      <c r="J77" s="977">
        <f t="shared" ref="J77:J140" ca="1" si="15">SUM(F77,I77)</f>
        <v>1080.3347492400001</v>
      </c>
      <c r="K77" s="741">
        <f ca="1">VLOOKUP($A77,Curves_Table,Escalation!$P$291)</f>
        <v>1.2691909562879884</v>
      </c>
      <c r="L77" s="743">
        <f t="shared" ref="L77:L140" ca="1" si="16">J77*K77</f>
        <v>1371.1510934990599</v>
      </c>
      <c r="M77" s="744" t="str">
        <f t="shared" ref="M77:M140" ca="1" si="17">IF(MONTH($A77)=12,SUM(L66:L77)," ")</f>
        <v xml:space="preserve"> </v>
      </c>
    </row>
    <row r="78" spans="1:14">
      <c r="A78" s="738">
        <f t="shared" si="9"/>
        <v>38961</v>
      </c>
      <c r="C78" s="739">
        <f t="shared" si="10"/>
        <v>30</v>
      </c>
      <c r="D78" s="742">
        <f ca="1">IF($A78&gt;Endyr,0,IF($A78&lt;Assm!$F$32,G78,Capacity*C78))</f>
        <v>3089700</v>
      </c>
      <c r="E78" s="740">
        <f t="shared" si="11"/>
        <v>0.33510000000000001</v>
      </c>
      <c r="F78" s="971">
        <f t="shared" ca="1" si="12"/>
        <v>1035.3584699999999</v>
      </c>
      <c r="G78" s="972">
        <f ca="1">[3]MMBTU!R101</f>
        <v>2025354.24</v>
      </c>
      <c r="H78" s="740">
        <f t="shared" si="13"/>
        <v>5.0000000000000001E-3</v>
      </c>
      <c r="I78" s="971">
        <f t="shared" ca="1" si="14"/>
        <v>10.1267712</v>
      </c>
      <c r="J78" s="977">
        <f t="shared" ca="1" si="15"/>
        <v>1045.4852411999998</v>
      </c>
      <c r="K78" s="741">
        <f ca="1">VLOOKUP($A78,Curves_Table,Escalation!$P$291)</f>
        <v>1.2691909562879884</v>
      </c>
      <c r="L78" s="743">
        <f t="shared" ca="1" si="16"/>
        <v>1326.920413063606</v>
      </c>
      <c r="M78" s="744" t="str">
        <f t="shared" ca="1" si="17"/>
        <v xml:space="preserve"> </v>
      </c>
    </row>
    <row r="79" spans="1:14">
      <c r="A79" s="738">
        <f t="shared" si="9"/>
        <v>38991</v>
      </c>
      <c r="C79" s="739">
        <f t="shared" si="10"/>
        <v>31</v>
      </c>
      <c r="D79" s="742">
        <f ca="1">IF($A79&gt;Endyr,0,IF($A79&lt;Assm!$F$32,G79,Capacity*C79))</f>
        <v>3192690</v>
      </c>
      <c r="E79" s="740">
        <f t="shared" si="11"/>
        <v>0.33510000000000001</v>
      </c>
      <c r="F79" s="971">
        <f t="shared" ca="1" si="12"/>
        <v>1069.8704190000001</v>
      </c>
      <c r="G79" s="972">
        <f ca="1">[3]MMBTU!R102</f>
        <v>2092866.048</v>
      </c>
      <c r="H79" s="740">
        <f t="shared" si="13"/>
        <v>5.0000000000000001E-3</v>
      </c>
      <c r="I79" s="971">
        <f t="shared" ca="1" si="14"/>
        <v>10.464330239999999</v>
      </c>
      <c r="J79" s="977">
        <f t="shared" ca="1" si="15"/>
        <v>1080.3347492400001</v>
      </c>
      <c r="K79" s="741">
        <f ca="1">VLOOKUP($A79,Curves_Table,Escalation!$P$291)</f>
        <v>1.2691909562879884</v>
      </c>
      <c r="L79" s="743">
        <f t="shared" ca="1" si="16"/>
        <v>1371.1510934990599</v>
      </c>
      <c r="M79" s="744" t="str">
        <f t="shared" ca="1" si="17"/>
        <v xml:space="preserve"> </v>
      </c>
    </row>
    <row r="80" spans="1:14">
      <c r="A80" s="738">
        <f t="shared" si="9"/>
        <v>39022</v>
      </c>
      <c r="C80" s="739">
        <f t="shared" si="10"/>
        <v>30</v>
      </c>
      <c r="D80" s="742">
        <f ca="1">IF($A80&gt;Endyr,0,IF($A80&lt;Assm!$F$32,G80,Capacity*C80))</f>
        <v>3089700</v>
      </c>
      <c r="E80" s="740">
        <f t="shared" si="11"/>
        <v>0.33510000000000001</v>
      </c>
      <c r="F80" s="971">
        <f t="shared" ca="1" si="12"/>
        <v>1035.3584699999999</v>
      </c>
      <c r="G80" s="972">
        <f ca="1">[3]MMBTU!R103</f>
        <v>2025354.24</v>
      </c>
      <c r="H80" s="740">
        <f t="shared" si="13"/>
        <v>5.0000000000000001E-3</v>
      </c>
      <c r="I80" s="971">
        <f t="shared" ca="1" si="14"/>
        <v>10.1267712</v>
      </c>
      <c r="J80" s="977">
        <f t="shared" ca="1" si="15"/>
        <v>1045.4852411999998</v>
      </c>
      <c r="K80" s="741">
        <f ca="1">VLOOKUP($A80,Curves_Table,Escalation!$P$291)</f>
        <v>1.2691909562879884</v>
      </c>
      <c r="L80" s="743">
        <f t="shared" ca="1" si="16"/>
        <v>1326.920413063606</v>
      </c>
      <c r="M80" s="744" t="str">
        <f t="shared" ca="1" si="17"/>
        <v xml:space="preserve"> </v>
      </c>
    </row>
    <row r="81" spans="1:13">
      <c r="A81" s="738">
        <f t="shared" si="9"/>
        <v>39052</v>
      </c>
      <c r="C81" s="739">
        <f t="shared" si="10"/>
        <v>31</v>
      </c>
      <c r="D81" s="742">
        <f ca="1">IF($A81&gt;Endyr,0,IF($A81&lt;Assm!$F$32,G81,Capacity*C81))</f>
        <v>3192690</v>
      </c>
      <c r="E81" s="740">
        <f t="shared" si="11"/>
        <v>0.33510000000000001</v>
      </c>
      <c r="F81" s="971">
        <f t="shared" ca="1" si="12"/>
        <v>1069.8704190000001</v>
      </c>
      <c r="G81" s="972">
        <f ca="1">[3]MMBTU!R104</f>
        <v>2092866.048</v>
      </c>
      <c r="H81" s="740">
        <f t="shared" si="13"/>
        <v>5.0000000000000001E-3</v>
      </c>
      <c r="I81" s="971">
        <f t="shared" ca="1" si="14"/>
        <v>10.464330239999999</v>
      </c>
      <c r="J81" s="977">
        <f t="shared" ca="1" si="15"/>
        <v>1080.3347492400001</v>
      </c>
      <c r="K81" s="741">
        <f ca="1">VLOOKUP($A81,Curves_Table,Escalation!$P$291)</f>
        <v>1.2691909562879884</v>
      </c>
      <c r="L81" s="743">
        <f t="shared" ca="1" si="16"/>
        <v>1371.1510934990599</v>
      </c>
      <c r="M81" s="744">
        <f t="shared" ca="1" si="17"/>
        <v>15999.636971276619</v>
      </c>
    </row>
    <row r="82" spans="1:13">
      <c r="A82" s="738">
        <f t="shared" si="9"/>
        <v>39083</v>
      </c>
      <c r="C82" s="739">
        <f t="shared" si="10"/>
        <v>31</v>
      </c>
      <c r="D82" s="742">
        <f ca="1">IF($A82&gt;Endyr,0,IF($A82&lt;Assm!$F$32,G82,Capacity*C82))</f>
        <v>3192690</v>
      </c>
      <c r="E82" s="740">
        <f t="shared" si="11"/>
        <v>0.33510000000000001</v>
      </c>
      <c r="F82" s="971">
        <f t="shared" ca="1" si="12"/>
        <v>1069.8704190000001</v>
      </c>
      <c r="G82" s="972">
        <f ca="1">[3]MMBTU!R105</f>
        <v>2092866.048</v>
      </c>
      <c r="H82" s="740">
        <f t="shared" si="13"/>
        <v>5.0000000000000001E-3</v>
      </c>
      <c r="I82" s="971">
        <f t="shared" ca="1" si="14"/>
        <v>10.464330239999999</v>
      </c>
      <c r="J82" s="977">
        <f t="shared" ca="1" si="15"/>
        <v>1080.3347492400001</v>
      </c>
      <c r="K82" s="741">
        <f ca="1">VLOOKUP($A82,Curves_Table,Escalation!$P$291)</f>
        <v>1.2691909562879884</v>
      </c>
      <c r="L82" s="743">
        <f t="shared" ca="1" si="16"/>
        <v>1371.1510934990599</v>
      </c>
      <c r="M82" s="744" t="str">
        <f t="shared" ca="1" si="17"/>
        <v xml:space="preserve"> </v>
      </c>
    </row>
    <row r="83" spans="1:13">
      <c r="A83" s="738">
        <f t="shared" si="9"/>
        <v>39114</v>
      </c>
      <c r="C83" s="739">
        <f t="shared" si="10"/>
        <v>28</v>
      </c>
      <c r="D83" s="742">
        <f ca="1">IF($A83&gt;Endyr,0,IF($A83&lt;Assm!$F$32,G83,Capacity*C83))</f>
        <v>2883720</v>
      </c>
      <c r="E83" s="740">
        <f t="shared" si="11"/>
        <v>0.33510000000000001</v>
      </c>
      <c r="F83" s="971">
        <f t="shared" ca="1" si="12"/>
        <v>966.33457200000009</v>
      </c>
      <c r="G83" s="972">
        <f ca="1">[3]MMBTU!R106</f>
        <v>1890330.6240000003</v>
      </c>
      <c r="H83" s="740">
        <f t="shared" si="13"/>
        <v>5.0000000000000001E-3</v>
      </c>
      <c r="I83" s="971">
        <f t="shared" ca="1" si="14"/>
        <v>9.4516531200000014</v>
      </c>
      <c r="J83" s="977">
        <f t="shared" ca="1" si="15"/>
        <v>975.78622512000004</v>
      </c>
      <c r="K83" s="741">
        <f ca="1">VLOOKUP($A83,Curves_Table,Escalation!$P$291)</f>
        <v>1.2691909562879884</v>
      </c>
      <c r="L83" s="743">
        <f t="shared" ca="1" si="16"/>
        <v>1238.4590521926991</v>
      </c>
      <c r="M83" s="744" t="str">
        <f t="shared" ca="1" si="17"/>
        <v xml:space="preserve"> </v>
      </c>
    </row>
    <row r="84" spans="1:13">
      <c r="A84" s="738">
        <f t="shared" si="9"/>
        <v>39142</v>
      </c>
      <c r="C84" s="739">
        <f t="shared" si="10"/>
        <v>31</v>
      </c>
      <c r="D84" s="742">
        <f ca="1">IF($A84&gt;Endyr,0,IF($A84&lt;Assm!$F$32,G84,Capacity*C84))</f>
        <v>3192690</v>
      </c>
      <c r="E84" s="740">
        <f t="shared" si="11"/>
        <v>0.33510000000000001</v>
      </c>
      <c r="F84" s="971">
        <f t="shared" ca="1" si="12"/>
        <v>1069.8704190000001</v>
      </c>
      <c r="G84" s="972">
        <f ca="1">[3]MMBTU!R107</f>
        <v>2092866.048</v>
      </c>
      <c r="H84" s="740">
        <f t="shared" si="13"/>
        <v>5.0000000000000001E-3</v>
      </c>
      <c r="I84" s="971">
        <f t="shared" ca="1" si="14"/>
        <v>10.464330239999999</v>
      </c>
      <c r="J84" s="977">
        <f t="shared" ca="1" si="15"/>
        <v>1080.3347492400001</v>
      </c>
      <c r="K84" s="741">
        <f ca="1">VLOOKUP($A84,Curves_Table,Escalation!$P$291)</f>
        <v>1.2691909562879884</v>
      </c>
      <c r="L84" s="743">
        <f t="shared" ca="1" si="16"/>
        <v>1371.1510934990599</v>
      </c>
      <c r="M84" s="744" t="str">
        <f t="shared" ca="1" si="17"/>
        <v xml:space="preserve"> </v>
      </c>
    </row>
    <row r="85" spans="1:13">
      <c r="A85" s="738">
        <f t="shared" si="9"/>
        <v>39173</v>
      </c>
      <c r="C85" s="739">
        <f t="shared" si="10"/>
        <v>30</v>
      </c>
      <c r="D85" s="742">
        <f ca="1">IF($A85&gt;Endyr,0,IF($A85&lt;Assm!$F$32,G85,Capacity*C85))</f>
        <v>3089700</v>
      </c>
      <c r="E85" s="740">
        <f t="shared" si="11"/>
        <v>0.33510000000000001</v>
      </c>
      <c r="F85" s="971">
        <f t="shared" ca="1" si="12"/>
        <v>1035.3584699999999</v>
      </c>
      <c r="G85" s="972">
        <f ca="1">[3]MMBTU!R108</f>
        <v>2025354.24</v>
      </c>
      <c r="H85" s="740">
        <f t="shared" si="13"/>
        <v>5.0000000000000001E-3</v>
      </c>
      <c r="I85" s="971">
        <f t="shared" ca="1" si="14"/>
        <v>10.1267712</v>
      </c>
      <c r="J85" s="977">
        <f t="shared" ca="1" si="15"/>
        <v>1045.4852411999998</v>
      </c>
      <c r="K85" s="741">
        <f ca="1">VLOOKUP($A85,Curves_Table,Escalation!$P$291)</f>
        <v>1.2691909562879884</v>
      </c>
      <c r="L85" s="743">
        <f t="shared" ca="1" si="16"/>
        <v>1326.920413063606</v>
      </c>
      <c r="M85" s="744" t="str">
        <f t="shared" ca="1" si="17"/>
        <v xml:space="preserve"> </v>
      </c>
    </row>
    <row r="86" spans="1:13">
      <c r="A86" s="738">
        <f t="shared" si="9"/>
        <v>39203</v>
      </c>
      <c r="C86" s="739">
        <f t="shared" si="10"/>
        <v>31</v>
      </c>
      <c r="D86" s="742">
        <f ca="1">IF($A86&gt;Endyr,0,IF($A86&lt;Assm!$F$32,G86,Capacity*C86))</f>
        <v>3192690</v>
      </c>
      <c r="E86" s="740">
        <f t="shared" si="11"/>
        <v>0.33510000000000001</v>
      </c>
      <c r="F86" s="971">
        <f t="shared" ca="1" si="12"/>
        <v>1069.8704190000001</v>
      </c>
      <c r="G86" s="972">
        <f ca="1">[3]MMBTU!R109</f>
        <v>2092866.048</v>
      </c>
      <c r="H86" s="740">
        <f t="shared" si="13"/>
        <v>5.0000000000000001E-3</v>
      </c>
      <c r="I86" s="971">
        <f t="shared" ca="1" si="14"/>
        <v>10.464330239999999</v>
      </c>
      <c r="J86" s="977">
        <f t="shared" ca="1" si="15"/>
        <v>1080.3347492400001</v>
      </c>
      <c r="K86" s="741">
        <f ca="1">VLOOKUP($A86,Curves_Table,Escalation!$P$291)</f>
        <v>1.3038965761068158</v>
      </c>
      <c r="L86" s="743">
        <f t="shared" ca="1" si="16"/>
        <v>1408.6447805832515</v>
      </c>
      <c r="M86" s="744" t="str">
        <f t="shared" ca="1" si="17"/>
        <v xml:space="preserve"> </v>
      </c>
    </row>
    <row r="87" spans="1:13">
      <c r="A87" s="738">
        <f t="shared" si="9"/>
        <v>39234</v>
      </c>
      <c r="C87" s="739">
        <f t="shared" si="10"/>
        <v>30</v>
      </c>
      <c r="D87" s="742">
        <f ca="1">IF($A87&gt;Endyr,0,IF($A87&lt;Assm!$F$32,G87,Capacity*C87))</f>
        <v>3089700</v>
      </c>
      <c r="E87" s="740">
        <f t="shared" si="11"/>
        <v>0.33510000000000001</v>
      </c>
      <c r="F87" s="971">
        <f t="shared" ca="1" si="12"/>
        <v>1035.3584699999999</v>
      </c>
      <c r="G87" s="972">
        <f ca="1">[3]MMBTU!R110</f>
        <v>2025354.24</v>
      </c>
      <c r="H87" s="740">
        <f t="shared" si="13"/>
        <v>5.0000000000000001E-3</v>
      </c>
      <c r="I87" s="971">
        <f t="shared" ca="1" si="14"/>
        <v>10.1267712</v>
      </c>
      <c r="J87" s="977">
        <f t="shared" ca="1" si="15"/>
        <v>1045.4852411999998</v>
      </c>
      <c r="K87" s="741">
        <f ca="1">VLOOKUP($A87,Curves_Table,Escalation!$P$291)</f>
        <v>1.3038965761068158</v>
      </c>
      <c r="L87" s="743">
        <f t="shared" ca="1" si="16"/>
        <v>1363.2046263708883</v>
      </c>
      <c r="M87" s="744" t="str">
        <f t="shared" ca="1" si="17"/>
        <v xml:space="preserve"> </v>
      </c>
    </row>
    <row r="88" spans="1:13">
      <c r="A88" s="738">
        <f t="shared" si="9"/>
        <v>39264</v>
      </c>
      <c r="C88" s="739">
        <f t="shared" si="10"/>
        <v>31</v>
      </c>
      <c r="D88" s="742">
        <f ca="1">IF($A88&gt;Endyr,0,IF($A88&lt;Assm!$F$32,G88,Capacity*C88))</f>
        <v>3192690</v>
      </c>
      <c r="E88" s="740">
        <f t="shared" si="11"/>
        <v>0.33510000000000001</v>
      </c>
      <c r="F88" s="971">
        <f t="shared" ca="1" si="12"/>
        <v>1069.8704190000001</v>
      </c>
      <c r="G88" s="972">
        <f ca="1">[3]MMBTU!R111</f>
        <v>2092866.048</v>
      </c>
      <c r="H88" s="740">
        <f t="shared" si="13"/>
        <v>5.0000000000000001E-3</v>
      </c>
      <c r="I88" s="971">
        <f t="shared" ca="1" si="14"/>
        <v>10.464330239999999</v>
      </c>
      <c r="J88" s="977">
        <f t="shared" ca="1" si="15"/>
        <v>1080.3347492400001</v>
      </c>
      <c r="K88" s="741">
        <f ca="1">VLOOKUP($A88,Curves_Table,Escalation!$P$291)</f>
        <v>1.3038965761068158</v>
      </c>
      <c r="L88" s="743">
        <f t="shared" ca="1" si="16"/>
        <v>1408.6447805832515</v>
      </c>
      <c r="M88" s="744" t="str">
        <f t="shared" ca="1" si="17"/>
        <v xml:space="preserve"> </v>
      </c>
    </row>
    <row r="89" spans="1:13">
      <c r="A89" s="738">
        <f t="shared" si="9"/>
        <v>39295</v>
      </c>
      <c r="C89" s="739">
        <f t="shared" si="10"/>
        <v>31</v>
      </c>
      <c r="D89" s="742">
        <f ca="1">IF($A89&gt;Endyr,0,IF($A89&lt;Assm!$F$32,G89,Capacity*C89))</f>
        <v>3192690</v>
      </c>
      <c r="E89" s="740">
        <f t="shared" si="11"/>
        <v>0.33510000000000001</v>
      </c>
      <c r="F89" s="971">
        <f t="shared" ca="1" si="12"/>
        <v>1069.8704190000001</v>
      </c>
      <c r="G89" s="972">
        <f ca="1">[3]MMBTU!R112</f>
        <v>2092866.048</v>
      </c>
      <c r="H89" s="740">
        <f t="shared" si="13"/>
        <v>5.0000000000000001E-3</v>
      </c>
      <c r="I89" s="971">
        <f t="shared" ca="1" si="14"/>
        <v>10.464330239999999</v>
      </c>
      <c r="J89" s="977">
        <f t="shared" ca="1" si="15"/>
        <v>1080.3347492400001</v>
      </c>
      <c r="K89" s="741">
        <f ca="1">VLOOKUP($A89,Curves_Table,Escalation!$P$291)</f>
        <v>1.3038965761068158</v>
      </c>
      <c r="L89" s="743">
        <f t="shared" ca="1" si="16"/>
        <v>1408.6447805832515</v>
      </c>
      <c r="M89" s="744" t="str">
        <f t="shared" ca="1" si="17"/>
        <v xml:space="preserve"> </v>
      </c>
    </row>
    <row r="90" spans="1:13">
      <c r="A90" s="738">
        <f t="shared" si="9"/>
        <v>39326</v>
      </c>
      <c r="C90" s="739">
        <f t="shared" si="10"/>
        <v>30</v>
      </c>
      <c r="D90" s="742">
        <f ca="1">IF($A90&gt;Endyr,0,IF($A90&lt;Assm!$F$32,G90,Capacity*C90))</f>
        <v>3089700</v>
      </c>
      <c r="E90" s="740">
        <f t="shared" si="11"/>
        <v>0.33510000000000001</v>
      </c>
      <c r="F90" s="971">
        <f t="shared" ca="1" si="12"/>
        <v>1035.3584699999999</v>
      </c>
      <c r="G90" s="972">
        <f ca="1">[3]MMBTU!R113</f>
        <v>2025354.24</v>
      </c>
      <c r="H90" s="740">
        <f t="shared" si="13"/>
        <v>5.0000000000000001E-3</v>
      </c>
      <c r="I90" s="971">
        <f t="shared" ca="1" si="14"/>
        <v>10.1267712</v>
      </c>
      <c r="J90" s="977">
        <f t="shared" ca="1" si="15"/>
        <v>1045.4852411999998</v>
      </c>
      <c r="K90" s="741">
        <f ca="1">VLOOKUP($A90,Curves_Table,Escalation!$P$291)</f>
        <v>1.3038965761068158</v>
      </c>
      <c r="L90" s="743">
        <f t="shared" ca="1" si="16"/>
        <v>1363.2046263708883</v>
      </c>
      <c r="M90" s="744" t="str">
        <f t="shared" ca="1" si="17"/>
        <v xml:space="preserve"> </v>
      </c>
    </row>
    <row r="91" spans="1:13">
      <c r="A91" s="738">
        <f t="shared" si="9"/>
        <v>39356</v>
      </c>
      <c r="C91" s="739">
        <f t="shared" si="10"/>
        <v>31</v>
      </c>
      <c r="D91" s="742">
        <f ca="1">IF($A91&gt;Endyr,0,IF($A91&lt;Assm!$F$32,G91,Capacity*C91))</f>
        <v>3192690</v>
      </c>
      <c r="E91" s="740">
        <f t="shared" si="11"/>
        <v>0.33510000000000001</v>
      </c>
      <c r="F91" s="971">
        <f t="shared" ca="1" si="12"/>
        <v>1069.8704190000001</v>
      </c>
      <c r="G91" s="972">
        <f ca="1">[3]MMBTU!R114</f>
        <v>2092866.048</v>
      </c>
      <c r="H91" s="740">
        <f t="shared" si="13"/>
        <v>5.0000000000000001E-3</v>
      </c>
      <c r="I91" s="971">
        <f t="shared" ca="1" si="14"/>
        <v>10.464330239999999</v>
      </c>
      <c r="J91" s="977">
        <f t="shared" ca="1" si="15"/>
        <v>1080.3347492400001</v>
      </c>
      <c r="K91" s="741">
        <f ca="1">VLOOKUP($A91,Curves_Table,Escalation!$P$291)</f>
        <v>1.3038965761068158</v>
      </c>
      <c r="L91" s="743">
        <f t="shared" ca="1" si="16"/>
        <v>1408.6447805832515</v>
      </c>
      <c r="M91" s="744" t="str">
        <f t="shared" ca="1" si="17"/>
        <v xml:space="preserve"> </v>
      </c>
    </row>
    <row r="92" spans="1:13">
      <c r="A92" s="738">
        <f t="shared" si="9"/>
        <v>39387</v>
      </c>
      <c r="C92" s="739">
        <f t="shared" si="10"/>
        <v>30</v>
      </c>
      <c r="D92" s="742">
        <f ca="1">IF($A92&gt;Endyr,0,IF($A92&lt;Assm!$F$32,G92,Capacity*C92))</f>
        <v>3089700</v>
      </c>
      <c r="E92" s="740">
        <f t="shared" si="11"/>
        <v>0.33510000000000001</v>
      </c>
      <c r="F92" s="971">
        <f t="shared" ca="1" si="12"/>
        <v>1035.3584699999999</v>
      </c>
      <c r="G92" s="972">
        <f ca="1">[3]MMBTU!R115</f>
        <v>2025354.24</v>
      </c>
      <c r="H92" s="740">
        <f t="shared" si="13"/>
        <v>5.0000000000000001E-3</v>
      </c>
      <c r="I92" s="971">
        <f t="shared" ca="1" si="14"/>
        <v>10.1267712</v>
      </c>
      <c r="J92" s="977">
        <f t="shared" ca="1" si="15"/>
        <v>1045.4852411999998</v>
      </c>
      <c r="K92" s="741">
        <f ca="1">VLOOKUP($A92,Curves_Table,Escalation!$P$291)</f>
        <v>1.3038965761068158</v>
      </c>
      <c r="L92" s="743">
        <f t="shared" ca="1" si="16"/>
        <v>1363.2046263708883</v>
      </c>
      <c r="M92" s="744" t="str">
        <f t="shared" ca="1" si="17"/>
        <v xml:space="preserve"> </v>
      </c>
    </row>
    <row r="93" spans="1:13">
      <c r="A93" s="738">
        <f t="shared" si="9"/>
        <v>39417</v>
      </c>
      <c r="C93" s="739">
        <f t="shared" si="10"/>
        <v>31</v>
      </c>
      <c r="D93" s="742">
        <f ca="1">IF($A93&gt;Endyr,0,IF($A93&lt;Assm!$F$32,G93,Capacity*C93))</f>
        <v>3192690</v>
      </c>
      <c r="E93" s="740">
        <f t="shared" si="11"/>
        <v>0.33510000000000001</v>
      </c>
      <c r="F93" s="971">
        <f t="shared" ca="1" si="12"/>
        <v>1069.8704190000001</v>
      </c>
      <c r="G93" s="972">
        <f ca="1">[3]MMBTU!R116</f>
        <v>2092866.048</v>
      </c>
      <c r="H93" s="740">
        <f t="shared" si="13"/>
        <v>5.0000000000000001E-3</v>
      </c>
      <c r="I93" s="971">
        <f t="shared" ca="1" si="14"/>
        <v>10.464330239999999</v>
      </c>
      <c r="J93" s="977">
        <f t="shared" ca="1" si="15"/>
        <v>1080.3347492400001</v>
      </c>
      <c r="K93" s="741">
        <f ca="1">VLOOKUP($A93,Curves_Table,Escalation!$P$291)</f>
        <v>1.3038965761068158</v>
      </c>
      <c r="L93" s="743">
        <f t="shared" ca="1" si="16"/>
        <v>1408.6447805832515</v>
      </c>
      <c r="M93" s="744">
        <f t="shared" ca="1" si="17"/>
        <v>16440.519434283349</v>
      </c>
    </row>
    <row r="94" spans="1:13">
      <c r="A94" s="738">
        <f t="shared" si="9"/>
        <v>39448</v>
      </c>
      <c r="C94" s="739">
        <f t="shared" si="10"/>
        <v>31</v>
      </c>
      <c r="D94" s="742">
        <f ca="1">IF($A94&gt;Endyr,0,IF($A94&lt;Assm!$F$32,G94,Capacity*C94))</f>
        <v>3192690</v>
      </c>
      <c r="E94" s="740">
        <f t="shared" si="11"/>
        <v>0.33510000000000001</v>
      </c>
      <c r="F94" s="971">
        <f t="shared" ca="1" si="12"/>
        <v>1069.8704190000001</v>
      </c>
      <c r="G94" s="972">
        <f ca="1">[3]MMBTU!R117</f>
        <v>2092866.048</v>
      </c>
      <c r="H94" s="740">
        <f t="shared" si="13"/>
        <v>5.0000000000000001E-3</v>
      </c>
      <c r="I94" s="971">
        <f t="shared" ca="1" si="14"/>
        <v>10.464330239999999</v>
      </c>
      <c r="J94" s="977">
        <f t="shared" ca="1" si="15"/>
        <v>1080.3347492400001</v>
      </c>
      <c r="K94" s="741">
        <f ca="1">VLOOKUP($A94,Curves_Table,Escalation!$P$291)</f>
        <v>1.3038965761068158</v>
      </c>
      <c r="L94" s="743">
        <f t="shared" ca="1" si="16"/>
        <v>1408.6447805832515</v>
      </c>
      <c r="M94" s="744" t="str">
        <f t="shared" ca="1" si="17"/>
        <v xml:space="preserve"> </v>
      </c>
    </row>
    <row r="95" spans="1:13">
      <c r="A95" s="738">
        <f t="shared" si="9"/>
        <v>39479</v>
      </c>
      <c r="C95" s="739">
        <f t="shared" si="10"/>
        <v>29</v>
      </c>
      <c r="D95" s="742">
        <f ca="1">IF($A95&gt;Endyr,0,IF($A95&lt;Assm!$F$32,G95,Capacity*C95))</f>
        <v>2986710</v>
      </c>
      <c r="E95" s="740">
        <f t="shared" si="11"/>
        <v>0.33510000000000001</v>
      </c>
      <c r="F95" s="971">
        <f t="shared" ca="1" si="12"/>
        <v>1000.8465210000001</v>
      </c>
      <c r="G95" s="972">
        <f ca="1">[3]MMBTU!R118</f>
        <v>1957842.432</v>
      </c>
      <c r="H95" s="740">
        <f t="shared" si="13"/>
        <v>5.0000000000000001E-3</v>
      </c>
      <c r="I95" s="971">
        <f t="shared" ca="1" si="14"/>
        <v>9.7892121600000017</v>
      </c>
      <c r="J95" s="977">
        <f t="shared" ca="1" si="15"/>
        <v>1010.6357331600001</v>
      </c>
      <c r="K95" s="741">
        <f ca="1">VLOOKUP($A95,Curves_Table,Escalation!$P$291)</f>
        <v>1.3038965761068158</v>
      </c>
      <c r="L95" s="743">
        <f t="shared" ca="1" si="16"/>
        <v>1317.7644721585257</v>
      </c>
      <c r="M95" s="744" t="str">
        <f t="shared" ca="1" si="17"/>
        <v xml:space="preserve"> </v>
      </c>
    </row>
    <row r="96" spans="1:13">
      <c r="A96" s="738">
        <f t="shared" si="9"/>
        <v>39508</v>
      </c>
      <c r="C96" s="739">
        <f t="shared" si="10"/>
        <v>31</v>
      </c>
      <c r="D96" s="742">
        <f ca="1">IF($A96&gt;Endyr,0,IF($A96&lt;Assm!$F$32,G96,Capacity*C96))</f>
        <v>3192690</v>
      </c>
      <c r="E96" s="740">
        <f t="shared" si="11"/>
        <v>0.33510000000000001</v>
      </c>
      <c r="F96" s="971">
        <f t="shared" ca="1" si="12"/>
        <v>1069.8704190000001</v>
      </c>
      <c r="G96" s="972">
        <f ca="1">[3]MMBTU!R119</f>
        <v>2092866.048</v>
      </c>
      <c r="H96" s="740">
        <f t="shared" si="13"/>
        <v>5.0000000000000001E-3</v>
      </c>
      <c r="I96" s="971">
        <f t="shared" ca="1" si="14"/>
        <v>10.464330239999999</v>
      </c>
      <c r="J96" s="977">
        <f t="shared" ca="1" si="15"/>
        <v>1080.3347492400001</v>
      </c>
      <c r="K96" s="741">
        <f ca="1">VLOOKUP($A96,Curves_Table,Escalation!$P$291)</f>
        <v>1.3038965761068158</v>
      </c>
      <c r="L96" s="743">
        <f t="shared" ca="1" si="16"/>
        <v>1408.6447805832515</v>
      </c>
      <c r="M96" s="744" t="str">
        <f t="shared" ca="1" si="17"/>
        <v xml:space="preserve"> </v>
      </c>
    </row>
    <row r="97" spans="1:13">
      <c r="A97" s="738">
        <f t="shared" si="9"/>
        <v>39539</v>
      </c>
      <c r="C97" s="739">
        <f t="shared" si="10"/>
        <v>30</v>
      </c>
      <c r="D97" s="742">
        <f ca="1">IF($A97&gt;Endyr,0,IF($A97&lt;Assm!$F$32,G97,Capacity*C97))</f>
        <v>3089700</v>
      </c>
      <c r="E97" s="740">
        <f t="shared" si="11"/>
        <v>0.33510000000000001</v>
      </c>
      <c r="F97" s="971">
        <f t="shared" ca="1" si="12"/>
        <v>1035.3584699999999</v>
      </c>
      <c r="G97" s="972">
        <f ca="1">[3]MMBTU!R120</f>
        <v>2025354.24</v>
      </c>
      <c r="H97" s="740">
        <f t="shared" si="13"/>
        <v>5.0000000000000001E-3</v>
      </c>
      <c r="I97" s="971">
        <f t="shared" ca="1" si="14"/>
        <v>10.1267712</v>
      </c>
      <c r="J97" s="977">
        <f t="shared" ca="1" si="15"/>
        <v>1045.4852411999998</v>
      </c>
      <c r="K97" s="741">
        <f ca="1">VLOOKUP($A97,Curves_Table,Escalation!$P$291)</f>
        <v>1.3038965761068158</v>
      </c>
      <c r="L97" s="743">
        <f t="shared" ca="1" si="16"/>
        <v>1363.2046263708883</v>
      </c>
      <c r="M97" s="744" t="str">
        <f t="shared" ca="1" si="17"/>
        <v xml:space="preserve"> </v>
      </c>
    </row>
    <row r="98" spans="1:13">
      <c r="A98" s="738">
        <f t="shared" si="9"/>
        <v>39569</v>
      </c>
      <c r="C98" s="739">
        <f t="shared" si="10"/>
        <v>31</v>
      </c>
      <c r="D98" s="742">
        <f ca="1">IF($A98&gt;Endyr,0,IF($A98&lt;Assm!$F$32,G98,Capacity*C98))</f>
        <v>3192690</v>
      </c>
      <c r="E98" s="740">
        <f t="shared" si="11"/>
        <v>0.33510000000000001</v>
      </c>
      <c r="F98" s="971">
        <f t="shared" ca="1" si="12"/>
        <v>1069.8704190000001</v>
      </c>
      <c r="G98" s="972">
        <f ca="1">[3]MMBTU!R121</f>
        <v>2092866.048</v>
      </c>
      <c r="H98" s="740">
        <f t="shared" si="13"/>
        <v>5.0000000000000001E-3</v>
      </c>
      <c r="I98" s="971">
        <f t="shared" ca="1" si="14"/>
        <v>10.464330239999999</v>
      </c>
      <c r="J98" s="977">
        <f t="shared" ca="1" si="15"/>
        <v>1080.3347492400001</v>
      </c>
      <c r="K98" s="741">
        <f ca="1">VLOOKUP($A98,Curves_Table,Escalation!$P$291)</f>
        <v>1.3387797805891259</v>
      </c>
      <c r="L98" s="743">
        <f t="shared" ca="1" si="16"/>
        <v>1446.3303185503357</v>
      </c>
      <c r="M98" s="744" t="str">
        <f t="shared" ca="1" si="17"/>
        <v xml:space="preserve"> </v>
      </c>
    </row>
    <row r="99" spans="1:13">
      <c r="A99" s="738">
        <f t="shared" si="9"/>
        <v>39600</v>
      </c>
      <c r="C99" s="739">
        <f t="shared" si="10"/>
        <v>30</v>
      </c>
      <c r="D99" s="742">
        <f ca="1">IF($A99&gt;Endyr,0,IF($A99&lt;Assm!$F$32,G99,Capacity*C99))</f>
        <v>3089700</v>
      </c>
      <c r="E99" s="740">
        <f t="shared" si="11"/>
        <v>0.33510000000000001</v>
      </c>
      <c r="F99" s="971">
        <f t="shared" ca="1" si="12"/>
        <v>1035.3584699999999</v>
      </c>
      <c r="G99" s="972">
        <f ca="1">[3]MMBTU!R122</f>
        <v>2025354.24</v>
      </c>
      <c r="H99" s="740">
        <f t="shared" si="13"/>
        <v>5.0000000000000001E-3</v>
      </c>
      <c r="I99" s="971">
        <f t="shared" ca="1" si="14"/>
        <v>10.1267712</v>
      </c>
      <c r="J99" s="977">
        <f t="shared" ca="1" si="15"/>
        <v>1045.4852411999998</v>
      </c>
      <c r="K99" s="741">
        <f ca="1">VLOOKUP($A99,Curves_Table,Escalation!$P$291)</f>
        <v>1.3387797805891259</v>
      </c>
      <c r="L99" s="743">
        <f t="shared" ca="1" si="16"/>
        <v>1399.6745018229051</v>
      </c>
      <c r="M99" s="744" t="str">
        <f t="shared" ca="1" si="17"/>
        <v xml:space="preserve"> </v>
      </c>
    </row>
    <row r="100" spans="1:13">
      <c r="A100" s="738">
        <f t="shared" si="9"/>
        <v>39630</v>
      </c>
      <c r="C100" s="739">
        <f t="shared" si="10"/>
        <v>31</v>
      </c>
      <c r="D100" s="742">
        <f ca="1">IF($A100&gt;Endyr,0,IF($A100&lt;Assm!$F$32,G100,Capacity*C100))</f>
        <v>3192690</v>
      </c>
      <c r="E100" s="740">
        <f t="shared" si="11"/>
        <v>0.33510000000000001</v>
      </c>
      <c r="F100" s="971">
        <f t="shared" ca="1" si="12"/>
        <v>1069.8704190000001</v>
      </c>
      <c r="G100" s="972">
        <f ca="1">[3]MMBTU!R123</f>
        <v>2092866.048</v>
      </c>
      <c r="H100" s="740">
        <f t="shared" si="13"/>
        <v>5.0000000000000001E-3</v>
      </c>
      <c r="I100" s="971">
        <f t="shared" ca="1" si="14"/>
        <v>10.464330239999999</v>
      </c>
      <c r="J100" s="977">
        <f t="shared" ca="1" si="15"/>
        <v>1080.3347492400001</v>
      </c>
      <c r="K100" s="741">
        <f ca="1">VLOOKUP($A100,Curves_Table,Escalation!$P$291)</f>
        <v>1.3387797805891259</v>
      </c>
      <c r="L100" s="743">
        <f t="shared" ca="1" si="16"/>
        <v>1446.3303185503357</v>
      </c>
      <c r="M100" s="744" t="str">
        <f t="shared" ca="1" si="17"/>
        <v xml:space="preserve"> </v>
      </c>
    </row>
    <row r="101" spans="1:13">
      <c r="A101" s="738">
        <f t="shared" si="9"/>
        <v>39661</v>
      </c>
      <c r="C101" s="739">
        <f t="shared" si="10"/>
        <v>31</v>
      </c>
      <c r="D101" s="742">
        <f ca="1">IF($A101&gt;Endyr,0,IF($A101&lt;Assm!$F$32,G101,Capacity*C101))</f>
        <v>3192690</v>
      </c>
      <c r="E101" s="740">
        <f t="shared" si="11"/>
        <v>0.33510000000000001</v>
      </c>
      <c r="F101" s="971">
        <f t="shared" ca="1" si="12"/>
        <v>1069.8704190000001</v>
      </c>
      <c r="G101" s="972">
        <f ca="1">[3]MMBTU!R124</f>
        <v>2092866.048</v>
      </c>
      <c r="H101" s="740">
        <f t="shared" si="13"/>
        <v>5.0000000000000001E-3</v>
      </c>
      <c r="I101" s="971">
        <f t="shared" ca="1" si="14"/>
        <v>10.464330239999999</v>
      </c>
      <c r="J101" s="977">
        <f t="shared" ca="1" si="15"/>
        <v>1080.3347492400001</v>
      </c>
      <c r="K101" s="741">
        <f ca="1">VLOOKUP($A101,Curves_Table,Escalation!$P$291)</f>
        <v>1.3387797805891259</v>
      </c>
      <c r="L101" s="743">
        <f t="shared" ca="1" si="16"/>
        <v>1446.3303185503357</v>
      </c>
      <c r="M101" s="744" t="str">
        <f t="shared" ca="1" si="17"/>
        <v xml:space="preserve"> </v>
      </c>
    </row>
    <row r="102" spans="1:13">
      <c r="A102" s="738">
        <f t="shared" si="9"/>
        <v>39692</v>
      </c>
      <c r="C102" s="739">
        <f t="shared" si="10"/>
        <v>30</v>
      </c>
      <c r="D102" s="742">
        <f ca="1">IF($A102&gt;Endyr,0,IF($A102&lt;Assm!$F$32,G102,Capacity*C102))</f>
        <v>3089700</v>
      </c>
      <c r="E102" s="740">
        <f t="shared" si="11"/>
        <v>0.33510000000000001</v>
      </c>
      <c r="F102" s="971">
        <f t="shared" ca="1" si="12"/>
        <v>1035.3584699999999</v>
      </c>
      <c r="G102" s="972">
        <f ca="1">[3]MMBTU!R125</f>
        <v>2025354.24</v>
      </c>
      <c r="H102" s="740">
        <f t="shared" si="13"/>
        <v>5.0000000000000001E-3</v>
      </c>
      <c r="I102" s="971">
        <f t="shared" ca="1" si="14"/>
        <v>10.1267712</v>
      </c>
      <c r="J102" s="977">
        <f t="shared" ca="1" si="15"/>
        <v>1045.4852411999998</v>
      </c>
      <c r="K102" s="741">
        <f ca="1">VLOOKUP($A102,Curves_Table,Escalation!$P$291)</f>
        <v>1.3387797805891259</v>
      </c>
      <c r="L102" s="743">
        <f t="shared" ca="1" si="16"/>
        <v>1399.6745018229051</v>
      </c>
      <c r="M102" s="744" t="str">
        <f t="shared" ca="1" si="17"/>
        <v xml:space="preserve"> </v>
      </c>
    </row>
    <row r="103" spans="1:13">
      <c r="A103" s="738">
        <f t="shared" si="9"/>
        <v>39722</v>
      </c>
      <c r="C103" s="739">
        <f t="shared" si="10"/>
        <v>31</v>
      </c>
      <c r="D103" s="742">
        <f ca="1">IF($A103&gt;Endyr,0,IF($A103&lt;Assm!$F$32,G103,Capacity*C103))</f>
        <v>3192690</v>
      </c>
      <c r="E103" s="740">
        <f t="shared" si="11"/>
        <v>0.33510000000000001</v>
      </c>
      <c r="F103" s="971">
        <f t="shared" ca="1" si="12"/>
        <v>1069.8704190000001</v>
      </c>
      <c r="G103" s="972">
        <f ca="1">[3]MMBTU!R126</f>
        <v>2092866.048</v>
      </c>
      <c r="H103" s="740">
        <f t="shared" si="13"/>
        <v>5.0000000000000001E-3</v>
      </c>
      <c r="I103" s="971">
        <f t="shared" ca="1" si="14"/>
        <v>10.464330239999999</v>
      </c>
      <c r="J103" s="977">
        <f t="shared" ca="1" si="15"/>
        <v>1080.3347492400001</v>
      </c>
      <c r="K103" s="741">
        <f ca="1">VLOOKUP($A103,Curves_Table,Escalation!$P$291)</f>
        <v>1.3387797805891259</v>
      </c>
      <c r="L103" s="743">
        <f t="shared" ca="1" si="16"/>
        <v>1446.3303185503357</v>
      </c>
      <c r="M103" s="744" t="str">
        <f t="shared" ca="1" si="17"/>
        <v xml:space="preserve"> </v>
      </c>
    </row>
    <row r="104" spans="1:13">
      <c r="A104" s="738">
        <f t="shared" si="9"/>
        <v>39753</v>
      </c>
      <c r="C104" s="739">
        <f t="shared" si="10"/>
        <v>30</v>
      </c>
      <c r="D104" s="742">
        <f ca="1">IF($A104&gt;Endyr,0,IF($A104&lt;Assm!$F$32,G104,Capacity*C104))</f>
        <v>3089700</v>
      </c>
      <c r="E104" s="740">
        <f t="shared" si="11"/>
        <v>0.33510000000000001</v>
      </c>
      <c r="F104" s="971">
        <f t="shared" ca="1" si="12"/>
        <v>1035.3584699999999</v>
      </c>
      <c r="G104" s="972">
        <f ca="1">[3]MMBTU!R127</f>
        <v>2025354.24</v>
      </c>
      <c r="H104" s="740">
        <f t="shared" si="13"/>
        <v>5.0000000000000001E-3</v>
      </c>
      <c r="I104" s="971">
        <f t="shared" ca="1" si="14"/>
        <v>10.1267712</v>
      </c>
      <c r="J104" s="977">
        <f t="shared" ca="1" si="15"/>
        <v>1045.4852411999998</v>
      </c>
      <c r="K104" s="741">
        <f ca="1">VLOOKUP($A104,Curves_Table,Escalation!$P$291)</f>
        <v>1.3387797805891259</v>
      </c>
      <c r="L104" s="743">
        <f t="shared" ca="1" si="16"/>
        <v>1399.6745018229051</v>
      </c>
      <c r="M104" s="744" t="str">
        <f t="shared" ca="1" si="17"/>
        <v xml:space="preserve"> </v>
      </c>
    </row>
    <row r="105" spans="1:13">
      <c r="A105" s="738">
        <f t="shared" si="9"/>
        <v>39783</v>
      </c>
      <c r="C105" s="739">
        <f t="shared" si="10"/>
        <v>31</v>
      </c>
      <c r="D105" s="742">
        <f ca="1">IF($A105&gt;Endyr,0,IF($A105&lt;Assm!$F$32,G105,Capacity*C105))</f>
        <v>3192690</v>
      </c>
      <c r="E105" s="740">
        <f t="shared" si="11"/>
        <v>0.33510000000000001</v>
      </c>
      <c r="F105" s="971">
        <f t="shared" ca="1" si="12"/>
        <v>1069.8704190000001</v>
      </c>
      <c r="G105" s="972">
        <f ca="1">[3]MMBTU!R128</f>
        <v>2092866.048</v>
      </c>
      <c r="H105" s="740">
        <f t="shared" si="13"/>
        <v>5.0000000000000001E-3</v>
      </c>
      <c r="I105" s="971">
        <f t="shared" ca="1" si="14"/>
        <v>10.464330239999999</v>
      </c>
      <c r="J105" s="977">
        <f t="shared" ca="1" si="15"/>
        <v>1080.3347492400001</v>
      </c>
      <c r="K105" s="741">
        <f ca="1">VLOOKUP($A105,Curves_Table,Escalation!$P$291)</f>
        <v>1.3387797805891259</v>
      </c>
      <c r="L105" s="743">
        <f t="shared" ca="1" si="16"/>
        <v>1446.3303185503357</v>
      </c>
      <c r="M105" s="744">
        <f t="shared" ca="1" si="17"/>
        <v>16928.933757916311</v>
      </c>
    </row>
    <row r="106" spans="1:13">
      <c r="A106" s="738">
        <f t="shared" si="9"/>
        <v>39814</v>
      </c>
      <c r="C106" s="739">
        <f t="shared" si="10"/>
        <v>31</v>
      </c>
      <c r="D106" s="742">
        <f ca="1">IF($A106&gt;Endyr,0,IF($A106&lt;Assm!$F$32,G106,Capacity*C106))</f>
        <v>3192690</v>
      </c>
      <c r="E106" s="740">
        <f t="shared" si="11"/>
        <v>0.33510000000000001</v>
      </c>
      <c r="F106" s="971">
        <f t="shared" ca="1" si="12"/>
        <v>1069.8704190000001</v>
      </c>
      <c r="G106" s="972">
        <f ca="1">[3]MMBTU!R129</f>
        <v>2092866.048</v>
      </c>
      <c r="H106" s="740">
        <f t="shared" si="13"/>
        <v>5.0000000000000001E-3</v>
      </c>
      <c r="I106" s="971">
        <f t="shared" ca="1" si="14"/>
        <v>10.464330239999999</v>
      </c>
      <c r="J106" s="977">
        <f t="shared" ca="1" si="15"/>
        <v>1080.3347492400001</v>
      </c>
      <c r="K106" s="741">
        <f ca="1">VLOOKUP($A106,Curves_Table,Escalation!$P$291)</f>
        <v>1.3387797805891259</v>
      </c>
      <c r="L106" s="743">
        <f t="shared" ca="1" si="16"/>
        <v>1446.3303185503357</v>
      </c>
      <c r="M106" s="744" t="str">
        <f t="shared" ca="1" si="17"/>
        <v xml:space="preserve"> </v>
      </c>
    </row>
    <row r="107" spans="1:13">
      <c r="A107" s="738">
        <f t="shared" si="9"/>
        <v>39845</v>
      </c>
      <c r="C107" s="739">
        <f t="shared" si="10"/>
        <v>28</v>
      </c>
      <c r="D107" s="742">
        <f ca="1">IF($A107&gt;Endyr,0,IF($A107&lt;Assm!$F$32,G107,Capacity*C107))</f>
        <v>2883720</v>
      </c>
      <c r="E107" s="740">
        <f t="shared" si="11"/>
        <v>0.33510000000000001</v>
      </c>
      <c r="F107" s="971">
        <f t="shared" ca="1" si="12"/>
        <v>966.33457200000009</v>
      </c>
      <c r="G107" s="972">
        <f ca="1">[3]MMBTU!R130</f>
        <v>1890330.6240000003</v>
      </c>
      <c r="H107" s="740">
        <f t="shared" si="13"/>
        <v>5.0000000000000001E-3</v>
      </c>
      <c r="I107" s="971">
        <f t="shared" ca="1" si="14"/>
        <v>9.4516531200000014</v>
      </c>
      <c r="J107" s="977">
        <f t="shared" ca="1" si="15"/>
        <v>975.78622512000004</v>
      </c>
      <c r="K107" s="741">
        <f ca="1">VLOOKUP($A107,Curves_Table,Escalation!$P$291)</f>
        <v>1.3387797805891259</v>
      </c>
      <c r="L107" s="743">
        <f t="shared" ca="1" si="16"/>
        <v>1306.3628683680452</v>
      </c>
      <c r="M107" s="744" t="str">
        <f t="shared" ca="1" si="17"/>
        <v xml:space="preserve"> </v>
      </c>
    </row>
    <row r="108" spans="1:13">
      <c r="A108" s="738">
        <f t="shared" si="9"/>
        <v>39873</v>
      </c>
      <c r="C108" s="739">
        <f t="shared" si="10"/>
        <v>31</v>
      </c>
      <c r="D108" s="742">
        <f ca="1">IF($A108&gt;Endyr,0,IF($A108&lt;Assm!$F$32,G108,Capacity*C108))</f>
        <v>3192690</v>
      </c>
      <c r="E108" s="740">
        <f t="shared" si="11"/>
        <v>0.33510000000000001</v>
      </c>
      <c r="F108" s="971">
        <f t="shared" ca="1" si="12"/>
        <v>1069.8704190000001</v>
      </c>
      <c r="G108" s="972">
        <f ca="1">[3]MMBTU!R131</f>
        <v>2092866.048</v>
      </c>
      <c r="H108" s="740">
        <f t="shared" si="13"/>
        <v>5.0000000000000001E-3</v>
      </c>
      <c r="I108" s="971">
        <f t="shared" ca="1" si="14"/>
        <v>10.464330239999999</v>
      </c>
      <c r="J108" s="977">
        <f t="shared" ca="1" si="15"/>
        <v>1080.3347492400001</v>
      </c>
      <c r="K108" s="741">
        <f ca="1">VLOOKUP($A108,Curves_Table,Escalation!$P$291)</f>
        <v>1.3387797805891259</v>
      </c>
      <c r="L108" s="743">
        <f t="shared" ca="1" si="16"/>
        <v>1446.3303185503357</v>
      </c>
      <c r="M108" s="744" t="str">
        <f t="shared" ca="1" si="17"/>
        <v xml:space="preserve"> </v>
      </c>
    </row>
    <row r="109" spans="1:13">
      <c r="A109" s="738">
        <f t="shared" si="9"/>
        <v>39904</v>
      </c>
      <c r="C109" s="739">
        <f t="shared" si="10"/>
        <v>30</v>
      </c>
      <c r="D109" s="742">
        <f ca="1">IF($A109&gt;Endyr,0,IF($A109&lt;Assm!$F$32,G109,Capacity*C109))</f>
        <v>3089700</v>
      </c>
      <c r="E109" s="740">
        <f t="shared" si="11"/>
        <v>0.33510000000000001</v>
      </c>
      <c r="F109" s="971">
        <f t="shared" ca="1" si="12"/>
        <v>1035.3584699999999</v>
      </c>
      <c r="G109" s="972">
        <f ca="1">[3]MMBTU!R132</f>
        <v>2025354.24</v>
      </c>
      <c r="H109" s="740">
        <f t="shared" si="13"/>
        <v>5.0000000000000001E-3</v>
      </c>
      <c r="I109" s="971">
        <f t="shared" ca="1" si="14"/>
        <v>10.1267712</v>
      </c>
      <c r="J109" s="977">
        <f t="shared" ca="1" si="15"/>
        <v>1045.4852411999998</v>
      </c>
      <c r="K109" s="741">
        <f ca="1">VLOOKUP($A109,Curves_Table,Escalation!$P$291)</f>
        <v>1.3387797805891259</v>
      </c>
      <c r="L109" s="743">
        <f t="shared" ca="1" si="16"/>
        <v>1399.6745018229051</v>
      </c>
      <c r="M109" s="744" t="str">
        <f t="shared" ca="1" si="17"/>
        <v xml:space="preserve"> </v>
      </c>
    </row>
    <row r="110" spans="1:13">
      <c r="A110" s="738">
        <f t="shared" si="9"/>
        <v>39934</v>
      </c>
      <c r="C110" s="739">
        <f t="shared" si="10"/>
        <v>31</v>
      </c>
      <c r="D110" s="742">
        <f ca="1">IF($A110&gt;Endyr,0,IF($A110&lt;Assm!$F$32,G110,Capacity*C110))</f>
        <v>3192690</v>
      </c>
      <c r="E110" s="740">
        <f t="shared" si="11"/>
        <v>0.33510000000000001</v>
      </c>
      <c r="F110" s="971">
        <f t="shared" ca="1" si="12"/>
        <v>1069.8704190000001</v>
      </c>
      <c r="G110" s="972">
        <f ca="1">[3]MMBTU!R133</f>
        <v>2092866.048</v>
      </c>
      <c r="H110" s="740">
        <f t="shared" si="13"/>
        <v>5.0000000000000001E-3</v>
      </c>
      <c r="I110" s="971">
        <f t="shared" ca="1" si="14"/>
        <v>10.464330239999999</v>
      </c>
      <c r="J110" s="977">
        <f t="shared" ca="1" si="15"/>
        <v>1080.3347492400001</v>
      </c>
      <c r="K110" s="741">
        <f ca="1">VLOOKUP($A110,Curves_Table,Escalation!$P$291)</f>
        <v>1.3739510144936682</v>
      </c>
      <c r="L110" s="743">
        <f t="shared" ca="1" si="16"/>
        <v>1484.3270247110606</v>
      </c>
      <c r="M110" s="744" t="str">
        <f t="shared" ca="1" si="17"/>
        <v xml:space="preserve"> </v>
      </c>
    </row>
    <row r="111" spans="1:13">
      <c r="A111" s="738">
        <f t="shared" si="9"/>
        <v>39965</v>
      </c>
      <c r="C111" s="739">
        <f t="shared" si="10"/>
        <v>30</v>
      </c>
      <c r="D111" s="742">
        <f ca="1">IF($A111&gt;Endyr,0,IF($A111&lt;Assm!$F$32,G111,Capacity*C111))</f>
        <v>3089700</v>
      </c>
      <c r="E111" s="740">
        <f t="shared" si="11"/>
        <v>0.33510000000000001</v>
      </c>
      <c r="F111" s="971">
        <f t="shared" ca="1" si="12"/>
        <v>1035.3584699999999</v>
      </c>
      <c r="G111" s="972">
        <f ca="1">[3]MMBTU!R134</f>
        <v>2025354.24</v>
      </c>
      <c r="H111" s="740">
        <f t="shared" si="13"/>
        <v>5.0000000000000001E-3</v>
      </c>
      <c r="I111" s="971">
        <f t="shared" ca="1" si="14"/>
        <v>10.1267712</v>
      </c>
      <c r="J111" s="977">
        <f t="shared" ca="1" si="15"/>
        <v>1045.4852411999998</v>
      </c>
      <c r="K111" s="741">
        <f ca="1">VLOOKUP($A111,Curves_Table,Escalation!$P$291)</f>
        <v>1.3739510144936682</v>
      </c>
      <c r="L111" s="743">
        <f t="shared" ca="1" si="16"/>
        <v>1436.445507784897</v>
      </c>
      <c r="M111" s="744" t="str">
        <f t="shared" ca="1" si="17"/>
        <v xml:space="preserve"> </v>
      </c>
    </row>
    <row r="112" spans="1:13">
      <c r="A112" s="738">
        <f t="shared" si="9"/>
        <v>39995</v>
      </c>
      <c r="C112" s="739">
        <f t="shared" si="10"/>
        <v>31</v>
      </c>
      <c r="D112" s="742">
        <f ca="1">IF($A112&gt;Endyr,0,IF($A112&lt;Assm!$F$32,G112,Capacity*C112))</f>
        <v>3192690</v>
      </c>
      <c r="E112" s="740">
        <f t="shared" si="11"/>
        <v>0.33510000000000001</v>
      </c>
      <c r="F112" s="971">
        <f t="shared" ca="1" si="12"/>
        <v>1069.8704190000001</v>
      </c>
      <c r="G112" s="972">
        <f ca="1">[3]MMBTU!R135</f>
        <v>2092866.048</v>
      </c>
      <c r="H112" s="740">
        <f t="shared" si="13"/>
        <v>5.0000000000000001E-3</v>
      </c>
      <c r="I112" s="971">
        <f t="shared" ca="1" si="14"/>
        <v>10.464330239999999</v>
      </c>
      <c r="J112" s="977">
        <f t="shared" ca="1" si="15"/>
        <v>1080.3347492400001</v>
      </c>
      <c r="K112" s="741">
        <f ca="1">VLOOKUP($A112,Curves_Table,Escalation!$P$291)</f>
        <v>1.3739510144936682</v>
      </c>
      <c r="L112" s="743">
        <f t="shared" ca="1" si="16"/>
        <v>1484.3270247110606</v>
      </c>
      <c r="M112" s="744" t="str">
        <f t="shared" ca="1" si="17"/>
        <v xml:space="preserve"> </v>
      </c>
    </row>
    <row r="113" spans="1:13">
      <c r="A113" s="738">
        <f t="shared" si="9"/>
        <v>40026</v>
      </c>
      <c r="C113" s="739">
        <f t="shared" si="10"/>
        <v>31</v>
      </c>
      <c r="D113" s="742">
        <f ca="1">IF($A113&gt;Endyr,0,IF($A113&lt;Assm!$F$32,G113,Capacity*C113))</f>
        <v>3192690</v>
      </c>
      <c r="E113" s="740">
        <f t="shared" si="11"/>
        <v>0.33510000000000001</v>
      </c>
      <c r="F113" s="971">
        <f t="shared" ca="1" si="12"/>
        <v>1069.8704190000001</v>
      </c>
      <c r="G113" s="972">
        <f ca="1">[3]MMBTU!R136</f>
        <v>2092866.048</v>
      </c>
      <c r="H113" s="740">
        <f t="shared" si="13"/>
        <v>5.0000000000000001E-3</v>
      </c>
      <c r="I113" s="971">
        <f t="shared" ca="1" si="14"/>
        <v>10.464330239999999</v>
      </c>
      <c r="J113" s="977">
        <f t="shared" ca="1" si="15"/>
        <v>1080.3347492400001</v>
      </c>
      <c r="K113" s="741">
        <f ca="1">VLOOKUP($A113,Curves_Table,Escalation!$P$291)</f>
        <v>1.3739510144936682</v>
      </c>
      <c r="L113" s="743">
        <f t="shared" ca="1" si="16"/>
        <v>1484.3270247110606</v>
      </c>
      <c r="M113" s="744" t="str">
        <f t="shared" ca="1" si="17"/>
        <v xml:space="preserve"> </v>
      </c>
    </row>
    <row r="114" spans="1:13">
      <c r="A114" s="738">
        <f t="shared" si="9"/>
        <v>40057</v>
      </c>
      <c r="C114" s="739">
        <f t="shared" si="10"/>
        <v>30</v>
      </c>
      <c r="D114" s="742">
        <f ca="1">IF($A114&gt;Endyr,0,IF($A114&lt;Assm!$F$32,G114,Capacity*C114))</f>
        <v>3089700</v>
      </c>
      <c r="E114" s="740">
        <f t="shared" si="11"/>
        <v>0.33510000000000001</v>
      </c>
      <c r="F114" s="971">
        <f t="shared" ca="1" si="12"/>
        <v>1035.3584699999999</v>
      </c>
      <c r="G114" s="972">
        <f ca="1">[3]MMBTU!R137</f>
        <v>2025354.24</v>
      </c>
      <c r="H114" s="740">
        <f t="shared" si="13"/>
        <v>5.0000000000000001E-3</v>
      </c>
      <c r="I114" s="971">
        <f t="shared" ca="1" si="14"/>
        <v>10.1267712</v>
      </c>
      <c r="J114" s="977">
        <f t="shared" ca="1" si="15"/>
        <v>1045.4852411999998</v>
      </c>
      <c r="K114" s="741">
        <f ca="1">VLOOKUP($A114,Curves_Table,Escalation!$P$291)</f>
        <v>1.3739510144936682</v>
      </c>
      <c r="L114" s="743">
        <f t="shared" ca="1" si="16"/>
        <v>1436.445507784897</v>
      </c>
      <c r="M114" s="744" t="str">
        <f t="shared" ca="1" si="17"/>
        <v xml:space="preserve"> </v>
      </c>
    </row>
    <row r="115" spans="1:13">
      <c r="A115" s="738">
        <f t="shared" si="9"/>
        <v>40087</v>
      </c>
      <c r="C115" s="739">
        <f t="shared" si="10"/>
        <v>31</v>
      </c>
      <c r="D115" s="742">
        <f ca="1">IF($A115&gt;Endyr,0,IF($A115&lt;Assm!$F$32,G115,Capacity*C115))</f>
        <v>3192690</v>
      </c>
      <c r="E115" s="740">
        <f t="shared" si="11"/>
        <v>0.33510000000000001</v>
      </c>
      <c r="F115" s="971">
        <f t="shared" ca="1" si="12"/>
        <v>1069.8704190000001</v>
      </c>
      <c r="G115" s="972">
        <f ca="1">[3]MMBTU!R138</f>
        <v>2092866.048</v>
      </c>
      <c r="H115" s="740">
        <f t="shared" si="13"/>
        <v>5.0000000000000001E-3</v>
      </c>
      <c r="I115" s="971">
        <f t="shared" ca="1" si="14"/>
        <v>10.464330239999999</v>
      </c>
      <c r="J115" s="977">
        <f t="shared" ca="1" si="15"/>
        <v>1080.3347492400001</v>
      </c>
      <c r="K115" s="741">
        <f ca="1">VLOOKUP($A115,Curves_Table,Escalation!$P$291)</f>
        <v>1.3739510144936682</v>
      </c>
      <c r="L115" s="743">
        <f t="shared" ca="1" si="16"/>
        <v>1484.3270247110606</v>
      </c>
      <c r="M115" s="744" t="str">
        <f t="shared" ca="1" si="17"/>
        <v xml:space="preserve"> </v>
      </c>
    </row>
    <row r="116" spans="1:13">
      <c r="A116" s="738">
        <f t="shared" si="9"/>
        <v>40118</v>
      </c>
      <c r="C116" s="739">
        <f t="shared" si="10"/>
        <v>30</v>
      </c>
      <c r="D116" s="742">
        <f ca="1">IF($A116&gt;Endyr,0,IF($A116&lt;Assm!$F$32,G116,Capacity*C116))</f>
        <v>3089700</v>
      </c>
      <c r="E116" s="740">
        <f t="shared" si="11"/>
        <v>0.33510000000000001</v>
      </c>
      <c r="F116" s="971">
        <f t="shared" ca="1" si="12"/>
        <v>1035.3584699999999</v>
      </c>
      <c r="G116" s="972">
        <f ca="1">[3]MMBTU!R139</f>
        <v>2025354.24</v>
      </c>
      <c r="H116" s="740">
        <f t="shared" si="13"/>
        <v>5.0000000000000001E-3</v>
      </c>
      <c r="I116" s="971">
        <f t="shared" ca="1" si="14"/>
        <v>10.1267712</v>
      </c>
      <c r="J116" s="977">
        <f t="shared" ca="1" si="15"/>
        <v>1045.4852411999998</v>
      </c>
      <c r="K116" s="741">
        <f ca="1">VLOOKUP($A116,Curves_Table,Escalation!$P$291)</f>
        <v>1.3739510144936682</v>
      </c>
      <c r="L116" s="743">
        <f t="shared" ca="1" si="16"/>
        <v>1436.445507784897</v>
      </c>
      <c r="M116" s="744" t="str">
        <f t="shared" ca="1" si="17"/>
        <v xml:space="preserve"> </v>
      </c>
    </row>
    <row r="117" spans="1:13">
      <c r="A117" s="738">
        <f t="shared" si="9"/>
        <v>40148</v>
      </c>
      <c r="C117" s="739">
        <f t="shared" si="10"/>
        <v>31</v>
      </c>
      <c r="D117" s="742">
        <f ca="1">IF($A117&gt;Endyr,0,IF($A117&lt;Assm!$F$32,G117,Capacity*C117))</f>
        <v>3192690</v>
      </c>
      <c r="E117" s="740">
        <f t="shared" si="11"/>
        <v>0.33510000000000001</v>
      </c>
      <c r="F117" s="971">
        <f t="shared" ca="1" si="12"/>
        <v>1069.8704190000001</v>
      </c>
      <c r="G117" s="972">
        <f ca="1">[3]MMBTU!R140</f>
        <v>2092866.048</v>
      </c>
      <c r="H117" s="740">
        <f t="shared" si="13"/>
        <v>5.0000000000000001E-3</v>
      </c>
      <c r="I117" s="971">
        <f t="shared" ca="1" si="14"/>
        <v>10.464330239999999</v>
      </c>
      <c r="J117" s="977">
        <f t="shared" ca="1" si="15"/>
        <v>1080.3347492400001</v>
      </c>
      <c r="K117" s="741">
        <f ca="1">VLOOKUP($A117,Curves_Table,Escalation!$P$291)</f>
        <v>1.3739510144936682</v>
      </c>
      <c r="L117" s="743">
        <f t="shared" ca="1" si="16"/>
        <v>1484.3270247110606</v>
      </c>
      <c r="M117" s="744">
        <f t="shared" ca="1" si="17"/>
        <v>17329.669654201614</v>
      </c>
    </row>
    <row r="118" spans="1:13">
      <c r="A118" s="738">
        <f t="shared" si="9"/>
        <v>40179</v>
      </c>
      <c r="C118" s="739">
        <f t="shared" si="10"/>
        <v>31</v>
      </c>
      <c r="D118" s="742">
        <f ca="1">IF($A118&gt;Endyr,0,IF($A118&lt;Assm!$F$32,G118,Capacity*C118))</f>
        <v>3192690</v>
      </c>
      <c r="E118" s="740">
        <f t="shared" si="11"/>
        <v>0.33510000000000001</v>
      </c>
      <c r="F118" s="971">
        <f t="shared" ca="1" si="12"/>
        <v>1069.8704190000001</v>
      </c>
      <c r="G118" s="972">
        <f ca="1">[3]MMBTU!R141</f>
        <v>2092866.048</v>
      </c>
      <c r="H118" s="740">
        <f t="shared" si="13"/>
        <v>5.0000000000000001E-3</v>
      </c>
      <c r="I118" s="971">
        <f t="shared" ca="1" si="14"/>
        <v>10.464330239999999</v>
      </c>
      <c r="J118" s="977">
        <f t="shared" ca="1" si="15"/>
        <v>1080.3347492400001</v>
      </c>
      <c r="K118" s="741">
        <f ca="1">VLOOKUP($A118,Curves_Table,Escalation!$P$291)</f>
        <v>1.3739510144936682</v>
      </c>
      <c r="L118" s="743">
        <f t="shared" ca="1" si="16"/>
        <v>1484.3270247110606</v>
      </c>
      <c r="M118" s="744" t="str">
        <f t="shared" ca="1" si="17"/>
        <v xml:space="preserve"> </v>
      </c>
    </row>
    <row r="119" spans="1:13">
      <c r="A119" s="738">
        <f t="shared" si="9"/>
        <v>40210</v>
      </c>
      <c r="C119" s="739">
        <f t="shared" si="10"/>
        <v>28</v>
      </c>
      <c r="D119" s="742">
        <f ca="1">IF($A119&gt;Endyr,0,IF($A119&lt;Assm!$F$32,G119,Capacity*C119))</f>
        <v>2883720</v>
      </c>
      <c r="E119" s="740">
        <f t="shared" si="11"/>
        <v>0.33510000000000001</v>
      </c>
      <c r="F119" s="971">
        <f t="shared" ca="1" si="12"/>
        <v>966.33457200000009</v>
      </c>
      <c r="G119" s="972">
        <f ca="1">[3]MMBTU!R142</f>
        <v>1890330.6240000003</v>
      </c>
      <c r="H119" s="740">
        <f t="shared" si="13"/>
        <v>5.0000000000000001E-3</v>
      </c>
      <c r="I119" s="971">
        <f t="shared" ca="1" si="14"/>
        <v>9.4516531200000014</v>
      </c>
      <c r="J119" s="977">
        <f t="shared" ca="1" si="15"/>
        <v>975.78622512000004</v>
      </c>
      <c r="K119" s="741">
        <f ca="1">VLOOKUP($A119,Curves_Table,Escalation!$P$291)</f>
        <v>1.3739510144936682</v>
      </c>
      <c r="L119" s="743">
        <f t="shared" ca="1" si="16"/>
        <v>1340.6824739325709</v>
      </c>
      <c r="M119" s="744" t="str">
        <f t="shared" ca="1" si="17"/>
        <v xml:space="preserve"> </v>
      </c>
    </row>
    <row r="120" spans="1:13">
      <c r="A120" s="738">
        <f t="shared" si="9"/>
        <v>40238</v>
      </c>
      <c r="C120" s="739">
        <f t="shared" si="10"/>
        <v>31</v>
      </c>
      <c r="D120" s="742">
        <f ca="1">IF($A120&gt;Endyr,0,IF($A120&lt;Assm!$F$32,G120,Capacity*C120))</f>
        <v>3192690</v>
      </c>
      <c r="E120" s="740">
        <f t="shared" si="11"/>
        <v>0.33510000000000001</v>
      </c>
      <c r="F120" s="971">
        <f t="shared" ca="1" si="12"/>
        <v>1069.8704190000001</v>
      </c>
      <c r="G120" s="972">
        <f ca="1">[3]MMBTU!R143</f>
        <v>2092866.048</v>
      </c>
      <c r="H120" s="740">
        <f t="shared" si="13"/>
        <v>5.0000000000000001E-3</v>
      </c>
      <c r="I120" s="971">
        <f t="shared" ca="1" si="14"/>
        <v>10.464330239999999</v>
      </c>
      <c r="J120" s="977">
        <f t="shared" ca="1" si="15"/>
        <v>1080.3347492400001</v>
      </c>
      <c r="K120" s="741">
        <f ca="1">VLOOKUP($A120,Curves_Table,Escalation!$P$291)</f>
        <v>1.3739510144936682</v>
      </c>
      <c r="L120" s="743">
        <f t="shared" ca="1" si="16"/>
        <v>1484.3270247110606</v>
      </c>
      <c r="M120" s="744" t="str">
        <f t="shared" ca="1" si="17"/>
        <v xml:space="preserve"> </v>
      </c>
    </row>
    <row r="121" spans="1:13">
      <c r="A121" s="738">
        <f t="shared" si="9"/>
        <v>40269</v>
      </c>
      <c r="C121" s="739">
        <f t="shared" si="10"/>
        <v>30</v>
      </c>
      <c r="D121" s="742">
        <f ca="1">IF($A121&gt;Endyr,0,IF($A121&lt;Assm!$F$32,G121,Capacity*C121))</f>
        <v>3089700</v>
      </c>
      <c r="E121" s="740">
        <f t="shared" si="11"/>
        <v>0.33510000000000001</v>
      </c>
      <c r="F121" s="971">
        <f t="shared" ca="1" si="12"/>
        <v>1035.3584699999999</v>
      </c>
      <c r="G121" s="972">
        <f ca="1">[3]MMBTU!R144</f>
        <v>2025354.24</v>
      </c>
      <c r="H121" s="740">
        <f t="shared" si="13"/>
        <v>5.0000000000000001E-3</v>
      </c>
      <c r="I121" s="971">
        <f t="shared" ca="1" si="14"/>
        <v>10.1267712</v>
      </c>
      <c r="J121" s="977">
        <f t="shared" ca="1" si="15"/>
        <v>1045.4852411999998</v>
      </c>
      <c r="K121" s="741">
        <f ca="1">VLOOKUP($A121,Curves_Table,Escalation!$P$291)</f>
        <v>1.3739510144936682</v>
      </c>
      <c r="L121" s="743">
        <f t="shared" ca="1" si="16"/>
        <v>1436.445507784897</v>
      </c>
      <c r="M121" s="744" t="str">
        <f t="shared" ca="1" si="17"/>
        <v xml:space="preserve"> </v>
      </c>
    </row>
    <row r="122" spans="1:13">
      <c r="A122" s="738">
        <f t="shared" si="9"/>
        <v>40299</v>
      </c>
      <c r="C122" s="739">
        <f t="shared" si="10"/>
        <v>31</v>
      </c>
      <c r="D122" s="742">
        <f ca="1">IF($A122&gt;Endyr,0,IF($A122&lt;Assm!$F$32,G122,Capacity*C122))</f>
        <v>3192690</v>
      </c>
      <c r="E122" s="740">
        <f t="shared" si="11"/>
        <v>0.33510000000000001</v>
      </c>
      <c r="F122" s="971">
        <f t="shared" ca="1" si="12"/>
        <v>1069.8704190000001</v>
      </c>
      <c r="G122" s="972">
        <f ca="1">[3]MMBTU!R145</f>
        <v>2092866.048</v>
      </c>
      <c r="H122" s="740">
        <f t="shared" si="13"/>
        <v>5.0000000000000001E-3</v>
      </c>
      <c r="I122" s="971">
        <f t="shared" ca="1" si="14"/>
        <v>10.464330239999999</v>
      </c>
      <c r="J122" s="977">
        <f t="shared" ca="1" si="15"/>
        <v>1080.3347492400001</v>
      </c>
      <c r="K122" s="741">
        <f ca="1">VLOOKUP($A122,Curves_Table,Escalation!$P$291)</f>
        <v>1.409454688092179</v>
      </c>
      <c r="L122" s="743">
        <f t="shared" ca="1" si="16"/>
        <v>1522.6828770252066</v>
      </c>
      <c r="M122" s="744" t="str">
        <f t="shared" ca="1" si="17"/>
        <v xml:space="preserve"> </v>
      </c>
    </row>
    <row r="123" spans="1:13">
      <c r="A123" s="738">
        <f t="shared" si="9"/>
        <v>40330</v>
      </c>
      <c r="C123" s="739">
        <f t="shared" si="10"/>
        <v>30</v>
      </c>
      <c r="D123" s="742">
        <f ca="1">IF($A123&gt;Endyr,0,IF($A123&lt;Assm!$F$32,G123,Capacity*C123))</f>
        <v>3089700</v>
      </c>
      <c r="E123" s="740">
        <f t="shared" si="11"/>
        <v>0.33510000000000001</v>
      </c>
      <c r="F123" s="971">
        <f t="shared" ca="1" si="12"/>
        <v>1035.3584699999999</v>
      </c>
      <c r="G123" s="972">
        <f ca="1">[3]MMBTU!R146</f>
        <v>2025354.24</v>
      </c>
      <c r="H123" s="740">
        <f t="shared" si="13"/>
        <v>5.0000000000000001E-3</v>
      </c>
      <c r="I123" s="971">
        <f t="shared" ca="1" si="14"/>
        <v>10.1267712</v>
      </c>
      <c r="J123" s="977">
        <f t="shared" ca="1" si="15"/>
        <v>1045.4852411999998</v>
      </c>
      <c r="K123" s="741">
        <f ca="1">VLOOKUP($A123,Curves_Table,Escalation!$P$291)</f>
        <v>1.409454688092179</v>
      </c>
      <c r="L123" s="743">
        <f t="shared" ca="1" si="16"/>
        <v>1473.5640745405221</v>
      </c>
      <c r="M123" s="744" t="str">
        <f t="shared" ca="1" si="17"/>
        <v xml:space="preserve"> </v>
      </c>
    </row>
    <row r="124" spans="1:13">
      <c r="A124" s="738">
        <f t="shared" si="9"/>
        <v>40360</v>
      </c>
      <c r="C124" s="739">
        <f t="shared" si="10"/>
        <v>31</v>
      </c>
      <c r="D124" s="742">
        <f ca="1">IF($A124&gt;Endyr,0,IF($A124&lt;Assm!$F$32,G124,Capacity*C124))</f>
        <v>3192690</v>
      </c>
      <c r="E124" s="740">
        <f t="shared" si="11"/>
        <v>0.33510000000000001</v>
      </c>
      <c r="F124" s="971">
        <f t="shared" ca="1" si="12"/>
        <v>1069.8704190000001</v>
      </c>
      <c r="G124" s="972">
        <f ca="1">[3]MMBTU!R147</f>
        <v>2092866.048</v>
      </c>
      <c r="H124" s="740">
        <f t="shared" si="13"/>
        <v>5.0000000000000001E-3</v>
      </c>
      <c r="I124" s="971">
        <f t="shared" ca="1" si="14"/>
        <v>10.464330239999999</v>
      </c>
      <c r="J124" s="977">
        <f t="shared" ca="1" si="15"/>
        <v>1080.3347492400001</v>
      </c>
      <c r="K124" s="741">
        <f ca="1">VLOOKUP($A124,Curves_Table,Escalation!$P$291)</f>
        <v>1.409454688092179</v>
      </c>
      <c r="L124" s="743">
        <f t="shared" ca="1" si="16"/>
        <v>1522.6828770252066</v>
      </c>
      <c r="M124" s="744" t="str">
        <f t="shared" ca="1" si="17"/>
        <v xml:space="preserve"> </v>
      </c>
    </row>
    <row r="125" spans="1:13">
      <c r="A125" s="738">
        <f t="shared" si="9"/>
        <v>40391</v>
      </c>
      <c r="C125" s="739">
        <f t="shared" si="10"/>
        <v>31</v>
      </c>
      <c r="D125" s="742">
        <f ca="1">IF($A125&gt;Endyr,0,IF($A125&lt;Assm!$F$32,G125,Capacity*C125))</f>
        <v>3192690</v>
      </c>
      <c r="E125" s="740">
        <f t="shared" si="11"/>
        <v>0.33510000000000001</v>
      </c>
      <c r="F125" s="971">
        <f t="shared" ca="1" si="12"/>
        <v>1069.8704190000001</v>
      </c>
      <c r="G125" s="972">
        <f ca="1">[3]MMBTU!R148</f>
        <v>2092866.048</v>
      </c>
      <c r="H125" s="740">
        <f t="shared" si="13"/>
        <v>5.0000000000000001E-3</v>
      </c>
      <c r="I125" s="971">
        <f t="shared" ca="1" si="14"/>
        <v>10.464330239999999</v>
      </c>
      <c r="J125" s="977">
        <f t="shared" ca="1" si="15"/>
        <v>1080.3347492400001</v>
      </c>
      <c r="K125" s="741">
        <f ca="1">VLOOKUP($A125,Curves_Table,Escalation!$P$291)</f>
        <v>1.409454688092179</v>
      </c>
      <c r="L125" s="743">
        <f t="shared" ca="1" si="16"/>
        <v>1522.6828770252066</v>
      </c>
      <c r="M125" s="744" t="str">
        <f t="shared" ca="1" si="17"/>
        <v xml:space="preserve"> </v>
      </c>
    </row>
    <row r="126" spans="1:13">
      <c r="A126" s="738">
        <f t="shared" si="9"/>
        <v>40422</v>
      </c>
      <c r="C126" s="739">
        <f t="shared" si="10"/>
        <v>30</v>
      </c>
      <c r="D126" s="742">
        <f ca="1">IF($A126&gt;Endyr,0,IF($A126&lt;Assm!$F$32,G126,Capacity*C126))</f>
        <v>3089700</v>
      </c>
      <c r="E126" s="740">
        <f t="shared" si="11"/>
        <v>0.33510000000000001</v>
      </c>
      <c r="F126" s="971">
        <f t="shared" ca="1" si="12"/>
        <v>1035.3584699999999</v>
      </c>
      <c r="G126" s="972">
        <f ca="1">[3]MMBTU!R149</f>
        <v>2025354.24</v>
      </c>
      <c r="H126" s="740">
        <f t="shared" si="13"/>
        <v>5.0000000000000001E-3</v>
      </c>
      <c r="I126" s="971">
        <f t="shared" ca="1" si="14"/>
        <v>10.1267712</v>
      </c>
      <c r="J126" s="977">
        <f t="shared" ca="1" si="15"/>
        <v>1045.4852411999998</v>
      </c>
      <c r="K126" s="741">
        <f ca="1">VLOOKUP($A126,Curves_Table,Escalation!$P$291)</f>
        <v>1.409454688092179</v>
      </c>
      <c r="L126" s="743">
        <f t="shared" ca="1" si="16"/>
        <v>1473.5640745405221</v>
      </c>
      <c r="M126" s="744" t="str">
        <f t="shared" ca="1" si="17"/>
        <v xml:space="preserve"> </v>
      </c>
    </row>
    <row r="127" spans="1:13">
      <c r="A127" s="738">
        <f t="shared" si="9"/>
        <v>40452</v>
      </c>
      <c r="C127" s="739">
        <f t="shared" si="10"/>
        <v>31</v>
      </c>
      <c r="D127" s="742">
        <f ca="1">IF($A127&gt;Endyr,0,IF($A127&lt;Assm!$F$32,G127,Capacity*C127))</f>
        <v>3192690</v>
      </c>
      <c r="E127" s="740">
        <f t="shared" si="11"/>
        <v>0.33510000000000001</v>
      </c>
      <c r="F127" s="971">
        <f t="shared" ca="1" si="12"/>
        <v>1069.8704190000001</v>
      </c>
      <c r="G127" s="972">
        <f ca="1">[3]MMBTU!R150</f>
        <v>2092866.048</v>
      </c>
      <c r="H127" s="740">
        <f t="shared" si="13"/>
        <v>5.0000000000000001E-3</v>
      </c>
      <c r="I127" s="971">
        <f t="shared" ca="1" si="14"/>
        <v>10.464330239999999</v>
      </c>
      <c r="J127" s="977">
        <f t="shared" ca="1" si="15"/>
        <v>1080.3347492400001</v>
      </c>
      <c r="K127" s="741">
        <f ca="1">VLOOKUP($A127,Curves_Table,Escalation!$P$291)</f>
        <v>1.409454688092179</v>
      </c>
      <c r="L127" s="743">
        <f t="shared" ca="1" si="16"/>
        <v>1522.6828770252066</v>
      </c>
      <c r="M127" s="744" t="str">
        <f t="shared" ca="1" si="17"/>
        <v xml:space="preserve"> </v>
      </c>
    </row>
    <row r="128" spans="1:13">
      <c r="A128" s="738">
        <f t="shared" si="9"/>
        <v>40483</v>
      </c>
      <c r="C128" s="739">
        <f t="shared" si="10"/>
        <v>30</v>
      </c>
      <c r="D128" s="742">
        <f ca="1">IF($A128&gt;Endyr,0,IF($A128&lt;Assm!$F$32,G128,Capacity*C128))</f>
        <v>3089700</v>
      </c>
      <c r="E128" s="740">
        <f t="shared" si="11"/>
        <v>0.33510000000000001</v>
      </c>
      <c r="F128" s="971">
        <f t="shared" ca="1" si="12"/>
        <v>1035.3584699999999</v>
      </c>
      <c r="G128" s="972">
        <f ca="1">[3]MMBTU!R151</f>
        <v>2025354.24</v>
      </c>
      <c r="H128" s="740">
        <f t="shared" si="13"/>
        <v>5.0000000000000001E-3</v>
      </c>
      <c r="I128" s="971">
        <f t="shared" ca="1" si="14"/>
        <v>10.1267712</v>
      </c>
      <c r="J128" s="977">
        <f t="shared" ca="1" si="15"/>
        <v>1045.4852411999998</v>
      </c>
      <c r="K128" s="741">
        <f ca="1">VLOOKUP($A128,Curves_Table,Escalation!$P$291)</f>
        <v>1.409454688092179</v>
      </c>
      <c r="L128" s="743">
        <f t="shared" ca="1" si="16"/>
        <v>1473.5640745405221</v>
      </c>
      <c r="M128" s="744" t="str">
        <f t="shared" ca="1" si="17"/>
        <v xml:space="preserve"> </v>
      </c>
    </row>
    <row r="129" spans="1:13">
      <c r="A129" s="738">
        <f t="shared" si="9"/>
        <v>40513</v>
      </c>
      <c r="C129" s="739">
        <f t="shared" si="10"/>
        <v>31</v>
      </c>
      <c r="D129" s="742">
        <f ca="1">IF($A129&gt;Endyr,0,IF($A129&lt;Assm!$F$32,G129,Capacity*C129))</f>
        <v>3192690</v>
      </c>
      <c r="E129" s="740">
        <f t="shared" si="11"/>
        <v>0.33510000000000001</v>
      </c>
      <c r="F129" s="971">
        <f t="shared" ca="1" si="12"/>
        <v>1069.8704190000001</v>
      </c>
      <c r="G129" s="972">
        <f ca="1">[3]MMBTU!R152</f>
        <v>2092866.048</v>
      </c>
      <c r="H129" s="740">
        <f t="shared" si="13"/>
        <v>5.0000000000000001E-3</v>
      </c>
      <c r="I129" s="971">
        <f t="shared" ca="1" si="14"/>
        <v>10.464330239999999</v>
      </c>
      <c r="J129" s="977">
        <f t="shared" ca="1" si="15"/>
        <v>1080.3347492400001</v>
      </c>
      <c r="K129" s="741">
        <f ca="1">VLOOKUP($A129,Curves_Table,Escalation!$P$291)</f>
        <v>1.409454688092179</v>
      </c>
      <c r="L129" s="743">
        <f t="shared" ca="1" si="16"/>
        <v>1522.6828770252066</v>
      </c>
      <c r="M129" s="744">
        <f t="shared" ca="1" si="17"/>
        <v>17779.888639887187</v>
      </c>
    </row>
    <row r="130" spans="1:13">
      <c r="A130" s="738">
        <f t="shared" si="9"/>
        <v>40544</v>
      </c>
      <c r="C130" s="739">
        <f t="shared" si="10"/>
        <v>31</v>
      </c>
      <c r="D130" s="742">
        <f ca="1">IF($A130&gt;Endyr,0,IF($A130&lt;Assm!$F$32,G130,Capacity*C130))</f>
        <v>3192690</v>
      </c>
      <c r="E130" s="740">
        <f t="shared" si="11"/>
        <v>0.33510000000000001</v>
      </c>
      <c r="F130" s="971">
        <f t="shared" ca="1" si="12"/>
        <v>1069.8704190000001</v>
      </c>
      <c r="G130" s="972">
        <f ca="1">[3]MMBTU!R153</f>
        <v>2092866.048</v>
      </c>
      <c r="H130" s="740">
        <f t="shared" si="13"/>
        <v>5.0000000000000001E-3</v>
      </c>
      <c r="I130" s="971">
        <f t="shared" ca="1" si="14"/>
        <v>10.464330239999999</v>
      </c>
      <c r="J130" s="977">
        <f t="shared" ca="1" si="15"/>
        <v>1080.3347492400001</v>
      </c>
      <c r="K130" s="741">
        <f ca="1">VLOOKUP($A130,Curves_Table,Escalation!$P$291)</f>
        <v>1.409454688092179</v>
      </c>
      <c r="L130" s="743">
        <f t="shared" ca="1" si="16"/>
        <v>1522.6828770252066</v>
      </c>
      <c r="M130" s="744" t="str">
        <f t="shared" ca="1" si="17"/>
        <v xml:space="preserve"> </v>
      </c>
    </row>
    <row r="131" spans="1:13">
      <c r="A131" s="738">
        <f t="shared" si="9"/>
        <v>40575</v>
      </c>
      <c r="C131" s="739">
        <f t="shared" si="10"/>
        <v>28</v>
      </c>
      <c r="D131" s="742">
        <f ca="1">IF($A131&gt;Endyr,0,IF($A131&lt;Assm!$F$32,G131,Capacity*C131))</f>
        <v>2883720</v>
      </c>
      <c r="E131" s="740">
        <f t="shared" si="11"/>
        <v>0.33510000000000001</v>
      </c>
      <c r="F131" s="971">
        <f t="shared" ca="1" si="12"/>
        <v>966.33457200000009</v>
      </c>
      <c r="G131" s="972">
        <f ca="1">[3]MMBTU!R154</f>
        <v>1890330.6240000003</v>
      </c>
      <c r="H131" s="740">
        <f t="shared" si="13"/>
        <v>5.0000000000000001E-3</v>
      </c>
      <c r="I131" s="971">
        <f t="shared" ca="1" si="14"/>
        <v>9.4516531200000014</v>
      </c>
      <c r="J131" s="977">
        <f t="shared" ca="1" si="15"/>
        <v>975.78622512000004</v>
      </c>
      <c r="K131" s="741">
        <f ca="1">VLOOKUP($A131,Curves_Table,Escalation!$P$291)</f>
        <v>1.409454688092179</v>
      </c>
      <c r="L131" s="743">
        <f t="shared" ca="1" si="16"/>
        <v>1375.3264695711543</v>
      </c>
      <c r="M131" s="744" t="str">
        <f t="shared" ca="1" si="17"/>
        <v xml:space="preserve"> </v>
      </c>
    </row>
    <row r="132" spans="1:13">
      <c r="A132" s="738">
        <f t="shared" si="9"/>
        <v>40603</v>
      </c>
      <c r="C132" s="739">
        <f t="shared" si="10"/>
        <v>31</v>
      </c>
      <c r="D132" s="742">
        <f ca="1">IF($A132&gt;Endyr,0,IF($A132&lt;Assm!$F$32,G132,Capacity*C132))</f>
        <v>3192690</v>
      </c>
      <c r="E132" s="740">
        <f t="shared" si="11"/>
        <v>0.33510000000000001</v>
      </c>
      <c r="F132" s="971">
        <f t="shared" ca="1" si="12"/>
        <v>1069.8704190000001</v>
      </c>
      <c r="G132" s="972">
        <f ca="1">[3]MMBTU!R155</f>
        <v>2092866.048</v>
      </c>
      <c r="H132" s="740">
        <f t="shared" si="13"/>
        <v>5.0000000000000001E-3</v>
      </c>
      <c r="I132" s="971">
        <f t="shared" ca="1" si="14"/>
        <v>10.464330239999999</v>
      </c>
      <c r="J132" s="977">
        <f t="shared" ca="1" si="15"/>
        <v>1080.3347492400001</v>
      </c>
      <c r="K132" s="741">
        <f ca="1">VLOOKUP($A132,Curves_Table,Escalation!$P$291)</f>
        <v>1.409454688092179</v>
      </c>
      <c r="L132" s="743">
        <f t="shared" ca="1" si="16"/>
        <v>1522.6828770252066</v>
      </c>
      <c r="M132" s="744" t="str">
        <f t="shared" ca="1" si="17"/>
        <v xml:space="preserve"> </v>
      </c>
    </row>
    <row r="133" spans="1:13">
      <c r="A133" s="738">
        <f t="shared" si="9"/>
        <v>40634</v>
      </c>
      <c r="C133" s="739">
        <f t="shared" si="10"/>
        <v>30</v>
      </c>
      <c r="D133" s="742">
        <f ca="1">IF($A133&gt;Endyr,0,IF($A133&lt;Assm!$F$32,G133,Capacity*C133))</f>
        <v>3089700</v>
      </c>
      <c r="E133" s="740">
        <f t="shared" si="11"/>
        <v>0.33510000000000001</v>
      </c>
      <c r="F133" s="971">
        <f t="shared" ca="1" si="12"/>
        <v>1035.3584699999999</v>
      </c>
      <c r="G133" s="972">
        <f ca="1">[3]MMBTU!R156</f>
        <v>2025354.24</v>
      </c>
      <c r="H133" s="740">
        <f t="shared" si="13"/>
        <v>5.0000000000000001E-3</v>
      </c>
      <c r="I133" s="971">
        <f t="shared" ca="1" si="14"/>
        <v>10.1267712</v>
      </c>
      <c r="J133" s="977">
        <f t="shared" ca="1" si="15"/>
        <v>1045.4852411999998</v>
      </c>
      <c r="K133" s="741">
        <f ca="1">VLOOKUP($A133,Curves_Table,Escalation!$P$291)</f>
        <v>1.409454688092179</v>
      </c>
      <c r="L133" s="743">
        <f t="shared" ca="1" si="16"/>
        <v>1473.5640745405221</v>
      </c>
      <c r="M133" s="744" t="str">
        <f t="shared" ca="1" si="17"/>
        <v xml:space="preserve"> </v>
      </c>
    </row>
    <row r="134" spans="1:13">
      <c r="A134" s="738">
        <f t="shared" si="9"/>
        <v>40664</v>
      </c>
      <c r="C134" s="739">
        <f t="shared" si="10"/>
        <v>31</v>
      </c>
      <c r="D134" s="742">
        <f ca="1">IF($A134&gt;Endyr,0,IF($A134&lt;Assm!$F$32,G134,Capacity*C134))</f>
        <v>3192690</v>
      </c>
      <c r="E134" s="740">
        <f t="shared" si="11"/>
        <v>0.33510000000000001</v>
      </c>
      <c r="F134" s="971">
        <f t="shared" ca="1" si="12"/>
        <v>1069.8704190000001</v>
      </c>
      <c r="G134" s="972">
        <f ca="1">[3]MMBTU!R157</f>
        <v>2092866.048</v>
      </c>
      <c r="H134" s="740">
        <f t="shared" si="13"/>
        <v>5.0000000000000001E-3</v>
      </c>
      <c r="I134" s="971">
        <f t="shared" ca="1" si="14"/>
        <v>10.464330239999999</v>
      </c>
      <c r="J134" s="977">
        <f t="shared" ca="1" si="15"/>
        <v>1080.3347492400001</v>
      </c>
      <c r="K134" s="741">
        <f ca="1">VLOOKUP($A134,Curves_Table,Escalation!$P$291)</f>
        <v>1.4453629302678073</v>
      </c>
      <c r="L134" s="743">
        <f t="shared" ca="1" si="16"/>
        <v>1561.4757988316633</v>
      </c>
      <c r="M134" s="744" t="str">
        <f t="shared" ca="1" si="17"/>
        <v xml:space="preserve"> </v>
      </c>
    </row>
    <row r="135" spans="1:13">
      <c r="A135" s="738">
        <f t="shared" si="9"/>
        <v>40695</v>
      </c>
      <c r="C135" s="739">
        <f t="shared" si="10"/>
        <v>30</v>
      </c>
      <c r="D135" s="742">
        <f ca="1">IF($A135&gt;Endyr,0,IF($A135&lt;Assm!$F$32,G135,Capacity*C135))</f>
        <v>3089700</v>
      </c>
      <c r="E135" s="740">
        <f t="shared" si="11"/>
        <v>0.33510000000000001</v>
      </c>
      <c r="F135" s="971">
        <f t="shared" ca="1" si="12"/>
        <v>1035.3584699999999</v>
      </c>
      <c r="G135" s="972">
        <f ca="1">[3]MMBTU!R158</f>
        <v>2025354.24</v>
      </c>
      <c r="H135" s="740">
        <f t="shared" si="13"/>
        <v>5.0000000000000001E-3</v>
      </c>
      <c r="I135" s="971">
        <f t="shared" ca="1" si="14"/>
        <v>10.1267712</v>
      </c>
      <c r="J135" s="977">
        <f t="shared" ca="1" si="15"/>
        <v>1045.4852411999998</v>
      </c>
      <c r="K135" s="741">
        <f ca="1">VLOOKUP($A135,Curves_Table,Escalation!$P$291)</f>
        <v>1.4453629302678073</v>
      </c>
      <c r="L135" s="743">
        <f t="shared" ca="1" si="16"/>
        <v>1511.105611772577</v>
      </c>
      <c r="M135" s="744" t="str">
        <f t="shared" ca="1" si="17"/>
        <v xml:space="preserve"> </v>
      </c>
    </row>
    <row r="136" spans="1:13">
      <c r="A136" s="738">
        <f t="shared" si="9"/>
        <v>40725</v>
      </c>
      <c r="C136" s="739">
        <f t="shared" si="10"/>
        <v>31</v>
      </c>
      <c r="D136" s="742">
        <f ca="1">IF($A136&gt;Endyr,0,IF($A136&lt;Assm!$F$32,G136,Capacity*C136))</f>
        <v>3192690</v>
      </c>
      <c r="E136" s="740">
        <f t="shared" si="11"/>
        <v>0.33510000000000001</v>
      </c>
      <c r="F136" s="971">
        <f t="shared" ca="1" si="12"/>
        <v>1069.8704190000001</v>
      </c>
      <c r="G136" s="972">
        <f ca="1">[3]MMBTU!R159</f>
        <v>2092866.048</v>
      </c>
      <c r="H136" s="740">
        <f t="shared" si="13"/>
        <v>5.0000000000000001E-3</v>
      </c>
      <c r="I136" s="971">
        <f t="shared" ca="1" si="14"/>
        <v>10.464330239999999</v>
      </c>
      <c r="J136" s="977">
        <f t="shared" ca="1" si="15"/>
        <v>1080.3347492400001</v>
      </c>
      <c r="K136" s="741">
        <f ca="1">VLOOKUP($A136,Curves_Table,Escalation!$P$291)</f>
        <v>1.4453629302678073</v>
      </c>
      <c r="L136" s="743">
        <f t="shared" ca="1" si="16"/>
        <v>1561.4757988316633</v>
      </c>
      <c r="M136" s="744" t="str">
        <f t="shared" ca="1" si="17"/>
        <v xml:space="preserve"> </v>
      </c>
    </row>
    <row r="137" spans="1:13">
      <c r="A137" s="738">
        <f t="shared" si="9"/>
        <v>40756</v>
      </c>
      <c r="C137" s="739">
        <f t="shared" si="10"/>
        <v>31</v>
      </c>
      <c r="D137" s="742">
        <f ca="1">IF($A137&gt;Endyr,0,IF($A137&lt;Assm!$F$32,G137,Capacity*C137))</f>
        <v>3192690</v>
      </c>
      <c r="E137" s="740">
        <f t="shared" si="11"/>
        <v>0.33510000000000001</v>
      </c>
      <c r="F137" s="971">
        <f t="shared" ca="1" si="12"/>
        <v>1069.8704190000001</v>
      </c>
      <c r="G137" s="972">
        <f ca="1">[3]MMBTU!R160</f>
        <v>2092866.048</v>
      </c>
      <c r="H137" s="740">
        <f t="shared" si="13"/>
        <v>5.0000000000000001E-3</v>
      </c>
      <c r="I137" s="971">
        <f t="shared" ca="1" si="14"/>
        <v>10.464330239999999</v>
      </c>
      <c r="J137" s="977">
        <f t="shared" ca="1" si="15"/>
        <v>1080.3347492400001</v>
      </c>
      <c r="K137" s="741">
        <f ca="1">VLOOKUP($A137,Curves_Table,Escalation!$P$291)</f>
        <v>1.4453629302678073</v>
      </c>
      <c r="L137" s="743">
        <f t="shared" ca="1" si="16"/>
        <v>1561.4757988316633</v>
      </c>
      <c r="M137" s="744" t="str">
        <f t="shared" ca="1" si="17"/>
        <v xml:space="preserve"> </v>
      </c>
    </row>
    <row r="138" spans="1:13">
      <c r="A138" s="738">
        <f t="shared" si="9"/>
        <v>40787</v>
      </c>
      <c r="C138" s="739">
        <f t="shared" si="10"/>
        <v>30</v>
      </c>
      <c r="D138" s="742">
        <f ca="1">IF($A138&gt;Endyr,0,IF($A138&lt;Assm!$F$32,G138,Capacity*C138))</f>
        <v>3089700</v>
      </c>
      <c r="E138" s="740">
        <f t="shared" si="11"/>
        <v>0.33510000000000001</v>
      </c>
      <c r="F138" s="971">
        <f t="shared" ca="1" si="12"/>
        <v>1035.3584699999999</v>
      </c>
      <c r="G138" s="972">
        <f ca="1">[3]MMBTU!R161</f>
        <v>2025354.24</v>
      </c>
      <c r="H138" s="740">
        <f t="shared" si="13"/>
        <v>5.0000000000000001E-3</v>
      </c>
      <c r="I138" s="971">
        <f t="shared" ca="1" si="14"/>
        <v>10.1267712</v>
      </c>
      <c r="J138" s="977">
        <f t="shared" ca="1" si="15"/>
        <v>1045.4852411999998</v>
      </c>
      <c r="K138" s="741">
        <f ca="1">VLOOKUP($A138,Curves_Table,Escalation!$P$291)</f>
        <v>1.4453629302678073</v>
      </c>
      <c r="L138" s="743">
        <f t="shared" ca="1" si="16"/>
        <v>1511.105611772577</v>
      </c>
      <c r="M138" s="744" t="str">
        <f t="shared" ca="1" si="17"/>
        <v xml:space="preserve"> </v>
      </c>
    </row>
    <row r="139" spans="1:13">
      <c r="A139" s="738">
        <f t="shared" si="9"/>
        <v>40817</v>
      </c>
      <c r="C139" s="739">
        <f t="shared" si="10"/>
        <v>31</v>
      </c>
      <c r="D139" s="742">
        <f ca="1">IF($A139&gt;Endyr,0,IF($A139&lt;Assm!$F$32,G139,Capacity*C139))</f>
        <v>3192690</v>
      </c>
      <c r="E139" s="740">
        <f t="shared" si="11"/>
        <v>0.33510000000000001</v>
      </c>
      <c r="F139" s="971">
        <f t="shared" ca="1" si="12"/>
        <v>1069.8704190000001</v>
      </c>
      <c r="G139" s="972">
        <f ca="1">[3]MMBTU!R162</f>
        <v>2092866.048</v>
      </c>
      <c r="H139" s="740">
        <f t="shared" si="13"/>
        <v>5.0000000000000001E-3</v>
      </c>
      <c r="I139" s="971">
        <f t="shared" ca="1" si="14"/>
        <v>10.464330239999999</v>
      </c>
      <c r="J139" s="977">
        <f t="shared" ca="1" si="15"/>
        <v>1080.3347492400001</v>
      </c>
      <c r="K139" s="741">
        <f ca="1">VLOOKUP($A139,Curves_Table,Escalation!$P$291)</f>
        <v>1.4453629302678073</v>
      </c>
      <c r="L139" s="743">
        <f t="shared" ca="1" si="16"/>
        <v>1561.4757988316633</v>
      </c>
      <c r="M139" s="744" t="str">
        <f t="shared" ca="1" si="17"/>
        <v xml:space="preserve"> </v>
      </c>
    </row>
    <row r="140" spans="1:13">
      <c r="A140" s="738">
        <f t="shared" si="9"/>
        <v>40848</v>
      </c>
      <c r="C140" s="739">
        <f t="shared" si="10"/>
        <v>30</v>
      </c>
      <c r="D140" s="742">
        <f ca="1">IF($A140&gt;Endyr,0,IF($A140&lt;Assm!$F$32,G140,Capacity*C140))</f>
        <v>3089700</v>
      </c>
      <c r="E140" s="740">
        <f t="shared" si="11"/>
        <v>0.33510000000000001</v>
      </c>
      <c r="F140" s="971">
        <f t="shared" ca="1" si="12"/>
        <v>1035.3584699999999</v>
      </c>
      <c r="G140" s="972">
        <f ca="1">[3]MMBTU!R163</f>
        <v>2025354.24</v>
      </c>
      <c r="H140" s="740">
        <f t="shared" si="13"/>
        <v>5.0000000000000001E-3</v>
      </c>
      <c r="I140" s="971">
        <f t="shared" ca="1" si="14"/>
        <v>10.1267712</v>
      </c>
      <c r="J140" s="977">
        <f t="shared" ca="1" si="15"/>
        <v>1045.4852411999998</v>
      </c>
      <c r="K140" s="741">
        <f ca="1">VLOOKUP($A140,Curves_Table,Escalation!$P$291)</f>
        <v>1.4453629302678073</v>
      </c>
      <c r="L140" s="743">
        <f t="shared" ca="1" si="16"/>
        <v>1511.105611772577</v>
      </c>
      <c r="M140" s="744" t="str">
        <f t="shared" ca="1" si="17"/>
        <v xml:space="preserve"> </v>
      </c>
    </row>
    <row r="141" spans="1:13">
      <c r="A141" s="738">
        <f t="shared" ref="A141:A204" si="18">EDATE(A140,1)</f>
        <v>40878</v>
      </c>
      <c r="C141" s="739">
        <f t="shared" ref="C141:C204" si="19">A142-A141</f>
        <v>31</v>
      </c>
      <c r="D141" s="742">
        <f ca="1">IF($A141&gt;Endyr,0,IF($A141&lt;Assm!$F$32,G141,Capacity*C141))</f>
        <v>3192690</v>
      </c>
      <c r="E141" s="740">
        <f t="shared" ref="E141:E204" si="20">IF($A141&gt;Endyr,0,Tariff_Cap)</f>
        <v>0.33510000000000001</v>
      </c>
      <c r="F141" s="971">
        <f t="shared" ref="F141:F204" ca="1" si="21">D141*E141/1000</f>
        <v>1069.8704190000001</v>
      </c>
      <c r="G141" s="972">
        <f ca="1">[3]MMBTU!R164</f>
        <v>2092866.048</v>
      </c>
      <c r="H141" s="740">
        <f t="shared" ref="H141:H204" si="22">IF($A141&gt;Endyr,0,Tariff_Var)</f>
        <v>5.0000000000000001E-3</v>
      </c>
      <c r="I141" s="971">
        <f t="shared" ref="I141:I204" ca="1" si="23">G141*H141/1000</f>
        <v>10.464330239999999</v>
      </c>
      <c r="J141" s="977">
        <f t="shared" ref="J141:J204" ca="1" si="24">SUM(F141,I141)</f>
        <v>1080.3347492400001</v>
      </c>
      <c r="K141" s="741">
        <f ca="1">VLOOKUP($A141,Curves_Table,Escalation!$P$291)</f>
        <v>1.4453629302678073</v>
      </c>
      <c r="L141" s="743">
        <f t="shared" ref="L141:L204" ca="1" si="25">J141*K141</f>
        <v>1561.4757988316633</v>
      </c>
      <c r="M141" s="744">
        <f t="shared" ref="M141:M204" ca="1" si="26">IF(MONTH($A141)=12,SUM(L130:L141)," ")</f>
        <v>18234.952127638138</v>
      </c>
    </row>
    <row r="142" spans="1:13">
      <c r="A142" s="738">
        <f t="shared" si="18"/>
        <v>40909</v>
      </c>
      <c r="C142" s="739">
        <f t="shared" si="19"/>
        <v>31</v>
      </c>
      <c r="D142" s="742">
        <f ca="1">IF($A142&gt;Endyr,0,IF($A142&lt;Assm!$F$32,G142,Capacity*C142))</f>
        <v>3192690</v>
      </c>
      <c r="E142" s="740">
        <f t="shared" si="20"/>
        <v>0.33510000000000001</v>
      </c>
      <c r="F142" s="971">
        <f t="shared" ca="1" si="21"/>
        <v>1069.8704190000001</v>
      </c>
      <c r="G142" s="972">
        <f ca="1">[3]MMBTU!R165</f>
        <v>2092866.048</v>
      </c>
      <c r="H142" s="740">
        <f t="shared" si="22"/>
        <v>5.0000000000000001E-3</v>
      </c>
      <c r="I142" s="971">
        <f t="shared" ca="1" si="23"/>
        <v>10.464330239999999</v>
      </c>
      <c r="J142" s="977">
        <f t="shared" ca="1" si="24"/>
        <v>1080.3347492400001</v>
      </c>
      <c r="K142" s="741">
        <f ca="1">VLOOKUP($A142,Curves_Table,Escalation!$P$291)</f>
        <v>1.4453629302678073</v>
      </c>
      <c r="L142" s="743">
        <f t="shared" ca="1" si="25"/>
        <v>1561.4757988316633</v>
      </c>
      <c r="M142" s="744" t="str">
        <f t="shared" ca="1" si="26"/>
        <v xml:space="preserve"> </v>
      </c>
    </row>
    <row r="143" spans="1:13">
      <c r="A143" s="738">
        <f t="shared" si="18"/>
        <v>40940</v>
      </c>
      <c r="C143" s="739">
        <f t="shared" si="19"/>
        <v>29</v>
      </c>
      <c r="D143" s="742">
        <f ca="1">IF($A143&gt;Endyr,0,IF($A143&lt;Assm!$F$32,G143,Capacity*C143))</f>
        <v>2986710</v>
      </c>
      <c r="E143" s="740">
        <f t="shared" si="20"/>
        <v>0.33510000000000001</v>
      </c>
      <c r="F143" s="971">
        <f t="shared" ca="1" si="21"/>
        <v>1000.8465210000001</v>
      </c>
      <c r="G143" s="972">
        <f ca="1">[3]MMBTU!R166</f>
        <v>1957842.432</v>
      </c>
      <c r="H143" s="740">
        <f t="shared" si="22"/>
        <v>5.0000000000000001E-3</v>
      </c>
      <c r="I143" s="971">
        <f t="shared" ca="1" si="23"/>
        <v>9.7892121600000017</v>
      </c>
      <c r="J143" s="977">
        <f t="shared" ca="1" si="24"/>
        <v>1010.6357331600001</v>
      </c>
      <c r="K143" s="741">
        <f ca="1">VLOOKUP($A143,Curves_Table,Escalation!$P$291)</f>
        <v>1.4453629302678073</v>
      </c>
      <c r="L143" s="743">
        <f t="shared" ca="1" si="25"/>
        <v>1460.7354247134915</v>
      </c>
      <c r="M143" s="744" t="str">
        <f t="shared" ca="1" si="26"/>
        <v xml:space="preserve"> </v>
      </c>
    </row>
    <row r="144" spans="1:13">
      <c r="A144" s="738">
        <f t="shared" si="18"/>
        <v>40969</v>
      </c>
      <c r="C144" s="739">
        <f t="shared" si="19"/>
        <v>31</v>
      </c>
      <c r="D144" s="742">
        <f ca="1">IF($A144&gt;Endyr,0,IF($A144&lt;Assm!$F$32,G144,Capacity*C144))</f>
        <v>3192690</v>
      </c>
      <c r="E144" s="740">
        <f t="shared" si="20"/>
        <v>0.33510000000000001</v>
      </c>
      <c r="F144" s="971">
        <f t="shared" ca="1" si="21"/>
        <v>1069.8704190000001</v>
      </c>
      <c r="G144" s="972">
        <f ca="1">[3]MMBTU!R167</f>
        <v>2092866.048</v>
      </c>
      <c r="H144" s="740">
        <f t="shared" si="22"/>
        <v>5.0000000000000001E-3</v>
      </c>
      <c r="I144" s="971">
        <f t="shared" ca="1" si="23"/>
        <v>10.464330239999999</v>
      </c>
      <c r="J144" s="977">
        <f t="shared" ca="1" si="24"/>
        <v>1080.3347492400001</v>
      </c>
      <c r="K144" s="741">
        <f ca="1">VLOOKUP($A144,Curves_Table,Escalation!$P$291)</f>
        <v>1.4453629302678073</v>
      </c>
      <c r="L144" s="743">
        <f t="shared" ca="1" si="25"/>
        <v>1561.4757988316633</v>
      </c>
      <c r="M144" s="744" t="str">
        <f t="shared" ca="1" si="26"/>
        <v xml:space="preserve"> </v>
      </c>
    </row>
    <row r="145" spans="1:13">
      <c r="A145" s="738">
        <f t="shared" si="18"/>
        <v>41000</v>
      </c>
      <c r="C145" s="739">
        <f t="shared" si="19"/>
        <v>30</v>
      </c>
      <c r="D145" s="742">
        <f ca="1">IF($A145&gt;Endyr,0,IF($A145&lt;Assm!$F$32,G145,Capacity*C145))</f>
        <v>3089700</v>
      </c>
      <c r="E145" s="740">
        <f t="shared" si="20"/>
        <v>0.33510000000000001</v>
      </c>
      <c r="F145" s="971">
        <f t="shared" ca="1" si="21"/>
        <v>1035.3584699999999</v>
      </c>
      <c r="G145" s="972">
        <f ca="1">[3]MMBTU!R168</f>
        <v>2025354.24</v>
      </c>
      <c r="H145" s="740">
        <f t="shared" si="22"/>
        <v>5.0000000000000001E-3</v>
      </c>
      <c r="I145" s="971">
        <f t="shared" ca="1" si="23"/>
        <v>10.1267712</v>
      </c>
      <c r="J145" s="977">
        <f t="shared" ca="1" si="24"/>
        <v>1045.4852411999998</v>
      </c>
      <c r="K145" s="741">
        <f ca="1">VLOOKUP($A145,Curves_Table,Escalation!$P$291)</f>
        <v>1.4453629302678073</v>
      </c>
      <c r="L145" s="743">
        <f t="shared" ca="1" si="25"/>
        <v>1511.105611772577</v>
      </c>
      <c r="M145" s="744" t="str">
        <f t="shared" ca="1" si="26"/>
        <v xml:space="preserve"> </v>
      </c>
    </row>
    <row r="146" spans="1:13">
      <c r="A146" s="738">
        <f t="shared" si="18"/>
        <v>41030</v>
      </c>
      <c r="C146" s="739">
        <f t="shared" si="19"/>
        <v>31</v>
      </c>
      <c r="D146" s="742">
        <f ca="1">IF($A146&gt;Endyr,0,IF($A146&lt;Assm!$F$32,G146,Capacity*C146))</f>
        <v>3192690</v>
      </c>
      <c r="E146" s="740">
        <f t="shared" si="20"/>
        <v>0.33510000000000001</v>
      </c>
      <c r="F146" s="971">
        <f t="shared" ca="1" si="21"/>
        <v>1069.8704190000001</v>
      </c>
      <c r="G146" s="972">
        <f ca="1">[3]MMBTU!R169</f>
        <v>2092866.048</v>
      </c>
      <c r="H146" s="740">
        <f t="shared" si="22"/>
        <v>5.0000000000000001E-3</v>
      </c>
      <c r="I146" s="971">
        <f t="shared" ca="1" si="23"/>
        <v>10.464330239999999</v>
      </c>
      <c r="J146" s="977">
        <f t="shared" ca="1" si="24"/>
        <v>1080.3347492400001</v>
      </c>
      <c r="K146" s="741">
        <f ca="1">VLOOKUP($A146,Curves_Table,Escalation!$P$291)</f>
        <v>1.4818086105109716</v>
      </c>
      <c r="L146" s="743">
        <f t="shared" ca="1" si="25"/>
        <v>1600.8493336580434</v>
      </c>
      <c r="M146" s="744" t="str">
        <f t="shared" ca="1" si="26"/>
        <v xml:space="preserve"> </v>
      </c>
    </row>
    <row r="147" spans="1:13">
      <c r="A147" s="738">
        <f t="shared" si="18"/>
        <v>41061</v>
      </c>
      <c r="C147" s="739">
        <f t="shared" si="19"/>
        <v>30</v>
      </c>
      <c r="D147" s="742">
        <f ca="1">IF($A147&gt;Endyr,0,IF($A147&lt;Assm!$F$32,G147,Capacity*C147))</f>
        <v>3089700</v>
      </c>
      <c r="E147" s="740">
        <f t="shared" si="20"/>
        <v>0.33510000000000001</v>
      </c>
      <c r="F147" s="971">
        <f t="shared" ca="1" si="21"/>
        <v>1035.3584699999999</v>
      </c>
      <c r="G147" s="972">
        <f ca="1">[3]MMBTU!R170</f>
        <v>2025354.24</v>
      </c>
      <c r="H147" s="740">
        <f t="shared" si="22"/>
        <v>5.0000000000000001E-3</v>
      </c>
      <c r="I147" s="971">
        <f t="shared" ca="1" si="23"/>
        <v>10.1267712</v>
      </c>
      <c r="J147" s="977">
        <f t="shared" ca="1" si="24"/>
        <v>1045.4852411999998</v>
      </c>
      <c r="K147" s="741">
        <f ca="1">VLOOKUP($A147,Curves_Table,Escalation!$P$291)</f>
        <v>1.4818086105109716</v>
      </c>
      <c r="L147" s="743">
        <f t="shared" ca="1" si="25"/>
        <v>1549.2090325722997</v>
      </c>
      <c r="M147" s="744" t="str">
        <f t="shared" ca="1" si="26"/>
        <v xml:space="preserve"> </v>
      </c>
    </row>
    <row r="148" spans="1:13">
      <c r="A148" s="738">
        <f t="shared" si="18"/>
        <v>41091</v>
      </c>
      <c r="C148" s="739">
        <f t="shared" si="19"/>
        <v>31</v>
      </c>
      <c r="D148" s="742">
        <f ca="1">IF($A148&gt;Endyr,0,IF($A148&lt;Assm!$F$32,G148,Capacity*C148))</f>
        <v>3192690</v>
      </c>
      <c r="E148" s="740">
        <f t="shared" si="20"/>
        <v>0.33510000000000001</v>
      </c>
      <c r="F148" s="971">
        <f t="shared" ca="1" si="21"/>
        <v>1069.8704190000001</v>
      </c>
      <c r="G148" s="972">
        <f ca="1">[3]MMBTU!R171</f>
        <v>2092866.048</v>
      </c>
      <c r="H148" s="740">
        <f t="shared" si="22"/>
        <v>5.0000000000000001E-3</v>
      </c>
      <c r="I148" s="971">
        <f t="shared" ca="1" si="23"/>
        <v>10.464330239999999</v>
      </c>
      <c r="J148" s="977">
        <f t="shared" ca="1" si="24"/>
        <v>1080.3347492400001</v>
      </c>
      <c r="K148" s="741">
        <f ca="1">VLOOKUP($A148,Curves_Table,Escalation!$P$291)</f>
        <v>1.4818086105109716</v>
      </c>
      <c r="L148" s="743">
        <f t="shared" ca="1" si="25"/>
        <v>1600.8493336580434</v>
      </c>
      <c r="M148" s="744" t="str">
        <f t="shared" ca="1" si="26"/>
        <v xml:space="preserve"> </v>
      </c>
    </row>
    <row r="149" spans="1:13">
      <c r="A149" s="738">
        <f t="shared" si="18"/>
        <v>41122</v>
      </c>
      <c r="C149" s="739">
        <f t="shared" si="19"/>
        <v>31</v>
      </c>
      <c r="D149" s="742">
        <f ca="1">IF($A149&gt;Endyr,0,IF($A149&lt;Assm!$F$32,G149,Capacity*C149))</f>
        <v>3192690</v>
      </c>
      <c r="E149" s="740">
        <f t="shared" si="20"/>
        <v>0.33510000000000001</v>
      </c>
      <c r="F149" s="971">
        <f t="shared" ca="1" si="21"/>
        <v>1069.8704190000001</v>
      </c>
      <c r="G149" s="972">
        <f ca="1">[3]MMBTU!R172</f>
        <v>2092866.048</v>
      </c>
      <c r="H149" s="740">
        <f t="shared" si="22"/>
        <v>5.0000000000000001E-3</v>
      </c>
      <c r="I149" s="971">
        <f t="shared" ca="1" si="23"/>
        <v>10.464330239999999</v>
      </c>
      <c r="J149" s="977">
        <f t="shared" ca="1" si="24"/>
        <v>1080.3347492400001</v>
      </c>
      <c r="K149" s="741">
        <f ca="1">VLOOKUP($A149,Curves_Table,Escalation!$P$291)</f>
        <v>1.4818086105109716</v>
      </c>
      <c r="L149" s="743">
        <f t="shared" ca="1" si="25"/>
        <v>1600.8493336580434</v>
      </c>
      <c r="M149" s="744" t="str">
        <f t="shared" ca="1" si="26"/>
        <v xml:space="preserve"> </v>
      </c>
    </row>
    <row r="150" spans="1:13">
      <c r="A150" s="738">
        <f t="shared" si="18"/>
        <v>41153</v>
      </c>
      <c r="C150" s="739">
        <f t="shared" si="19"/>
        <v>30</v>
      </c>
      <c r="D150" s="742">
        <f ca="1">IF($A150&gt;Endyr,0,IF($A150&lt;Assm!$F$32,G150,Capacity*C150))</f>
        <v>3089700</v>
      </c>
      <c r="E150" s="740">
        <f t="shared" si="20"/>
        <v>0.33510000000000001</v>
      </c>
      <c r="F150" s="971">
        <f t="shared" ca="1" si="21"/>
        <v>1035.3584699999999</v>
      </c>
      <c r="G150" s="972">
        <f ca="1">[3]MMBTU!R173</f>
        <v>2025354.24</v>
      </c>
      <c r="H150" s="740">
        <f t="shared" si="22"/>
        <v>5.0000000000000001E-3</v>
      </c>
      <c r="I150" s="971">
        <f t="shared" ca="1" si="23"/>
        <v>10.1267712</v>
      </c>
      <c r="J150" s="977">
        <f t="shared" ca="1" si="24"/>
        <v>1045.4852411999998</v>
      </c>
      <c r="K150" s="741">
        <f ca="1">VLOOKUP($A150,Curves_Table,Escalation!$P$291)</f>
        <v>1.4818086105109716</v>
      </c>
      <c r="L150" s="743">
        <f t="shared" ca="1" si="25"/>
        <v>1549.2090325722997</v>
      </c>
      <c r="M150" s="744" t="str">
        <f t="shared" ca="1" si="26"/>
        <v xml:space="preserve"> </v>
      </c>
    </row>
    <row r="151" spans="1:13">
      <c r="A151" s="738">
        <f t="shared" si="18"/>
        <v>41183</v>
      </c>
      <c r="C151" s="739">
        <f t="shared" si="19"/>
        <v>31</v>
      </c>
      <c r="D151" s="742">
        <f ca="1">IF($A151&gt;Endyr,0,IF($A151&lt;Assm!$F$32,G151,Capacity*C151))</f>
        <v>3192690</v>
      </c>
      <c r="E151" s="740">
        <f t="shared" si="20"/>
        <v>0.33510000000000001</v>
      </c>
      <c r="F151" s="971">
        <f t="shared" ca="1" si="21"/>
        <v>1069.8704190000001</v>
      </c>
      <c r="G151" s="972">
        <f ca="1">[3]MMBTU!R174</f>
        <v>2092866.048</v>
      </c>
      <c r="H151" s="740">
        <f t="shared" si="22"/>
        <v>5.0000000000000001E-3</v>
      </c>
      <c r="I151" s="971">
        <f t="shared" ca="1" si="23"/>
        <v>10.464330239999999</v>
      </c>
      <c r="J151" s="977">
        <f t="shared" ca="1" si="24"/>
        <v>1080.3347492400001</v>
      </c>
      <c r="K151" s="741">
        <f ca="1">VLOOKUP($A151,Curves_Table,Escalation!$P$291)</f>
        <v>1.4818086105109716</v>
      </c>
      <c r="L151" s="743">
        <f t="shared" ca="1" si="25"/>
        <v>1600.8493336580434</v>
      </c>
      <c r="M151" s="744" t="str">
        <f t="shared" ca="1" si="26"/>
        <v xml:space="preserve"> </v>
      </c>
    </row>
    <row r="152" spans="1:13">
      <c r="A152" s="738">
        <f t="shared" si="18"/>
        <v>41214</v>
      </c>
      <c r="C152" s="739">
        <f t="shared" si="19"/>
        <v>30</v>
      </c>
      <c r="D152" s="742">
        <f ca="1">IF($A152&gt;Endyr,0,IF($A152&lt;Assm!$F$32,G152,Capacity*C152))</f>
        <v>3089700</v>
      </c>
      <c r="E152" s="740">
        <f t="shared" si="20"/>
        <v>0.33510000000000001</v>
      </c>
      <c r="F152" s="971">
        <f t="shared" ca="1" si="21"/>
        <v>1035.3584699999999</v>
      </c>
      <c r="G152" s="972">
        <f ca="1">[3]MMBTU!R175</f>
        <v>2025354.24</v>
      </c>
      <c r="H152" s="740">
        <f t="shared" si="22"/>
        <v>5.0000000000000001E-3</v>
      </c>
      <c r="I152" s="971">
        <f t="shared" ca="1" si="23"/>
        <v>10.1267712</v>
      </c>
      <c r="J152" s="977">
        <f t="shared" ca="1" si="24"/>
        <v>1045.4852411999998</v>
      </c>
      <c r="K152" s="741">
        <f ca="1">VLOOKUP($A152,Curves_Table,Escalation!$P$291)</f>
        <v>1.4818086105109716</v>
      </c>
      <c r="L152" s="743">
        <f t="shared" ca="1" si="25"/>
        <v>1549.2090325722997</v>
      </c>
      <c r="M152" s="744" t="str">
        <f t="shared" ca="1" si="26"/>
        <v xml:space="preserve"> </v>
      </c>
    </row>
    <row r="153" spans="1:13">
      <c r="A153" s="738">
        <f t="shared" si="18"/>
        <v>41244</v>
      </c>
      <c r="C153" s="739">
        <f t="shared" si="19"/>
        <v>31</v>
      </c>
      <c r="D153" s="742">
        <f ca="1">IF($A153&gt;Endyr,0,IF($A153&lt;Assm!$F$32,G153,Capacity*C153))</f>
        <v>3192690</v>
      </c>
      <c r="E153" s="740">
        <f t="shared" si="20"/>
        <v>0.33510000000000001</v>
      </c>
      <c r="F153" s="971">
        <f t="shared" ca="1" si="21"/>
        <v>1069.8704190000001</v>
      </c>
      <c r="G153" s="972">
        <f ca="1">[3]MMBTU!R176</f>
        <v>2092866.048</v>
      </c>
      <c r="H153" s="740">
        <f t="shared" si="22"/>
        <v>5.0000000000000001E-3</v>
      </c>
      <c r="I153" s="971">
        <f t="shared" ca="1" si="23"/>
        <v>10.464330239999999</v>
      </c>
      <c r="J153" s="977">
        <f t="shared" ca="1" si="24"/>
        <v>1080.3347492400001</v>
      </c>
      <c r="K153" s="741">
        <f ca="1">VLOOKUP($A153,Curves_Table,Escalation!$P$291)</f>
        <v>1.4818086105109716</v>
      </c>
      <c r="L153" s="743">
        <f t="shared" ca="1" si="25"/>
        <v>1600.8493336580434</v>
      </c>
      <c r="M153" s="744">
        <f t="shared" ca="1" si="26"/>
        <v>18746.666400156511</v>
      </c>
    </row>
    <row r="154" spans="1:13">
      <c r="A154" s="738">
        <f t="shared" si="18"/>
        <v>41275</v>
      </c>
      <c r="C154" s="739">
        <f t="shared" si="19"/>
        <v>31</v>
      </c>
      <c r="D154" s="742">
        <f ca="1">IF($A154&gt;Endyr,0,IF($A154&lt;Assm!$F$32,G154,Capacity*C154))</f>
        <v>3192690</v>
      </c>
      <c r="E154" s="740">
        <f t="shared" si="20"/>
        <v>0.33510000000000001</v>
      </c>
      <c r="F154" s="971">
        <f t="shared" ca="1" si="21"/>
        <v>1069.8704190000001</v>
      </c>
      <c r="G154" s="972">
        <f ca="1">[3]MMBTU!R177</f>
        <v>2092866.048</v>
      </c>
      <c r="H154" s="740">
        <f t="shared" si="22"/>
        <v>5.0000000000000001E-3</v>
      </c>
      <c r="I154" s="971">
        <f t="shared" ca="1" si="23"/>
        <v>10.464330239999999</v>
      </c>
      <c r="J154" s="977">
        <f t="shared" ca="1" si="24"/>
        <v>1080.3347492400001</v>
      </c>
      <c r="K154" s="741">
        <f ca="1">VLOOKUP($A154,Curves_Table,Escalation!$P$291)</f>
        <v>1.4818086105109716</v>
      </c>
      <c r="L154" s="743">
        <f t="shared" ca="1" si="25"/>
        <v>1600.8493336580434</v>
      </c>
      <c r="M154" s="744" t="str">
        <f t="shared" ca="1" si="26"/>
        <v xml:space="preserve"> </v>
      </c>
    </row>
    <row r="155" spans="1:13">
      <c r="A155" s="738">
        <f t="shared" si="18"/>
        <v>41306</v>
      </c>
      <c r="C155" s="739">
        <f t="shared" si="19"/>
        <v>28</v>
      </c>
      <c r="D155" s="742">
        <f ca="1">IF($A155&gt;Endyr,0,IF($A155&lt;Assm!$F$32,G155,Capacity*C155))</f>
        <v>2883720</v>
      </c>
      <c r="E155" s="740">
        <f t="shared" si="20"/>
        <v>0.33510000000000001</v>
      </c>
      <c r="F155" s="971">
        <f t="shared" ca="1" si="21"/>
        <v>966.33457200000009</v>
      </c>
      <c r="G155" s="972">
        <f ca="1">[3]MMBTU!R178</f>
        <v>1890330.6240000003</v>
      </c>
      <c r="H155" s="740">
        <f t="shared" si="22"/>
        <v>5.0000000000000001E-3</v>
      </c>
      <c r="I155" s="971">
        <f t="shared" ca="1" si="23"/>
        <v>9.4516531200000014</v>
      </c>
      <c r="J155" s="977">
        <f t="shared" ca="1" si="24"/>
        <v>975.78622512000004</v>
      </c>
      <c r="K155" s="741">
        <f ca="1">VLOOKUP($A155,Curves_Table,Escalation!$P$291)</f>
        <v>1.4818086105109716</v>
      </c>
      <c r="L155" s="743">
        <f t="shared" ca="1" si="25"/>
        <v>1445.9284304008133</v>
      </c>
      <c r="M155" s="744" t="str">
        <f t="shared" ca="1" si="26"/>
        <v xml:space="preserve"> </v>
      </c>
    </row>
    <row r="156" spans="1:13">
      <c r="A156" s="738">
        <f t="shared" si="18"/>
        <v>41334</v>
      </c>
      <c r="C156" s="739">
        <f t="shared" si="19"/>
        <v>31</v>
      </c>
      <c r="D156" s="742">
        <f ca="1">IF($A156&gt;Endyr,0,IF($A156&lt;Assm!$F$32,G156,Capacity*C156))</f>
        <v>3192690</v>
      </c>
      <c r="E156" s="740">
        <f t="shared" si="20"/>
        <v>0.33510000000000001</v>
      </c>
      <c r="F156" s="971">
        <f t="shared" ca="1" si="21"/>
        <v>1069.8704190000001</v>
      </c>
      <c r="G156" s="972">
        <f ca="1">[3]MMBTU!R179</f>
        <v>2092866.048</v>
      </c>
      <c r="H156" s="740">
        <f t="shared" si="22"/>
        <v>5.0000000000000001E-3</v>
      </c>
      <c r="I156" s="971">
        <f t="shared" ca="1" si="23"/>
        <v>10.464330239999999</v>
      </c>
      <c r="J156" s="977">
        <f t="shared" ca="1" si="24"/>
        <v>1080.3347492400001</v>
      </c>
      <c r="K156" s="741">
        <f ca="1">VLOOKUP($A156,Curves_Table,Escalation!$P$291)</f>
        <v>1.4818086105109716</v>
      </c>
      <c r="L156" s="743">
        <f t="shared" ca="1" si="25"/>
        <v>1600.8493336580434</v>
      </c>
      <c r="M156" s="744" t="str">
        <f t="shared" ca="1" si="26"/>
        <v xml:space="preserve"> </v>
      </c>
    </row>
    <row r="157" spans="1:13">
      <c r="A157" s="738">
        <f t="shared" si="18"/>
        <v>41365</v>
      </c>
      <c r="C157" s="739">
        <f t="shared" si="19"/>
        <v>30</v>
      </c>
      <c r="D157" s="742">
        <f ca="1">IF($A157&gt;Endyr,0,IF($A157&lt;Assm!$F$32,G157,Capacity*C157))</f>
        <v>3089700</v>
      </c>
      <c r="E157" s="740">
        <f t="shared" si="20"/>
        <v>0.33510000000000001</v>
      </c>
      <c r="F157" s="971">
        <f t="shared" ca="1" si="21"/>
        <v>1035.3584699999999</v>
      </c>
      <c r="G157" s="972">
        <f ca="1">[3]MMBTU!R180</f>
        <v>2025354.24</v>
      </c>
      <c r="H157" s="740">
        <f t="shared" si="22"/>
        <v>5.0000000000000001E-3</v>
      </c>
      <c r="I157" s="971">
        <f t="shared" ca="1" si="23"/>
        <v>10.1267712</v>
      </c>
      <c r="J157" s="977">
        <f t="shared" ca="1" si="24"/>
        <v>1045.4852411999998</v>
      </c>
      <c r="K157" s="741">
        <f ca="1">VLOOKUP($A157,Curves_Table,Escalation!$P$291)</f>
        <v>1.4818086105109716</v>
      </c>
      <c r="L157" s="743">
        <f t="shared" ca="1" si="25"/>
        <v>1549.2090325722997</v>
      </c>
      <c r="M157" s="744" t="str">
        <f t="shared" ca="1" si="26"/>
        <v xml:space="preserve"> </v>
      </c>
    </row>
    <row r="158" spans="1:13">
      <c r="A158" s="738">
        <f t="shared" si="18"/>
        <v>41395</v>
      </c>
      <c r="C158" s="739">
        <f t="shared" si="19"/>
        <v>31</v>
      </c>
      <c r="D158" s="742">
        <f ca="1">IF($A158&gt;Endyr,0,IF($A158&lt;Assm!$F$32,G158,Capacity*C158))</f>
        <v>3192690</v>
      </c>
      <c r="E158" s="740">
        <f t="shared" si="20"/>
        <v>0.33510000000000001</v>
      </c>
      <c r="F158" s="971">
        <f t="shared" ca="1" si="21"/>
        <v>1069.8704190000001</v>
      </c>
      <c r="G158" s="972">
        <f ca="1">[3]MMBTU!R181</f>
        <v>2092866.048</v>
      </c>
      <c r="H158" s="740">
        <f t="shared" si="22"/>
        <v>5.0000000000000001E-3</v>
      </c>
      <c r="I158" s="971">
        <f t="shared" ca="1" si="23"/>
        <v>10.464330239999999</v>
      </c>
      <c r="J158" s="977">
        <f t="shared" ca="1" si="24"/>
        <v>1080.3347492400001</v>
      </c>
      <c r="K158" s="741">
        <f ca="1">VLOOKUP($A158,Curves_Table,Escalation!$P$291)</f>
        <v>1.5190107088932228</v>
      </c>
      <c r="L158" s="743">
        <f t="shared" ca="1" si="25"/>
        <v>1641.0400532850344</v>
      </c>
      <c r="M158" s="744" t="str">
        <f t="shared" ca="1" si="26"/>
        <v xml:space="preserve"> </v>
      </c>
    </row>
    <row r="159" spans="1:13">
      <c r="A159" s="738">
        <f t="shared" si="18"/>
        <v>41426</v>
      </c>
      <c r="C159" s="739">
        <f t="shared" si="19"/>
        <v>30</v>
      </c>
      <c r="D159" s="742">
        <f ca="1">IF($A159&gt;Endyr,0,IF($A159&lt;Assm!$F$32,G159,Capacity*C159))</f>
        <v>3089700</v>
      </c>
      <c r="E159" s="740">
        <f t="shared" si="20"/>
        <v>0.33510000000000001</v>
      </c>
      <c r="F159" s="971">
        <f t="shared" ca="1" si="21"/>
        <v>1035.3584699999999</v>
      </c>
      <c r="G159" s="972">
        <f ca="1">[3]MMBTU!R182</f>
        <v>2025354.24</v>
      </c>
      <c r="H159" s="740">
        <f t="shared" si="22"/>
        <v>5.0000000000000001E-3</v>
      </c>
      <c r="I159" s="971">
        <f t="shared" ca="1" si="23"/>
        <v>10.1267712</v>
      </c>
      <c r="J159" s="977">
        <f t="shared" ca="1" si="24"/>
        <v>1045.4852411999998</v>
      </c>
      <c r="K159" s="741">
        <f ca="1">VLOOKUP($A159,Curves_Table,Escalation!$P$291)</f>
        <v>1.5190107088932228</v>
      </c>
      <c r="L159" s="743">
        <f t="shared" ca="1" si="25"/>
        <v>1588.1032773726138</v>
      </c>
      <c r="M159" s="744" t="str">
        <f t="shared" ca="1" si="26"/>
        <v xml:space="preserve"> </v>
      </c>
    </row>
    <row r="160" spans="1:13">
      <c r="A160" s="738">
        <f t="shared" si="18"/>
        <v>41456</v>
      </c>
      <c r="C160" s="739">
        <f t="shared" si="19"/>
        <v>31</v>
      </c>
      <c r="D160" s="742">
        <f ca="1">IF($A160&gt;Endyr,0,IF($A160&lt;Assm!$F$32,G160,Capacity*C160))</f>
        <v>3192690</v>
      </c>
      <c r="E160" s="740">
        <f t="shared" si="20"/>
        <v>0.33510000000000001</v>
      </c>
      <c r="F160" s="971">
        <f t="shared" ca="1" si="21"/>
        <v>1069.8704190000001</v>
      </c>
      <c r="G160" s="972">
        <f ca="1">[3]MMBTU!R183</f>
        <v>2092866.048</v>
      </c>
      <c r="H160" s="740">
        <f t="shared" si="22"/>
        <v>5.0000000000000001E-3</v>
      </c>
      <c r="I160" s="971">
        <f t="shared" ca="1" si="23"/>
        <v>10.464330239999999</v>
      </c>
      <c r="J160" s="977">
        <f t="shared" ca="1" si="24"/>
        <v>1080.3347492400001</v>
      </c>
      <c r="K160" s="741">
        <f ca="1">VLOOKUP($A160,Curves_Table,Escalation!$P$291)</f>
        <v>1.5190107088932228</v>
      </c>
      <c r="L160" s="743">
        <f t="shared" ca="1" si="25"/>
        <v>1641.0400532850344</v>
      </c>
      <c r="M160" s="744" t="str">
        <f t="shared" ca="1" si="26"/>
        <v xml:space="preserve"> </v>
      </c>
    </row>
    <row r="161" spans="1:13">
      <c r="A161" s="738">
        <f t="shared" si="18"/>
        <v>41487</v>
      </c>
      <c r="C161" s="739">
        <f t="shared" si="19"/>
        <v>31</v>
      </c>
      <c r="D161" s="742">
        <f ca="1">IF($A161&gt;Endyr,0,IF($A161&lt;Assm!$F$32,G161,Capacity*C161))</f>
        <v>3192690</v>
      </c>
      <c r="E161" s="740">
        <f t="shared" si="20"/>
        <v>0.33510000000000001</v>
      </c>
      <c r="F161" s="971">
        <f t="shared" ca="1" si="21"/>
        <v>1069.8704190000001</v>
      </c>
      <c r="G161" s="972">
        <f ca="1">[3]MMBTU!R184</f>
        <v>2092866.048</v>
      </c>
      <c r="H161" s="740">
        <f t="shared" si="22"/>
        <v>5.0000000000000001E-3</v>
      </c>
      <c r="I161" s="971">
        <f t="shared" ca="1" si="23"/>
        <v>10.464330239999999</v>
      </c>
      <c r="J161" s="977">
        <f t="shared" ca="1" si="24"/>
        <v>1080.3347492400001</v>
      </c>
      <c r="K161" s="741">
        <f ca="1">VLOOKUP($A161,Curves_Table,Escalation!$P$291)</f>
        <v>1.5190107088932228</v>
      </c>
      <c r="L161" s="743">
        <f t="shared" ca="1" si="25"/>
        <v>1641.0400532850344</v>
      </c>
      <c r="M161" s="744" t="str">
        <f t="shared" ca="1" si="26"/>
        <v xml:space="preserve"> </v>
      </c>
    </row>
    <row r="162" spans="1:13">
      <c r="A162" s="738">
        <f t="shared" si="18"/>
        <v>41518</v>
      </c>
      <c r="C162" s="739">
        <f t="shared" si="19"/>
        <v>30</v>
      </c>
      <c r="D162" s="742">
        <f ca="1">IF($A162&gt;Endyr,0,IF($A162&lt;Assm!$F$32,G162,Capacity*C162))</f>
        <v>3089700</v>
      </c>
      <c r="E162" s="740">
        <f t="shared" si="20"/>
        <v>0.33510000000000001</v>
      </c>
      <c r="F162" s="971">
        <f t="shared" ca="1" si="21"/>
        <v>1035.3584699999999</v>
      </c>
      <c r="G162" s="972">
        <f ca="1">[3]MMBTU!R185</f>
        <v>2025354.24</v>
      </c>
      <c r="H162" s="740">
        <f t="shared" si="22"/>
        <v>5.0000000000000001E-3</v>
      </c>
      <c r="I162" s="971">
        <f t="shared" ca="1" si="23"/>
        <v>10.1267712</v>
      </c>
      <c r="J162" s="977">
        <f t="shared" ca="1" si="24"/>
        <v>1045.4852411999998</v>
      </c>
      <c r="K162" s="741">
        <f ca="1">VLOOKUP($A162,Curves_Table,Escalation!$P$291)</f>
        <v>1.5190107088932228</v>
      </c>
      <c r="L162" s="743">
        <f t="shared" ca="1" si="25"/>
        <v>1588.1032773726138</v>
      </c>
      <c r="M162" s="744" t="str">
        <f t="shared" ca="1" si="26"/>
        <v xml:space="preserve"> </v>
      </c>
    </row>
    <row r="163" spans="1:13">
      <c r="A163" s="738">
        <f t="shared" si="18"/>
        <v>41548</v>
      </c>
      <c r="C163" s="739">
        <f t="shared" si="19"/>
        <v>31</v>
      </c>
      <c r="D163" s="742">
        <f ca="1">IF($A163&gt;Endyr,0,IF($A163&lt;Assm!$F$32,G163,Capacity*C163))</f>
        <v>3192690</v>
      </c>
      <c r="E163" s="740">
        <f t="shared" si="20"/>
        <v>0.33510000000000001</v>
      </c>
      <c r="F163" s="971">
        <f t="shared" ca="1" si="21"/>
        <v>1069.8704190000001</v>
      </c>
      <c r="G163" s="972">
        <f ca="1">[3]MMBTU!R186</f>
        <v>2092866.048</v>
      </c>
      <c r="H163" s="740">
        <f t="shared" si="22"/>
        <v>5.0000000000000001E-3</v>
      </c>
      <c r="I163" s="971">
        <f t="shared" ca="1" si="23"/>
        <v>10.464330239999999</v>
      </c>
      <c r="J163" s="977">
        <f t="shared" ca="1" si="24"/>
        <v>1080.3347492400001</v>
      </c>
      <c r="K163" s="741">
        <f ca="1">VLOOKUP($A163,Curves_Table,Escalation!$P$291)</f>
        <v>1.5190107088932228</v>
      </c>
      <c r="L163" s="743">
        <f t="shared" ca="1" si="25"/>
        <v>1641.0400532850344</v>
      </c>
      <c r="M163" s="744" t="str">
        <f t="shared" ca="1" si="26"/>
        <v xml:space="preserve"> </v>
      </c>
    </row>
    <row r="164" spans="1:13">
      <c r="A164" s="738">
        <f t="shared" si="18"/>
        <v>41579</v>
      </c>
      <c r="C164" s="739">
        <f t="shared" si="19"/>
        <v>30</v>
      </c>
      <c r="D164" s="742">
        <f ca="1">IF($A164&gt;Endyr,0,IF($A164&lt;Assm!$F$32,G164,Capacity*C164))</f>
        <v>3089700</v>
      </c>
      <c r="E164" s="740">
        <f t="shared" si="20"/>
        <v>0.33510000000000001</v>
      </c>
      <c r="F164" s="971">
        <f t="shared" ca="1" si="21"/>
        <v>1035.3584699999999</v>
      </c>
      <c r="G164" s="972">
        <f ca="1">[3]MMBTU!R187</f>
        <v>2025354.24</v>
      </c>
      <c r="H164" s="740">
        <f t="shared" si="22"/>
        <v>5.0000000000000001E-3</v>
      </c>
      <c r="I164" s="971">
        <f t="shared" ca="1" si="23"/>
        <v>10.1267712</v>
      </c>
      <c r="J164" s="977">
        <f t="shared" ca="1" si="24"/>
        <v>1045.4852411999998</v>
      </c>
      <c r="K164" s="741">
        <f ca="1">VLOOKUP($A164,Curves_Table,Escalation!$P$291)</f>
        <v>1.5190107088932228</v>
      </c>
      <c r="L164" s="743">
        <f t="shared" ca="1" si="25"/>
        <v>1588.1032773726138</v>
      </c>
      <c r="M164" s="744" t="str">
        <f t="shared" ca="1" si="26"/>
        <v xml:space="preserve"> </v>
      </c>
    </row>
    <row r="165" spans="1:13">
      <c r="A165" s="738">
        <f t="shared" si="18"/>
        <v>41609</v>
      </c>
      <c r="C165" s="739">
        <f t="shared" si="19"/>
        <v>31</v>
      </c>
      <c r="D165" s="742">
        <f ca="1">IF($A165&gt;Endyr,0,IF($A165&lt;Assm!$F$32,G165,Capacity*C165))</f>
        <v>3192690</v>
      </c>
      <c r="E165" s="740">
        <f t="shared" si="20"/>
        <v>0.33510000000000001</v>
      </c>
      <c r="F165" s="971">
        <f t="shared" ca="1" si="21"/>
        <v>1069.8704190000001</v>
      </c>
      <c r="G165" s="972">
        <f ca="1">[3]MMBTU!R188</f>
        <v>2092866.048</v>
      </c>
      <c r="H165" s="740">
        <f t="shared" si="22"/>
        <v>5.0000000000000001E-3</v>
      </c>
      <c r="I165" s="971">
        <f t="shared" ca="1" si="23"/>
        <v>10.464330239999999</v>
      </c>
      <c r="J165" s="977">
        <f t="shared" ca="1" si="24"/>
        <v>1080.3347492400001</v>
      </c>
      <c r="K165" s="741">
        <f ca="1">VLOOKUP($A165,Curves_Table,Escalation!$P$291)</f>
        <v>1.5190107088932228</v>
      </c>
      <c r="L165" s="743">
        <f t="shared" ca="1" si="25"/>
        <v>1641.0400532850344</v>
      </c>
      <c r="M165" s="744">
        <f t="shared" ca="1" si="26"/>
        <v>19166.346228832212</v>
      </c>
    </row>
    <row r="166" spans="1:13">
      <c r="A166" s="738">
        <f t="shared" si="18"/>
        <v>41640</v>
      </c>
      <c r="C166" s="739">
        <f t="shared" si="19"/>
        <v>31</v>
      </c>
      <c r="D166" s="742">
        <f ca="1">IF($A166&gt;Endyr,0,IF($A166&lt;Assm!$F$32,G166,Capacity*C166))</f>
        <v>3192690</v>
      </c>
      <c r="E166" s="740">
        <f t="shared" si="20"/>
        <v>0.33510000000000001</v>
      </c>
      <c r="F166" s="971">
        <f t="shared" ca="1" si="21"/>
        <v>1069.8704190000001</v>
      </c>
      <c r="G166" s="972">
        <f ca="1">[3]MMBTU!R189</f>
        <v>2092866.048</v>
      </c>
      <c r="H166" s="740">
        <f t="shared" si="22"/>
        <v>5.0000000000000001E-3</v>
      </c>
      <c r="I166" s="971">
        <f t="shared" ca="1" si="23"/>
        <v>10.464330239999999</v>
      </c>
      <c r="J166" s="977">
        <f t="shared" ca="1" si="24"/>
        <v>1080.3347492400001</v>
      </c>
      <c r="K166" s="741">
        <f ca="1">VLOOKUP($A166,Curves_Table,Escalation!$P$291)</f>
        <v>1.5190107088932228</v>
      </c>
      <c r="L166" s="743">
        <f t="shared" ca="1" si="25"/>
        <v>1641.0400532850344</v>
      </c>
      <c r="M166" s="744" t="str">
        <f t="shared" ca="1" si="26"/>
        <v xml:space="preserve"> </v>
      </c>
    </row>
    <row r="167" spans="1:13">
      <c r="A167" s="738">
        <f t="shared" si="18"/>
        <v>41671</v>
      </c>
      <c r="C167" s="739">
        <f t="shared" si="19"/>
        <v>28</v>
      </c>
      <c r="D167" s="742">
        <f ca="1">IF($A167&gt;Endyr,0,IF($A167&lt;Assm!$F$32,G167,Capacity*C167))</f>
        <v>2883720</v>
      </c>
      <c r="E167" s="740">
        <f t="shared" si="20"/>
        <v>0.33510000000000001</v>
      </c>
      <c r="F167" s="971">
        <f t="shared" ca="1" si="21"/>
        <v>966.33457200000009</v>
      </c>
      <c r="G167" s="972">
        <f ca="1">[3]MMBTU!R190</f>
        <v>1890330.6240000003</v>
      </c>
      <c r="H167" s="740">
        <f t="shared" si="22"/>
        <v>5.0000000000000001E-3</v>
      </c>
      <c r="I167" s="971">
        <f t="shared" ca="1" si="23"/>
        <v>9.4516531200000014</v>
      </c>
      <c r="J167" s="977">
        <f t="shared" ca="1" si="24"/>
        <v>975.78622512000004</v>
      </c>
      <c r="K167" s="741">
        <f ca="1">VLOOKUP($A167,Curves_Table,Escalation!$P$291)</f>
        <v>1.5190107088932228</v>
      </c>
      <c r="L167" s="743">
        <f t="shared" ca="1" si="25"/>
        <v>1482.2297255477731</v>
      </c>
      <c r="M167" s="744" t="str">
        <f t="shared" ca="1" si="26"/>
        <v xml:space="preserve"> </v>
      </c>
    </row>
    <row r="168" spans="1:13">
      <c r="A168" s="738">
        <f t="shared" si="18"/>
        <v>41699</v>
      </c>
      <c r="C168" s="739">
        <f t="shared" si="19"/>
        <v>31</v>
      </c>
      <c r="D168" s="742">
        <f ca="1">IF($A168&gt;Endyr,0,IF($A168&lt;Assm!$F$32,G168,Capacity*C168))</f>
        <v>3192690</v>
      </c>
      <c r="E168" s="740">
        <f t="shared" si="20"/>
        <v>0.33510000000000001</v>
      </c>
      <c r="F168" s="971">
        <f t="shared" ca="1" si="21"/>
        <v>1069.8704190000001</v>
      </c>
      <c r="G168" s="972">
        <f ca="1">[3]MMBTU!R191</f>
        <v>2092866.048</v>
      </c>
      <c r="H168" s="740">
        <f t="shared" si="22"/>
        <v>5.0000000000000001E-3</v>
      </c>
      <c r="I168" s="971">
        <f t="shared" ca="1" si="23"/>
        <v>10.464330239999999</v>
      </c>
      <c r="J168" s="977">
        <f t="shared" ca="1" si="24"/>
        <v>1080.3347492400001</v>
      </c>
      <c r="K168" s="741">
        <f ca="1">VLOOKUP($A168,Curves_Table,Escalation!$P$291)</f>
        <v>1.5190107088932228</v>
      </c>
      <c r="L168" s="743">
        <f t="shared" ca="1" si="25"/>
        <v>1641.0400532850344</v>
      </c>
      <c r="M168" s="744" t="str">
        <f t="shared" ca="1" si="26"/>
        <v xml:space="preserve"> </v>
      </c>
    </row>
    <row r="169" spans="1:13">
      <c r="A169" s="738">
        <f t="shared" si="18"/>
        <v>41730</v>
      </c>
      <c r="C169" s="739">
        <f t="shared" si="19"/>
        <v>30</v>
      </c>
      <c r="D169" s="742">
        <f ca="1">IF($A169&gt;Endyr,0,IF($A169&lt;Assm!$F$32,G169,Capacity*C169))</f>
        <v>3089700</v>
      </c>
      <c r="E169" s="740">
        <f t="shared" si="20"/>
        <v>0.33510000000000001</v>
      </c>
      <c r="F169" s="971">
        <f t="shared" ca="1" si="21"/>
        <v>1035.3584699999999</v>
      </c>
      <c r="G169" s="972">
        <f ca="1">[3]MMBTU!R192</f>
        <v>2025354.24</v>
      </c>
      <c r="H169" s="740">
        <f t="shared" si="22"/>
        <v>5.0000000000000001E-3</v>
      </c>
      <c r="I169" s="971">
        <f t="shared" ca="1" si="23"/>
        <v>10.1267712</v>
      </c>
      <c r="J169" s="977">
        <f t="shared" ca="1" si="24"/>
        <v>1045.4852411999998</v>
      </c>
      <c r="K169" s="741">
        <f ca="1">VLOOKUP($A169,Curves_Table,Escalation!$P$291)</f>
        <v>1.5190107088932228</v>
      </c>
      <c r="L169" s="743">
        <f t="shared" ca="1" si="25"/>
        <v>1588.1032773726138</v>
      </c>
      <c r="M169" s="744" t="str">
        <f t="shared" ca="1" si="26"/>
        <v xml:space="preserve"> </v>
      </c>
    </row>
    <row r="170" spans="1:13">
      <c r="A170" s="738">
        <f t="shared" si="18"/>
        <v>41760</v>
      </c>
      <c r="C170" s="739">
        <f t="shared" si="19"/>
        <v>31</v>
      </c>
      <c r="D170" s="742">
        <f ca="1">IF($A170&gt;Endyr,0,IF($A170&lt;Assm!$F$32,G170,Capacity*C170))</f>
        <v>3192690</v>
      </c>
      <c r="E170" s="740">
        <f t="shared" si="20"/>
        <v>0.33510000000000001</v>
      </c>
      <c r="F170" s="971">
        <f t="shared" ca="1" si="21"/>
        <v>1069.8704190000001</v>
      </c>
      <c r="G170" s="972">
        <f ca="1">[3]MMBTU!R193</f>
        <v>2092866.048</v>
      </c>
      <c r="H170" s="740">
        <f t="shared" si="22"/>
        <v>5.0000000000000001E-3</v>
      </c>
      <c r="I170" s="971">
        <f t="shared" ca="1" si="23"/>
        <v>10.464330239999999</v>
      </c>
      <c r="J170" s="977">
        <f t="shared" ca="1" si="24"/>
        <v>1080.3347492400001</v>
      </c>
      <c r="K170" s="741">
        <f ca="1">VLOOKUP($A170,Curves_Table,Escalation!$P$291)</f>
        <v>1.5573978315409176</v>
      </c>
      <c r="L170" s="743">
        <f t="shared" ca="1" si="25"/>
        <v>1682.5109958046771</v>
      </c>
      <c r="M170" s="744" t="str">
        <f t="shared" ca="1" si="26"/>
        <v xml:space="preserve"> </v>
      </c>
    </row>
    <row r="171" spans="1:13">
      <c r="A171" s="738">
        <f t="shared" si="18"/>
        <v>41791</v>
      </c>
      <c r="C171" s="739">
        <f t="shared" si="19"/>
        <v>30</v>
      </c>
      <c r="D171" s="742">
        <f ca="1">IF($A171&gt;Endyr,0,IF($A171&lt;Assm!$F$32,G171,Capacity*C171))</f>
        <v>3089700</v>
      </c>
      <c r="E171" s="740">
        <f t="shared" si="20"/>
        <v>0.33510000000000001</v>
      </c>
      <c r="F171" s="971">
        <f t="shared" ca="1" si="21"/>
        <v>1035.3584699999999</v>
      </c>
      <c r="G171" s="972">
        <f ca="1">[3]MMBTU!R194</f>
        <v>2025354.24</v>
      </c>
      <c r="H171" s="740">
        <f t="shared" si="22"/>
        <v>5.0000000000000001E-3</v>
      </c>
      <c r="I171" s="971">
        <f t="shared" ca="1" si="23"/>
        <v>10.1267712</v>
      </c>
      <c r="J171" s="977">
        <f t="shared" ca="1" si="24"/>
        <v>1045.4852411999998</v>
      </c>
      <c r="K171" s="741">
        <f ca="1">VLOOKUP($A171,Curves_Table,Escalation!$P$291)</f>
        <v>1.5573978315409176</v>
      </c>
      <c r="L171" s="743">
        <f t="shared" ca="1" si="25"/>
        <v>1628.236447552913</v>
      </c>
      <c r="M171" s="744" t="str">
        <f t="shared" ca="1" si="26"/>
        <v xml:space="preserve"> </v>
      </c>
    </row>
    <row r="172" spans="1:13">
      <c r="A172" s="738">
        <f t="shared" si="18"/>
        <v>41821</v>
      </c>
      <c r="C172" s="739">
        <f t="shared" si="19"/>
        <v>31</v>
      </c>
      <c r="D172" s="742">
        <f ca="1">IF($A172&gt;Endyr,0,IF($A172&lt;Assm!$F$32,G172,Capacity*C172))</f>
        <v>3192690</v>
      </c>
      <c r="E172" s="740">
        <f t="shared" si="20"/>
        <v>0.33510000000000001</v>
      </c>
      <c r="F172" s="971">
        <f t="shared" ca="1" si="21"/>
        <v>1069.8704190000001</v>
      </c>
      <c r="G172" s="972">
        <f ca="1">[3]MMBTU!R195</f>
        <v>2092866.048</v>
      </c>
      <c r="H172" s="740">
        <f t="shared" si="22"/>
        <v>5.0000000000000001E-3</v>
      </c>
      <c r="I172" s="971">
        <f t="shared" ca="1" si="23"/>
        <v>10.464330239999999</v>
      </c>
      <c r="J172" s="977">
        <f t="shared" ca="1" si="24"/>
        <v>1080.3347492400001</v>
      </c>
      <c r="K172" s="741">
        <f ca="1">VLOOKUP($A172,Curves_Table,Escalation!$P$291)</f>
        <v>1.5573978315409176</v>
      </c>
      <c r="L172" s="743">
        <f t="shared" ca="1" si="25"/>
        <v>1682.5109958046771</v>
      </c>
      <c r="M172" s="744" t="str">
        <f t="shared" ca="1" si="26"/>
        <v xml:space="preserve"> </v>
      </c>
    </row>
    <row r="173" spans="1:13">
      <c r="A173" s="738">
        <f t="shared" si="18"/>
        <v>41852</v>
      </c>
      <c r="C173" s="739">
        <f t="shared" si="19"/>
        <v>31</v>
      </c>
      <c r="D173" s="742">
        <f ca="1">IF($A173&gt;Endyr,0,IF($A173&lt;Assm!$F$32,G173,Capacity*C173))</f>
        <v>3192690</v>
      </c>
      <c r="E173" s="740">
        <f t="shared" si="20"/>
        <v>0.33510000000000001</v>
      </c>
      <c r="F173" s="971">
        <f t="shared" ca="1" si="21"/>
        <v>1069.8704190000001</v>
      </c>
      <c r="G173" s="972">
        <f ca="1">[3]MMBTU!R196</f>
        <v>2092866.048</v>
      </c>
      <c r="H173" s="740">
        <f t="shared" si="22"/>
        <v>5.0000000000000001E-3</v>
      </c>
      <c r="I173" s="971">
        <f t="shared" ca="1" si="23"/>
        <v>10.464330239999999</v>
      </c>
      <c r="J173" s="977">
        <f t="shared" ca="1" si="24"/>
        <v>1080.3347492400001</v>
      </c>
      <c r="K173" s="741">
        <f ca="1">VLOOKUP($A173,Curves_Table,Escalation!$P$291)</f>
        <v>1.5573978315409176</v>
      </c>
      <c r="L173" s="743">
        <f t="shared" ca="1" si="25"/>
        <v>1682.5109958046771</v>
      </c>
      <c r="M173" s="744" t="str">
        <f t="shared" ca="1" si="26"/>
        <v xml:space="preserve"> </v>
      </c>
    </row>
    <row r="174" spans="1:13">
      <c r="A174" s="738">
        <f t="shared" si="18"/>
        <v>41883</v>
      </c>
      <c r="C174" s="739">
        <f t="shared" si="19"/>
        <v>30</v>
      </c>
      <c r="D174" s="742">
        <f ca="1">IF($A174&gt;Endyr,0,IF($A174&lt;Assm!$F$32,G174,Capacity*C174))</f>
        <v>3089700</v>
      </c>
      <c r="E174" s="740">
        <f t="shared" si="20"/>
        <v>0.33510000000000001</v>
      </c>
      <c r="F174" s="971">
        <f t="shared" ca="1" si="21"/>
        <v>1035.3584699999999</v>
      </c>
      <c r="G174" s="972">
        <f ca="1">[3]MMBTU!R197</f>
        <v>2025354.24</v>
      </c>
      <c r="H174" s="740">
        <f t="shared" si="22"/>
        <v>5.0000000000000001E-3</v>
      </c>
      <c r="I174" s="971">
        <f t="shared" ca="1" si="23"/>
        <v>10.1267712</v>
      </c>
      <c r="J174" s="977">
        <f t="shared" ca="1" si="24"/>
        <v>1045.4852411999998</v>
      </c>
      <c r="K174" s="741">
        <f ca="1">VLOOKUP($A174,Curves_Table,Escalation!$P$291)</f>
        <v>1.5573978315409176</v>
      </c>
      <c r="L174" s="743">
        <f t="shared" ca="1" si="25"/>
        <v>1628.236447552913</v>
      </c>
      <c r="M174" s="744" t="str">
        <f t="shared" ca="1" si="26"/>
        <v xml:space="preserve"> </v>
      </c>
    </row>
    <row r="175" spans="1:13">
      <c r="A175" s="738">
        <f t="shared" si="18"/>
        <v>41913</v>
      </c>
      <c r="C175" s="739">
        <f t="shared" si="19"/>
        <v>31</v>
      </c>
      <c r="D175" s="742">
        <f ca="1">IF($A175&gt;Endyr,0,IF($A175&lt;Assm!$F$32,G175,Capacity*C175))</f>
        <v>3192690</v>
      </c>
      <c r="E175" s="740">
        <f t="shared" si="20"/>
        <v>0.33510000000000001</v>
      </c>
      <c r="F175" s="971">
        <f t="shared" ca="1" si="21"/>
        <v>1069.8704190000001</v>
      </c>
      <c r="G175" s="972">
        <f ca="1">[3]MMBTU!R198</f>
        <v>2092866.048</v>
      </c>
      <c r="H175" s="740">
        <f t="shared" si="22"/>
        <v>5.0000000000000001E-3</v>
      </c>
      <c r="I175" s="971">
        <f t="shared" ca="1" si="23"/>
        <v>10.464330239999999</v>
      </c>
      <c r="J175" s="977">
        <f t="shared" ca="1" si="24"/>
        <v>1080.3347492400001</v>
      </c>
      <c r="K175" s="741">
        <f ca="1">VLOOKUP($A175,Curves_Table,Escalation!$P$291)</f>
        <v>1.5573978315409176</v>
      </c>
      <c r="L175" s="743">
        <f t="shared" ca="1" si="25"/>
        <v>1682.5109958046771</v>
      </c>
      <c r="M175" s="744" t="str">
        <f t="shared" ca="1" si="26"/>
        <v xml:space="preserve"> </v>
      </c>
    </row>
    <row r="176" spans="1:13">
      <c r="A176" s="738">
        <f t="shared" si="18"/>
        <v>41944</v>
      </c>
      <c r="C176" s="739">
        <f t="shared" si="19"/>
        <v>30</v>
      </c>
      <c r="D176" s="742">
        <f ca="1">IF($A176&gt;Endyr,0,IF($A176&lt;Assm!$F$32,G176,Capacity*C176))</f>
        <v>3089700</v>
      </c>
      <c r="E176" s="740">
        <f t="shared" si="20"/>
        <v>0.33510000000000001</v>
      </c>
      <c r="F176" s="971">
        <f t="shared" ca="1" si="21"/>
        <v>1035.3584699999999</v>
      </c>
      <c r="G176" s="972">
        <f ca="1">[3]MMBTU!R199</f>
        <v>2025354.24</v>
      </c>
      <c r="H176" s="740">
        <f t="shared" si="22"/>
        <v>5.0000000000000001E-3</v>
      </c>
      <c r="I176" s="971">
        <f t="shared" ca="1" si="23"/>
        <v>10.1267712</v>
      </c>
      <c r="J176" s="977">
        <f t="shared" ca="1" si="24"/>
        <v>1045.4852411999998</v>
      </c>
      <c r="K176" s="741">
        <f ca="1">VLOOKUP($A176,Curves_Table,Escalation!$P$291)</f>
        <v>1.5573978315409176</v>
      </c>
      <c r="L176" s="743">
        <f t="shared" ca="1" si="25"/>
        <v>1628.236447552913</v>
      </c>
      <c r="M176" s="744" t="str">
        <f t="shared" ca="1" si="26"/>
        <v xml:space="preserve"> </v>
      </c>
    </row>
    <row r="177" spans="1:13">
      <c r="A177" s="738">
        <f t="shared" si="18"/>
        <v>41974</v>
      </c>
      <c r="C177" s="739">
        <f t="shared" si="19"/>
        <v>31</v>
      </c>
      <c r="D177" s="742">
        <f ca="1">IF($A177&gt;Endyr,0,IF($A177&lt;Assm!$F$32,G177,Capacity*C177))</f>
        <v>3192690</v>
      </c>
      <c r="E177" s="740">
        <f t="shared" si="20"/>
        <v>0.33510000000000001</v>
      </c>
      <c r="F177" s="971">
        <f t="shared" ca="1" si="21"/>
        <v>1069.8704190000001</v>
      </c>
      <c r="G177" s="972">
        <f ca="1">[3]MMBTU!R200</f>
        <v>2092866.048</v>
      </c>
      <c r="H177" s="740">
        <f t="shared" si="22"/>
        <v>5.0000000000000001E-3</v>
      </c>
      <c r="I177" s="971">
        <f t="shared" ca="1" si="23"/>
        <v>10.464330239999999</v>
      </c>
      <c r="J177" s="977">
        <f t="shared" ca="1" si="24"/>
        <v>1080.3347492400001</v>
      </c>
      <c r="K177" s="741">
        <f ca="1">VLOOKUP($A177,Curves_Table,Escalation!$P$291)</f>
        <v>1.5573978315409176</v>
      </c>
      <c r="L177" s="743">
        <f t="shared" ca="1" si="25"/>
        <v>1682.5109958046771</v>
      </c>
      <c r="M177" s="744">
        <f t="shared" ca="1" si="26"/>
        <v>19649.677431172586</v>
      </c>
    </row>
    <row r="178" spans="1:13">
      <c r="A178" s="738">
        <f t="shared" si="18"/>
        <v>42005</v>
      </c>
      <c r="C178" s="739">
        <f t="shared" si="19"/>
        <v>31</v>
      </c>
      <c r="D178" s="742">
        <f ca="1">IF($A178&gt;Endyr,0,IF($A178&lt;Assm!$F$32,G178,Capacity*C178))</f>
        <v>3192690</v>
      </c>
      <c r="E178" s="740">
        <f t="shared" si="20"/>
        <v>0.33510000000000001</v>
      </c>
      <c r="F178" s="971">
        <f t="shared" ca="1" si="21"/>
        <v>1069.8704190000001</v>
      </c>
      <c r="G178" s="972">
        <f ca="1">[3]MMBTU!R201</f>
        <v>2092866.048</v>
      </c>
      <c r="H178" s="740">
        <f t="shared" si="22"/>
        <v>5.0000000000000001E-3</v>
      </c>
      <c r="I178" s="971">
        <f t="shared" ca="1" si="23"/>
        <v>10.464330239999999</v>
      </c>
      <c r="J178" s="977">
        <f t="shared" ca="1" si="24"/>
        <v>1080.3347492400001</v>
      </c>
      <c r="K178" s="741">
        <f ca="1">VLOOKUP($A178,Curves_Table,Escalation!$P$291)</f>
        <v>1.5573978315409176</v>
      </c>
      <c r="L178" s="743">
        <f t="shared" ca="1" si="25"/>
        <v>1682.5109958046771</v>
      </c>
      <c r="M178" s="744" t="str">
        <f t="shared" ca="1" si="26"/>
        <v xml:space="preserve"> </v>
      </c>
    </row>
    <row r="179" spans="1:13">
      <c r="A179" s="738">
        <f t="shared" si="18"/>
        <v>42036</v>
      </c>
      <c r="C179" s="739">
        <f t="shared" si="19"/>
        <v>28</v>
      </c>
      <c r="D179" s="742">
        <f ca="1">IF($A179&gt;Endyr,0,IF($A179&lt;Assm!$F$32,G179,Capacity*C179))</f>
        <v>2883720</v>
      </c>
      <c r="E179" s="740">
        <f t="shared" si="20"/>
        <v>0.33510000000000001</v>
      </c>
      <c r="F179" s="971">
        <f t="shared" ca="1" si="21"/>
        <v>966.33457200000009</v>
      </c>
      <c r="G179" s="972">
        <f ca="1">[3]MMBTU!R202</f>
        <v>1890330.6240000003</v>
      </c>
      <c r="H179" s="740">
        <f t="shared" si="22"/>
        <v>5.0000000000000001E-3</v>
      </c>
      <c r="I179" s="971">
        <f t="shared" ca="1" si="23"/>
        <v>9.4516531200000014</v>
      </c>
      <c r="J179" s="977">
        <f t="shared" ca="1" si="24"/>
        <v>975.78622512000004</v>
      </c>
      <c r="K179" s="741">
        <f ca="1">VLOOKUP($A179,Curves_Table,Escalation!$P$291)</f>
        <v>1.5573978315409176</v>
      </c>
      <c r="L179" s="743">
        <f t="shared" ca="1" si="25"/>
        <v>1519.6873510493858</v>
      </c>
      <c r="M179" s="744" t="str">
        <f t="shared" ca="1" si="26"/>
        <v xml:space="preserve"> </v>
      </c>
    </row>
    <row r="180" spans="1:13">
      <c r="A180" s="738">
        <f t="shared" si="18"/>
        <v>42064</v>
      </c>
      <c r="C180" s="739">
        <f t="shared" si="19"/>
        <v>31</v>
      </c>
      <c r="D180" s="742">
        <f ca="1">IF($A180&gt;Endyr,0,IF($A180&lt;Assm!$F$32,G180,Capacity*C180))</f>
        <v>3192690</v>
      </c>
      <c r="E180" s="740">
        <f t="shared" si="20"/>
        <v>0.33510000000000001</v>
      </c>
      <c r="F180" s="971">
        <f t="shared" ca="1" si="21"/>
        <v>1069.8704190000001</v>
      </c>
      <c r="G180" s="972">
        <f ca="1">[3]MMBTU!R203</f>
        <v>2092866.048</v>
      </c>
      <c r="H180" s="740">
        <f t="shared" si="22"/>
        <v>5.0000000000000001E-3</v>
      </c>
      <c r="I180" s="971">
        <f t="shared" ca="1" si="23"/>
        <v>10.464330239999999</v>
      </c>
      <c r="J180" s="977">
        <f t="shared" ca="1" si="24"/>
        <v>1080.3347492400001</v>
      </c>
      <c r="K180" s="741">
        <f ca="1">VLOOKUP($A180,Curves_Table,Escalation!$P$291)</f>
        <v>1.5573978315409176</v>
      </c>
      <c r="L180" s="743">
        <f t="shared" ca="1" si="25"/>
        <v>1682.5109958046771</v>
      </c>
      <c r="M180" s="744" t="str">
        <f t="shared" ca="1" si="26"/>
        <v xml:space="preserve"> </v>
      </c>
    </row>
    <row r="181" spans="1:13">
      <c r="A181" s="738">
        <f t="shared" si="18"/>
        <v>42095</v>
      </c>
      <c r="C181" s="739">
        <f t="shared" si="19"/>
        <v>30</v>
      </c>
      <c r="D181" s="742">
        <f ca="1">IF($A181&gt;Endyr,0,IF($A181&lt;Assm!$F$32,G181,Capacity*C181))</f>
        <v>3089700</v>
      </c>
      <c r="E181" s="740">
        <f t="shared" si="20"/>
        <v>0.33510000000000001</v>
      </c>
      <c r="F181" s="971">
        <f t="shared" ca="1" si="21"/>
        <v>1035.3584699999999</v>
      </c>
      <c r="G181" s="972">
        <f ca="1">[3]MMBTU!R204</f>
        <v>2025354.24</v>
      </c>
      <c r="H181" s="740">
        <f t="shared" si="22"/>
        <v>5.0000000000000001E-3</v>
      </c>
      <c r="I181" s="971">
        <f t="shared" ca="1" si="23"/>
        <v>10.1267712</v>
      </c>
      <c r="J181" s="977">
        <f t="shared" ca="1" si="24"/>
        <v>1045.4852411999998</v>
      </c>
      <c r="K181" s="741">
        <f ca="1">VLOOKUP($A181,Curves_Table,Escalation!$P$291)</f>
        <v>1.5573978315409176</v>
      </c>
      <c r="L181" s="743">
        <f t="shared" ca="1" si="25"/>
        <v>1628.236447552913</v>
      </c>
      <c r="M181" s="744" t="str">
        <f t="shared" ca="1" si="26"/>
        <v xml:space="preserve"> </v>
      </c>
    </row>
    <row r="182" spans="1:13">
      <c r="A182" s="738">
        <f t="shared" si="18"/>
        <v>42125</v>
      </c>
      <c r="C182" s="739">
        <f t="shared" si="19"/>
        <v>31</v>
      </c>
      <c r="D182" s="742">
        <f ca="1">IF($A182&gt;Endyr,0,IF($A182&lt;Assm!$F$32,G182,Capacity*C182))</f>
        <v>3192690</v>
      </c>
      <c r="E182" s="740">
        <f t="shared" si="20"/>
        <v>0.33510000000000001</v>
      </c>
      <c r="F182" s="971">
        <f t="shared" ca="1" si="21"/>
        <v>1069.8704190000001</v>
      </c>
      <c r="G182" s="972">
        <f ca="1">[3]MMBTU!R205</f>
        <v>2092866.048</v>
      </c>
      <c r="H182" s="740">
        <f t="shared" si="22"/>
        <v>5.0000000000000001E-3</v>
      </c>
      <c r="I182" s="971">
        <f t="shared" ca="1" si="23"/>
        <v>10.464330239999999</v>
      </c>
      <c r="J182" s="977">
        <f t="shared" ca="1" si="24"/>
        <v>1080.3347492400001</v>
      </c>
      <c r="K182" s="741">
        <f ca="1">VLOOKUP($A182,Curves_Table,Escalation!$P$291)</f>
        <v>1.5973303982415077</v>
      </c>
      <c r="L182" s="743">
        <f t="shared" ca="1" si="25"/>
        <v>1725.6515352376687</v>
      </c>
      <c r="M182" s="744" t="str">
        <f t="shared" ca="1" si="26"/>
        <v xml:space="preserve"> </v>
      </c>
    </row>
    <row r="183" spans="1:13">
      <c r="A183" s="738">
        <f t="shared" si="18"/>
        <v>42156</v>
      </c>
      <c r="C183" s="739">
        <f t="shared" si="19"/>
        <v>30</v>
      </c>
      <c r="D183" s="742">
        <f ca="1">IF($A183&gt;Endyr,0,IF($A183&lt;Assm!$F$32,G183,Capacity*C183))</f>
        <v>3089700</v>
      </c>
      <c r="E183" s="740">
        <f t="shared" si="20"/>
        <v>0.33510000000000001</v>
      </c>
      <c r="F183" s="971">
        <f t="shared" ca="1" si="21"/>
        <v>1035.3584699999999</v>
      </c>
      <c r="G183" s="972">
        <f ca="1">[3]MMBTU!R206</f>
        <v>2025354.24</v>
      </c>
      <c r="H183" s="740">
        <f t="shared" si="22"/>
        <v>5.0000000000000001E-3</v>
      </c>
      <c r="I183" s="971">
        <f t="shared" ca="1" si="23"/>
        <v>10.1267712</v>
      </c>
      <c r="J183" s="977">
        <f t="shared" ca="1" si="24"/>
        <v>1045.4852411999998</v>
      </c>
      <c r="K183" s="741">
        <f ca="1">VLOOKUP($A183,Curves_Table,Escalation!$P$291)</f>
        <v>1.5973303982415077</v>
      </c>
      <c r="L183" s="743">
        <f t="shared" ca="1" si="25"/>
        <v>1669.9853566816143</v>
      </c>
      <c r="M183" s="744" t="str">
        <f t="shared" ca="1" si="26"/>
        <v xml:space="preserve"> </v>
      </c>
    </row>
    <row r="184" spans="1:13">
      <c r="A184" s="738">
        <f t="shared" si="18"/>
        <v>42186</v>
      </c>
      <c r="C184" s="739">
        <f t="shared" si="19"/>
        <v>31</v>
      </c>
      <c r="D184" s="742">
        <f ca="1">IF($A184&gt;Endyr,0,IF($A184&lt;Assm!$F$32,G184,Capacity*C184))</f>
        <v>3192690</v>
      </c>
      <c r="E184" s="740">
        <f t="shared" si="20"/>
        <v>0.33510000000000001</v>
      </c>
      <c r="F184" s="971">
        <f t="shared" ca="1" si="21"/>
        <v>1069.8704190000001</v>
      </c>
      <c r="G184" s="972">
        <f ca="1">[3]MMBTU!R207</f>
        <v>2092866.048</v>
      </c>
      <c r="H184" s="740">
        <f t="shared" si="22"/>
        <v>5.0000000000000001E-3</v>
      </c>
      <c r="I184" s="971">
        <f t="shared" ca="1" si="23"/>
        <v>10.464330239999999</v>
      </c>
      <c r="J184" s="977">
        <f t="shared" ca="1" si="24"/>
        <v>1080.3347492400001</v>
      </c>
      <c r="K184" s="741">
        <f ca="1">VLOOKUP($A184,Curves_Table,Escalation!$P$291)</f>
        <v>1.5973303982415077</v>
      </c>
      <c r="L184" s="743">
        <f t="shared" ca="1" si="25"/>
        <v>1725.6515352376687</v>
      </c>
      <c r="M184" s="744" t="str">
        <f t="shared" ca="1" si="26"/>
        <v xml:space="preserve"> </v>
      </c>
    </row>
    <row r="185" spans="1:13">
      <c r="A185" s="738">
        <f t="shared" si="18"/>
        <v>42217</v>
      </c>
      <c r="C185" s="739">
        <f t="shared" si="19"/>
        <v>31</v>
      </c>
      <c r="D185" s="742">
        <f ca="1">IF($A185&gt;Endyr,0,IF($A185&lt;Assm!$F$32,G185,Capacity*C185))</f>
        <v>3192690</v>
      </c>
      <c r="E185" s="740">
        <f t="shared" si="20"/>
        <v>0.33510000000000001</v>
      </c>
      <c r="F185" s="971">
        <f t="shared" ca="1" si="21"/>
        <v>1069.8704190000001</v>
      </c>
      <c r="G185" s="972">
        <f ca="1">[3]MMBTU!R208</f>
        <v>2092866.048</v>
      </c>
      <c r="H185" s="740">
        <f t="shared" si="22"/>
        <v>5.0000000000000001E-3</v>
      </c>
      <c r="I185" s="971">
        <f t="shared" ca="1" si="23"/>
        <v>10.464330239999999</v>
      </c>
      <c r="J185" s="977">
        <f t="shared" ca="1" si="24"/>
        <v>1080.3347492400001</v>
      </c>
      <c r="K185" s="741">
        <f ca="1">VLOOKUP($A185,Curves_Table,Escalation!$P$291)</f>
        <v>1.5973303982415077</v>
      </c>
      <c r="L185" s="743">
        <f t="shared" ca="1" si="25"/>
        <v>1725.6515352376687</v>
      </c>
      <c r="M185" s="744" t="str">
        <f t="shared" ca="1" si="26"/>
        <v xml:space="preserve"> </v>
      </c>
    </row>
    <row r="186" spans="1:13">
      <c r="A186" s="738">
        <f t="shared" si="18"/>
        <v>42248</v>
      </c>
      <c r="C186" s="739">
        <f t="shared" si="19"/>
        <v>30</v>
      </c>
      <c r="D186" s="742">
        <f ca="1">IF($A186&gt;Endyr,0,IF($A186&lt;Assm!$F$32,G186,Capacity*C186))</f>
        <v>3089700</v>
      </c>
      <c r="E186" s="740">
        <f t="shared" si="20"/>
        <v>0.33510000000000001</v>
      </c>
      <c r="F186" s="971">
        <f t="shared" ca="1" si="21"/>
        <v>1035.3584699999999</v>
      </c>
      <c r="G186" s="972">
        <f ca="1">[3]MMBTU!R209</f>
        <v>2025354.24</v>
      </c>
      <c r="H186" s="740">
        <f t="shared" si="22"/>
        <v>5.0000000000000001E-3</v>
      </c>
      <c r="I186" s="971">
        <f t="shared" ca="1" si="23"/>
        <v>10.1267712</v>
      </c>
      <c r="J186" s="977">
        <f t="shared" ca="1" si="24"/>
        <v>1045.4852411999998</v>
      </c>
      <c r="K186" s="741">
        <f ca="1">VLOOKUP($A186,Curves_Table,Escalation!$P$291)</f>
        <v>1.5973303982415077</v>
      </c>
      <c r="L186" s="743">
        <f t="shared" ca="1" si="25"/>
        <v>1669.9853566816143</v>
      </c>
      <c r="M186" s="744" t="str">
        <f t="shared" ca="1" si="26"/>
        <v xml:space="preserve"> </v>
      </c>
    </row>
    <row r="187" spans="1:13">
      <c r="A187" s="738">
        <f t="shared" si="18"/>
        <v>42278</v>
      </c>
      <c r="C187" s="739">
        <f t="shared" si="19"/>
        <v>31</v>
      </c>
      <c r="D187" s="742">
        <f ca="1">IF($A187&gt;Endyr,0,IF($A187&lt;Assm!$F$32,G187,Capacity*C187))</f>
        <v>3192690</v>
      </c>
      <c r="E187" s="740">
        <f t="shared" si="20"/>
        <v>0.33510000000000001</v>
      </c>
      <c r="F187" s="971">
        <f t="shared" ca="1" si="21"/>
        <v>1069.8704190000001</v>
      </c>
      <c r="G187" s="972">
        <f ca="1">[3]MMBTU!R210</f>
        <v>2092866.048</v>
      </c>
      <c r="H187" s="740">
        <f t="shared" si="22"/>
        <v>5.0000000000000001E-3</v>
      </c>
      <c r="I187" s="971">
        <f t="shared" ca="1" si="23"/>
        <v>10.464330239999999</v>
      </c>
      <c r="J187" s="977">
        <f t="shared" ca="1" si="24"/>
        <v>1080.3347492400001</v>
      </c>
      <c r="K187" s="741">
        <f ca="1">VLOOKUP($A187,Curves_Table,Escalation!$P$291)</f>
        <v>1.5973303982415077</v>
      </c>
      <c r="L187" s="743">
        <f t="shared" ca="1" si="25"/>
        <v>1725.6515352376687</v>
      </c>
      <c r="M187" s="744" t="str">
        <f t="shared" ca="1" si="26"/>
        <v xml:space="preserve"> </v>
      </c>
    </row>
    <row r="188" spans="1:13">
      <c r="A188" s="738">
        <f t="shared" si="18"/>
        <v>42309</v>
      </c>
      <c r="C188" s="739">
        <f t="shared" si="19"/>
        <v>30</v>
      </c>
      <c r="D188" s="742">
        <f ca="1">IF($A188&gt;Endyr,0,IF($A188&lt;Assm!$F$32,G188,Capacity*C188))</f>
        <v>3089700</v>
      </c>
      <c r="E188" s="740">
        <f t="shared" si="20"/>
        <v>0.33510000000000001</v>
      </c>
      <c r="F188" s="971">
        <f t="shared" ca="1" si="21"/>
        <v>1035.3584699999999</v>
      </c>
      <c r="G188" s="972">
        <f ca="1">[3]MMBTU!R211</f>
        <v>2025354.24</v>
      </c>
      <c r="H188" s="740">
        <f t="shared" si="22"/>
        <v>5.0000000000000001E-3</v>
      </c>
      <c r="I188" s="971">
        <f t="shared" ca="1" si="23"/>
        <v>10.1267712</v>
      </c>
      <c r="J188" s="977">
        <f t="shared" ca="1" si="24"/>
        <v>1045.4852411999998</v>
      </c>
      <c r="K188" s="741">
        <f ca="1">VLOOKUP($A188,Curves_Table,Escalation!$P$291)</f>
        <v>1.5973303982415077</v>
      </c>
      <c r="L188" s="743">
        <f t="shared" ca="1" si="25"/>
        <v>1669.9853566816143</v>
      </c>
      <c r="M188" s="744" t="str">
        <f t="shared" ca="1" si="26"/>
        <v xml:space="preserve"> </v>
      </c>
    </row>
    <row r="189" spans="1:13">
      <c r="A189" s="738">
        <f t="shared" si="18"/>
        <v>42339</v>
      </c>
      <c r="C189" s="739">
        <f t="shared" si="19"/>
        <v>31</v>
      </c>
      <c r="D189" s="742">
        <f ca="1">IF($A189&gt;Endyr,0,IF($A189&lt;Assm!$F$32,G189,Capacity*C189))</f>
        <v>3192690</v>
      </c>
      <c r="E189" s="740">
        <f t="shared" si="20"/>
        <v>0.33510000000000001</v>
      </c>
      <c r="F189" s="971">
        <f t="shared" ca="1" si="21"/>
        <v>1069.8704190000001</v>
      </c>
      <c r="G189" s="972">
        <f ca="1">[3]MMBTU!R212</f>
        <v>2092866.048</v>
      </c>
      <c r="H189" s="740">
        <f t="shared" si="22"/>
        <v>5.0000000000000001E-3</v>
      </c>
      <c r="I189" s="971">
        <f t="shared" ca="1" si="23"/>
        <v>10.464330239999999</v>
      </c>
      <c r="J189" s="977">
        <f t="shared" ca="1" si="24"/>
        <v>1080.3347492400001</v>
      </c>
      <c r="K189" s="741">
        <f ca="1">VLOOKUP($A189,Curves_Table,Escalation!$P$291)</f>
        <v>1.5973303982415077</v>
      </c>
      <c r="L189" s="743">
        <f t="shared" ca="1" si="25"/>
        <v>1725.6515352376687</v>
      </c>
      <c r="M189" s="744">
        <f t="shared" ca="1" si="26"/>
        <v>20151.15953644484</v>
      </c>
    </row>
    <row r="190" spans="1:13">
      <c r="A190" s="738">
        <f t="shared" si="18"/>
        <v>42370</v>
      </c>
      <c r="C190" s="739">
        <f t="shared" si="19"/>
        <v>31</v>
      </c>
      <c r="D190" s="742">
        <f ca="1">IF($A190&gt;Endyr,0,IF($A190&lt;Assm!$F$32,G190,Capacity*C190))</f>
        <v>3192690</v>
      </c>
      <c r="E190" s="740">
        <f t="shared" si="20"/>
        <v>0.33510000000000001</v>
      </c>
      <c r="F190" s="971">
        <f t="shared" ca="1" si="21"/>
        <v>1069.8704190000001</v>
      </c>
      <c r="G190" s="972">
        <f ca="1">[3]MMBTU!R213</f>
        <v>2092866.048</v>
      </c>
      <c r="H190" s="740">
        <f t="shared" si="22"/>
        <v>5.0000000000000001E-3</v>
      </c>
      <c r="I190" s="971">
        <f t="shared" ca="1" si="23"/>
        <v>10.464330239999999</v>
      </c>
      <c r="J190" s="977">
        <f t="shared" ca="1" si="24"/>
        <v>1080.3347492400001</v>
      </c>
      <c r="K190" s="741">
        <f ca="1">VLOOKUP($A190,Curves_Table,Escalation!$P$291)</f>
        <v>1.5973303982415077</v>
      </c>
      <c r="L190" s="743">
        <f t="shared" ca="1" si="25"/>
        <v>1725.6515352376687</v>
      </c>
      <c r="M190" s="744" t="str">
        <f t="shared" ca="1" si="26"/>
        <v xml:space="preserve"> </v>
      </c>
    </row>
    <row r="191" spans="1:13">
      <c r="A191" s="738">
        <f t="shared" si="18"/>
        <v>42401</v>
      </c>
      <c r="C191" s="739">
        <f t="shared" si="19"/>
        <v>29</v>
      </c>
      <c r="D191" s="742">
        <f ca="1">IF($A191&gt;Endyr,0,IF($A191&lt;Assm!$F$32,G191,Capacity*C191))</f>
        <v>2986710</v>
      </c>
      <c r="E191" s="740">
        <f t="shared" si="20"/>
        <v>0.33510000000000001</v>
      </c>
      <c r="F191" s="971">
        <f t="shared" ca="1" si="21"/>
        <v>1000.8465210000001</v>
      </c>
      <c r="G191" s="972">
        <f ca="1">[3]MMBTU!R214</f>
        <v>1957842.432</v>
      </c>
      <c r="H191" s="740">
        <f t="shared" si="22"/>
        <v>5.0000000000000001E-3</v>
      </c>
      <c r="I191" s="971">
        <f t="shared" ca="1" si="23"/>
        <v>9.7892121600000017</v>
      </c>
      <c r="J191" s="977">
        <f t="shared" ca="1" si="24"/>
        <v>1010.6357331600001</v>
      </c>
      <c r="K191" s="741">
        <f ca="1">VLOOKUP($A191,Curves_Table,Escalation!$P$291)</f>
        <v>1.5973303982415077</v>
      </c>
      <c r="L191" s="743">
        <f t="shared" ca="1" si="25"/>
        <v>1614.3191781255609</v>
      </c>
      <c r="M191" s="744" t="str">
        <f t="shared" ca="1" si="26"/>
        <v xml:space="preserve"> </v>
      </c>
    </row>
    <row r="192" spans="1:13">
      <c r="A192" s="738">
        <f t="shared" si="18"/>
        <v>42430</v>
      </c>
      <c r="C192" s="739">
        <f t="shared" si="19"/>
        <v>31</v>
      </c>
      <c r="D192" s="742">
        <f ca="1">IF($A192&gt;Endyr,0,IF($A192&lt;Assm!$F$32,G192,Capacity*C192))</f>
        <v>3192690</v>
      </c>
      <c r="E192" s="740">
        <f t="shared" si="20"/>
        <v>0.33510000000000001</v>
      </c>
      <c r="F192" s="971">
        <f t="shared" ca="1" si="21"/>
        <v>1069.8704190000001</v>
      </c>
      <c r="G192" s="972">
        <f ca="1">[3]MMBTU!R215</f>
        <v>2092866.048</v>
      </c>
      <c r="H192" s="740">
        <f t="shared" si="22"/>
        <v>5.0000000000000001E-3</v>
      </c>
      <c r="I192" s="971">
        <f t="shared" ca="1" si="23"/>
        <v>10.464330239999999</v>
      </c>
      <c r="J192" s="977">
        <f t="shared" ca="1" si="24"/>
        <v>1080.3347492400001</v>
      </c>
      <c r="K192" s="741">
        <f ca="1">VLOOKUP($A192,Curves_Table,Escalation!$P$291)</f>
        <v>1.5973303982415077</v>
      </c>
      <c r="L192" s="743">
        <f t="shared" ca="1" si="25"/>
        <v>1725.6515352376687</v>
      </c>
      <c r="M192" s="744" t="str">
        <f t="shared" ca="1" si="26"/>
        <v xml:space="preserve"> </v>
      </c>
    </row>
    <row r="193" spans="1:13">
      <c r="A193" s="738">
        <f t="shared" si="18"/>
        <v>42461</v>
      </c>
      <c r="C193" s="739">
        <f t="shared" si="19"/>
        <v>30</v>
      </c>
      <c r="D193" s="742">
        <f ca="1">IF($A193&gt;Endyr,0,IF($A193&lt;Assm!$F$32,G193,Capacity*C193))</f>
        <v>3089700</v>
      </c>
      <c r="E193" s="740">
        <f t="shared" si="20"/>
        <v>0.33510000000000001</v>
      </c>
      <c r="F193" s="971">
        <f t="shared" ca="1" si="21"/>
        <v>1035.3584699999999</v>
      </c>
      <c r="G193" s="972">
        <f ca="1">[3]MMBTU!R216</f>
        <v>2025354.24</v>
      </c>
      <c r="H193" s="740">
        <f t="shared" si="22"/>
        <v>5.0000000000000001E-3</v>
      </c>
      <c r="I193" s="971">
        <f t="shared" ca="1" si="23"/>
        <v>10.1267712</v>
      </c>
      <c r="J193" s="977">
        <f t="shared" ca="1" si="24"/>
        <v>1045.4852411999998</v>
      </c>
      <c r="K193" s="741">
        <f ca="1">VLOOKUP($A193,Curves_Table,Escalation!$P$291)</f>
        <v>1.5973303982415077</v>
      </c>
      <c r="L193" s="743">
        <f t="shared" ca="1" si="25"/>
        <v>1669.9853566816143</v>
      </c>
      <c r="M193" s="744" t="str">
        <f t="shared" ca="1" si="26"/>
        <v xml:space="preserve"> </v>
      </c>
    </row>
    <row r="194" spans="1:13">
      <c r="A194" s="738">
        <f t="shared" si="18"/>
        <v>42491</v>
      </c>
      <c r="C194" s="739">
        <f t="shared" si="19"/>
        <v>31</v>
      </c>
      <c r="D194" s="742">
        <f ca="1">IF($A194&gt;Endyr,0,IF($A194&lt;Assm!$F$32,G194,Capacity*C194))</f>
        <v>3192690</v>
      </c>
      <c r="E194" s="740">
        <f t="shared" si="20"/>
        <v>0.33510000000000001</v>
      </c>
      <c r="F194" s="971">
        <f t="shared" ca="1" si="21"/>
        <v>1069.8704190000001</v>
      </c>
      <c r="G194" s="972">
        <f ca="1">[3]MMBTU!R217</f>
        <v>2092866.048</v>
      </c>
      <c r="H194" s="740">
        <f t="shared" si="22"/>
        <v>5.0000000000000001E-3</v>
      </c>
      <c r="I194" s="971">
        <f t="shared" ca="1" si="23"/>
        <v>10.464330239999999</v>
      </c>
      <c r="J194" s="977">
        <f t="shared" ca="1" si="24"/>
        <v>1080.3347492400001</v>
      </c>
      <c r="K194" s="741">
        <f ca="1">VLOOKUP($A194,Curves_Table,Escalation!$P$291)</f>
        <v>1.6389834445299432</v>
      </c>
      <c r="L194" s="743">
        <f t="shared" ca="1" si="25"/>
        <v>1770.6507685547676</v>
      </c>
      <c r="M194" s="744" t="str">
        <f t="shared" ca="1" si="26"/>
        <v xml:space="preserve"> </v>
      </c>
    </row>
    <row r="195" spans="1:13">
      <c r="A195" s="738">
        <f t="shared" si="18"/>
        <v>42522</v>
      </c>
      <c r="C195" s="739">
        <f t="shared" si="19"/>
        <v>30</v>
      </c>
      <c r="D195" s="742">
        <f ca="1">IF($A195&gt;Endyr,0,IF($A195&lt;Assm!$F$32,G195,Capacity*C195))</f>
        <v>3089700</v>
      </c>
      <c r="E195" s="740">
        <f t="shared" si="20"/>
        <v>0.33510000000000001</v>
      </c>
      <c r="F195" s="971">
        <f t="shared" ca="1" si="21"/>
        <v>1035.3584699999999</v>
      </c>
      <c r="G195" s="972">
        <f ca="1">[3]MMBTU!R218</f>
        <v>2025354.24</v>
      </c>
      <c r="H195" s="740">
        <f t="shared" si="22"/>
        <v>5.0000000000000001E-3</v>
      </c>
      <c r="I195" s="971">
        <f t="shared" ca="1" si="23"/>
        <v>10.1267712</v>
      </c>
      <c r="J195" s="977">
        <f t="shared" ca="1" si="24"/>
        <v>1045.4852411999998</v>
      </c>
      <c r="K195" s="741">
        <f ca="1">VLOOKUP($A195,Curves_Table,Escalation!$P$291)</f>
        <v>1.6389834445299432</v>
      </c>
      <c r="L195" s="743">
        <f t="shared" ca="1" si="25"/>
        <v>1713.5330018271941</v>
      </c>
      <c r="M195" s="744" t="str">
        <f t="shared" ca="1" si="26"/>
        <v xml:space="preserve"> </v>
      </c>
    </row>
    <row r="196" spans="1:13">
      <c r="A196" s="738">
        <f t="shared" si="18"/>
        <v>42552</v>
      </c>
      <c r="C196" s="739">
        <f t="shared" si="19"/>
        <v>31</v>
      </c>
      <c r="D196" s="742">
        <f ca="1">IF($A196&gt;Endyr,0,IF($A196&lt;Assm!$F$32,G196,Capacity*C196))</f>
        <v>3192690</v>
      </c>
      <c r="E196" s="740">
        <f t="shared" si="20"/>
        <v>0.33510000000000001</v>
      </c>
      <c r="F196" s="971">
        <f t="shared" ca="1" si="21"/>
        <v>1069.8704190000001</v>
      </c>
      <c r="G196" s="972">
        <f ca="1">[3]MMBTU!R219</f>
        <v>2092866.048</v>
      </c>
      <c r="H196" s="740">
        <f t="shared" si="22"/>
        <v>5.0000000000000001E-3</v>
      </c>
      <c r="I196" s="971">
        <f t="shared" ca="1" si="23"/>
        <v>10.464330239999999</v>
      </c>
      <c r="J196" s="977">
        <f t="shared" ca="1" si="24"/>
        <v>1080.3347492400001</v>
      </c>
      <c r="K196" s="741">
        <f ca="1">VLOOKUP($A196,Curves_Table,Escalation!$P$291)</f>
        <v>1.6389834445299432</v>
      </c>
      <c r="L196" s="743">
        <f t="shared" ca="1" si="25"/>
        <v>1770.6507685547676</v>
      </c>
      <c r="M196" s="744" t="str">
        <f t="shared" ca="1" si="26"/>
        <v xml:space="preserve"> </v>
      </c>
    </row>
    <row r="197" spans="1:13">
      <c r="A197" s="738">
        <f t="shared" si="18"/>
        <v>42583</v>
      </c>
      <c r="C197" s="739">
        <f t="shared" si="19"/>
        <v>31</v>
      </c>
      <c r="D197" s="742">
        <f ca="1">IF($A197&gt;Endyr,0,IF($A197&lt;Assm!$F$32,G197,Capacity*C197))</f>
        <v>3192690</v>
      </c>
      <c r="E197" s="740">
        <f t="shared" si="20"/>
        <v>0.33510000000000001</v>
      </c>
      <c r="F197" s="971">
        <f t="shared" ca="1" si="21"/>
        <v>1069.8704190000001</v>
      </c>
      <c r="G197" s="972">
        <f ca="1">[3]MMBTU!R220</f>
        <v>2092866.048</v>
      </c>
      <c r="H197" s="740">
        <f t="shared" si="22"/>
        <v>5.0000000000000001E-3</v>
      </c>
      <c r="I197" s="971">
        <f t="shared" ca="1" si="23"/>
        <v>10.464330239999999</v>
      </c>
      <c r="J197" s="977">
        <f t="shared" ca="1" si="24"/>
        <v>1080.3347492400001</v>
      </c>
      <c r="K197" s="741">
        <f ca="1">VLOOKUP($A197,Curves_Table,Escalation!$P$291)</f>
        <v>1.6389834445299432</v>
      </c>
      <c r="L197" s="743">
        <f t="shared" ca="1" si="25"/>
        <v>1770.6507685547676</v>
      </c>
      <c r="M197" s="744" t="str">
        <f t="shared" ca="1" si="26"/>
        <v xml:space="preserve"> </v>
      </c>
    </row>
    <row r="198" spans="1:13">
      <c r="A198" s="738">
        <f t="shared" si="18"/>
        <v>42614</v>
      </c>
      <c r="C198" s="739">
        <f t="shared" si="19"/>
        <v>30</v>
      </c>
      <c r="D198" s="742">
        <f ca="1">IF($A198&gt;Endyr,0,IF($A198&lt;Assm!$F$32,G198,Capacity*C198))</f>
        <v>3089700</v>
      </c>
      <c r="E198" s="740">
        <f t="shared" si="20"/>
        <v>0.33510000000000001</v>
      </c>
      <c r="F198" s="971">
        <f t="shared" ca="1" si="21"/>
        <v>1035.3584699999999</v>
      </c>
      <c r="G198" s="972">
        <f ca="1">[3]MMBTU!R221</f>
        <v>2025354.24</v>
      </c>
      <c r="H198" s="740">
        <f t="shared" si="22"/>
        <v>5.0000000000000001E-3</v>
      </c>
      <c r="I198" s="971">
        <f t="shared" ca="1" si="23"/>
        <v>10.1267712</v>
      </c>
      <c r="J198" s="977">
        <f t="shared" ca="1" si="24"/>
        <v>1045.4852411999998</v>
      </c>
      <c r="K198" s="741">
        <f ca="1">VLOOKUP($A198,Curves_Table,Escalation!$P$291)</f>
        <v>1.6389834445299432</v>
      </c>
      <c r="L198" s="743">
        <f t="shared" ca="1" si="25"/>
        <v>1713.5330018271941</v>
      </c>
      <c r="M198" s="744" t="str">
        <f t="shared" ca="1" si="26"/>
        <v xml:space="preserve"> </v>
      </c>
    </row>
    <row r="199" spans="1:13">
      <c r="A199" s="738">
        <f t="shared" si="18"/>
        <v>42644</v>
      </c>
      <c r="C199" s="739">
        <f t="shared" si="19"/>
        <v>31</v>
      </c>
      <c r="D199" s="742">
        <f ca="1">IF($A199&gt;Endyr,0,IF($A199&lt;Assm!$F$32,G199,Capacity*C199))</f>
        <v>3192690</v>
      </c>
      <c r="E199" s="740">
        <f t="shared" si="20"/>
        <v>0.33510000000000001</v>
      </c>
      <c r="F199" s="971">
        <f t="shared" ca="1" si="21"/>
        <v>1069.8704190000001</v>
      </c>
      <c r="G199" s="972">
        <f ca="1">[3]MMBTU!R222</f>
        <v>2092866.048</v>
      </c>
      <c r="H199" s="740">
        <f t="shared" si="22"/>
        <v>5.0000000000000001E-3</v>
      </c>
      <c r="I199" s="971">
        <f t="shared" ca="1" si="23"/>
        <v>10.464330239999999</v>
      </c>
      <c r="J199" s="977">
        <f t="shared" ca="1" si="24"/>
        <v>1080.3347492400001</v>
      </c>
      <c r="K199" s="741">
        <f ca="1">VLOOKUP($A199,Curves_Table,Escalation!$P$291)</f>
        <v>1.6389834445299432</v>
      </c>
      <c r="L199" s="743">
        <f t="shared" ca="1" si="25"/>
        <v>1770.6507685547676</v>
      </c>
      <c r="M199" s="744" t="str">
        <f t="shared" ca="1" si="26"/>
        <v xml:space="preserve"> </v>
      </c>
    </row>
    <row r="200" spans="1:13">
      <c r="A200" s="738">
        <f t="shared" si="18"/>
        <v>42675</v>
      </c>
      <c r="C200" s="739">
        <f t="shared" si="19"/>
        <v>30</v>
      </c>
      <c r="D200" s="742">
        <f ca="1">IF($A200&gt;Endyr,0,IF($A200&lt;Assm!$F$32,G200,Capacity*C200))</f>
        <v>3089700</v>
      </c>
      <c r="E200" s="740">
        <f t="shared" si="20"/>
        <v>0.33510000000000001</v>
      </c>
      <c r="F200" s="971">
        <f t="shared" ca="1" si="21"/>
        <v>1035.3584699999999</v>
      </c>
      <c r="G200" s="972">
        <f ca="1">[3]MMBTU!R223</f>
        <v>2025354.24</v>
      </c>
      <c r="H200" s="740">
        <f t="shared" si="22"/>
        <v>5.0000000000000001E-3</v>
      </c>
      <c r="I200" s="971">
        <f t="shared" ca="1" si="23"/>
        <v>10.1267712</v>
      </c>
      <c r="J200" s="977">
        <f t="shared" ca="1" si="24"/>
        <v>1045.4852411999998</v>
      </c>
      <c r="K200" s="741">
        <f ca="1">VLOOKUP($A200,Curves_Table,Escalation!$P$291)</f>
        <v>1.6389834445299432</v>
      </c>
      <c r="L200" s="743">
        <f t="shared" ca="1" si="25"/>
        <v>1713.5330018271941</v>
      </c>
      <c r="M200" s="744" t="str">
        <f t="shared" ca="1" si="26"/>
        <v xml:space="preserve"> </v>
      </c>
    </row>
    <row r="201" spans="1:13">
      <c r="A201" s="738">
        <f t="shared" si="18"/>
        <v>42705</v>
      </c>
      <c r="C201" s="739">
        <f t="shared" si="19"/>
        <v>31</v>
      </c>
      <c r="D201" s="742">
        <f ca="1">IF($A201&gt;Endyr,0,IF($A201&lt;Assm!$F$32,G201,Capacity*C201))</f>
        <v>3192690</v>
      </c>
      <c r="E201" s="740">
        <f t="shared" si="20"/>
        <v>0.33510000000000001</v>
      </c>
      <c r="F201" s="971">
        <f t="shared" ca="1" si="21"/>
        <v>1069.8704190000001</v>
      </c>
      <c r="G201" s="972">
        <f ca="1">[3]MMBTU!R224</f>
        <v>2092866.048</v>
      </c>
      <c r="H201" s="740">
        <f t="shared" si="22"/>
        <v>5.0000000000000001E-3</v>
      </c>
      <c r="I201" s="971">
        <f t="shared" ca="1" si="23"/>
        <v>10.464330239999999</v>
      </c>
      <c r="J201" s="977">
        <f t="shared" ca="1" si="24"/>
        <v>1080.3347492400001</v>
      </c>
      <c r="K201" s="741">
        <f ca="1">VLOOKUP($A201,Curves_Table,Escalation!$P$291)</f>
        <v>1.6389834445299432</v>
      </c>
      <c r="L201" s="743">
        <f t="shared" ca="1" si="25"/>
        <v>1770.6507685547676</v>
      </c>
      <c r="M201" s="744">
        <f t="shared" ca="1" si="26"/>
        <v>20729.460453537933</v>
      </c>
    </row>
    <row r="202" spans="1:13">
      <c r="A202" s="738">
        <f t="shared" si="18"/>
        <v>42736</v>
      </c>
      <c r="C202" s="739">
        <f t="shared" si="19"/>
        <v>31</v>
      </c>
      <c r="D202" s="742">
        <f ca="1">IF($A202&gt;Endyr,0,IF($A202&lt;Assm!$F$32,G202,Capacity*C202))</f>
        <v>3192690</v>
      </c>
      <c r="E202" s="740">
        <f t="shared" si="20"/>
        <v>0.33510000000000001</v>
      </c>
      <c r="F202" s="971">
        <f t="shared" ca="1" si="21"/>
        <v>1069.8704190000001</v>
      </c>
      <c r="G202" s="972">
        <f ca="1">[3]MMBTU!R225</f>
        <v>2092866.048</v>
      </c>
      <c r="H202" s="740">
        <f t="shared" si="22"/>
        <v>5.0000000000000001E-3</v>
      </c>
      <c r="I202" s="971">
        <f t="shared" ca="1" si="23"/>
        <v>10.464330239999999</v>
      </c>
      <c r="J202" s="977">
        <f t="shared" ca="1" si="24"/>
        <v>1080.3347492400001</v>
      </c>
      <c r="K202" s="741">
        <f ca="1">VLOOKUP($A202,Curves_Table,Escalation!$P$291)</f>
        <v>1.6389834445299432</v>
      </c>
      <c r="L202" s="743">
        <f t="shared" ca="1" si="25"/>
        <v>1770.6507685547676</v>
      </c>
      <c r="M202" s="744" t="str">
        <f t="shared" ca="1" si="26"/>
        <v xml:space="preserve"> </v>
      </c>
    </row>
    <row r="203" spans="1:13">
      <c r="A203" s="738">
        <f t="shared" si="18"/>
        <v>42767</v>
      </c>
      <c r="C203" s="739">
        <f t="shared" si="19"/>
        <v>28</v>
      </c>
      <c r="D203" s="742">
        <f ca="1">IF($A203&gt;Endyr,0,IF($A203&lt;Assm!$F$32,G203,Capacity*C203))</f>
        <v>2883720</v>
      </c>
      <c r="E203" s="740">
        <f t="shared" si="20"/>
        <v>0.33510000000000001</v>
      </c>
      <c r="F203" s="971">
        <f t="shared" ca="1" si="21"/>
        <v>966.33457200000009</v>
      </c>
      <c r="G203" s="972">
        <f ca="1">[3]MMBTU!R226</f>
        <v>1890330.6240000003</v>
      </c>
      <c r="H203" s="740">
        <f t="shared" si="22"/>
        <v>5.0000000000000001E-3</v>
      </c>
      <c r="I203" s="971">
        <f t="shared" ca="1" si="23"/>
        <v>9.4516531200000014</v>
      </c>
      <c r="J203" s="977">
        <f t="shared" ca="1" si="24"/>
        <v>975.78622512000004</v>
      </c>
      <c r="K203" s="741">
        <f ca="1">VLOOKUP($A203,Curves_Table,Escalation!$P$291)</f>
        <v>1.6389834445299432</v>
      </c>
      <c r="L203" s="743">
        <f t="shared" ca="1" si="25"/>
        <v>1599.2974683720481</v>
      </c>
      <c r="M203" s="744" t="str">
        <f t="shared" ca="1" si="26"/>
        <v xml:space="preserve"> </v>
      </c>
    </row>
    <row r="204" spans="1:13">
      <c r="A204" s="738">
        <f t="shared" si="18"/>
        <v>42795</v>
      </c>
      <c r="C204" s="739">
        <f t="shared" si="19"/>
        <v>31</v>
      </c>
      <c r="D204" s="742">
        <f ca="1">IF($A204&gt;Endyr,0,IF($A204&lt;Assm!$F$32,G204,Capacity*C204))</f>
        <v>3192690</v>
      </c>
      <c r="E204" s="740">
        <f t="shared" si="20"/>
        <v>0.33510000000000001</v>
      </c>
      <c r="F204" s="971">
        <f t="shared" ca="1" si="21"/>
        <v>1069.8704190000001</v>
      </c>
      <c r="G204" s="972">
        <f ca="1">[3]MMBTU!R227</f>
        <v>2092866.048</v>
      </c>
      <c r="H204" s="740">
        <f t="shared" si="22"/>
        <v>5.0000000000000001E-3</v>
      </c>
      <c r="I204" s="971">
        <f t="shared" ca="1" si="23"/>
        <v>10.464330239999999</v>
      </c>
      <c r="J204" s="977">
        <f t="shared" ca="1" si="24"/>
        <v>1080.3347492400001</v>
      </c>
      <c r="K204" s="741">
        <f ca="1">VLOOKUP($A204,Curves_Table,Escalation!$P$291)</f>
        <v>1.6389834445299432</v>
      </c>
      <c r="L204" s="743">
        <f t="shared" ca="1" si="25"/>
        <v>1770.6507685547676</v>
      </c>
      <c r="M204" s="744" t="str">
        <f t="shared" ca="1" si="26"/>
        <v xml:space="preserve"> </v>
      </c>
    </row>
    <row r="205" spans="1:13">
      <c r="A205" s="738">
        <f t="shared" ref="A205:A246" si="27">EDATE(A204,1)</f>
        <v>42826</v>
      </c>
      <c r="C205" s="739">
        <f t="shared" ref="C205:C245" si="28">A206-A205</f>
        <v>30</v>
      </c>
      <c r="D205" s="742">
        <f ca="1">IF($A205&gt;Endyr,0,IF($A205&lt;Assm!$F$32,G205,Capacity*C205))</f>
        <v>3089700</v>
      </c>
      <c r="E205" s="740">
        <f t="shared" ref="E205:E245" si="29">IF($A205&gt;Endyr,0,Tariff_Cap)</f>
        <v>0.33510000000000001</v>
      </c>
      <c r="F205" s="971">
        <f t="shared" ref="F205:F245" ca="1" si="30">D205*E205/1000</f>
        <v>1035.3584699999999</v>
      </c>
      <c r="G205" s="972">
        <f ca="1">[3]MMBTU!R228</f>
        <v>2025354.24</v>
      </c>
      <c r="H205" s="740">
        <f t="shared" ref="H205:H245" si="31">IF($A205&gt;Endyr,0,Tariff_Var)</f>
        <v>5.0000000000000001E-3</v>
      </c>
      <c r="I205" s="971">
        <f t="shared" ref="I205:I245" ca="1" si="32">G205*H205/1000</f>
        <v>10.1267712</v>
      </c>
      <c r="J205" s="977">
        <f t="shared" ref="J205:J245" ca="1" si="33">SUM(F205,I205)</f>
        <v>1045.4852411999998</v>
      </c>
      <c r="K205" s="741">
        <f ca="1">VLOOKUP($A205,Curves_Table,Escalation!$P$291)</f>
        <v>1.6389834445299432</v>
      </c>
      <c r="L205" s="743">
        <f t="shared" ref="L205:L245" ca="1" si="34">J205*K205</f>
        <v>1713.5330018271941</v>
      </c>
      <c r="M205" s="744" t="str">
        <f t="shared" ref="M205:M245" ca="1" si="35">IF(MONTH($A205)=12,SUM(L194:L205)," ")</f>
        <v xml:space="preserve"> </v>
      </c>
    </row>
    <row r="206" spans="1:13">
      <c r="A206" s="738">
        <f t="shared" si="27"/>
        <v>42856</v>
      </c>
      <c r="C206" s="739">
        <f t="shared" si="28"/>
        <v>31</v>
      </c>
      <c r="D206" s="742">
        <f ca="1">IF($A206&gt;Endyr,0,IF($A206&lt;Assm!$F$32,G206,Capacity*C206))</f>
        <v>3192690</v>
      </c>
      <c r="E206" s="740">
        <f t="shared" si="29"/>
        <v>0.33510000000000001</v>
      </c>
      <c r="F206" s="971">
        <f t="shared" ca="1" si="30"/>
        <v>1069.8704190000001</v>
      </c>
      <c r="G206" s="972">
        <f ca="1">[3]MMBTU!R229</f>
        <v>2092866.048</v>
      </c>
      <c r="H206" s="740">
        <f t="shared" si="31"/>
        <v>5.0000000000000001E-3</v>
      </c>
      <c r="I206" s="971">
        <f t="shared" ca="1" si="32"/>
        <v>10.464330239999999</v>
      </c>
      <c r="J206" s="977">
        <f t="shared" ca="1" si="33"/>
        <v>1080.3347492400001</v>
      </c>
      <c r="K206" s="741">
        <f ca="1">VLOOKUP($A206,Curves_Table,Escalation!$P$291)</f>
        <v>1.6825466987361488</v>
      </c>
      <c r="L206" s="743">
        <f t="shared" ca="1" si="34"/>
        <v>1817.7136658637073</v>
      </c>
      <c r="M206" s="744" t="str">
        <f t="shared" ca="1" si="35"/>
        <v xml:space="preserve"> </v>
      </c>
    </row>
    <row r="207" spans="1:13">
      <c r="A207" s="738">
        <f t="shared" si="27"/>
        <v>42887</v>
      </c>
      <c r="C207" s="739">
        <f t="shared" si="28"/>
        <v>30</v>
      </c>
      <c r="D207" s="742">
        <f ca="1">IF($A207&gt;Endyr,0,IF($A207&lt;Assm!$F$32,G207,Capacity*C207))</f>
        <v>3089700</v>
      </c>
      <c r="E207" s="740">
        <f t="shared" si="29"/>
        <v>0.33510000000000001</v>
      </c>
      <c r="F207" s="971">
        <f t="shared" ca="1" si="30"/>
        <v>1035.3584699999999</v>
      </c>
      <c r="G207" s="972">
        <f ca="1">[3]MMBTU!R230</f>
        <v>2025354.24</v>
      </c>
      <c r="H207" s="740">
        <f t="shared" si="31"/>
        <v>5.0000000000000001E-3</v>
      </c>
      <c r="I207" s="971">
        <f t="shared" ca="1" si="32"/>
        <v>10.1267712</v>
      </c>
      <c r="J207" s="977">
        <f t="shared" ca="1" si="33"/>
        <v>1045.4852411999998</v>
      </c>
      <c r="K207" s="741">
        <f ca="1">VLOOKUP($A207,Curves_Table,Escalation!$P$291)</f>
        <v>1.6825466987361488</v>
      </c>
      <c r="L207" s="743">
        <f t="shared" ca="1" si="34"/>
        <v>1759.0777411584259</v>
      </c>
      <c r="M207" s="744" t="str">
        <f t="shared" ca="1" si="35"/>
        <v xml:space="preserve"> </v>
      </c>
    </row>
    <row r="208" spans="1:13">
      <c r="A208" s="738">
        <f t="shared" si="27"/>
        <v>42917</v>
      </c>
      <c r="C208" s="739">
        <f t="shared" si="28"/>
        <v>31</v>
      </c>
      <c r="D208" s="742">
        <f ca="1">IF($A208&gt;Endyr,0,IF($A208&lt;Assm!$F$32,G208,Capacity*C208))</f>
        <v>3192690</v>
      </c>
      <c r="E208" s="740">
        <f t="shared" si="29"/>
        <v>0.33510000000000001</v>
      </c>
      <c r="F208" s="971">
        <f t="shared" ca="1" si="30"/>
        <v>1069.8704190000001</v>
      </c>
      <c r="G208" s="972">
        <f ca="1">[3]MMBTU!R231</f>
        <v>2092866.048</v>
      </c>
      <c r="H208" s="740">
        <f t="shared" si="31"/>
        <v>5.0000000000000001E-3</v>
      </c>
      <c r="I208" s="971">
        <f t="shared" ca="1" si="32"/>
        <v>10.464330239999999</v>
      </c>
      <c r="J208" s="977">
        <f t="shared" ca="1" si="33"/>
        <v>1080.3347492400001</v>
      </c>
      <c r="K208" s="741">
        <f ca="1">VLOOKUP($A208,Curves_Table,Escalation!$P$291)</f>
        <v>1.6825466987361488</v>
      </c>
      <c r="L208" s="743">
        <f t="shared" ca="1" si="34"/>
        <v>1817.7136658637073</v>
      </c>
      <c r="M208" s="744" t="str">
        <f t="shared" ca="1" si="35"/>
        <v xml:space="preserve"> </v>
      </c>
    </row>
    <row r="209" spans="1:13">
      <c r="A209" s="738">
        <f t="shared" si="27"/>
        <v>42948</v>
      </c>
      <c r="C209" s="739">
        <f t="shared" si="28"/>
        <v>31</v>
      </c>
      <c r="D209" s="742">
        <f ca="1">IF($A209&gt;Endyr,0,IF($A209&lt;Assm!$F$32,G209,Capacity*C209))</f>
        <v>3192690</v>
      </c>
      <c r="E209" s="740">
        <f t="shared" si="29"/>
        <v>0.33510000000000001</v>
      </c>
      <c r="F209" s="971">
        <f t="shared" ca="1" si="30"/>
        <v>1069.8704190000001</v>
      </c>
      <c r="G209" s="972">
        <f ca="1">[3]MMBTU!R232</f>
        <v>2092866.048</v>
      </c>
      <c r="H209" s="740">
        <f t="shared" si="31"/>
        <v>5.0000000000000001E-3</v>
      </c>
      <c r="I209" s="971">
        <f t="shared" ca="1" si="32"/>
        <v>10.464330239999999</v>
      </c>
      <c r="J209" s="977">
        <f t="shared" ca="1" si="33"/>
        <v>1080.3347492400001</v>
      </c>
      <c r="K209" s="741">
        <f ca="1">VLOOKUP($A209,Curves_Table,Escalation!$P$291)</f>
        <v>1.6825466987361488</v>
      </c>
      <c r="L209" s="743">
        <f t="shared" ca="1" si="34"/>
        <v>1817.7136658637073</v>
      </c>
      <c r="M209" s="744" t="str">
        <f t="shared" ca="1" si="35"/>
        <v xml:space="preserve"> </v>
      </c>
    </row>
    <row r="210" spans="1:13">
      <c r="A210" s="738">
        <f t="shared" si="27"/>
        <v>42979</v>
      </c>
      <c r="C210" s="739">
        <f t="shared" si="28"/>
        <v>30</v>
      </c>
      <c r="D210" s="742">
        <f ca="1">IF($A210&gt;Endyr,0,IF($A210&lt;Assm!$F$32,G210,Capacity*C210))</f>
        <v>3089700</v>
      </c>
      <c r="E210" s="740">
        <f t="shared" si="29"/>
        <v>0.33510000000000001</v>
      </c>
      <c r="F210" s="971">
        <f t="shared" ca="1" si="30"/>
        <v>1035.3584699999999</v>
      </c>
      <c r="G210" s="972">
        <f ca="1">[3]MMBTU!R233</f>
        <v>2025354.24</v>
      </c>
      <c r="H210" s="740">
        <f t="shared" si="31"/>
        <v>5.0000000000000001E-3</v>
      </c>
      <c r="I210" s="971">
        <f t="shared" ca="1" si="32"/>
        <v>10.1267712</v>
      </c>
      <c r="J210" s="977">
        <f t="shared" ca="1" si="33"/>
        <v>1045.4852411999998</v>
      </c>
      <c r="K210" s="741">
        <f ca="1">VLOOKUP($A210,Curves_Table,Escalation!$P$291)</f>
        <v>1.6825466987361488</v>
      </c>
      <c r="L210" s="743">
        <f t="shared" ca="1" si="34"/>
        <v>1759.0777411584259</v>
      </c>
      <c r="M210" s="744" t="str">
        <f t="shared" ca="1" si="35"/>
        <v xml:space="preserve"> </v>
      </c>
    </row>
    <row r="211" spans="1:13">
      <c r="A211" s="738">
        <f t="shared" si="27"/>
        <v>43009</v>
      </c>
      <c r="C211" s="739">
        <f t="shared" si="28"/>
        <v>31</v>
      </c>
      <c r="D211" s="742">
        <f ca="1">IF($A211&gt;Endyr,0,IF($A211&lt;Assm!$F$32,G211,Capacity*C211))</f>
        <v>3192690</v>
      </c>
      <c r="E211" s="740">
        <f t="shared" si="29"/>
        <v>0.33510000000000001</v>
      </c>
      <c r="F211" s="971">
        <f t="shared" ca="1" si="30"/>
        <v>1069.8704190000001</v>
      </c>
      <c r="G211" s="972">
        <f ca="1">[3]MMBTU!R234</f>
        <v>2092866.048</v>
      </c>
      <c r="H211" s="740">
        <f t="shared" si="31"/>
        <v>5.0000000000000001E-3</v>
      </c>
      <c r="I211" s="971">
        <f t="shared" ca="1" si="32"/>
        <v>10.464330239999999</v>
      </c>
      <c r="J211" s="977">
        <f t="shared" ca="1" si="33"/>
        <v>1080.3347492400001</v>
      </c>
      <c r="K211" s="741">
        <f ca="1">VLOOKUP($A211,Curves_Table,Escalation!$P$291)</f>
        <v>1.6825466987361488</v>
      </c>
      <c r="L211" s="743">
        <f t="shared" ca="1" si="34"/>
        <v>1817.7136658637073</v>
      </c>
      <c r="M211" s="744" t="str">
        <f t="shared" ca="1" si="35"/>
        <v xml:space="preserve"> </v>
      </c>
    </row>
    <row r="212" spans="1:13">
      <c r="A212" s="738">
        <f t="shared" si="27"/>
        <v>43040</v>
      </c>
      <c r="C212" s="739">
        <f t="shared" si="28"/>
        <v>30</v>
      </c>
      <c r="D212" s="742">
        <f ca="1">IF($A212&gt;Endyr,0,IF($A212&lt;Assm!$F$32,G212,Capacity*C212))</f>
        <v>3089700</v>
      </c>
      <c r="E212" s="740">
        <f t="shared" si="29"/>
        <v>0.33510000000000001</v>
      </c>
      <c r="F212" s="971">
        <f t="shared" ca="1" si="30"/>
        <v>1035.3584699999999</v>
      </c>
      <c r="G212" s="972">
        <f ca="1">[3]MMBTU!R235</f>
        <v>2025354.24</v>
      </c>
      <c r="H212" s="740">
        <f t="shared" si="31"/>
        <v>5.0000000000000001E-3</v>
      </c>
      <c r="I212" s="971">
        <f t="shared" ca="1" si="32"/>
        <v>10.1267712</v>
      </c>
      <c r="J212" s="977">
        <f t="shared" ca="1" si="33"/>
        <v>1045.4852411999998</v>
      </c>
      <c r="K212" s="741">
        <f ca="1">VLOOKUP($A212,Curves_Table,Escalation!$P$291)</f>
        <v>1.6825466987361488</v>
      </c>
      <c r="L212" s="743">
        <f t="shared" ca="1" si="34"/>
        <v>1759.0777411584259</v>
      </c>
      <c r="M212" s="744" t="str">
        <f t="shared" ca="1" si="35"/>
        <v xml:space="preserve"> </v>
      </c>
    </row>
    <row r="213" spans="1:13">
      <c r="A213" s="738">
        <f t="shared" si="27"/>
        <v>43070</v>
      </c>
      <c r="C213" s="739">
        <f t="shared" si="28"/>
        <v>31</v>
      </c>
      <c r="D213" s="742">
        <f ca="1">IF($A213&gt;Endyr,0,IF($A213&lt;Assm!$F$32,G213,Capacity*C213))</f>
        <v>3192690</v>
      </c>
      <c r="E213" s="740">
        <f t="shared" si="29"/>
        <v>0.33510000000000001</v>
      </c>
      <c r="F213" s="971">
        <f t="shared" ca="1" si="30"/>
        <v>1069.8704190000001</v>
      </c>
      <c r="G213" s="972">
        <f ca="1">[3]MMBTU!R236</f>
        <v>2092866.048</v>
      </c>
      <c r="H213" s="740">
        <f t="shared" si="31"/>
        <v>5.0000000000000001E-3</v>
      </c>
      <c r="I213" s="971">
        <f t="shared" ca="1" si="32"/>
        <v>10.464330239999999</v>
      </c>
      <c r="J213" s="977">
        <f t="shared" ca="1" si="33"/>
        <v>1080.3347492400001</v>
      </c>
      <c r="K213" s="741">
        <f ca="1">VLOOKUP($A213,Curves_Table,Escalation!$P$291)</f>
        <v>1.6825466987361488</v>
      </c>
      <c r="L213" s="743">
        <f t="shared" ca="1" si="34"/>
        <v>1817.7136658637073</v>
      </c>
      <c r="M213" s="744">
        <f t="shared" ca="1" si="35"/>
        <v>21219.933560102592</v>
      </c>
    </row>
    <row r="214" spans="1:13">
      <c r="A214" s="738">
        <f t="shared" si="27"/>
        <v>43101</v>
      </c>
      <c r="C214" s="739">
        <f t="shared" si="28"/>
        <v>31</v>
      </c>
      <c r="D214" s="742">
        <f ca="1">IF($A214&gt;Endyr,0,IF($A214&lt;Assm!$F$32,G214,Capacity*C214))</f>
        <v>3192690</v>
      </c>
      <c r="E214" s="740">
        <f t="shared" si="29"/>
        <v>0.33510000000000001</v>
      </c>
      <c r="F214" s="971">
        <f t="shared" ca="1" si="30"/>
        <v>1069.8704190000001</v>
      </c>
      <c r="G214" s="972">
        <f ca="1">[3]MMBTU!R237</f>
        <v>2092866.048</v>
      </c>
      <c r="H214" s="740">
        <f t="shared" si="31"/>
        <v>5.0000000000000001E-3</v>
      </c>
      <c r="I214" s="971">
        <f t="shared" ca="1" si="32"/>
        <v>10.464330239999999</v>
      </c>
      <c r="J214" s="977">
        <f t="shared" ca="1" si="33"/>
        <v>1080.3347492400001</v>
      </c>
      <c r="K214" s="741">
        <f ca="1">VLOOKUP($A214,Curves_Table,Escalation!$P$291)</f>
        <v>1.6825466987361488</v>
      </c>
      <c r="L214" s="743">
        <f t="shared" ca="1" si="34"/>
        <v>1817.7136658637073</v>
      </c>
      <c r="M214" s="744" t="str">
        <f t="shared" ca="1" si="35"/>
        <v xml:space="preserve"> </v>
      </c>
    </row>
    <row r="215" spans="1:13">
      <c r="A215" s="738">
        <f t="shared" si="27"/>
        <v>43132</v>
      </c>
      <c r="C215" s="739">
        <f t="shared" si="28"/>
        <v>28</v>
      </c>
      <c r="D215" s="742">
        <f ca="1">IF($A215&gt;Endyr,0,IF($A215&lt;Assm!$F$32,G215,Capacity*C215))</f>
        <v>2883720</v>
      </c>
      <c r="E215" s="740">
        <f t="shared" si="29"/>
        <v>0.33510000000000001</v>
      </c>
      <c r="F215" s="971">
        <f t="shared" ca="1" si="30"/>
        <v>966.33457200000009</v>
      </c>
      <c r="G215" s="972">
        <f ca="1">[3]MMBTU!R238</f>
        <v>1890330.6240000003</v>
      </c>
      <c r="H215" s="740">
        <f t="shared" si="31"/>
        <v>5.0000000000000001E-3</v>
      </c>
      <c r="I215" s="971">
        <f t="shared" ca="1" si="32"/>
        <v>9.4516531200000014</v>
      </c>
      <c r="J215" s="977">
        <f t="shared" ca="1" si="33"/>
        <v>975.78622512000004</v>
      </c>
      <c r="K215" s="741">
        <f ca="1">VLOOKUP($A215,Curves_Table,Escalation!$P$291)</f>
        <v>1.6825466987361488</v>
      </c>
      <c r="L215" s="743">
        <f t="shared" ca="1" si="34"/>
        <v>1641.8058917478645</v>
      </c>
      <c r="M215" s="744" t="str">
        <f t="shared" ca="1" si="35"/>
        <v xml:space="preserve"> </v>
      </c>
    </row>
    <row r="216" spans="1:13">
      <c r="A216" s="738">
        <f t="shared" si="27"/>
        <v>43160</v>
      </c>
      <c r="C216" s="739">
        <f t="shared" si="28"/>
        <v>31</v>
      </c>
      <c r="D216" s="742">
        <f ca="1">IF($A216&gt;Endyr,0,IF($A216&lt;Assm!$F$32,G216,Capacity*C216))</f>
        <v>3192690</v>
      </c>
      <c r="E216" s="740">
        <f t="shared" si="29"/>
        <v>0.33510000000000001</v>
      </c>
      <c r="F216" s="971">
        <f t="shared" ca="1" si="30"/>
        <v>1069.8704190000001</v>
      </c>
      <c r="G216" s="972">
        <f ca="1">[3]MMBTU!R239</f>
        <v>2092866.048</v>
      </c>
      <c r="H216" s="740">
        <f t="shared" si="31"/>
        <v>5.0000000000000001E-3</v>
      </c>
      <c r="I216" s="971">
        <f t="shared" ca="1" si="32"/>
        <v>10.464330239999999</v>
      </c>
      <c r="J216" s="977">
        <f t="shared" ca="1" si="33"/>
        <v>1080.3347492400001</v>
      </c>
      <c r="K216" s="741">
        <f ca="1">VLOOKUP($A216,Curves_Table,Escalation!$P$291)</f>
        <v>1.6825466987361488</v>
      </c>
      <c r="L216" s="743">
        <f t="shared" ca="1" si="34"/>
        <v>1817.7136658637073</v>
      </c>
      <c r="M216" s="744" t="str">
        <f t="shared" ca="1" si="35"/>
        <v xml:space="preserve"> </v>
      </c>
    </row>
    <row r="217" spans="1:13">
      <c r="A217" s="738">
        <f t="shared" si="27"/>
        <v>43191</v>
      </c>
      <c r="C217" s="739">
        <f t="shared" si="28"/>
        <v>30</v>
      </c>
      <c r="D217" s="742">
        <f ca="1">IF($A217&gt;Endyr,0,IF($A217&lt;Assm!$F$32,G217,Capacity*C217))</f>
        <v>3089700</v>
      </c>
      <c r="E217" s="740">
        <f t="shared" si="29"/>
        <v>0.33510000000000001</v>
      </c>
      <c r="F217" s="971">
        <f t="shared" ca="1" si="30"/>
        <v>1035.3584699999999</v>
      </c>
      <c r="G217" s="972">
        <f ca="1">[3]MMBTU!R240</f>
        <v>2025354.24</v>
      </c>
      <c r="H217" s="740">
        <f t="shared" si="31"/>
        <v>5.0000000000000001E-3</v>
      </c>
      <c r="I217" s="971">
        <f t="shared" ca="1" si="32"/>
        <v>10.1267712</v>
      </c>
      <c r="J217" s="977">
        <f t="shared" ca="1" si="33"/>
        <v>1045.4852411999998</v>
      </c>
      <c r="K217" s="741">
        <f ca="1">VLOOKUP($A217,Curves_Table,Escalation!$P$291)</f>
        <v>1.6825466987361488</v>
      </c>
      <c r="L217" s="743">
        <f t="shared" ca="1" si="34"/>
        <v>1759.0777411584259</v>
      </c>
      <c r="M217" s="744" t="str">
        <f t="shared" ca="1" si="35"/>
        <v xml:space="preserve"> </v>
      </c>
    </row>
    <row r="218" spans="1:13">
      <c r="A218" s="738">
        <f t="shared" si="27"/>
        <v>43221</v>
      </c>
      <c r="C218" s="739">
        <f t="shared" si="28"/>
        <v>31</v>
      </c>
      <c r="D218" s="742">
        <f ca="1">IF($A218&gt;Endyr,0,IF($A218&lt;Assm!$F$32,G218,Capacity*C218))</f>
        <v>3192690</v>
      </c>
      <c r="E218" s="740">
        <f t="shared" si="29"/>
        <v>0.33510000000000001</v>
      </c>
      <c r="F218" s="971">
        <f t="shared" ca="1" si="30"/>
        <v>1069.8704190000001</v>
      </c>
      <c r="G218" s="972">
        <f ca="1">[3]MMBTU!R241</f>
        <v>2092866.048</v>
      </c>
      <c r="H218" s="740">
        <f t="shared" si="31"/>
        <v>5.0000000000000001E-3</v>
      </c>
      <c r="I218" s="971">
        <f t="shared" ca="1" si="32"/>
        <v>10.464330239999999</v>
      </c>
      <c r="J218" s="977">
        <f t="shared" ca="1" si="33"/>
        <v>1080.3347492400001</v>
      </c>
      <c r="K218" s="741">
        <f ca="1">VLOOKUP($A218,Curves_Table,Escalation!$P$291)</f>
        <v>1.7280133273368676</v>
      </c>
      <c r="L218" s="743">
        <f t="shared" ca="1" si="34"/>
        <v>1866.8328446718531</v>
      </c>
      <c r="M218" s="744" t="str">
        <f t="shared" ca="1" si="35"/>
        <v xml:space="preserve"> </v>
      </c>
    </row>
    <row r="219" spans="1:13">
      <c r="A219" s="738">
        <f t="shared" si="27"/>
        <v>43252</v>
      </c>
      <c r="C219" s="739">
        <f t="shared" si="28"/>
        <v>30</v>
      </c>
      <c r="D219" s="742">
        <f ca="1">IF($A219&gt;Endyr,0,IF($A219&lt;Assm!$F$32,G219,Capacity*C219))</f>
        <v>3089700</v>
      </c>
      <c r="E219" s="740">
        <f t="shared" si="29"/>
        <v>0.33510000000000001</v>
      </c>
      <c r="F219" s="971">
        <f t="shared" ca="1" si="30"/>
        <v>1035.3584699999999</v>
      </c>
      <c r="G219" s="972">
        <f ca="1">[3]MMBTU!R242</f>
        <v>2025354.24</v>
      </c>
      <c r="H219" s="740">
        <f t="shared" si="31"/>
        <v>5.0000000000000001E-3</v>
      </c>
      <c r="I219" s="971">
        <f t="shared" ca="1" si="32"/>
        <v>10.1267712</v>
      </c>
      <c r="J219" s="977">
        <f t="shared" ca="1" si="33"/>
        <v>1045.4852411999998</v>
      </c>
      <c r="K219" s="741">
        <f ca="1">VLOOKUP($A219,Curves_Table,Escalation!$P$291)</f>
        <v>1.7280133273368676</v>
      </c>
      <c r="L219" s="743">
        <f t="shared" ca="1" si="34"/>
        <v>1806.6124303275992</v>
      </c>
      <c r="M219" s="744" t="str">
        <f t="shared" ca="1" si="35"/>
        <v xml:space="preserve"> </v>
      </c>
    </row>
    <row r="220" spans="1:13">
      <c r="A220" s="738">
        <f t="shared" si="27"/>
        <v>43282</v>
      </c>
      <c r="C220" s="739">
        <f t="shared" si="28"/>
        <v>31</v>
      </c>
      <c r="D220" s="742">
        <f ca="1">IF($A220&gt;Endyr,0,IF($A220&lt;Assm!$F$32,G220,Capacity*C220))</f>
        <v>3192690</v>
      </c>
      <c r="E220" s="740">
        <f t="shared" si="29"/>
        <v>0.33510000000000001</v>
      </c>
      <c r="F220" s="971">
        <f t="shared" ca="1" si="30"/>
        <v>1069.8704190000001</v>
      </c>
      <c r="G220" s="972">
        <f ca="1">[3]MMBTU!R243</f>
        <v>2092866.048</v>
      </c>
      <c r="H220" s="740">
        <f t="shared" si="31"/>
        <v>5.0000000000000001E-3</v>
      </c>
      <c r="I220" s="971">
        <f t="shared" ca="1" si="32"/>
        <v>10.464330239999999</v>
      </c>
      <c r="J220" s="977">
        <f t="shared" ca="1" si="33"/>
        <v>1080.3347492400001</v>
      </c>
      <c r="K220" s="741">
        <f ca="1">VLOOKUP($A220,Curves_Table,Escalation!$P$291)</f>
        <v>1.7280133273368676</v>
      </c>
      <c r="L220" s="743">
        <f t="shared" ca="1" si="34"/>
        <v>1866.8328446718531</v>
      </c>
      <c r="M220" s="744" t="str">
        <f t="shared" ca="1" si="35"/>
        <v xml:space="preserve"> </v>
      </c>
    </row>
    <row r="221" spans="1:13">
      <c r="A221" s="738">
        <f t="shared" si="27"/>
        <v>43313</v>
      </c>
      <c r="C221" s="739">
        <f t="shared" si="28"/>
        <v>31</v>
      </c>
      <c r="D221" s="742">
        <f ca="1">IF($A221&gt;Endyr,0,IF($A221&lt;Assm!$F$32,G221,Capacity*C221))</f>
        <v>3192690</v>
      </c>
      <c r="E221" s="740">
        <f t="shared" si="29"/>
        <v>0.33510000000000001</v>
      </c>
      <c r="F221" s="971">
        <f t="shared" ca="1" si="30"/>
        <v>1069.8704190000001</v>
      </c>
      <c r="G221" s="972">
        <f ca="1">[3]MMBTU!R244</f>
        <v>2092866.048</v>
      </c>
      <c r="H221" s="740">
        <f t="shared" si="31"/>
        <v>5.0000000000000001E-3</v>
      </c>
      <c r="I221" s="971">
        <f t="shared" ca="1" si="32"/>
        <v>10.464330239999999</v>
      </c>
      <c r="J221" s="977">
        <f t="shared" ca="1" si="33"/>
        <v>1080.3347492400001</v>
      </c>
      <c r="K221" s="741">
        <f ca="1">VLOOKUP($A221,Curves_Table,Escalation!$P$291)</f>
        <v>1.7280133273368676</v>
      </c>
      <c r="L221" s="743">
        <f t="shared" ca="1" si="34"/>
        <v>1866.8328446718531</v>
      </c>
      <c r="M221" s="744" t="str">
        <f t="shared" ca="1" si="35"/>
        <v xml:space="preserve"> </v>
      </c>
    </row>
    <row r="222" spans="1:13">
      <c r="A222" s="738">
        <f t="shared" si="27"/>
        <v>43344</v>
      </c>
      <c r="C222" s="739">
        <f t="shared" si="28"/>
        <v>30</v>
      </c>
      <c r="D222" s="742">
        <f ca="1">IF($A222&gt;Endyr,0,IF($A222&lt;Assm!$F$32,G222,Capacity*C222))</f>
        <v>3089700</v>
      </c>
      <c r="E222" s="740">
        <f t="shared" si="29"/>
        <v>0.33510000000000001</v>
      </c>
      <c r="F222" s="971">
        <f t="shared" ca="1" si="30"/>
        <v>1035.3584699999999</v>
      </c>
      <c r="G222" s="972">
        <f ca="1">[3]MMBTU!R245</f>
        <v>2025354.24</v>
      </c>
      <c r="H222" s="740">
        <f t="shared" si="31"/>
        <v>5.0000000000000001E-3</v>
      </c>
      <c r="I222" s="971">
        <f t="shared" ca="1" si="32"/>
        <v>10.1267712</v>
      </c>
      <c r="J222" s="977">
        <f t="shared" ca="1" si="33"/>
        <v>1045.4852411999998</v>
      </c>
      <c r="K222" s="741">
        <f ca="1">VLOOKUP($A222,Curves_Table,Escalation!$P$291)</f>
        <v>1.7280133273368676</v>
      </c>
      <c r="L222" s="743">
        <f t="shared" ca="1" si="34"/>
        <v>1806.6124303275992</v>
      </c>
      <c r="M222" s="744" t="str">
        <f t="shared" ca="1" si="35"/>
        <v xml:space="preserve"> </v>
      </c>
    </row>
    <row r="223" spans="1:13">
      <c r="A223" s="738">
        <f t="shared" si="27"/>
        <v>43374</v>
      </c>
      <c r="C223" s="739">
        <f t="shared" si="28"/>
        <v>31</v>
      </c>
      <c r="D223" s="742">
        <f ca="1">IF($A223&gt;Endyr,0,IF($A223&lt;Assm!$F$32,G223,Capacity*C223))</f>
        <v>3192690</v>
      </c>
      <c r="E223" s="740">
        <f t="shared" si="29"/>
        <v>0.33510000000000001</v>
      </c>
      <c r="F223" s="971">
        <f t="shared" ca="1" si="30"/>
        <v>1069.8704190000001</v>
      </c>
      <c r="G223" s="972">
        <f ca="1">[3]MMBTU!R246</f>
        <v>2092866.048</v>
      </c>
      <c r="H223" s="740">
        <f t="shared" si="31"/>
        <v>5.0000000000000001E-3</v>
      </c>
      <c r="I223" s="971">
        <f t="shared" ca="1" si="32"/>
        <v>10.464330239999999</v>
      </c>
      <c r="J223" s="977">
        <f t="shared" ca="1" si="33"/>
        <v>1080.3347492400001</v>
      </c>
      <c r="K223" s="741">
        <f ca="1">VLOOKUP($A223,Curves_Table,Escalation!$P$291)</f>
        <v>1.7280133273368676</v>
      </c>
      <c r="L223" s="743">
        <f t="shared" ca="1" si="34"/>
        <v>1866.8328446718531</v>
      </c>
      <c r="M223" s="744" t="str">
        <f t="shared" ca="1" si="35"/>
        <v xml:space="preserve"> </v>
      </c>
    </row>
    <row r="224" spans="1:13">
      <c r="A224" s="738">
        <f t="shared" si="27"/>
        <v>43405</v>
      </c>
      <c r="C224" s="739">
        <f t="shared" si="28"/>
        <v>30</v>
      </c>
      <c r="D224" s="742">
        <f ca="1">IF($A224&gt;Endyr,0,IF($A224&lt;Assm!$F$32,G224,Capacity*C224))</f>
        <v>3089700</v>
      </c>
      <c r="E224" s="740">
        <f t="shared" si="29"/>
        <v>0.33510000000000001</v>
      </c>
      <c r="F224" s="971">
        <f t="shared" ca="1" si="30"/>
        <v>1035.3584699999999</v>
      </c>
      <c r="G224" s="972">
        <f ca="1">[3]MMBTU!R247</f>
        <v>2025354.24</v>
      </c>
      <c r="H224" s="740">
        <f t="shared" si="31"/>
        <v>5.0000000000000001E-3</v>
      </c>
      <c r="I224" s="971">
        <f t="shared" ca="1" si="32"/>
        <v>10.1267712</v>
      </c>
      <c r="J224" s="977">
        <f t="shared" ca="1" si="33"/>
        <v>1045.4852411999998</v>
      </c>
      <c r="K224" s="741">
        <f ca="1">VLOOKUP($A224,Curves_Table,Escalation!$P$291)</f>
        <v>1.7280133273368676</v>
      </c>
      <c r="L224" s="743">
        <f t="shared" ca="1" si="34"/>
        <v>1806.6124303275992</v>
      </c>
      <c r="M224" s="744" t="str">
        <f t="shared" ca="1" si="35"/>
        <v xml:space="preserve"> </v>
      </c>
    </row>
    <row r="225" spans="1:13">
      <c r="A225" s="738">
        <f t="shared" si="27"/>
        <v>43435</v>
      </c>
      <c r="C225" s="739">
        <f t="shared" si="28"/>
        <v>31</v>
      </c>
      <c r="D225" s="742">
        <f ca="1">IF($A225&gt;Endyr,0,IF($A225&lt;Assm!$F$32,G225,Capacity*C225))</f>
        <v>3192690</v>
      </c>
      <c r="E225" s="740">
        <f t="shared" si="29"/>
        <v>0.33510000000000001</v>
      </c>
      <c r="F225" s="971">
        <f t="shared" ca="1" si="30"/>
        <v>1069.8704190000001</v>
      </c>
      <c r="G225" s="972">
        <f ca="1">[3]MMBTU!R248</f>
        <v>2092866.048</v>
      </c>
      <c r="H225" s="740">
        <f t="shared" si="31"/>
        <v>5.0000000000000001E-3</v>
      </c>
      <c r="I225" s="971">
        <f t="shared" ca="1" si="32"/>
        <v>10.464330239999999</v>
      </c>
      <c r="J225" s="977">
        <f t="shared" ca="1" si="33"/>
        <v>1080.3347492400001</v>
      </c>
      <c r="K225" s="741">
        <f ca="1">VLOOKUP($A225,Curves_Table,Escalation!$P$291)</f>
        <v>1.7280133273368676</v>
      </c>
      <c r="L225" s="743">
        <f t="shared" ca="1" si="34"/>
        <v>1866.8328446718531</v>
      </c>
      <c r="M225" s="744">
        <f t="shared" ca="1" si="35"/>
        <v>21790.312478975764</v>
      </c>
    </row>
    <row r="226" spans="1:13">
      <c r="A226" s="738">
        <f t="shared" si="27"/>
        <v>43466</v>
      </c>
      <c r="C226" s="739">
        <f t="shared" si="28"/>
        <v>31</v>
      </c>
      <c r="D226" s="742">
        <f ca="1">IF($A226&gt;Endyr,0,IF($A226&lt;Assm!$F$32,G226,Capacity*C226))</f>
        <v>3192690</v>
      </c>
      <c r="E226" s="740">
        <f t="shared" si="29"/>
        <v>0.33510000000000001</v>
      </c>
      <c r="F226" s="971">
        <f t="shared" ca="1" si="30"/>
        <v>1069.8704190000001</v>
      </c>
      <c r="G226" s="972">
        <f ca="1">[3]MMBTU!R249</f>
        <v>2092866.048</v>
      </c>
      <c r="H226" s="740">
        <f t="shared" si="31"/>
        <v>5.0000000000000001E-3</v>
      </c>
      <c r="I226" s="971">
        <f t="shared" ca="1" si="32"/>
        <v>10.464330239999999</v>
      </c>
      <c r="J226" s="977">
        <f t="shared" ca="1" si="33"/>
        <v>1080.3347492400001</v>
      </c>
      <c r="K226" s="741">
        <f ca="1">VLOOKUP($A226,Curves_Table,Escalation!$P$291)</f>
        <v>1.7280133273368676</v>
      </c>
      <c r="L226" s="743">
        <f t="shared" ca="1" si="34"/>
        <v>1866.8328446718531</v>
      </c>
      <c r="M226" s="744" t="str">
        <f t="shared" ca="1" si="35"/>
        <v xml:space="preserve"> </v>
      </c>
    </row>
    <row r="227" spans="1:13">
      <c r="A227" s="738">
        <f t="shared" si="27"/>
        <v>43497</v>
      </c>
      <c r="C227" s="739">
        <f t="shared" si="28"/>
        <v>28</v>
      </c>
      <c r="D227" s="742">
        <f ca="1">IF($A227&gt;Endyr,0,IF($A227&lt;Assm!$F$32,G227,Capacity*C227))</f>
        <v>2883720</v>
      </c>
      <c r="E227" s="740">
        <f t="shared" si="29"/>
        <v>0.33510000000000001</v>
      </c>
      <c r="F227" s="971">
        <f t="shared" ca="1" si="30"/>
        <v>966.33457200000009</v>
      </c>
      <c r="G227" s="972">
        <f ca="1">[3]MMBTU!R250</f>
        <v>1890330.6240000003</v>
      </c>
      <c r="H227" s="740">
        <f t="shared" si="31"/>
        <v>5.0000000000000001E-3</v>
      </c>
      <c r="I227" s="971">
        <f t="shared" ca="1" si="32"/>
        <v>9.4516531200000014</v>
      </c>
      <c r="J227" s="977">
        <f t="shared" ca="1" si="33"/>
        <v>975.78622512000004</v>
      </c>
      <c r="K227" s="741">
        <f ca="1">VLOOKUP($A227,Curves_Table,Escalation!$P$291)</f>
        <v>1.7280133273368676</v>
      </c>
      <c r="L227" s="743">
        <f t="shared" ca="1" si="34"/>
        <v>1686.1716016390931</v>
      </c>
      <c r="M227" s="744" t="str">
        <f t="shared" ca="1" si="35"/>
        <v xml:space="preserve"> </v>
      </c>
    </row>
    <row r="228" spans="1:13">
      <c r="A228" s="738">
        <f t="shared" si="27"/>
        <v>43525</v>
      </c>
      <c r="C228" s="739">
        <f t="shared" si="28"/>
        <v>31</v>
      </c>
      <c r="D228" s="742">
        <f ca="1">IF($A228&gt;Endyr,0,IF($A228&lt;Assm!$F$32,G228,Capacity*C228))</f>
        <v>3192690</v>
      </c>
      <c r="E228" s="740">
        <f t="shared" si="29"/>
        <v>0.33510000000000001</v>
      </c>
      <c r="F228" s="971">
        <f t="shared" ca="1" si="30"/>
        <v>1069.8704190000001</v>
      </c>
      <c r="G228" s="972">
        <f ca="1">[3]MMBTU!R251</f>
        <v>2092866.048</v>
      </c>
      <c r="H228" s="740">
        <f t="shared" si="31"/>
        <v>5.0000000000000001E-3</v>
      </c>
      <c r="I228" s="971">
        <f t="shared" ca="1" si="32"/>
        <v>10.464330239999999</v>
      </c>
      <c r="J228" s="977">
        <f t="shared" ca="1" si="33"/>
        <v>1080.3347492400001</v>
      </c>
      <c r="K228" s="741">
        <f ca="1">VLOOKUP($A228,Curves_Table,Escalation!$P$291)</f>
        <v>1.7280133273368676</v>
      </c>
      <c r="L228" s="743">
        <f t="shared" ca="1" si="34"/>
        <v>1866.8328446718531</v>
      </c>
      <c r="M228" s="744" t="str">
        <f t="shared" ca="1" si="35"/>
        <v xml:space="preserve"> </v>
      </c>
    </row>
    <row r="229" spans="1:13">
      <c r="A229" s="738">
        <f t="shared" si="27"/>
        <v>43556</v>
      </c>
      <c r="C229" s="739">
        <f t="shared" si="28"/>
        <v>30</v>
      </c>
      <c r="D229" s="742">
        <f ca="1">IF($A229&gt;Endyr,0,IF($A229&lt;Assm!$F$32,G229,Capacity*C229))</f>
        <v>3089700</v>
      </c>
      <c r="E229" s="740">
        <f t="shared" si="29"/>
        <v>0.33510000000000001</v>
      </c>
      <c r="F229" s="971">
        <f t="shared" ca="1" si="30"/>
        <v>1035.3584699999999</v>
      </c>
      <c r="G229" s="972">
        <f ca="1">[3]MMBTU!R252</f>
        <v>2025354.24</v>
      </c>
      <c r="H229" s="740">
        <f t="shared" si="31"/>
        <v>5.0000000000000001E-3</v>
      </c>
      <c r="I229" s="971">
        <f t="shared" ca="1" si="32"/>
        <v>10.1267712</v>
      </c>
      <c r="J229" s="977">
        <f t="shared" ca="1" si="33"/>
        <v>1045.4852411999998</v>
      </c>
      <c r="K229" s="741">
        <f ca="1">VLOOKUP($A229,Curves_Table,Escalation!$P$291)</f>
        <v>1.7280133273368676</v>
      </c>
      <c r="L229" s="743">
        <f t="shared" ca="1" si="34"/>
        <v>1806.6124303275992</v>
      </c>
      <c r="M229" s="744" t="str">
        <f t="shared" ca="1" si="35"/>
        <v xml:space="preserve"> </v>
      </c>
    </row>
    <row r="230" spans="1:13">
      <c r="A230" s="738">
        <f t="shared" si="27"/>
        <v>43586</v>
      </c>
      <c r="C230" s="739">
        <f t="shared" si="28"/>
        <v>31</v>
      </c>
      <c r="D230" s="742">
        <f ca="1">IF($A230&gt;Endyr,0,IF($A230&lt;Assm!$F$32,G230,Capacity*C230))</f>
        <v>0</v>
      </c>
      <c r="E230" s="740">
        <f t="shared" si="29"/>
        <v>0</v>
      </c>
      <c r="F230" s="971">
        <f t="shared" ca="1" si="30"/>
        <v>0</v>
      </c>
      <c r="G230" s="972">
        <f ca="1">[3]MMBTU!R253</f>
        <v>0</v>
      </c>
      <c r="H230" s="740">
        <f t="shared" si="31"/>
        <v>0</v>
      </c>
      <c r="I230" s="971">
        <f t="shared" ca="1" si="32"/>
        <v>0</v>
      </c>
      <c r="J230" s="977">
        <f t="shared" ca="1" si="33"/>
        <v>0</v>
      </c>
      <c r="K230" s="741">
        <f ca="1">VLOOKUP($A230,Curves_Table,Escalation!$P$291)</f>
        <v>1.7754357291063123</v>
      </c>
      <c r="L230" s="743">
        <f t="shared" ca="1" si="34"/>
        <v>0</v>
      </c>
      <c r="M230" s="744" t="str">
        <f t="shared" ca="1" si="35"/>
        <v xml:space="preserve"> </v>
      </c>
    </row>
    <row r="231" spans="1:13">
      <c r="A231" s="738">
        <f t="shared" si="27"/>
        <v>43617</v>
      </c>
      <c r="C231" s="739">
        <f t="shared" si="28"/>
        <v>30</v>
      </c>
      <c r="D231" s="742">
        <f ca="1">IF($A231&gt;Endyr,0,IF($A231&lt;Assm!$F$32,G231,Capacity*C231))</f>
        <v>0</v>
      </c>
      <c r="E231" s="740">
        <f t="shared" si="29"/>
        <v>0</v>
      </c>
      <c r="F231" s="971">
        <f t="shared" ca="1" si="30"/>
        <v>0</v>
      </c>
      <c r="G231" s="972">
        <f ca="1">[3]MMBTU!R254</f>
        <v>0</v>
      </c>
      <c r="H231" s="740">
        <f t="shared" si="31"/>
        <v>0</v>
      </c>
      <c r="I231" s="971">
        <f t="shared" ca="1" si="32"/>
        <v>0</v>
      </c>
      <c r="J231" s="977">
        <f t="shared" ca="1" si="33"/>
        <v>0</v>
      </c>
      <c r="K231" s="741">
        <f ca="1">VLOOKUP($A231,Curves_Table,Escalation!$P$291)</f>
        <v>1.7754357291063123</v>
      </c>
      <c r="L231" s="743">
        <f t="shared" ca="1" si="34"/>
        <v>0</v>
      </c>
      <c r="M231" s="744" t="str">
        <f t="shared" ca="1" si="35"/>
        <v xml:space="preserve"> </v>
      </c>
    </row>
    <row r="232" spans="1:13">
      <c r="A232" s="738">
        <f t="shared" si="27"/>
        <v>43647</v>
      </c>
      <c r="C232" s="739">
        <f t="shared" si="28"/>
        <v>31</v>
      </c>
      <c r="D232" s="742">
        <f ca="1">IF($A232&gt;Endyr,0,IF($A232&lt;Assm!$F$32,G232,Capacity*C232))</f>
        <v>0</v>
      </c>
      <c r="E232" s="740">
        <f t="shared" si="29"/>
        <v>0</v>
      </c>
      <c r="F232" s="971">
        <f t="shared" ca="1" si="30"/>
        <v>0</v>
      </c>
      <c r="G232" s="972">
        <f ca="1">[3]MMBTU!R255</f>
        <v>0</v>
      </c>
      <c r="H232" s="740">
        <f t="shared" si="31"/>
        <v>0</v>
      </c>
      <c r="I232" s="971">
        <f t="shared" ca="1" si="32"/>
        <v>0</v>
      </c>
      <c r="J232" s="977">
        <f t="shared" ca="1" si="33"/>
        <v>0</v>
      </c>
      <c r="K232" s="741">
        <f ca="1">VLOOKUP($A232,Curves_Table,Escalation!$P$291)</f>
        <v>1.7754357291063123</v>
      </c>
      <c r="L232" s="743">
        <f t="shared" ca="1" si="34"/>
        <v>0</v>
      </c>
      <c r="M232" s="744" t="str">
        <f t="shared" ca="1" si="35"/>
        <v xml:space="preserve"> </v>
      </c>
    </row>
    <row r="233" spans="1:13">
      <c r="A233" s="738">
        <f t="shared" si="27"/>
        <v>43678</v>
      </c>
      <c r="C233" s="739">
        <f t="shared" si="28"/>
        <v>31</v>
      </c>
      <c r="D233" s="742">
        <f ca="1">IF($A233&gt;Endyr,0,IF($A233&lt;Assm!$F$32,G233,Capacity*C233))</f>
        <v>0</v>
      </c>
      <c r="E233" s="740">
        <f t="shared" si="29"/>
        <v>0</v>
      </c>
      <c r="F233" s="971">
        <f t="shared" ca="1" si="30"/>
        <v>0</v>
      </c>
      <c r="G233" s="972">
        <f ca="1">[3]MMBTU!R256</f>
        <v>0</v>
      </c>
      <c r="H233" s="740">
        <f t="shared" si="31"/>
        <v>0</v>
      </c>
      <c r="I233" s="971">
        <f t="shared" ca="1" si="32"/>
        <v>0</v>
      </c>
      <c r="J233" s="977">
        <f t="shared" ca="1" si="33"/>
        <v>0</v>
      </c>
      <c r="K233" s="741">
        <f ca="1">VLOOKUP($A233,Curves_Table,Escalation!$P$291)</f>
        <v>1.7754357291063123</v>
      </c>
      <c r="L233" s="743">
        <f t="shared" ca="1" si="34"/>
        <v>0</v>
      </c>
      <c r="M233" s="744" t="str">
        <f t="shared" ca="1" si="35"/>
        <v xml:space="preserve"> </v>
      </c>
    </row>
    <row r="234" spans="1:13">
      <c r="A234" s="738">
        <f t="shared" si="27"/>
        <v>43709</v>
      </c>
      <c r="C234" s="739">
        <f t="shared" si="28"/>
        <v>30</v>
      </c>
      <c r="D234" s="742">
        <f ca="1">IF($A234&gt;Endyr,0,IF($A234&lt;Assm!$F$32,G234,Capacity*C234))</f>
        <v>0</v>
      </c>
      <c r="E234" s="740">
        <f t="shared" si="29"/>
        <v>0</v>
      </c>
      <c r="F234" s="971">
        <f t="shared" ca="1" si="30"/>
        <v>0</v>
      </c>
      <c r="G234" s="972">
        <f ca="1">[3]MMBTU!R257</f>
        <v>0</v>
      </c>
      <c r="H234" s="740">
        <f t="shared" si="31"/>
        <v>0</v>
      </c>
      <c r="I234" s="971">
        <f t="shared" ca="1" si="32"/>
        <v>0</v>
      </c>
      <c r="J234" s="977">
        <f t="shared" ca="1" si="33"/>
        <v>0</v>
      </c>
      <c r="K234" s="741">
        <f ca="1">VLOOKUP($A234,Curves_Table,Escalation!$P$291)</f>
        <v>1.7754357291063123</v>
      </c>
      <c r="L234" s="743">
        <f t="shared" ca="1" si="34"/>
        <v>0</v>
      </c>
      <c r="M234" s="744" t="str">
        <f t="shared" ca="1" si="35"/>
        <v xml:space="preserve"> </v>
      </c>
    </row>
    <row r="235" spans="1:13">
      <c r="A235" s="738">
        <f t="shared" si="27"/>
        <v>43739</v>
      </c>
      <c r="C235" s="739">
        <f t="shared" si="28"/>
        <v>31</v>
      </c>
      <c r="D235" s="742">
        <f ca="1">IF($A235&gt;Endyr,0,IF($A235&lt;Assm!$F$32,G235,Capacity*C235))</f>
        <v>0</v>
      </c>
      <c r="E235" s="740">
        <f t="shared" si="29"/>
        <v>0</v>
      </c>
      <c r="F235" s="971">
        <f t="shared" ca="1" si="30"/>
        <v>0</v>
      </c>
      <c r="G235" s="972">
        <f ca="1">[3]MMBTU!R258</f>
        <v>0</v>
      </c>
      <c r="H235" s="740">
        <f t="shared" si="31"/>
        <v>0</v>
      </c>
      <c r="I235" s="971">
        <f t="shared" ca="1" si="32"/>
        <v>0</v>
      </c>
      <c r="J235" s="977">
        <f t="shared" ca="1" si="33"/>
        <v>0</v>
      </c>
      <c r="K235" s="741">
        <f ca="1">VLOOKUP($A235,Curves_Table,Escalation!$P$291)</f>
        <v>1.7754357291063123</v>
      </c>
      <c r="L235" s="743">
        <f t="shared" ca="1" si="34"/>
        <v>0</v>
      </c>
      <c r="M235" s="744" t="str">
        <f t="shared" ca="1" si="35"/>
        <v xml:space="preserve"> </v>
      </c>
    </row>
    <row r="236" spans="1:13">
      <c r="A236" s="738">
        <f t="shared" si="27"/>
        <v>43770</v>
      </c>
      <c r="C236" s="739">
        <f t="shared" si="28"/>
        <v>30</v>
      </c>
      <c r="D236" s="742">
        <f ca="1">IF($A236&gt;Endyr,0,IF($A236&lt;Assm!$F$32,G236,Capacity*C236))</f>
        <v>0</v>
      </c>
      <c r="E236" s="740">
        <f t="shared" si="29"/>
        <v>0</v>
      </c>
      <c r="F236" s="971">
        <f t="shared" ca="1" si="30"/>
        <v>0</v>
      </c>
      <c r="G236" s="972">
        <f ca="1">[3]MMBTU!R259</f>
        <v>0</v>
      </c>
      <c r="H236" s="740">
        <f t="shared" si="31"/>
        <v>0</v>
      </c>
      <c r="I236" s="971">
        <f t="shared" ca="1" si="32"/>
        <v>0</v>
      </c>
      <c r="J236" s="977">
        <f t="shared" ca="1" si="33"/>
        <v>0</v>
      </c>
      <c r="K236" s="741">
        <f ca="1">VLOOKUP($A236,Curves_Table,Escalation!$P$291)</f>
        <v>1.7754357291063123</v>
      </c>
      <c r="L236" s="743">
        <f t="shared" ca="1" si="34"/>
        <v>0</v>
      </c>
      <c r="M236" s="744" t="str">
        <f t="shared" ca="1" si="35"/>
        <v xml:space="preserve"> </v>
      </c>
    </row>
    <row r="237" spans="1:13">
      <c r="A237" s="738">
        <f t="shared" si="27"/>
        <v>43800</v>
      </c>
      <c r="C237" s="739">
        <f t="shared" si="28"/>
        <v>31</v>
      </c>
      <c r="D237" s="742">
        <f ca="1">IF($A237&gt;Endyr,0,IF($A237&lt;Assm!$F$32,G237,Capacity*C237))</f>
        <v>0</v>
      </c>
      <c r="E237" s="740">
        <f t="shared" si="29"/>
        <v>0</v>
      </c>
      <c r="F237" s="971">
        <f t="shared" ca="1" si="30"/>
        <v>0</v>
      </c>
      <c r="G237" s="972">
        <f ca="1">[3]MMBTU!R260</f>
        <v>0</v>
      </c>
      <c r="H237" s="740">
        <f t="shared" si="31"/>
        <v>0</v>
      </c>
      <c r="I237" s="971">
        <f t="shared" ca="1" si="32"/>
        <v>0</v>
      </c>
      <c r="J237" s="977">
        <f t="shared" ca="1" si="33"/>
        <v>0</v>
      </c>
      <c r="K237" s="741">
        <f ca="1">VLOOKUP($A237,Curves_Table,Escalation!$P$291)</f>
        <v>1.7754357291063123</v>
      </c>
      <c r="L237" s="743">
        <f t="shared" ca="1" si="34"/>
        <v>0</v>
      </c>
      <c r="M237" s="744">
        <f t="shared" ca="1" si="35"/>
        <v>7226.4497213103987</v>
      </c>
    </row>
    <row r="238" spans="1:13">
      <c r="A238" s="738">
        <f t="shared" si="27"/>
        <v>43831</v>
      </c>
      <c r="C238" s="739">
        <f t="shared" si="28"/>
        <v>31</v>
      </c>
      <c r="D238" s="742">
        <f ca="1">IF($A238&gt;Endyr,0,IF($A238&lt;Assm!$F$32,G238,Capacity*C238))</f>
        <v>0</v>
      </c>
      <c r="E238" s="740">
        <f t="shared" si="29"/>
        <v>0</v>
      </c>
      <c r="F238" s="971">
        <f t="shared" ca="1" si="30"/>
        <v>0</v>
      </c>
      <c r="G238" s="972">
        <f ca="1">[3]MMBTU!R261</f>
        <v>0</v>
      </c>
      <c r="H238" s="740">
        <f t="shared" si="31"/>
        <v>0</v>
      </c>
      <c r="I238" s="971">
        <f t="shared" ca="1" si="32"/>
        <v>0</v>
      </c>
      <c r="J238" s="977">
        <f t="shared" ca="1" si="33"/>
        <v>0</v>
      </c>
      <c r="K238" s="741">
        <f ca="1">VLOOKUP($A238,Curves_Table,Escalation!$P$291)</f>
        <v>1.7754357291063123</v>
      </c>
      <c r="L238" s="743">
        <f t="shared" ca="1" si="34"/>
        <v>0</v>
      </c>
      <c r="M238" s="744" t="str">
        <f t="shared" ca="1" si="35"/>
        <v xml:space="preserve"> </v>
      </c>
    </row>
    <row r="239" spans="1:13">
      <c r="A239" s="738">
        <f t="shared" si="27"/>
        <v>43862</v>
      </c>
      <c r="C239" s="739">
        <f t="shared" si="28"/>
        <v>29</v>
      </c>
      <c r="D239" s="742">
        <f ca="1">IF($A239&gt;Endyr,0,IF($A239&lt;Assm!$F$32,G239,Capacity*C239))</f>
        <v>0</v>
      </c>
      <c r="E239" s="740">
        <f t="shared" si="29"/>
        <v>0</v>
      </c>
      <c r="F239" s="971">
        <f t="shared" ca="1" si="30"/>
        <v>0</v>
      </c>
      <c r="G239" s="972">
        <f ca="1">[3]MMBTU!R262</f>
        <v>0</v>
      </c>
      <c r="H239" s="740">
        <f t="shared" si="31"/>
        <v>0</v>
      </c>
      <c r="I239" s="971">
        <f t="shared" ca="1" si="32"/>
        <v>0</v>
      </c>
      <c r="J239" s="977">
        <f t="shared" ca="1" si="33"/>
        <v>0</v>
      </c>
      <c r="K239" s="741">
        <f ca="1">VLOOKUP($A239,Curves_Table,Escalation!$P$291)</f>
        <v>1.7754357291063123</v>
      </c>
      <c r="L239" s="743">
        <f t="shared" ca="1" si="34"/>
        <v>0</v>
      </c>
      <c r="M239" s="744" t="str">
        <f t="shared" ca="1" si="35"/>
        <v xml:space="preserve"> </v>
      </c>
    </row>
    <row r="240" spans="1:13">
      <c r="A240" s="738">
        <f t="shared" si="27"/>
        <v>43891</v>
      </c>
      <c r="C240" s="739">
        <f t="shared" si="28"/>
        <v>31</v>
      </c>
      <c r="D240" s="742">
        <f ca="1">IF($A240&gt;Endyr,0,IF($A240&lt;Assm!$F$32,G240,Capacity*C240))</f>
        <v>0</v>
      </c>
      <c r="E240" s="740">
        <f t="shared" si="29"/>
        <v>0</v>
      </c>
      <c r="F240" s="971">
        <f t="shared" ca="1" si="30"/>
        <v>0</v>
      </c>
      <c r="G240" s="972">
        <f ca="1">[3]MMBTU!R263</f>
        <v>0</v>
      </c>
      <c r="H240" s="740">
        <f t="shared" si="31"/>
        <v>0</v>
      </c>
      <c r="I240" s="971">
        <f t="shared" ca="1" si="32"/>
        <v>0</v>
      </c>
      <c r="J240" s="977">
        <f t="shared" ca="1" si="33"/>
        <v>0</v>
      </c>
      <c r="K240" s="741">
        <f ca="1">VLOOKUP($A240,Curves_Table,Escalation!$P$291)</f>
        <v>1.7754357291063123</v>
      </c>
      <c r="L240" s="743">
        <f t="shared" ca="1" si="34"/>
        <v>0</v>
      </c>
      <c r="M240" s="744" t="str">
        <f t="shared" ca="1" si="35"/>
        <v xml:space="preserve"> </v>
      </c>
    </row>
    <row r="241" spans="1:14">
      <c r="A241" s="738">
        <f t="shared" si="27"/>
        <v>43922</v>
      </c>
      <c r="C241" s="739">
        <f t="shared" si="28"/>
        <v>30</v>
      </c>
      <c r="D241" s="742">
        <f ca="1">IF($A241&gt;Endyr,0,IF($A241&lt;Assm!$F$32,G241,Capacity*C241))</f>
        <v>0</v>
      </c>
      <c r="E241" s="740">
        <f t="shared" si="29"/>
        <v>0</v>
      </c>
      <c r="F241" s="971">
        <f t="shared" ca="1" si="30"/>
        <v>0</v>
      </c>
      <c r="G241" s="972">
        <f ca="1">[3]MMBTU!R264</f>
        <v>0</v>
      </c>
      <c r="H241" s="740">
        <f t="shared" si="31"/>
        <v>0</v>
      </c>
      <c r="I241" s="971">
        <f t="shared" ca="1" si="32"/>
        <v>0</v>
      </c>
      <c r="J241" s="977">
        <f t="shared" ca="1" si="33"/>
        <v>0</v>
      </c>
      <c r="K241" s="741">
        <f ca="1">VLOOKUP($A241,Curves_Table,Escalation!$P$291)</f>
        <v>1.7754357291063123</v>
      </c>
      <c r="L241" s="743">
        <f t="shared" ca="1" si="34"/>
        <v>0</v>
      </c>
      <c r="M241" s="744" t="str">
        <f t="shared" ca="1" si="35"/>
        <v xml:space="preserve"> </v>
      </c>
    </row>
    <row r="242" spans="1:14">
      <c r="A242" s="738">
        <f t="shared" si="27"/>
        <v>43952</v>
      </c>
      <c r="C242" s="739">
        <f t="shared" si="28"/>
        <v>31</v>
      </c>
      <c r="D242" s="742">
        <f ca="1">IF($A242&gt;Endyr,0,IF($A242&lt;Assm!$F$32,G242,Capacity*C242))</f>
        <v>0</v>
      </c>
      <c r="E242" s="740">
        <f t="shared" si="29"/>
        <v>0</v>
      </c>
      <c r="F242" s="971">
        <f t="shared" ca="1" si="30"/>
        <v>0</v>
      </c>
      <c r="G242" s="972">
        <f ca="1">[3]MMBTU!R265</f>
        <v>0</v>
      </c>
      <c r="H242" s="740">
        <f t="shared" si="31"/>
        <v>0</v>
      </c>
      <c r="I242" s="971">
        <f t="shared" ca="1" si="32"/>
        <v>0</v>
      </c>
      <c r="J242" s="977">
        <f t="shared" ca="1" si="33"/>
        <v>0</v>
      </c>
      <c r="K242" s="741">
        <f ca="1">VLOOKUP($A242,Curves_Table,Escalation!$P$291)</f>
        <v>1.7754357291063123</v>
      </c>
      <c r="L242" s="743">
        <f t="shared" ca="1" si="34"/>
        <v>0</v>
      </c>
      <c r="M242" s="744" t="str">
        <f t="shared" ca="1" si="35"/>
        <v xml:space="preserve"> </v>
      </c>
    </row>
    <row r="243" spans="1:14">
      <c r="A243" s="738">
        <f t="shared" si="27"/>
        <v>43983</v>
      </c>
      <c r="C243" s="739">
        <f t="shared" si="28"/>
        <v>30</v>
      </c>
      <c r="D243" s="742">
        <f ca="1">IF($A243&gt;Endyr,0,IF($A243&lt;Assm!$F$32,G243,Capacity*C243))</f>
        <v>0</v>
      </c>
      <c r="E243" s="740">
        <f t="shared" si="29"/>
        <v>0</v>
      </c>
      <c r="F243" s="971">
        <f t="shared" ca="1" si="30"/>
        <v>0</v>
      </c>
      <c r="G243" s="972">
        <f ca="1">[3]MMBTU!R266</f>
        <v>0</v>
      </c>
      <c r="H243" s="740">
        <f t="shared" si="31"/>
        <v>0</v>
      </c>
      <c r="I243" s="971">
        <f t="shared" ca="1" si="32"/>
        <v>0</v>
      </c>
      <c r="J243" s="977">
        <f t="shared" ca="1" si="33"/>
        <v>0</v>
      </c>
      <c r="K243" s="741">
        <f ca="1">VLOOKUP($A243,Curves_Table,Escalation!$P$291)</f>
        <v>1.7754357291063123</v>
      </c>
      <c r="L243" s="743">
        <f t="shared" ca="1" si="34"/>
        <v>0</v>
      </c>
      <c r="M243" s="744" t="str">
        <f t="shared" ca="1" si="35"/>
        <v xml:space="preserve"> </v>
      </c>
    </row>
    <row r="244" spans="1:14">
      <c r="A244" s="738">
        <f t="shared" si="27"/>
        <v>44013</v>
      </c>
      <c r="C244" s="739">
        <f t="shared" si="28"/>
        <v>31</v>
      </c>
      <c r="D244" s="742">
        <f>IF($A244&gt;Endyr,0,IF($A244&lt;Assm!$F$32,G244,Capacity*C244))</f>
        <v>0</v>
      </c>
      <c r="E244" s="740">
        <f t="shared" si="29"/>
        <v>0</v>
      </c>
      <c r="F244" s="971">
        <f t="shared" si="30"/>
        <v>0</v>
      </c>
      <c r="G244" s="972">
        <f>[3]MMBTU!R267</f>
        <v>0</v>
      </c>
      <c r="H244" s="740">
        <f t="shared" si="31"/>
        <v>0</v>
      </c>
      <c r="I244" s="971">
        <f t="shared" si="32"/>
        <v>0</v>
      </c>
      <c r="J244" s="977">
        <f t="shared" si="33"/>
        <v>0</v>
      </c>
      <c r="K244" s="741">
        <f ca="1">VLOOKUP($A244,Curves_Table,Escalation!$P$291)</f>
        <v>1.7754357291063123</v>
      </c>
      <c r="L244" s="743">
        <f t="shared" ca="1" si="34"/>
        <v>0</v>
      </c>
      <c r="M244" s="744" t="str">
        <f t="shared" ca="1" si="35"/>
        <v xml:space="preserve"> </v>
      </c>
    </row>
    <row r="245" spans="1:14">
      <c r="A245" s="738">
        <f t="shared" si="27"/>
        <v>44044</v>
      </c>
      <c r="C245" s="739">
        <f t="shared" si="28"/>
        <v>31</v>
      </c>
      <c r="D245" s="742">
        <f ca="1">IF($A245&gt;Endyr,0,IF($A245&lt;Assm!$F$32,G245,Capacity*C245))</f>
        <v>0</v>
      </c>
      <c r="E245" s="740">
        <f t="shared" si="29"/>
        <v>0</v>
      </c>
      <c r="F245" s="971">
        <f t="shared" ca="1" si="30"/>
        <v>0</v>
      </c>
      <c r="G245" s="972">
        <f ca="1">[3]MMBTU!R268</f>
        <v>444643341.25599962</v>
      </c>
      <c r="H245" s="740">
        <f t="shared" si="31"/>
        <v>0</v>
      </c>
      <c r="I245" s="971">
        <f t="shared" ca="1" si="32"/>
        <v>0</v>
      </c>
      <c r="J245" s="977">
        <f t="shared" ca="1" si="33"/>
        <v>0</v>
      </c>
      <c r="K245" s="741">
        <f ca="1">VLOOKUP($A245,Curves_Table,Escalation!$P$291)</f>
        <v>1.7754357291063123</v>
      </c>
      <c r="L245" s="743">
        <f t="shared" ca="1" si="34"/>
        <v>0</v>
      </c>
      <c r="M245" s="744" t="str">
        <f t="shared" ca="1" si="35"/>
        <v xml:space="preserve"> </v>
      </c>
    </row>
    <row r="246" spans="1:14" ht="13.8" thickBot="1">
      <c r="A246" s="1161">
        <f t="shared" si="27"/>
        <v>44075</v>
      </c>
      <c r="C246" s="137"/>
      <c r="D246" s="8"/>
      <c r="E246" s="719"/>
      <c r="F246" s="973"/>
      <c r="G246" s="974"/>
      <c r="H246" s="719"/>
      <c r="I246" s="969"/>
      <c r="J246" s="976"/>
      <c r="L246" s="719"/>
      <c r="M246" s="737"/>
    </row>
    <row r="247" spans="1:14" ht="13.8" thickBot="1">
      <c r="A247" s="745"/>
      <c r="C247" s="746"/>
      <c r="D247" s="747"/>
      <c r="E247" s="747"/>
      <c r="F247" s="747"/>
      <c r="G247" s="747"/>
      <c r="H247" s="747"/>
      <c r="I247" s="747"/>
      <c r="J247" s="747"/>
      <c r="K247" s="747"/>
      <c r="L247" s="748" t="s">
        <v>804</v>
      </c>
      <c r="M247" s="749">
        <f ca="1">SUM(M11:M245)</f>
        <v>319533.37333524739</v>
      </c>
    </row>
    <row r="248" spans="1:14">
      <c r="D248" s="721"/>
      <c r="G248" s="721"/>
      <c r="K248" s="721"/>
    </row>
    <row r="249" spans="1:14">
      <c r="A249" s="750">
        <v>1</v>
      </c>
      <c r="B249" s="750">
        <f>A249+1</f>
        <v>2</v>
      </c>
      <c r="C249" s="750">
        <f t="shared" ref="C249:M249" si="36">B249+1</f>
        <v>3</v>
      </c>
      <c r="D249" s="750">
        <f t="shared" si="36"/>
        <v>4</v>
      </c>
      <c r="E249" s="750">
        <f t="shared" si="36"/>
        <v>5</v>
      </c>
      <c r="F249" s="750">
        <f t="shared" si="36"/>
        <v>6</v>
      </c>
      <c r="G249" s="750">
        <f t="shared" si="36"/>
        <v>7</v>
      </c>
      <c r="H249" s="750">
        <f t="shared" si="36"/>
        <v>8</v>
      </c>
      <c r="I249" s="750">
        <f t="shared" si="36"/>
        <v>9</v>
      </c>
      <c r="J249" s="750">
        <f t="shared" si="36"/>
        <v>10</v>
      </c>
      <c r="K249" s="750">
        <f t="shared" si="36"/>
        <v>11</v>
      </c>
      <c r="L249" s="750">
        <f t="shared" si="36"/>
        <v>12</v>
      </c>
      <c r="M249" s="750">
        <f t="shared" si="36"/>
        <v>13</v>
      </c>
      <c r="N249" s="5" t="s">
        <v>960</v>
      </c>
    </row>
    <row r="250" spans="1:14">
      <c r="D250" s="721"/>
      <c r="G250" s="721"/>
      <c r="K250" s="721"/>
    </row>
    <row r="251" spans="1:14">
      <c r="D251" s="721"/>
      <c r="G251" s="721"/>
      <c r="K251" s="721"/>
    </row>
    <row r="252" spans="1:14">
      <c r="D252" s="721"/>
      <c r="G252" s="721"/>
      <c r="K252" s="721"/>
    </row>
    <row r="253" spans="1:14">
      <c r="D253" s="721"/>
      <c r="G253" s="721"/>
      <c r="K253" s="721"/>
    </row>
    <row r="254" spans="1:14">
      <c r="D254" s="721"/>
      <c r="G254" s="721"/>
      <c r="K254" s="721"/>
    </row>
    <row r="255" spans="1:14">
      <c r="D255" s="721"/>
      <c r="G255" s="721"/>
      <c r="K255" s="721"/>
    </row>
    <row r="256" spans="1:14">
      <c r="D256" s="721"/>
      <c r="G256" s="721"/>
      <c r="K256" s="721"/>
    </row>
    <row r="257" spans="4:11">
      <c r="D257" s="721"/>
      <c r="G257" s="721"/>
      <c r="K257" s="721"/>
    </row>
    <row r="258" spans="4:11">
      <c r="D258" s="721"/>
      <c r="G258" s="721"/>
      <c r="K258" s="721"/>
    </row>
    <row r="259" spans="4:11">
      <c r="D259" s="721"/>
      <c r="G259" s="721"/>
      <c r="K259" s="721"/>
    </row>
    <row r="260" spans="4:11">
      <c r="D260" s="721"/>
      <c r="G260" s="721"/>
      <c r="K260" s="721"/>
    </row>
    <row r="261" spans="4:11">
      <c r="D261" s="721"/>
      <c r="G261" s="721"/>
      <c r="K261" s="721"/>
    </row>
    <row r="262" spans="4:11">
      <c r="D262" s="721"/>
      <c r="G262" s="721"/>
      <c r="K262" s="721"/>
    </row>
    <row r="263" spans="4:11">
      <c r="D263" s="721"/>
      <c r="G263" s="721"/>
      <c r="K263" s="721"/>
    </row>
    <row r="264" spans="4:11">
      <c r="D264" s="721"/>
      <c r="G264" s="721"/>
      <c r="K264" s="721"/>
    </row>
    <row r="265" spans="4:11">
      <c r="D265" s="721"/>
      <c r="G265" s="721"/>
      <c r="K265" s="721"/>
    </row>
    <row r="266" spans="4:11">
      <c r="D266" s="721"/>
      <c r="G266" s="721"/>
      <c r="K266" s="721"/>
    </row>
    <row r="267" spans="4:11">
      <c r="D267" s="721"/>
      <c r="G267" s="721"/>
      <c r="K267" s="721"/>
    </row>
    <row r="268" spans="4:11">
      <c r="D268" s="721"/>
      <c r="G268" s="721"/>
      <c r="K268" s="721"/>
    </row>
    <row r="269" spans="4:11">
      <c r="D269" s="721"/>
      <c r="G269" s="721"/>
      <c r="K269" s="721"/>
    </row>
    <row r="270" spans="4:11">
      <c r="D270" s="721"/>
      <c r="G270" s="721"/>
      <c r="K270" s="721"/>
    </row>
    <row r="271" spans="4:11">
      <c r="D271" s="721"/>
      <c r="G271" s="721"/>
      <c r="K271" s="721"/>
    </row>
    <row r="272" spans="4:11">
      <c r="D272" s="721"/>
      <c r="G272" s="721"/>
      <c r="K272" s="721"/>
    </row>
    <row r="273" spans="4:11">
      <c r="D273" s="721"/>
      <c r="G273" s="721"/>
      <c r="K273" s="721"/>
    </row>
    <row r="274" spans="4:11">
      <c r="D274" s="721"/>
      <c r="G274" s="721"/>
      <c r="K274" s="721"/>
    </row>
    <row r="275" spans="4:11">
      <c r="D275" s="721"/>
      <c r="G275" s="721"/>
      <c r="K275" s="721"/>
    </row>
    <row r="276" spans="4:11">
      <c r="D276" s="721"/>
      <c r="G276" s="721"/>
      <c r="K276" s="721"/>
    </row>
    <row r="277" spans="4:11">
      <c r="D277" s="721"/>
      <c r="G277" s="721"/>
      <c r="K277" s="721"/>
    </row>
    <row r="278" spans="4:11">
      <c r="D278" s="721"/>
      <c r="G278" s="721"/>
      <c r="K278" s="721"/>
    </row>
    <row r="279" spans="4:11">
      <c r="D279" s="721"/>
      <c r="G279" s="721"/>
      <c r="K279" s="721"/>
    </row>
    <row r="280" spans="4:11">
      <c r="D280" s="721"/>
      <c r="G280" s="721"/>
      <c r="K280" s="721"/>
    </row>
    <row r="281" spans="4:11">
      <c r="D281" s="721"/>
      <c r="G281" s="721"/>
      <c r="K281" s="721"/>
    </row>
    <row r="282" spans="4:11">
      <c r="D282" s="721"/>
      <c r="G282" s="721"/>
      <c r="K282" s="721"/>
    </row>
    <row r="283" spans="4:11">
      <c r="D283" s="721"/>
      <c r="G283" s="721"/>
      <c r="K283" s="721"/>
    </row>
    <row r="284" spans="4:11">
      <c r="D284" s="721"/>
      <c r="G284" s="721"/>
      <c r="K284" s="721"/>
    </row>
    <row r="285" spans="4:11">
      <c r="D285" s="721"/>
      <c r="G285" s="721"/>
      <c r="K285" s="721"/>
    </row>
    <row r="286" spans="4:11">
      <c r="D286" s="721"/>
      <c r="G286" s="721"/>
      <c r="K286" s="721"/>
    </row>
    <row r="287" spans="4:11">
      <c r="D287" s="721"/>
      <c r="G287" s="721"/>
      <c r="K287" s="721"/>
    </row>
    <row r="288" spans="4:11">
      <c r="D288" s="721"/>
      <c r="G288" s="721"/>
      <c r="K288" s="721"/>
    </row>
    <row r="289" spans="4:11">
      <c r="D289" s="721"/>
      <c r="G289" s="721"/>
      <c r="K289" s="721"/>
    </row>
  </sheetData>
  <printOptions horizontalCentered="1"/>
  <pageMargins left="0.25" right="0.25" top="0.5" bottom="0.5" header="0.25" footer="0.25"/>
  <pageSetup scale="40" fitToHeight="3" orientation="landscape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91"/>
  <sheetViews>
    <sheetView showGridLines="0" zoomScale="90" workbookViewId="0">
      <selection activeCell="A17" sqref="A17"/>
    </sheetView>
  </sheetViews>
  <sheetFormatPr defaultColWidth="9.109375" defaultRowHeight="13.2"/>
  <cols>
    <col min="1" max="10" width="9.109375" style="761"/>
    <col min="11" max="12" width="9.109375" style="775"/>
    <col min="13" max="13" width="4.6640625" style="761" customWidth="1"/>
    <col min="14" max="16384" width="9.109375" style="761"/>
  </cols>
  <sheetData>
    <row r="1" spans="1:18" ht="15.6">
      <c r="A1" s="997" t="str">
        <f>Assm!A1</f>
        <v>GASOCIDENTE DO MATO GROSSO LTDA (GASMAT) *** DRAFT COPY ***</v>
      </c>
    </row>
    <row r="2" spans="1:18" ht="15.6">
      <c r="A2" s="997" t="str">
        <f>Assm!A2</f>
        <v>257 KM PIPELINE SPUR FOR CUIABA POWER PLANT (BRAZIL)</v>
      </c>
    </row>
    <row r="3" spans="1:18" ht="13.8">
      <c r="A3" s="206" t="str">
        <f>Assm!A3</f>
        <v>ENRON INTERNATIONAL</v>
      </c>
    </row>
    <row r="4" spans="1:18" ht="13.8">
      <c r="A4" s="914" t="s">
        <v>648</v>
      </c>
      <c r="B4" s="915"/>
      <c r="C4" s="915"/>
    </row>
    <row r="11" spans="1:18" ht="13.8" thickBot="1">
      <c r="R11" s="761" t="s">
        <v>964</v>
      </c>
    </row>
    <row r="12" spans="1:18">
      <c r="A12" s="762"/>
      <c r="B12" s="763"/>
      <c r="C12" s="764"/>
      <c r="D12" s="764"/>
      <c r="E12" s="764"/>
      <c r="F12" s="764"/>
      <c r="G12" s="763"/>
      <c r="H12" s="764"/>
      <c r="I12" s="764"/>
      <c r="J12" s="764"/>
      <c r="K12" s="764"/>
      <c r="L12" s="765"/>
      <c r="N12" s="766" t="s">
        <v>824</v>
      </c>
      <c r="O12" s="767"/>
      <c r="P12" s="768"/>
    </row>
    <row r="13" spans="1:18">
      <c r="A13" s="769"/>
      <c r="B13" s="770">
        <v>1</v>
      </c>
      <c r="C13" s="771">
        <f>B13+1</f>
        <v>2</v>
      </c>
      <c r="D13" s="771">
        <f>C13+1</f>
        <v>3</v>
      </c>
      <c r="E13" s="771">
        <f>D13+1</f>
        <v>4</v>
      </c>
      <c r="F13" s="771">
        <f>E13+1</f>
        <v>5</v>
      </c>
      <c r="G13" s="770">
        <v>1</v>
      </c>
      <c r="H13" s="771">
        <f>G13+1</f>
        <v>2</v>
      </c>
      <c r="I13" s="771">
        <f>H13+1</f>
        <v>3</v>
      </c>
      <c r="J13" s="771">
        <f>I13+1</f>
        <v>4</v>
      </c>
      <c r="K13" s="771">
        <f>J13+1</f>
        <v>5</v>
      </c>
      <c r="L13" s="772">
        <f>K13+1</f>
        <v>6</v>
      </c>
      <c r="M13" s="773">
        <f t="shared" ref="M13:M76" si="0">M12+1</f>
        <v>1</v>
      </c>
      <c r="N13" s="774" t="s">
        <v>825</v>
      </c>
      <c r="O13" s="775"/>
      <c r="P13" s="776"/>
    </row>
    <row r="14" spans="1:18">
      <c r="A14" s="769"/>
      <c r="B14" s="778"/>
      <c r="C14" s="775"/>
      <c r="D14" s="775"/>
      <c r="E14" s="775"/>
      <c r="F14" s="775"/>
      <c r="G14" s="779" t="s">
        <v>826</v>
      </c>
      <c r="H14" s="780"/>
      <c r="I14" s="780"/>
      <c r="J14" s="780"/>
      <c r="K14" s="780"/>
      <c r="L14" s="781"/>
      <c r="M14" s="773">
        <f t="shared" si="0"/>
        <v>2</v>
      </c>
      <c r="N14" s="782">
        <v>2</v>
      </c>
      <c r="O14" s="783" t="str">
        <f ca="1">N17</f>
        <v>US</v>
      </c>
      <c r="P14" s="784" t="str">
        <f ca="1">N18</f>
        <v>CPI</v>
      </c>
    </row>
    <row r="15" spans="1:18">
      <c r="A15" s="769"/>
      <c r="B15" s="1109" t="str">
        <f ca="1">IF('[1]Monthly Curve Calc.'!$F$12=1,"9/98 BANK CURVES","ALTERNATIVE CURVES")</f>
        <v>ALTERNATIVE CURVES</v>
      </c>
      <c r="F15" s="775"/>
      <c r="G15" s="778"/>
      <c r="L15" s="776"/>
      <c r="M15" s="773">
        <f t="shared" si="0"/>
        <v>3</v>
      </c>
      <c r="N15" s="777"/>
      <c r="O15" s="771" t="s">
        <v>827</v>
      </c>
      <c r="P15" s="785">
        <v>1.0049999999999999</v>
      </c>
    </row>
    <row r="16" spans="1:18">
      <c r="A16" s="769"/>
      <c r="B16" s="778"/>
      <c r="C16" s="775"/>
      <c r="D16" s="775"/>
      <c r="E16" s="775"/>
      <c r="F16" s="775"/>
      <c r="G16" s="787">
        <v>35551</v>
      </c>
      <c r="H16" s="788">
        <v>35551</v>
      </c>
      <c r="I16" s="788">
        <v>35551</v>
      </c>
      <c r="J16" s="788">
        <v>35796</v>
      </c>
      <c r="K16" s="788">
        <v>35796</v>
      </c>
      <c r="L16" s="789">
        <v>35796</v>
      </c>
      <c r="M16" s="773">
        <f t="shared" si="0"/>
        <v>4</v>
      </c>
      <c r="N16" s="790" t="s">
        <v>828</v>
      </c>
      <c r="O16" s="791"/>
      <c r="P16" s="792">
        <v>35916</v>
      </c>
    </row>
    <row r="17" spans="1:16">
      <c r="A17" s="769"/>
      <c r="B17" s="793" t="s">
        <v>829</v>
      </c>
      <c r="C17" s="794" t="s">
        <v>830</v>
      </c>
      <c r="D17" s="794" t="s">
        <v>830</v>
      </c>
      <c r="E17" s="794" t="s">
        <v>831</v>
      </c>
      <c r="F17" s="795" t="s">
        <v>832</v>
      </c>
      <c r="G17" s="793" t="s">
        <v>829</v>
      </c>
      <c r="H17" s="794" t="s">
        <v>830</v>
      </c>
      <c r="I17" s="794" t="s">
        <v>833</v>
      </c>
      <c r="J17" s="794" t="s">
        <v>830</v>
      </c>
      <c r="K17" s="794" t="s">
        <v>512</v>
      </c>
      <c r="L17" s="796" t="s">
        <v>512</v>
      </c>
      <c r="M17" s="773">
        <f t="shared" si="0"/>
        <v>5</v>
      </c>
      <c r="N17" s="797" t="str">
        <f t="shared" ref="N17:N80" ca="1" si="1">HLOOKUP(N$14,Dec_Change,$M17)</f>
        <v>US</v>
      </c>
      <c r="O17" s="780"/>
      <c r="P17" s="796" t="s">
        <v>1010</v>
      </c>
    </row>
    <row r="18" spans="1:16">
      <c r="A18" s="798" t="s">
        <v>802</v>
      </c>
      <c r="B18" s="799" t="s">
        <v>881</v>
      </c>
      <c r="C18" s="800" t="s">
        <v>530</v>
      </c>
      <c r="D18" s="800" t="s">
        <v>834</v>
      </c>
      <c r="E18" s="800" t="s">
        <v>835</v>
      </c>
      <c r="F18" s="800" t="s">
        <v>838</v>
      </c>
      <c r="G18" s="799" t="s">
        <v>881</v>
      </c>
      <c r="H18" s="800" t="s">
        <v>530</v>
      </c>
      <c r="I18" s="801">
        <v>2.5000000000000001E-3</v>
      </c>
      <c r="J18" s="800" t="s">
        <v>834</v>
      </c>
      <c r="K18" s="800" t="s">
        <v>835</v>
      </c>
      <c r="L18" s="802" t="s">
        <v>838</v>
      </c>
      <c r="M18" s="773">
        <f t="shared" si="0"/>
        <v>6</v>
      </c>
      <c r="N18" s="803" t="str">
        <f t="shared" ca="1" si="1"/>
        <v>CPI</v>
      </c>
      <c r="O18" s="1052">
        <f>P15</f>
        <v>1.0049999999999999</v>
      </c>
      <c r="P18" s="802" t="s">
        <v>1011</v>
      </c>
    </row>
    <row r="19" spans="1:16">
      <c r="A19" s="804">
        <v>35400</v>
      </c>
      <c r="B19" s="1110">
        <f ca="1">'[1]Monthly Curve Calc.'!B22</f>
        <v>134.68899999999999</v>
      </c>
      <c r="C19" s="1111">
        <f ca="1">'[1]Monthly Curve Calc.'!C22</f>
        <v>159.1</v>
      </c>
      <c r="D19" s="1111">
        <f ca="1">'[1]Monthly Curve Calc.'!D22</f>
        <v>133</v>
      </c>
      <c r="E19" s="1111">
        <f ca="1">'[1]Monthly Curve Calc.'!E22</f>
        <v>25.92</v>
      </c>
      <c r="F19" s="1112">
        <f ca="1">'[1]Monthly Curve Calc.'!F22</f>
        <v>1.0385</v>
      </c>
      <c r="G19" s="805">
        <v>1</v>
      </c>
      <c r="H19" s="786">
        <v>1</v>
      </c>
      <c r="I19" s="786">
        <v>1</v>
      </c>
      <c r="J19" s="786">
        <v>1</v>
      </c>
      <c r="K19" s="1040">
        <f ca="1">E19</f>
        <v>25.92</v>
      </c>
      <c r="L19" s="806">
        <f ca="1">F19</f>
        <v>1.0385</v>
      </c>
      <c r="M19" s="773">
        <f t="shared" si="0"/>
        <v>7</v>
      </c>
      <c r="N19" s="807">
        <f t="shared" ca="1" si="1"/>
        <v>1</v>
      </c>
      <c r="O19" s="808">
        <f>O18</f>
        <v>1.0049999999999999</v>
      </c>
      <c r="P19" s="785">
        <v>1</v>
      </c>
    </row>
    <row r="20" spans="1:16">
      <c r="A20" s="809">
        <f t="shared" ref="A20:A83" si="2">EDATE(A19,1)</f>
        <v>35431</v>
      </c>
      <c r="B20" s="1110">
        <f ca="1">'[1]Monthly Curve Calc.'!B23</f>
        <v>136.81399999999999</v>
      </c>
      <c r="C20" s="1111">
        <f ca="1">'[1]Monthly Curve Calc.'!C23</f>
        <v>159.1</v>
      </c>
      <c r="D20" s="1111">
        <f ca="1">'[1]Monthly Curve Calc.'!D23</f>
        <v>133</v>
      </c>
      <c r="E20" s="1111">
        <f ca="1">'[1]Monthly Curve Calc.'!E23</f>
        <v>24.15</v>
      </c>
      <c r="F20" s="1112">
        <f ca="1">'[1]Monthly Curve Calc.'!F23</f>
        <v>1.0456000000000001</v>
      </c>
      <c r="G20" s="810">
        <f ca="1">IF(AND($A20&gt;G$16,MONTH($A20)=MONTH(G$16)),B19/B7,G19)</f>
        <v>1</v>
      </c>
      <c r="H20" s="808">
        <f ca="1">IF(AND($A20&gt;H$16,MONTH($A20)=MONTH(H$16)),C19/C7,H19)</f>
        <v>1</v>
      </c>
      <c r="I20" s="808">
        <f ca="1">IF(AND($A20&gt;I$16,MONTH($A20)=MONTH(I$16)),C19/C7-I$18,I19)</f>
        <v>1</v>
      </c>
      <c r="J20" s="808">
        <f t="shared" ref="J20:J44" ca="1" si="3">IF(AND($A20&gt;J$16,MONTH($A20)=MONTH(J$16)),D19/D7,J19)</f>
        <v>1</v>
      </c>
      <c r="K20" s="808">
        <f ca="1">IF($A20&gt;=K$16,IF(MONTH($A20)=MONTH(K$16),AVERAGE(E8:E19),K19),K19)</f>
        <v>25.92</v>
      </c>
      <c r="L20" s="811">
        <f ca="1">IF($A20&gt;=L$16,IF(MONTH($A20)=MONTH(L$16),AVERAGE(F8:F19),L19),L19)</f>
        <v>1.0385</v>
      </c>
      <c r="M20" s="773">
        <f t="shared" si="0"/>
        <v>8</v>
      </c>
      <c r="N20" s="807">
        <f t="shared" ca="1" si="1"/>
        <v>1</v>
      </c>
      <c r="O20" s="808">
        <f>O19</f>
        <v>1.0049999999999999</v>
      </c>
      <c r="P20" s="811">
        <f ca="1">IF(AND($A20&gt;=P$16,MONTH($A20)=MONTH(P$16)),MAX(N20,O20)*P19,P19)</f>
        <v>1</v>
      </c>
    </row>
    <row r="21" spans="1:16">
      <c r="A21" s="809">
        <f t="shared" si="2"/>
        <v>35462</v>
      </c>
      <c r="B21" s="1110">
        <f ca="1">'[1]Monthly Curve Calc.'!B24</f>
        <v>137.38999999999999</v>
      </c>
      <c r="C21" s="1111">
        <f ca="1">'[1]Monthly Curve Calc.'!C24</f>
        <v>159.6</v>
      </c>
      <c r="D21" s="1111">
        <f ca="1">'[1]Monthly Curve Calc.'!D24</f>
        <v>132.69999999999999</v>
      </c>
      <c r="E21" s="1111">
        <f ca="1">'[1]Monthly Curve Calc.'!E24</f>
        <v>20.3</v>
      </c>
      <c r="F21" s="1112">
        <f ca="1">'[1]Monthly Curve Calc.'!F24</f>
        <v>1.0509999999999999</v>
      </c>
      <c r="G21" s="810">
        <f t="shared" ref="G21:G84" ca="1" si="4">IF(AND($A21&gt;G$16,MONTH($A21)=MONTH(G$16)),B20/B8,G20)</f>
        <v>1</v>
      </c>
      <c r="H21" s="808">
        <f t="shared" ref="H21:H84" ca="1" si="5">IF(AND($A21&gt;H$16,MONTH($A21)=MONTH(H$16)),C20/C8,H20)</f>
        <v>1</v>
      </c>
      <c r="I21" s="808">
        <f t="shared" ref="I21:I84" ca="1" si="6">IF(AND($A21&gt;I$16,MONTH($A21)=MONTH(I$16)),C20/C8-I$18,I20)</f>
        <v>1</v>
      </c>
      <c r="J21" s="808">
        <f t="shared" ca="1" si="3"/>
        <v>1</v>
      </c>
      <c r="K21" s="808">
        <f t="shared" ref="K21:K84" ca="1" si="7">IF($A21&gt;=K$16,IF(MONTH($A21)=MONTH(K$16),AVERAGE(E9:E20),K20),K20)</f>
        <v>25.92</v>
      </c>
      <c r="L21" s="811">
        <f t="shared" ref="L21:L32" ca="1" si="8">IF($A21&gt;=L$16,IF(MONTH($A21)=MONTH(L$16),AVERAGE(F9:F20),L20),L20)</f>
        <v>1.0385</v>
      </c>
      <c r="M21" s="773">
        <f t="shared" si="0"/>
        <v>9</v>
      </c>
      <c r="N21" s="807">
        <f t="shared" ca="1" si="1"/>
        <v>1</v>
      </c>
      <c r="O21" s="808">
        <f t="shared" ref="O21:O84" si="9">O20</f>
        <v>1.0049999999999999</v>
      </c>
      <c r="P21" s="811">
        <f t="shared" ref="P21:P84" ca="1" si="10">IF(AND($A21&gt;=P$16,MONTH($A21)=MONTH(P$16)),MAX(N21,O21)*P20,P20)</f>
        <v>1</v>
      </c>
    </row>
    <row r="22" spans="1:16">
      <c r="A22" s="809">
        <f t="shared" si="2"/>
        <v>35490</v>
      </c>
      <c r="B22" s="1110">
        <f ca="1">'[1]Monthly Curve Calc.'!B25</f>
        <v>138.99</v>
      </c>
      <c r="C22" s="1111">
        <f ca="1">'[1]Monthly Curve Calc.'!C25</f>
        <v>160</v>
      </c>
      <c r="D22" s="1111">
        <f ca="1">'[1]Monthly Curve Calc.'!D25</f>
        <v>132.5</v>
      </c>
      <c r="E22" s="1111">
        <f ca="1">'[1]Monthly Curve Calc.'!E25</f>
        <v>20.41</v>
      </c>
      <c r="F22" s="1112">
        <f ca="1">'[1]Monthly Curve Calc.'!F25</f>
        <v>1.0593999999999999</v>
      </c>
      <c r="G22" s="810">
        <f t="shared" ca="1" si="4"/>
        <v>1</v>
      </c>
      <c r="H22" s="808">
        <f t="shared" ca="1" si="5"/>
        <v>1</v>
      </c>
      <c r="I22" s="808">
        <f t="shared" ca="1" si="6"/>
        <v>1</v>
      </c>
      <c r="J22" s="808">
        <f t="shared" ca="1" si="3"/>
        <v>1</v>
      </c>
      <c r="K22" s="808">
        <f t="shared" ca="1" si="7"/>
        <v>25.92</v>
      </c>
      <c r="L22" s="811">
        <f t="shared" ca="1" si="8"/>
        <v>1.0385</v>
      </c>
      <c r="M22" s="773">
        <f t="shared" si="0"/>
        <v>10</v>
      </c>
      <c r="N22" s="807">
        <f t="shared" ca="1" si="1"/>
        <v>1</v>
      </c>
      <c r="O22" s="808">
        <f t="shared" si="9"/>
        <v>1.0049999999999999</v>
      </c>
      <c r="P22" s="811">
        <f t="shared" ca="1" si="10"/>
        <v>1</v>
      </c>
    </row>
    <row r="23" spans="1:16">
      <c r="A23" s="809">
        <f t="shared" si="2"/>
        <v>35521</v>
      </c>
      <c r="B23" s="1110">
        <f ca="1">'[1]Monthly Curve Calc.'!B26</f>
        <v>139.80699999999999</v>
      </c>
      <c r="C23" s="1111">
        <f ca="1">'[1]Monthly Curve Calc.'!C26</f>
        <v>160.19999999999999</v>
      </c>
      <c r="D23" s="1111">
        <f ca="1">'[1]Monthly Curve Calc.'!D26</f>
        <v>131.9</v>
      </c>
      <c r="E23" s="1111">
        <f ca="1">'[1]Monthly Curve Calc.'!E26</f>
        <v>19.747730000000001</v>
      </c>
      <c r="F23" s="1112">
        <f ca="1">'[1]Monthly Curve Calc.'!F26</f>
        <v>1.0634999999999999</v>
      </c>
      <c r="G23" s="810">
        <f t="shared" ca="1" si="4"/>
        <v>1</v>
      </c>
      <c r="H23" s="808">
        <f t="shared" ca="1" si="5"/>
        <v>1</v>
      </c>
      <c r="I23" s="808">
        <f t="shared" ca="1" si="6"/>
        <v>1</v>
      </c>
      <c r="J23" s="808">
        <f t="shared" ca="1" si="3"/>
        <v>1</v>
      </c>
      <c r="K23" s="808">
        <f t="shared" ca="1" si="7"/>
        <v>25.92</v>
      </c>
      <c r="L23" s="811">
        <f t="shared" ca="1" si="8"/>
        <v>1.0385</v>
      </c>
      <c r="M23" s="773">
        <f t="shared" si="0"/>
        <v>11</v>
      </c>
      <c r="N23" s="807">
        <f t="shared" ca="1" si="1"/>
        <v>1</v>
      </c>
      <c r="O23" s="808">
        <f t="shared" si="9"/>
        <v>1.0049999999999999</v>
      </c>
      <c r="P23" s="811">
        <f t="shared" ca="1" si="10"/>
        <v>1</v>
      </c>
    </row>
    <row r="24" spans="1:16">
      <c r="A24" s="809">
        <f t="shared" si="2"/>
        <v>35551</v>
      </c>
      <c r="B24" s="1110">
        <f ca="1">'[1]Monthly Curve Calc.'!B27</f>
        <v>140.22</v>
      </c>
      <c r="C24" s="1111">
        <f ca="1">'[1]Monthly Curve Calc.'!C27</f>
        <v>160.1</v>
      </c>
      <c r="D24" s="1111">
        <f ca="1">'[1]Monthly Curve Calc.'!D27</f>
        <v>131.6</v>
      </c>
      <c r="E24" s="1111">
        <f ca="1">'[1]Monthly Curve Calc.'!E27</f>
        <v>20.91</v>
      </c>
      <c r="F24" s="1112">
        <f ca="1">'[1]Monthly Curve Calc.'!F27</f>
        <v>1.0703</v>
      </c>
      <c r="G24" s="810">
        <f t="shared" ca="1" si="4"/>
        <v>1</v>
      </c>
      <c r="H24" s="808">
        <f t="shared" ca="1" si="5"/>
        <v>1</v>
      </c>
      <c r="I24" s="808">
        <f t="shared" ca="1" si="6"/>
        <v>1</v>
      </c>
      <c r="J24" s="808">
        <f t="shared" ca="1" si="3"/>
        <v>1</v>
      </c>
      <c r="K24" s="808">
        <f t="shared" ca="1" si="7"/>
        <v>25.92</v>
      </c>
      <c r="L24" s="811">
        <f t="shared" ca="1" si="8"/>
        <v>1.0385</v>
      </c>
      <c r="M24" s="773">
        <f t="shared" si="0"/>
        <v>12</v>
      </c>
      <c r="N24" s="807">
        <f t="shared" ca="1" si="1"/>
        <v>1</v>
      </c>
      <c r="O24" s="808">
        <f t="shared" si="9"/>
        <v>1.0049999999999999</v>
      </c>
      <c r="P24" s="811">
        <f t="shared" ca="1" si="10"/>
        <v>1</v>
      </c>
    </row>
    <row r="25" spans="1:16">
      <c r="A25" s="809">
        <f t="shared" si="2"/>
        <v>35582</v>
      </c>
      <c r="B25" s="1110">
        <f ca="1">'[1]Monthly Curve Calc.'!B28</f>
        <v>141.20699999999999</v>
      </c>
      <c r="C25" s="1111">
        <f ca="1">'[1]Monthly Curve Calc.'!C28</f>
        <v>160.30000000000001</v>
      </c>
      <c r="D25" s="1111">
        <f ca="1">'[1]Monthly Curve Calc.'!D28</f>
        <v>131.30000000000001</v>
      </c>
      <c r="E25" s="1111">
        <f ca="1">'[1]Monthly Curve Calc.'!E28</f>
        <v>19.277380000000001</v>
      </c>
      <c r="F25" s="1112">
        <f ca="1">'[1]Monthly Curve Calc.'!F28</f>
        <v>1.0766</v>
      </c>
      <c r="G25" s="810">
        <f t="shared" ca="1" si="4"/>
        <v>1</v>
      </c>
      <c r="H25" s="808">
        <f t="shared" ca="1" si="5"/>
        <v>1</v>
      </c>
      <c r="I25" s="808">
        <f t="shared" ca="1" si="6"/>
        <v>1</v>
      </c>
      <c r="J25" s="808">
        <f t="shared" ca="1" si="3"/>
        <v>1</v>
      </c>
      <c r="K25" s="808">
        <f t="shared" ca="1" si="7"/>
        <v>25.92</v>
      </c>
      <c r="L25" s="811">
        <f t="shared" ca="1" si="8"/>
        <v>1.0385</v>
      </c>
      <c r="M25" s="773">
        <f t="shared" si="0"/>
        <v>13</v>
      </c>
      <c r="N25" s="807">
        <f t="shared" ca="1" si="1"/>
        <v>1</v>
      </c>
      <c r="O25" s="808">
        <f t="shared" si="9"/>
        <v>1.0049999999999999</v>
      </c>
      <c r="P25" s="811">
        <f t="shared" ca="1" si="10"/>
        <v>1</v>
      </c>
    </row>
    <row r="26" spans="1:16">
      <c r="A26" s="809">
        <f t="shared" si="2"/>
        <v>35612</v>
      </c>
      <c r="B26" s="1110">
        <f ca="1">'[1]Monthly Curve Calc.'!B29</f>
        <v>141.33000000000001</v>
      </c>
      <c r="C26" s="1111">
        <f ca="1">'[1]Monthly Curve Calc.'!C29</f>
        <v>160.5</v>
      </c>
      <c r="D26" s="1111">
        <f ca="1">'[1]Monthly Curve Calc.'!D29</f>
        <v>131</v>
      </c>
      <c r="E26" s="1111">
        <f ca="1">'[1]Monthly Curve Calc.'!E29</f>
        <v>19.63409</v>
      </c>
      <c r="F26" s="1112">
        <f ca="1">'[1]Monthly Curve Calc.'!F29</f>
        <v>1.0829</v>
      </c>
      <c r="G26" s="810">
        <f t="shared" ca="1" si="4"/>
        <v>1</v>
      </c>
      <c r="H26" s="808">
        <f t="shared" ca="1" si="5"/>
        <v>1</v>
      </c>
      <c r="I26" s="808">
        <f t="shared" ca="1" si="6"/>
        <v>1</v>
      </c>
      <c r="J26" s="808">
        <f t="shared" ca="1" si="3"/>
        <v>1</v>
      </c>
      <c r="K26" s="808">
        <f t="shared" ca="1" si="7"/>
        <v>25.92</v>
      </c>
      <c r="L26" s="811">
        <f t="shared" ca="1" si="8"/>
        <v>1.0385</v>
      </c>
      <c r="M26" s="773">
        <f t="shared" si="0"/>
        <v>14</v>
      </c>
      <c r="N26" s="807">
        <f t="shared" ca="1" si="1"/>
        <v>1</v>
      </c>
      <c r="O26" s="808">
        <f t="shared" si="9"/>
        <v>1.0049999999999999</v>
      </c>
      <c r="P26" s="811">
        <f t="shared" ca="1" si="10"/>
        <v>1</v>
      </c>
    </row>
    <row r="27" spans="1:16">
      <c r="A27" s="809">
        <f t="shared" si="2"/>
        <v>35643</v>
      </c>
      <c r="B27" s="1110">
        <f ca="1">'[1]Monthly Curve Calc.'!B30</f>
        <v>141.26</v>
      </c>
      <c r="C27" s="1111">
        <f ca="1">'[1]Monthly Curve Calc.'!C30</f>
        <v>160.80000000000001</v>
      </c>
      <c r="D27" s="1111">
        <f ca="1">'[1]Monthly Curve Calc.'!D30</f>
        <v>131.30000000000001</v>
      </c>
      <c r="E27" s="1111">
        <f ca="1">'[1]Monthly Curve Calc.'!E30</f>
        <v>19.932859999999998</v>
      </c>
      <c r="F27" s="1112">
        <f ca="1">'[1]Monthly Curve Calc.'!F30</f>
        <v>1.0912999999999999</v>
      </c>
      <c r="G27" s="810">
        <f t="shared" ca="1" si="4"/>
        <v>1</v>
      </c>
      <c r="H27" s="808">
        <f t="shared" ca="1" si="5"/>
        <v>1</v>
      </c>
      <c r="I27" s="808">
        <f t="shared" ca="1" si="6"/>
        <v>1</v>
      </c>
      <c r="J27" s="808">
        <f t="shared" ca="1" si="3"/>
        <v>1</v>
      </c>
      <c r="K27" s="808">
        <f t="shared" ca="1" si="7"/>
        <v>25.92</v>
      </c>
      <c r="L27" s="811">
        <f t="shared" ca="1" si="8"/>
        <v>1.0385</v>
      </c>
      <c r="M27" s="773">
        <f t="shared" si="0"/>
        <v>15</v>
      </c>
      <c r="N27" s="807">
        <f t="shared" ca="1" si="1"/>
        <v>1</v>
      </c>
      <c r="O27" s="808">
        <f t="shared" si="9"/>
        <v>1.0049999999999999</v>
      </c>
      <c r="P27" s="811">
        <f t="shared" ca="1" si="10"/>
        <v>1</v>
      </c>
    </row>
    <row r="28" spans="1:16">
      <c r="A28" s="809">
        <f t="shared" si="2"/>
        <v>35674</v>
      </c>
      <c r="B28" s="1110">
        <f ca="1">'[1]Monthly Curve Calc.'!B31</f>
        <v>142.101</v>
      </c>
      <c r="C28" s="1111">
        <f ca="1">'[1]Monthly Curve Calc.'!C31</f>
        <v>161.19999999999999</v>
      </c>
      <c r="D28" s="1111">
        <f ca="1">'[1]Monthly Curve Calc.'!D31</f>
        <v>131.69999999999999</v>
      </c>
      <c r="E28" s="1111">
        <f ca="1">'[1]Monthly Curve Calc.'!E31</f>
        <v>19.775955000000003</v>
      </c>
      <c r="F28" s="1112">
        <f ca="1">'[1]Monthly Curve Calc.'!F31</f>
        <v>1.0960000000000001</v>
      </c>
      <c r="G28" s="810">
        <f t="shared" ca="1" si="4"/>
        <v>1</v>
      </c>
      <c r="H28" s="808">
        <f t="shared" ca="1" si="5"/>
        <v>1</v>
      </c>
      <c r="I28" s="808">
        <f t="shared" ca="1" si="6"/>
        <v>1</v>
      </c>
      <c r="J28" s="808">
        <f t="shared" ca="1" si="3"/>
        <v>1</v>
      </c>
      <c r="K28" s="808">
        <f t="shared" ca="1" si="7"/>
        <v>25.92</v>
      </c>
      <c r="L28" s="811">
        <f t="shared" ca="1" si="8"/>
        <v>1.0385</v>
      </c>
      <c r="M28" s="773">
        <f t="shared" si="0"/>
        <v>16</v>
      </c>
      <c r="N28" s="807">
        <f t="shared" ca="1" si="1"/>
        <v>1</v>
      </c>
      <c r="O28" s="808">
        <f t="shared" si="9"/>
        <v>1.0049999999999999</v>
      </c>
      <c r="P28" s="811">
        <f t="shared" ca="1" si="10"/>
        <v>1</v>
      </c>
    </row>
    <row r="29" spans="1:16">
      <c r="A29" s="809">
        <f t="shared" si="2"/>
        <v>35704</v>
      </c>
      <c r="B29" s="1110">
        <f ca="1">'[1]Monthly Curve Calc.'!B32</f>
        <v>142.58699999999999</v>
      </c>
      <c r="C29" s="1111">
        <f ca="1">'[1]Monthly Curve Calc.'!C32</f>
        <v>161.6</v>
      </c>
      <c r="D29" s="1111">
        <f ca="1">'[1]Monthly Curve Calc.'!D32</f>
        <v>131.80000000000001</v>
      </c>
      <c r="E29" s="1111">
        <f ca="1">'[1]Monthly Curve Calc.'!E32</f>
        <v>21.271304999999998</v>
      </c>
      <c r="F29" s="1112">
        <f ca="1">'[1]Monthly Curve Calc.'!F32</f>
        <v>1.1027</v>
      </c>
      <c r="G29" s="810">
        <f t="shared" ca="1" si="4"/>
        <v>1</v>
      </c>
      <c r="H29" s="808">
        <f t="shared" ca="1" si="5"/>
        <v>1</v>
      </c>
      <c r="I29" s="808">
        <f t="shared" ca="1" si="6"/>
        <v>1</v>
      </c>
      <c r="J29" s="808">
        <f t="shared" ca="1" si="3"/>
        <v>1</v>
      </c>
      <c r="K29" s="808">
        <f t="shared" ca="1" si="7"/>
        <v>25.92</v>
      </c>
      <c r="L29" s="811">
        <f t="shared" ca="1" si="8"/>
        <v>1.0385</v>
      </c>
      <c r="M29" s="773">
        <f t="shared" si="0"/>
        <v>17</v>
      </c>
      <c r="N29" s="807">
        <f t="shared" ca="1" si="1"/>
        <v>1</v>
      </c>
      <c r="O29" s="808">
        <f t="shared" si="9"/>
        <v>1.0049999999999999</v>
      </c>
      <c r="P29" s="811">
        <f t="shared" ca="1" si="10"/>
        <v>1</v>
      </c>
    </row>
    <row r="30" spans="1:16">
      <c r="A30" s="809">
        <f t="shared" si="2"/>
        <v>35735</v>
      </c>
      <c r="B30" s="1110">
        <f ca="1">'[1]Monthly Curve Calc.'!B33</f>
        <v>143.77099999999999</v>
      </c>
      <c r="C30" s="1111">
        <f ca="1">'[1]Monthly Curve Calc.'!C33</f>
        <v>161.5</v>
      </c>
      <c r="D30" s="1111">
        <f ca="1">'[1]Monthly Curve Calc.'!D33</f>
        <v>131.5</v>
      </c>
      <c r="E30" s="1111">
        <f ca="1">'[1]Monthly Curve Calc.'!E33</f>
        <v>20.176945</v>
      </c>
      <c r="F30" s="1112">
        <f ca="1">'[1]Monthly Curve Calc.'!F33</f>
        <v>1.1094999999999999</v>
      </c>
      <c r="G30" s="810">
        <f t="shared" ca="1" si="4"/>
        <v>1</v>
      </c>
      <c r="H30" s="808">
        <f t="shared" ca="1" si="5"/>
        <v>1</v>
      </c>
      <c r="I30" s="808">
        <f t="shared" ca="1" si="6"/>
        <v>1</v>
      </c>
      <c r="J30" s="808">
        <f t="shared" ca="1" si="3"/>
        <v>1</v>
      </c>
      <c r="K30" s="808">
        <f t="shared" ca="1" si="7"/>
        <v>25.92</v>
      </c>
      <c r="L30" s="811">
        <f t="shared" ca="1" si="8"/>
        <v>1.0385</v>
      </c>
      <c r="M30" s="773">
        <f t="shared" si="0"/>
        <v>18</v>
      </c>
      <c r="N30" s="807">
        <f t="shared" ca="1" si="1"/>
        <v>1</v>
      </c>
      <c r="O30" s="808">
        <f t="shared" si="9"/>
        <v>1.0049999999999999</v>
      </c>
      <c r="P30" s="811">
        <f t="shared" ca="1" si="10"/>
        <v>1</v>
      </c>
    </row>
    <row r="31" spans="1:16">
      <c r="A31" s="809">
        <f t="shared" si="2"/>
        <v>35765</v>
      </c>
      <c r="B31" s="1110">
        <f ca="1">'[1]Monthly Curve Calc.'!B34</f>
        <v>144.76499999999999</v>
      </c>
      <c r="C31" s="1111">
        <f ca="1">'[1]Monthly Curve Calc.'!C34</f>
        <v>161.30000000000001</v>
      </c>
      <c r="D31" s="1111">
        <f ca="1">'[1]Monthly Curve Calc.'!D34</f>
        <v>131.4</v>
      </c>
      <c r="E31" s="1111">
        <f ca="1">'[1]Monthly Curve Calc.'!E34</f>
        <v>18.299775</v>
      </c>
      <c r="F31" s="1112">
        <f ca="1">'[1]Monthly Curve Calc.'!F34</f>
        <v>1.1160000000000001</v>
      </c>
      <c r="G31" s="810">
        <f t="shared" ca="1" si="4"/>
        <v>1</v>
      </c>
      <c r="H31" s="808">
        <f t="shared" ca="1" si="5"/>
        <v>1</v>
      </c>
      <c r="I31" s="808">
        <f t="shared" ca="1" si="6"/>
        <v>1</v>
      </c>
      <c r="J31" s="808">
        <f t="shared" ca="1" si="3"/>
        <v>1</v>
      </c>
      <c r="K31" s="808">
        <f t="shared" ca="1" si="7"/>
        <v>25.92</v>
      </c>
      <c r="L31" s="811">
        <f t="shared" ca="1" si="8"/>
        <v>1.0385</v>
      </c>
      <c r="M31" s="773">
        <f t="shared" si="0"/>
        <v>19</v>
      </c>
      <c r="N31" s="807">
        <f t="shared" ca="1" si="1"/>
        <v>1</v>
      </c>
      <c r="O31" s="808">
        <f t="shared" si="9"/>
        <v>1.0049999999999999</v>
      </c>
      <c r="P31" s="811">
        <f t="shared" ca="1" si="10"/>
        <v>1</v>
      </c>
    </row>
    <row r="32" spans="1:16">
      <c r="A32" s="809">
        <f t="shared" si="2"/>
        <v>35796</v>
      </c>
      <c r="B32" s="1110">
        <f ca="1">'[1]Monthly Curve Calc.'!B35</f>
        <v>146.03800000000001</v>
      </c>
      <c r="C32" s="1111">
        <f ca="1">'[1]Monthly Curve Calc.'!C35</f>
        <v>161.6</v>
      </c>
      <c r="D32" s="1111">
        <f ca="1">'[1]Monthly Curve Calc.'!D35</f>
        <v>130.6</v>
      </c>
      <c r="E32" s="1111">
        <f ca="1">'[1]Monthly Curve Calc.'!E35</f>
        <v>16.688499999999998</v>
      </c>
      <c r="F32" s="1112">
        <f ca="1">'[1]Monthly Curve Calc.'!F35</f>
        <v>1.1234</v>
      </c>
      <c r="G32" s="810">
        <f t="shared" ca="1" si="4"/>
        <v>1</v>
      </c>
      <c r="H32" s="808">
        <f t="shared" ca="1" si="5"/>
        <v>1</v>
      </c>
      <c r="I32" s="808">
        <f t="shared" ca="1" si="6"/>
        <v>1</v>
      </c>
      <c r="J32" s="808">
        <f t="shared" ca="1" si="3"/>
        <v>1</v>
      </c>
      <c r="K32" s="808">
        <f t="shared" ca="1" si="7"/>
        <v>20.323836666666665</v>
      </c>
      <c r="L32" s="811">
        <f t="shared" ca="1" si="8"/>
        <v>1.0804</v>
      </c>
      <c r="M32" s="773">
        <f t="shared" si="0"/>
        <v>20</v>
      </c>
      <c r="N32" s="807">
        <f t="shared" ca="1" si="1"/>
        <v>1</v>
      </c>
      <c r="O32" s="808">
        <f t="shared" si="9"/>
        <v>1.0049999999999999</v>
      </c>
      <c r="P32" s="811">
        <f t="shared" ca="1" si="10"/>
        <v>1</v>
      </c>
    </row>
    <row r="33" spans="1:16">
      <c r="A33" s="809">
        <f t="shared" si="2"/>
        <v>35827</v>
      </c>
      <c r="B33" s="1110">
        <f ca="1">'[1]Monthly Curve Calc.'!B36</f>
        <v>146.06700000000001</v>
      </c>
      <c r="C33" s="1111">
        <f ca="1">'[1]Monthly Curve Calc.'!C36</f>
        <v>161.9</v>
      </c>
      <c r="D33" s="1111">
        <f ca="1">'[1]Monthly Curve Calc.'!D36</f>
        <v>130.5</v>
      </c>
      <c r="E33" s="1111">
        <f ca="1">'[1]Monthly Curve Calc.'!E36</f>
        <v>16.072895000000003</v>
      </c>
      <c r="F33" s="1112">
        <f ca="1">'[1]Monthly Curve Calc.'!F36</f>
        <v>1.1299999999999999</v>
      </c>
      <c r="G33" s="810">
        <f t="shared" ca="1" si="4"/>
        <v>1</v>
      </c>
      <c r="H33" s="808">
        <f t="shared" ca="1" si="5"/>
        <v>1</v>
      </c>
      <c r="I33" s="808">
        <f t="shared" ca="1" si="6"/>
        <v>1</v>
      </c>
      <c r="J33" s="808">
        <f t="shared" ca="1" si="3"/>
        <v>1</v>
      </c>
      <c r="K33" s="808">
        <f t="shared" ca="1" si="7"/>
        <v>20.323836666666665</v>
      </c>
      <c r="L33" s="811">
        <f t="shared" ref="L33:L96" ca="1" si="11">IF($A33&gt;=L$16,IF(MONTH($A33)=MONTH(L$16),AVERAGE(F21:F32),L32),L32)</f>
        <v>1.0804</v>
      </c>
      <c r="M33" s="773">
        <f t="shared" si="0"/>
        <v>21</v>
      </c>
      <c r="N33" s="807">
        <f t="shared" ca="1" si="1"/>
        <v>1</v>
      </c>
      <c r="O33" s="808">
        <f t="shared" si="9"/>
        <v>1.0049999999999999</v>
      </c>
      <c r="P33" s="811">
        <f t="shared" ca="1" si="10"/>
        <v>1</v>
      </c>
    </row>
    <row r="34" spans="1:16">
      <c r="A34" s="809">
        <f t="shared" si="2"/>
        <v>35855</v>
      </c>
      <c r="B34" s="1110">
        <f ca="1">'[1]Monthly Curve Calc.'!B37</f>
        <v>146.40600000000001</v>
      </c>
      <c r="C34" s="1111">
        <f ca="1">'[1]Monthly Curve Calc.'!C37</f>
        <v>162.19999999999999</v>
      </c>
      <c r="D34" s="1111">
        <f ca="1">'[1]Monthly Curve Calc.'!D37</f>
        <v>130.5</v>
      </c>
      <c r="E34" s="1111">
        <f ca="1">'[1]Monthly Curve Calc.'!E37</f>
        <v>15.098635000000002</v>
      </c>
      <c r="F34" s="1112">
        <f ca="1">'[1]Monthly Curve Calc.'!F37</f>
        <v>1.137</v>
      </c>
      <c r="G34" s="810">
        <f t="shared" ca="1" si="4"/>
        <v>1</v>
      </c>
      <c r="H34" s="808">
        <f t="shared" ca="1" si="5"/>
        <v>1</v>
      </c>
      <c r="I34" s="808">
        <f t="shared" ca="1" si="6"/>
        <v>1</v>
      </c>
      <c r="J34" s="808">
        <f t="shared" ca="1" si="3"/>
        <v>1</v>
      </c>
      <c r="K34" s="808">
        <f t="shared" ca="1" si="7"/>
        <v>20.323836666666665</v>
      </c>
      <c r="L34" s="811">
        <f t="shared" ca="1" si="11"/>
        <v>1.0804</v>
      </c>
      <c r="M34" s="773">
        <f t="shared" si="0"/>
        <v>22</v>
      </c>
      <c r="N34" s="807">
        <f t="shared" ca="1" si="1"/>
        <v>1</v>
      </c>
      <c r="O34" s="808">
        <f t="shared" si="9"/>
        <v>1.0049999999999999</v>
      </c>
      <c r="P34" s="811">
        <f t="shared" ca="1" si="10"/>
        <v>1</v>
      </c>
    </row>
    <row r="35" spans="1:16">
      <c r="A35" s="809">
        <f t="shared" si="2"/>
        <v>35886</v>
      </c>
      <c r="B35" s="1110">
        <f ca="1">'[1]Monthly Curve Calc.'!B38</f>
        <v>146.21100000000001</v>
      </c>
      <c r="C35" s="1111">
        <f ca="1">'[1]Monthly Curve Calc.'!C38</f>
        <v>162.5</v>
      </c>
      <c r="D35" s="1111">
        <f ca="1">'[1]Monthly Curve Calc.'!D38</f>
        <v>130.69999999999999</v>
      </c>
      <c r="E35" s="1111">
        <f ca="1">'[1]Monthly Curve Calc.'!E38</f>
        <v>15.31643</v>
      </c>
      <c r="F35" s="1112">
        <f ca="1">'[1]Monthly Curve Calc.'!F38</f>
        <v>1.1443000000000001</v>
      </c>
      <c r="G35" s="810">
        <f t="shared" ca="1" si="4"/>
        <v>1</v>
      </c>
      <c r="H35" s="808">
        <f t="shared" ca="1" si="5"/>
        <v>1</v>
      </c>
      <c r="I35" s="808">
        <f t="shared" ca="1" si="6"/>
        <v>1</v>
      </c>
      <c r="J35" s="808">
        <f t="shared" ca="1" si="3"/>
        <v>1</v>
      </c>
      <c r="K35" s="808">
        <f t="shared" ca="1" si="7"/>
        <v>20.323836666666665</v>
      </c>
      <c r="L35" s="811">
        <f t="shared" ca="1" si="11"/>
        <v>1.0804</v>
      </c>
      <c r="M35" s="773">
        <f t="shared" si="0"/>
        <v>23</v>
      </c>
      <c r="N35" s="807">
        <f t="shared" ca="1" si="1"/>
        <v>1</v>
      </c>
      <c r="O35" s="808">
        <f t="shared" si="9"/>
        <v>1.0049999999999999</v>
      </c>
      <c r="P35" s="811">
        <f t="shared" ca="1" si="10"/>
        <v>1</v>
      </c>
    </row>
    <row r="36" spans="1:16">
      <c r="A36" s="809">
        <f t="shared" si="2"/>
        <v>35916</v>
      </c>
      <c r="B36" s="1110">
        <f ca="1">'[1]Monthly Curve Calc.'!B39</f>
        <v>146.54400000000001</v>
      </c>
      <c r="C36" s="1111">
        <f ca="1">'[1]Monthly Curve Calc.'!C39</f>
        <v>162.80000000000001</v>
      </c>
      <c r="D36" s="1111">
        <f ca="1">'[1]Monthly Curve Calc.'!D39</f>
        <v>130.6</v>
      </c>
      <c r="E36" s="1111">
        <f ca="1">'[1]Monthly Curve Calc.'!E39</f>
        <v>14.92775</v>
      </c>
      <c r="F36" s="1112">
        <f ca="1">'[1]Monthly Curve Calc.'!F39</f>
        <v>1.1500999999999999</v>
      </c>
      <c r="G36" s="810">
        <f t="shared" ca="1" si="4"/>
        <v>1.0458060039912167</v>
      </c>
      <c r="H36" s="808">
        <f t="shared" ca="1" si="5"/>
        <v>1.0143570536828965</v>
      </c>
      <c r="I36" s="808">
        <f t="shared" ca="1" si="6"/>
        <v>1.0118570536828966</v>
      </c>
      <c r="J36" s="808">
        <f t="shared" ca="1" si="3"/>
        <v>1</v>
      </c>
      <c r="K36" s="808">
        <f t="shared" ca="1" si="7"/>
        <v>20.323836666666665</v>
      </c>
      <c r="L36" s="811">
        <f t="shared" ca="1" si="11"/>
        <v>1.0804</v>
      </c>
      <c r="M36" s="773">
        <f t="shared" si="0"/>
        <v>24</v>
      </c>
      <c r="N36" s="807">
        <f t="shared" ca="1" si="1"/>
        <v>1.0143570536828965</v>
      </c>
      <c r="O36" s="808">
        <f t="shared" si="9"/>
        <v>1.0049999999999999</v>
      </c>
      <c r="P36" s="811">
        <f t="shared" ca="1" si="10"/>
        <v>1.0143570536828965</v>
      </c>
    </row>
    <row r="37" spans="1:16">
      <c r="A37" s="809">
        <f t="shared" si="2"/>
        <v>35947</v>
      </c>
      <c r="B37" s="1110">
        <f ca="1">'[1]Monthly Curve Calc.'!B40</f>
        <v>146.95099999999999</v>
      </c>
      <c r="C37" s="1111">
        <f ca="1">'[1]Monthly Curve Calc.'!C40</f>
        <v>163</v>
      </c>
      <c r="D37" s="1111">
        <f ca="1">'[1]Monthly Curve Calc.'!D40</f>
        <v>130.4</v>
      </c>
      <c r="E37" s="1111">
        <f ca="1">'[1]Monthly Curve Calc.'!E40</f>
        <v>13.686139999999998</v>
      </c>
      <c r="F37" s="1112">
        <f ca="1">'[1]Monthly Curve Calc.'!F40</f>
        <v>1.1565000000000001</v>
      </c>
      <c r="G37" s="810">
        <f t="shared" ca="1" si="4"/>
        <v>1.0458060039912167</v>
      </c>
      <c r="H37" s="808">
        <f t="shared" ca="1" si="5"/>
        <v>1.0143570536828965</v>
      </c>
      <c r="I37" s="808">
        <f t="shared" ca="1" si="6"/>
        <v>1.0118570536828966</v>
      </c>
      <c r="J37" s="808">
        <f t="shared" ca="1" si="3"/>
        <v>1</v>
      </c>
      <c r="K37" s="808">
        <f t="shared" ca="1" si="7"/>
        <v>20.323836666666665</v>
      </c>
      <c r="L37" s="811">
        <f t="shared" ca="1" si="11"/>
        <v>1.0804</v>
      </c>
      <c r="M37" s="773">
        <f t="shared" si="0"/>
        <v>25</v>
      </c>
      <c r="N37" s="807">
        <f t="shared" ca="1" si="1"/>
        <v>1.0143570536828965</v>
      </c>
      <c r="O37" s="808">
        <f t="shared" si="9"/>
        <v>1.0049999999999999</v>
      </c>
      <c r="P37" s="811">
        <f t="shared" ca="1" si="10"/>
        <v>1.0143570536828965</v>
      </c>
    </row>
    <row r="38" spans="1:16">
      <c r="A38" s="809">
        <f t="shared" si="2"/>
        <v>35977</v>
      </c>
      <c r="B38" s="1110">
        <f ca="1">'[1]Monthly Curve Calc.'!B41</f>
        <v>146.38999999999999</v>
      </c>
      <c r="C38" s="1111">
        <f ca="1">'[1]Monthly Curve Calc.'!C41</f>
        <v>163.19999999999999</v>
      </c>
      <c r="D38" s="1111">
        <f ca="1">'[1]Monthly Curve Calc.'!D41</f>
        <v>130.69999999999999</v>
      </c>
      <c r="E38" s="1111">
        <f ca="1">'[1]Monthly Curve Calc.'!E41</f>
        <v>14.26</v>
      </c>
      <c r="F38" s="1112">
        <f ca="1">'[1]Monthly Curve Calc.'!F41</f>
        <v>1.163</v>
      </c>
      <c r="G38" s="810">
        <f t="shared" ca="1" si="4"/>
        <v>1.0458060039912167</v>
      </c>
      <c r="H38" s="808">
        <f t="shared" ca="1" si="5"/>
        <v>1.0143570536828965</v>
      </c>
      <c r="I38" s="808">
        <f t="shared" ca="1" si="6"/>
        <v>1.0118570536828966</v>
      </c>
      <c r="J38" s="808">
        <f t="shared" ca="1" si="3"/>
        <v>1</v>
      </c>
      <c r="K38" s="808">
        <f t="shared" ca="1" si="7"/>
        <v>20.323836666666665</v>
      </c>
      <c r="L38" s="811">
        <f t="shared" ca="1" si="11"/>
        <v>1.0804</v>
      </c>
      <c r="M38" s="773">
        <f t="shared" si="0"/>
        <v>26</v>
      </c>
      <c r="N38" s="807">
        <f t="shared" ca="1" si="1"/>
        <v>1.0143570536828965</v>
      </c>
      <c r="O38" s="808">
        <f t="shared" si="9"/>
        <v>1.0049999999999999</v>
      </c>
      <c r="P38" s="811">
        <f t="shared" ca="1" si="10"/>
        <v>1.0143570536828965</v>
      </c>
    </row>
    <row r="39" spans="1:16">
      <c r="A39" s="809">
        <f t="shared" si="2"/>
        <v>36008</v>
      </c>
      <c r="B39" s="1110">
        <f ca="1">'[1]Monthly Curve Calc.'!B42</f>
        <v>146.14400000000001</v>
      </c>
      <c r="C39" s="1111">
        <f ca="1">'[1]Monthly Curve Calc.'!C42</f>
        <v>163.4</v>
      </c>
      <c r="D39" s="1111">
        <f ca="1">'[1]Monthly Curve Calc.'!D42</f>
        <v>130.30000000000001</v>
      </c>
      <c r="E39" s="1111">
        <f ca="1">'[1]Monthly Curve Calc.'!E42</f>
        <v>13.38</v>
      </c>
      <c r="F39" s="1112">
        <f ca="1">'[1]Monthly Curve Calc.'!F42</f>
        <v>1.1765000000000001</v>
      </c>
      <c r="G39" s="810">
        <f t="shared" ca="1" si="4"/>
        <v>1.0458060039912167</v>
      </c>
      <c r="H39" s="808">
        <f t="shared" ca="1" si="5"/>
        <v>1.0143570536828965</v>
      </c>
      <c r="I39" s="808">
        <f t="shared" ca="1" si="6"/>
        <v>1.0118570536828966</v>
      </c>
      <c r="J39" s="808">
        <f t="shared" ca="1" si="3"/>
        <v>1</v>
      </c>
      <c r="K39" s="808">
        <f t="shared" ca="1" si="7"/>
        <v>20.323836666666665</v>
      </c>
      <c r="L39" s="811">
        <f t="shared" ca="1" si="11"/>
        <v>1.0804</v>
      </c>
      <c r="M39" s="773">
        <f t="shared" si="0"/>
        <v>27</v>
      </c>
      <c r="N39" s="807">
        <f t="shared" ca="1" si="1"/>
        <v>1.0143570536828965</v>
      </c>
      <c r="O39" s="808">
        <f t="shared" si="9"/>
        <v>1.0049999999999999</v>
      </c>
      <c r="P39" s="811">
        <f t="shared" ca="1" si="10"/>
        <v>1.0143570536828965</v>
      </c>
    </row>
    <row r="40" spans="1:16">
      <c r="A40" s="809">
        <f t="shared" si="2"/>
        <v>36039</v>
      </c>
      <c r="B40" s="1110">
        <f ca="1">'[1]Monthly Curve Calc.'!B43</f>
        <v>146.11099999999999</v>
      </c>
      <c r="C40" s="1111">
        <f ca="1">'[1]Monthly Curve Calc.'!C43</f>
        <v>163.6</v>
      </c>
      <c r="D40" s="1111">
        <f ca="1">'[1]Monthly Curve Calc.'!D43</f>
        <v>130.6</v>
      </c>
      <c r="E40" s="1111">
        <f ca="1">'[1]Monthly Curve Calc.'!E43</f>
        <v>16.170000000000002</v>
      </c>
      <c r="F40" s="1112">
        <f ca="1">'[1]Monthly Curve Calc.'!F43</f>
        <v>1.1856</v>
      </c>
      <c r="G40" s="810">
        <f t="shared" ca="1" si="4"/>
        <v>1.0458060039912167</v>
      </c>
      <c r="H40" s="808">
        <f t="shared" ca="1" si="5"/>
        <v>1.0143570536828965</v>
      </c>
      <c r="I40" s="808">
        <f t="shared" ca="1" si="6"/>
        <v>1.0118570536828966</v>
      </c>
      <c r="J40" s="808">
        <f t="shared" ca="1" si="3"/>
        <v>1</v>
      </c>
      <c r="K40" s="808">
        <f t="shared" ca="1" si="7"/>
        <v>20.323836666666665</v>
      </c>
      <c r="L40" s="811">
        <f t="shared" ca="1" si="11"/>
        <v>1.0804</v>
      </c>
      <c r="M40" s="773">
        <f t="shared" si="0"/>
        <v>28</v>
      </c>
      <c r="N40" s="807">
        <f t="shared" ca="1" si="1"/>
        <v>1.0143570536828965</v>
      </c>
      <c r="O40" s="808">
        <f t="shared" si="9"/>
        <v>1.0049999999999999</v>
      </c>
      <c r="P40" s="811">
        <f t="shared" ca="1" si="10"/>
        <v>1.0143570536828965</v>
      </c>
    </row>
    <row r="41" spans="1:16">
      <c r="A41" s="809">
        <f t="shared" si="2"/>
        <v>36069</v>
      </c>
      <c r="B41" s="1110">
        <f ca="1">'[1]Monthly Curve Calc.'!B44</f>
        <v>146.06299999999999</v>
      </c>
      <c r="C41" s="1111">
        <f ca="1">'[1]Monthly Curve Calc.'!C44</f>
        <v>164</v>
      </c>
      <c r="D41" s="1111">
        <f ca="1">'[1]Monthly Curve Calc.'!D44</f>
        <v>131</v>
      </c>
      <c r="E41" s="1111">
        <f ca="1">'[1]Monthly Curve Calc.'!E44</f>
        <v>14.45</v>
      </c>
      <c r="F41" s="1112">
        <f ca="1">'[1]Monthly Curve Calc.'!F44</f>
        <v>1.1928000000000001</v>
      </c>
      <c r="G41" s="810">
        <f t="shared" ca="1" si="4"/>
        <v>1.0458060039912167</v>
      </c>
      <c r="H41" s="808">
        <f t="shared" ca="1" si="5"/>
        <v>1.0143570536828965</v>
      </c>
      <c r="I41" s="808">
        <f t="shared" ca="1" si="6"/>
        <v>1.0118570536828966</v>
      </c>
      <c r="J41" s="808">
        <f t="shared" ca="1" si="3"/>
        <v>1</v>
      </c>
      <c r="K41" s="808">
        <f t="shared" ca="1" si="7"/>
        <v>20.323836666666665</v>
      </c>
      <c r="L41" s="811">
        <f t="shared" ca="1" si="11"/>
        <v>1.0804</v>
      </c>
      <c r="M41" s="773">
        <f t="shared" si="0"/>
        <v>29</v>
      </c>
      <c r="N41" s="807">
        <f t="shared" ca="1" si="1"/>
        <v>1.0143570536828965</v>
      </c>
      <c r="O41" s="808">
        <f t="shared" si="9"/>
        <v>1.0049999999999999</v>
      </c>
      <c r="P41" s="811">
        <f t="shared" ca="1" si="10"/>
        <v>1.0143570536828965</v>
      </c>
    </row>
    <row r="42" spans="1:16">
      <c r="A42" s="809">
        <f t="shared" si="2"/>
        <v>36100</v>
      </c>
      <c r="B42" s="1110">
        <f ca="1">'[1]Monthly Curve Calc.'!B45</f>
        <v>145.797</v>
      </c>
      <c r="C42" s="1111">
        <f ca="1">'[1]Monthly Curve Calc.'!C45</f>
        <v>164</v>
      </c>
      <c r="D42" s="1111">
        <f ca="1">'[1]Monthly Curve Calc.'!D45</f>
        <v>130.69999999999999</v>
      </c>
      <c r="E42" s="1111">
        <f ca="1">'[1]Monthly Curve Calc.'!E45</f>
        <v>11.26</v>
      </c>
      <c r="F42" s="1112">
        <f ca="1">'[1]Monthly Curve Calc.'!F45</f>
        <v>1.2008000000000001</v>
      </c>
      <c r="G42" s="810">
        <f t="shared" ca="1" si="4"/>
        <v>1.0458060039912167</v>
      </c>
      <c r="H42" s="808">
        <f t="shared" ca="1" si="5"/>
        <v>1.0143570536828965</v>
      </c>
      <c r="I42" s="808">
        <f t="shared" ca="1" si="6"/>
        <v>1.0118570536828966</v>
      </c>
      <c r="J42" s="808">
        <f t="shared" ca="1" si="3"/>
        <v>1</v>
      </c>
      <c r="K42" s="808">
        <f t="shared" ca="1" si="7"/>
        <v>20.323836666666665</v>
      </c>
      <c r="L42" s="811">
        <f t="shared" ca="1" si="11"/>
        <v>1.0804</v>
      </c>
      <c r="M42" s="773">
        <f t="shared" si="0"/>
        <v>30</v>
      </c>
      <c r="N42" s="807">
        <f t="shared" ca="1" si="1"/>
        <v>1.0143570536828965</v>
      </c>
      <c r="O42" s="808">
        <f t="shared" si="9"/>
        <v>1.0049999999999999</v>
      </c>
      <c r="P42" s="811">
        <f t="shared" ca="1" si="10"/>
        <v>1.0143570536828965</v>
      </c>
    </row>
    <row r="43" spans="1:16">
      <c r="A43" s="809">
        <f t="shared" si="2"/>
        <v>36130</v>
      </c>
      <c r="B43" s="1110">
        <f ca="1">'[1]Monthly Curve Calc.'!B46</f>
        <v>147.22999999999999</v>
      </c>
      <c r="C43" s="1111">
        <f ca="1">'[1]Monthly Curve Calc.'!C46</f>
        <v>163.9</v>
      </c>
      <c r="D43" s="1111">
        <f ca="1">'[1]Monthly Curve Calc.'!D46</f>
        <v>131.30000000000001</v>
      </c>
      <c r="E43" s="1111">
        <f ca="1">'[1]Monthly Curve Calc.'!E46</f>
        <v>12.09</v>
      </c>
      <c r="F43" s="1112">
        <f ca="1">'[1]Monthly Curve Calc.'!F46</f>
        <v>1.2082999999999999</v>
      </c>
      <c r="G43" s="810">
        <f t="shared" ca="1" si="4"/>
        <v>1.0458060039912167</v>
      </c>
      <c r="H43" s="808">
        <f t="shared" ca="1" si="5"/>
        <v>1.0143570536828965</v>
      </c>
      <c r="I43" s="808">
        <f t="shared" ca="1" si="6"/>
        <v>1.0118570536828966</v>
      </c>
      <c r="J43" s="808">
        <f t="shared" ca="1" si="3"/>
        <v>1</v>
      </c>
      <c r="K43" s="808">
        <f t="shared" ca="1" si="7"/>
        <v>20.323836666666665</v>
      </c>
      <c r="L43" s="811">
        <f t="shared" ca="1" si="11"/>
        <v>1.0804</v>
      </c>
      <c r="M43" s="773">
        <f t="shared" si="0"/>
        <v>31</v>
      </c>
      <c r="N43" s="807">
        <f t="shared" ca="1" si="1"/>
        <v>1.0143570536828965</v>
      </c>
      <c r="O43" s="808">
        <f t="shared" si="9"/>
        <v>1.0049999999999999</v>
      </c>
      <c r="P43" s="811">
        <f t="shared" ca="1" si="10"/>
        <v>1.0143570536828965</v>
      </c>
    </row>
    <row r="44" spans="1:16">
      <c r="A44" s="809">
        <f t="shared" si="2"/>
        <v>36161</v>
      </c>
      <c r="B44" s="1110">
        <f ca="1">'[1]Monthly Curve Calc.'!B47</f>
        <v>148.91999999999999</v>
      </c>
      <c r="C44" s="1111">
        <f ca="1">'[1]Monthly Curve Calc.'!C47</f>
        <v>164.3</v>
      </c>
      <c r="D44" s="1111">
        <f ca="1">'[1]Monthly Curve Calc.'!D47</f>
        <v>131.69999999999999</v>
      </c>
      <c r="E44" s="1111">
        <f ca="1">'[1]Monthly Curve Calc.'!E47</f>
        <v>12.76</v>
      </c>
      <c r="F44" s="1112">
        <f ca="1">'[1]Monthly Curve Calc.'!F47</f>
        <v>2.0499999999999998</v>
      </c>
      <c r="G44" s="810">
        <f t="shared" ca="1" si="4"/>
        <v>1.0458060039912167</v>
      </c>
      <c r="H44" s="808">
        <f t="shared" ca="1" si="5"/>
        <v>1.0143570536828965</v>
      </c>
      <c r="I44" s="808">
        <f t="shared" ca="1" si="6"/>
        <v>1.0118570536828966</v>
      </c>
      <c r="J44" s="808">
        <f t="shared" ca="1" si="3"/>
        <v>0.99923896499238973</v>
      </c>
      <c r="K44" s="808">
        <f t="shared" ca="1" si="7"/>
        <v>14.450029166666665</v>
      </c>
      <c r="L44" s="811">
        <f t="shared" ca="1" si="11"/>
        <v>1.1640250000000001</v>
      </c>
      <c r="M44" s="773">
        <f t="shared" si="0"/>
        <v>32</v>
      </c>
      <c r="N44" s="807">
        <f t="shared" ca="1" si="1"/>
        <v>1.0143570536828965</v>
      </c>
      <c r="O44" s="808">
        <f t="shared" si="9"/>
        <v>1.0049999999999999</v>
      </c>
      <c r="P44" s="811">
        <f t="shared" ca="1" si="10"/>
        <v>1.0143570536828965</v>
      </c>
    </row>
    <row r="45" spans="1:16">
      <c r="A45" s="809">
        <f t="shared" si="2"/>
        <v>36192</v>
      </c>
      <c r="B45" s="1110">
        <f ca="1">'[1]Monthly Curve Calc.'!B48</f>
        <v>155.53</v>
      </c>
      <c r="C45" s="1111">
        <f ca="1">'[1]Monthly Curve Calc.'!C48</f>
        <v>164.5</v>
      </c>
      <c r="D45" s="1111">
        <f ca="1">'[1]Monthly Curve Calc.'!D48</f>
        <v>131.1</v>
      </c>
      <c r="E45" s="1111">
        <f ca="1">'[1]Monthly Curve Calc.'!E48</f>
        <v>12.28</v>
      </c>
      <c r="F45" s="1112">
        <f ca="1">'[1]Monthly Curve Calc.'!F48</f>
        <v>2.0350000000000001</v>
      </c>
      <c r="G45" s="810">
        <f t="shared" ca="1" si="4"/>
        <v>1.0458060039912167</v>
      </c>
      <c r="H45" s="808">
        <f t="shared" ca="1" si="5"/>
        <v>1.0143570536828965</v>
      </c>
      <c r="I45" s="808">
        <f t="shared" ca="1" si="6"/>
        <v>1.0118570536828966</v>
      </c>
      <c r="J45" s="808">
        <f t="shared" ref="J45:J108" ca="1" si="12">IF(AND($A45&gt;J$16,MONTH($A45)=MONTH(J$16)),D44/D32,J44)</f>
        <v>0.99923896499238973</v>
      </c>
      <c r="K45" s="808">
        <f t="shared" ca="1" si="7"/>
        <v>14.450029166666665</v>
      </c>
      <c r="L45" s="811">
        <f t="shared" ca="1" si="11"/>
        <v>1.1640250000000001</v>
      </c>
      <c r="M45" s="773">
        <f t="shared" si="0"/>
        <v>33</v>
      </c>
      <c r="N45" s="807">
        <f t="shared" ca="1" si="1"/>
        <v>1.0143570536828965</v>
      </c>
      <c r="O45" s="808">
        <f t="shared" si="9"/>
        <v>1.0049999999999999</v>
      </c>
      <c r="P45" s="811">
        <f t="shared" ca="1" si="10"/>
        <v>1.0143570536828965</v>
      </c>
    </row>
    <row r="46" spans="1:16">
      <c r="A46" s="809">
        <f t="shared" si="2"/>
        <v>36220</v>
      </c>
      <c r="B46" s="1110">
        <f ca="1">'[1]Monthly Curve Calc.'!B49</f>
        <v>158.6</v>
      </c>
      <c r="C46" s="1111">
        <f ca="1">'[1]Monthly Curve Calc.'!C49</f>
        <v>165</v>
      </c>
      <c r="D46" s="1111">
        <f ca="1">'[1]Monthly Curve Calc.'!D49</f>
        <v>131.5</v>
      </c>
      <c r="E46" s="1111">
        <f ca="1">'[1]Monthly Curve Calc.'!E49</f>
        <v>16.760000000000002</v>
      </c>
      <c r="F46" s="1112">
        <f ca="1">'[1]Monthly Curve Calc.'!F49</f>
        <v>1.7175</v>
      </c>
      <c r="G46" s="810">
        <f t="shared" ca="1" si="4"/>
        <v>1.0458060039912167</v>
      </c>
      <c r="H46" s="808">
        <f t="shared" ca="1" si="5"/>
        <v>1.0143570536828965</v>
      </c>
      <c r="I46" s="808">
        <f t="shared" ca="1" si="6"/>
        <v>1.0118570536828966</v>
      </c>
      <c r="J46" s="808">
        <f t="shared" ca="1" si="12"/>
        <v>0.99923896499238973</v>
      </c>
      <c r="K46" s="808">
        <f t="shared" ca="1" si="7"/>
        <v>14.450029166666665</v>
      </c>
      <c r="L46" s="811">
        <f t="shared" ca="1" si="11"/>
        <v>1.1640250000000001</v>
      </c>
      <c r="M46" s="773">
        <f t="shared" si="0"/>
        <v>34</v>
      </c>
      <c r="N46" s="807">
        <f t="shared" ca="1" si="1"/>
        <v>1.0143570536828965</v>
      </c>
      <c r="O46" s="808">
        <f t="shared" si="9"/>
        <v>1.0049999999999999</v>
      </c>
      <c r="P46" s="811">
        <f t="shared" ca="1" si="10"/>
        <v>1.0143570536828965</v>
      </c>
    </row>
    <row r="47" spans="1:16">
      <c r="A47" s="809">
        <f t="shared" si="2"/>
        <v>36251</v>
      </c>
      <c r="B47" s="1110">
        <f ca="1">'[1]Monthly Curve Calc.'!B50</f>
        <v>158.65</v>
      </c>
      <c r="C47" s="1111">
        <f ca="1">'[1]Monthly Curve Calc.'!C50</f>
        <v>166.2</v>
      </c>
      <c r="D47" s="1111">
        <f ca="1">'[1]Monthly Curve Calc.'!D50</f>
        <v>132.19999999999999</v>
      </c>
      <c r="E47" s="1111">
        <f ca="1">'[1]Monthly Curve Calc.'!E50</f>
        <v>18.66</v>
      </c>
      <c r="F47" s="1112">
        <f ca="1">'[1]Monthly Curve Calc.'!F50</f>
        <v>1.665</v>
      </c>
      <c r="G47" s="810">
        <f t="shared" ca="1" si="4"/>
        <v>1.0458060039912167</v>
      </c>
      <c r="H47" s="808">
        <f t="shared" ca="1" si="5"/>
        <v>1.0143570536828965</v>
      </c>
      <c r="I47" s="808">
        <f t="shared" ca="1" si="6"/>
        <v>1.0118570536828966</v>
      </c>
      <c r="J47" s="808">
        <f t="shared" ca="1" si="12"/>
        <v>0.99923896499238973</v>
      </c>
      <c r="K47" s="808">
        <f t="shared" ca="1" si="7"/>
        <v>14.450029166666665</v>
      </c>
      <c r="L47" s="811">
        <f t="shared" ca="1" si="11"/>
        <v>1.1640250000000001</v>
      </c>
      <c r="M47" s="773">
        <f t="shared" si="0"/>
        <v>35</v>
      </c>
      <c r="N47" s="807">
        <f t="shared" ca="1" si="1"/>
        <v>1.0143570536828965</v>
      </c>
      <c r="O47" s="808">
        <f t="shared" si="9"/>
        <v>1.0049999999999999</v>
      </c>
      <c r="P47" s="811">
        <f t="shared" ca="1" si="10"/>
        <v>1.0143570536828965</v>
      </c>
    </row>
    <row r="48" spans="1:16">
      <c r="A48" s="809">
        <f t="shared" si="2"/>
        <v>36281</v>
      </c>
      <c r="B48" s="1110">
        <f ca="1">'[1]Monthly Curve Calc.'!B51</f>
        <v>158.1</v>
      </c>
      <c r="C48" s="1111">
        <f ca="1">'[1]Monthly Curve Calc.'!C51</f>
        <v>166.2</v>
      </c>
      <c r="D48" s="1111">
        <f ca="1">'[1]Monthly Curve Calc.'!D51</f>
        <v>132.4</v>
      </c>
      <c r="E48" s="1111">
        <f ca="1">'[1]Monthly Curve Calc.'!E51</f>
        <v>16.84</v>
      </c>
      <c r="F48" s="1112">
        <f ca="1">'[1]Monthly Curve Calc.'!F51</f>
        <v>1.7210000000000001</v>
      </c>
      <c r="G48" s="810">
        <f t="shared" ca="1" si="4"/>
        <v>1.0850756783005382</v>
      </c>
      <c r="H48" s="808">
        <f t="shared" ca="1" si="5"/>
        <v>1.0227692307692307</v>
      </c>
      <c r="I48" s="808">
        <f t="shared" ca="1" si="6"/>
        <v>1.0202692307692307</v>
      </c>
      <c r="J48" s="808">
        <f t="shared" ca="1" si="12"/>
        <v>0.99923896499238973</v>
      </c>
      <c r="K48" s="808">
        <f t="shared" ca="1" si="7"/>
        <v>14.450029166666665</v>
      </c>
      <c r="L48" s="811">
        <f t="shared" ca="1" si="11"/>
        <v>1.1640250000000001</v>
      </c>
      <c r="M48" s="773">
        <f t="shared" si="0"/>
        <v>36</v>
      </c>
      <c r="N48" s="807">
        <f t="shared" ca="1" si="1"/>
        <v>1.0227692307692307</v>
      </c>
      <c r="O48" s="808">
        <f t="shared" si="9"/>
        <v>1.0049999999999999</v>
      </c>
      <c r="P48" s="811">
        <f t="shared" ca="1" si="10"/>
        <v>1.0374531835205993</v>
      </c>
    </row>
    <row r="49" spans="1:16">
      <c r="A49" s="809">
        <f t="shared" si="2"/>
        <v>36312</v>
      </c>
      <c r="B49" s="1110">
        <f ca="1">'[1]Monthly Curve Calc.'!B52</f>
        <v>159.71</v>
      </c>
      <c r="C49" s="1111">
        <f ca="1">'[1]Monthly Curve Calc.'!C52</f>
        <v>166.2</v>
      </c>
      <c r="D49" s="1111">
        <f ca="1">'[1]Monthly Curve Calc.'!D52</f>
        <v>132.30000000000001</v>
      </c>
      <c r="E49" s="1111">
        <f ca="1">'[1]Monthly Curve Calc.'!E52</f>
        <v>19.29</v>
      </c>
      <c r="F49" s="1112">
        <f ca="1">'[1]Monthly Curve Calc.'!F52</f>
        <v>1.7524999999999999</v>
      </c>
      <c r="G49" s="810">
        <f t="shared" ca="1" si="4"/>
        <v>1.0850756783005382</v>
      </c>
      <c r="H49" s="808">
        <f t="shared" ca="1" si="5"/>
        <v>1.0227692307692307</v>
      </c>
      <c r="I49" s="808">
        <f t="shared" ca="1" si="6"/>
        <v>1.0202692307692307</v>
      </c>
      <c r="J49" s="808">
        <f t="shared" ca="1" si="12"/>
        <v>0.99923896499238973</v>
      </c>
      <c r="K49" s="808">
        <f t="shared" ca="1" si="7"/>
        <v>14.450029166666665</v>
      </c>
      <c r="L49" s="811">
        <f t="shared" ca="1" si="11"/>
        <v>1.1640250000000001</v>
      </c>
      <c r="M49" s="773">
        <f t="shared" si="0"/>
        <v>37</v>
      </c>
      <c r="N49" s="807">
        <f t="shared" ca="1" si="1"/>
        <v>1.0227692307692307</v>
      </c>
      <c r="O49" s="808">
        <f t="shared" si="9"/>
        <v>1.0049999999999999</v>
      </c>
      <c r="P49" s="811">
        <f t="shared" ca="1" si="10"/>
        <v>1.0374531835205993</v>
      </c>
    </row>
    <row r="50" spans="1:16">
      <c r="A50" s="809">
        <f t="shared" si="2"/>
        <v>36342</v>
      </c>
      <c r="B50" s="1110">
        <f ca="1">'[1]Monthly Curve Calc.'!B53</f>
        <v>162.25</v>
      </c>
      <c r="C50" s="1111">
        <f ca="1">'[1]Monthly Curve Calc.'!C53</f>
        <v>166.7</v>
      </c>
      <c r="D50" s="1111">
        <f ca="1">'[1]Monthly Curve Calc.'!D53</f>
        <v>132.6</v>
      </c>
      <c r="E50" s="1111">
        <f ca="1">'[1]Monthly Curve Calc.'!E53</f>
        <v>20.53</v>
      </c>
      <c r="F50" s="1112">
        <f ca="1">'[1]Monthly Curve Calc.'!F53</f>
        <v>1.8009999999999999</v>
      </c>
      <c r="G50" s="810">
        <f t="shared" ca="1" si="4"/>
        <v>1.0850756783005382</v>
      </c>
      <c r="H50" s="808">
        <f t="shared" ca="1" si="5"/>
        <v>1.0227692307692307</v>
      </c>
      <c r="I50" s="808">
        <f t="shared" ca="1" si="6"/>
        <v>1.0202692307692307</v>
      </c>
      <c r="J50" s="808">
        <f t="shared" ca="1" si="12"/>
        <v>0.99923896499238973</v>
      </c>
      <c r="K50" s="808">
        <f t="shared" ca="1" si="7"/>
        <v>14.450029166666665</v>
      </c>
      <c r="L50" s="811">
        <f t="shared" ca="1" si="11"/>
        <v>1.1640250000000001</v>
      </c>
      <c r="M50" s="773">
        <f t="shared" si="0"/>
        <v>38</v>
      </c>
      <c r="N50" s="807">
        <f t="shared" ca="1" si="1"/>
        <v>1.0227692307692307</v>
      </c>
      <c r="O50" s="808">
        <f t="shared" si="9"/>
        <v>1.0049999999999999</v>
      </c>
      <c r="P50" s="811">
        <f t="shared" ca="1" si="10"/>
        <v>1.0374531835205993</v>
      </c>
    </row>
    <row r="51" spans="1:16">
      <c r="A51" s="809">
        <f t="shared" si="2"/>
        <v>36373</v>
      </c>
      <c r="B51" s="1110">
        <f ca="1">'[1]Monthly Curve Calc.'!B54</f>
        <v>164.61</v>
      </c>
      <c r="C51" s="1111">
        <f ca="1">'[1]Monthly Curve Calc.'!C54</f>
        <v>167.1</v>
      </c>
      <c r="D51" s="1111">
        <f ca="1">'[1]Monthly Curve Calc.'!D54</f>
        <v>133.4</v>
      </c>
      <c r="E51" s="1111">
        <f ca="1">'[1]Monthly Curve Calc.'!E54</f>
        <v>22.11</v>
      </c>
      <c r="F51" s="1112">
        <f ca="1">'[1]Monthly Curve Calc.'!F54</f>
        <v>1.919</v>
      </c>
      <c r="G51" s="810">
        <f t="shared" ca="1" si="4"/>
        <v>1.0850756783005382</v>
      </c>
      <c r="H51" s="808">
        <f t="shared" ca="1" si="5"/>
        <v>1.0227692307692307</v>
      </c>
      <c r="I51" s="808">
        <f t="shared" ca="1" si="6"/>
        <v>1.0202692307692307</v>
      </c>
      <c r="J51" s="808">
        <f t="shared" ca="1" si="12"/>
        <v>0.99923896499238973</v>
      </c>
      <c r="K51" s="808">
        <f t="shared" ca="1" si="7"/>
        <v>14.450029166666665</v>
      </c>
      <c r="L51" s="811">
        <f t="shared" ca="1" si="11"/>
        <v>1.1640250000000001</v>
      </c>
      <c r="M51" s="773">
        <f t="shared" si="0"/>
        <v>39</v>
      </c>
      <c r="N51" s="807">
        <f t="shared" ca="1" si="1"/>
        <v>1.0227692307692307</v>
      </c>
      <c r="O51" s="808">
        <f t="shared" si="9"/>
        <v>1.0049999999999999</v>
      </c>
      <c r="P51" s="811">
        <f t="shared" ca="1" si="10"/>
        <v>1.0374531835205993</v>
      </c>
    </row>
    <row r="52" spans="1:16">
      <c r="A52" s="809">
        <f t="shared" si="2"/>
        <v>36404</v>
      </c>
      <c r="B52" s="1110">
        <f ca="1">'[1]Monthly Curve Calc.'!B55</f>
        <v>167.03</v>
      </c>
      <c r="C52" s="1111">
        <f ca="1">'[1]Monthly Curve Calc.'!C55</f>
        <v>167.9</v>
      </c>
      <c r="D52" s="1111">
        <f ca="1">'[1]Monthly Curve Calc.'!D55</f>
        <v>134.69999999999999</v>
      </c>
      <c r="E52" s="1111">
        <f ca="1">'[1]Monthly Curve Calc.'!E55</f>
        <v>24.51</v>
      </c>
      <c r="F52" s="1112">
        <f ca="1">'[1]Monthly Curve Calc.'!F55</f>
        <v>1.9375</v>
      </c>
      <c r="G52" s="810">
        <f t="shared" ca="1" si="4"/>
        <v>1.0850756783005382</v>
      </c>
      <c r="H52" s="808">
        <f t="shared" ca="1" si="5"/>
        <v>1.0227692307692307</v>
      </c>
      <c r="I52" s="808">
        <f t="shared" ca="1" si="6"/>
        <v>1.0202692307692307</v>
      </c>
      <c r="J52" s="808">
        <f t="shared" ca="1" si="12"/>
        <v>0.99923896499238973</v>
      </c>
      <c r="K52" s="808">
        <f t="shared" ca="1" si="7"/>
        <v>14.450029166666665</v>
      </c>
      <c r="L52" s="811">
        <f t="shared" ca="1" si="11"/>
        <v>1.1640250000000001</v>
      </c>
      <c r="M52" s="773">
        <f t="shared" si="0"/>
        <v>40</v>
      </c>
      <c r="N52" s="807">
        <f t="shared" ca="1" si="1"/>
        <v>1.0227692307692307</v>
      </c>
      <c r="O52" s="808">
        <f t="shared" si="9"/>
        <v>1.0049999999999999</v>
      </c>
      <c r="P52" s="811">
        <f t="shared" ca="1" si="10"/>
        <v>1.0374531835205993</v>
      </c>
    </row>
    <row r="53" spans="1:16">
      <c r="A53" s="809">
        <f t="shared" si="2"/>
        <v>36434</v>
      </c>
      <c r="B53" s="1110">
        <f ca="1">'[1]Monthly Curve Calc.'!B56</f>
        <v>170.18</v>
      </c>
      <c r="C53" s="1111">
        <f ca="1">'[1]Monthly Curve Calc.'!C56</f>
        <v>168.2</v>
      </c>
      <c r="D53" s="1111">
        <f ca="1">'[1]Monthly Curve Calc.'!D56</f>
        <v>134.5</v>
      </c>
      <c r="E53" s="1111">
        <f ca="1">'[1]Monthly Curve Calc.'!E56</f>
        <v>21.75</v>
      </c>
      <c r="F53" s="1112">
        <f ca="1">'[1]Monthly Curve Calc.'!F56</f>
        <v>1.9490000000000001</v>
      </c>
      <c r="G53" s="810">
        <f t="shared" ca="1" si="4"/>
        <v>1.0850756783005382</v>
      </c>
      <c r="H53" s="808">
        <f t="shared" ca="1" si="5"/>
        <v>1.0227692307692307</v>
      </c>
      <c r="I53" s="808">
        <f t="shared" ca="1" si="6"/>
        <v>1.0202692307692307</v>
      </c>
      <c r="J53" s="808">
        <f t="shared" ca="1" si="12"/>
        <v>0.99923896499238973</v>
      </c>
      <c r="K53" s="808">
        <f t="shared" ca="1" si="7"/>
        <v>14.450029166666665</v>
      </c>
      <c r="L53" s="811">
        <f t="shared" ca="1" si="11"/>
        <v>1.1640250000000001</v>
      </c>
      <c r="M53" s="773">
        <f t="shared" si="0"/>
        <v>41</v>
      </c>
      <c r="N53" s="807">
        <f t="shared" ca="1" si="1"/>
        <v>1.0227692307692307</v>
      </c>
      <c r="O53" s="808">
        <f t="shared" si="9"/>
        <v>1.0049999999999999</v>
      </c>
      <c r="P53" s="811">
        <f t="shared" ca="1" si="10"/>
        <v>1.0374531835205993</v>
      </c>
    </row>
    <row r="54" spans="1:16">
      <c r="A54" s="809">
        <f t="shared" si="2"/>
        <v>36465</v>
      </c>
      <c r="B54" s="1110">
        <f ca="1">'[1]Monthly Curve Calc.'!B57</f>
        <v>174.5</v>
      </c>
      <c r="C54" s="1111">
        <f ca="1">'[1]Monthly Curve Calc.'!C57</f>
        <v>168.3</v>
      </c>
      <c r="D54" s="1111">
        <f ca="1">'[1]Monthly Curve Calc.'!D57</f>
        <v>134.80000000000001</v>
      </c>
      <c r="E54" s="1111">
        <f ca="1">'[1]Monthly Curve Calc.'!E57</f>
        <v>24.59</v>
      </c>
      <c r="F54" s="1112">
        <f ca="1">'[1]Monthly Curve Calc.'!F57</f>
        <v>1.923</v>
      </c>
      <c r="G54" s="810">
        <f t="shared" ca="1" si="4"/>
        <v>1.0850756783005382</v>
      </c>
      <c r="H54" s="808">
        <f t="shared" ca="1" si="5"/>
        <v>1.0227692307692307</v>
      </c>
      <c r="I54" s="808">
        <f t="shared" ca="1" si="6"/>
        <v>1.0202692307692307</v>
      </c>
      <c r="J54" s="808">
        <f t="shared" ca="1" si="12"/>
        <v>0.99923896499238973</v>
      </c>
      <c r="K54" s="808">
        <f t="shared" ca="1" si="7"/>
        <v>14.450029166666665</v>
      </c>
      <c r="L54" s="811">
        <f t="shared" ca="1" si="11"/>
        <v>1.1640250000000001</v>
      </c>
      <c r="M54" s="773">
        <f t="shared" si="0"/>
        <v>42</v>
      </c>
      <c r="N54" s="807">
        <f t="shared" ca="1" si="1"/>
        <v>1.0227692307692307</v>
      </c>
      <c r="O54" s="808">
        <f t="shared" si="9"/>
        <v>1.0049999999999999</v>
      </c>
      <c r="P54" s="811">
        <f t="shared" ca="1" si="10"/>
        <v>1.0374531835205993</v>
      </c>
    </row>
    <row r="55" spans="1:16">
      <c r="A55" s="809">
        <f t="shared" si="2"/>
        <v>36495</v>
      </c>
      <c r="B55" s="1110">
        <f ca="1">'[1]Monthly Curve Calc.'!B58</f>
        <v>176.65</v>
      </c>
      <c r="C55" s="1111">
        <f ca="1">'[1]Monthly Curve Calc.'!C58</f>
        <v>168.3</v>
      </c>
      <c r="D55" s="1111">
        <f ca="1">'[1]Monthly Curve Calc.'!D58</f>
        <v>135.19999999999999</v>
      </c>
      <c r="E55" s="1111">
        <f ca="1">'[1]Monthly Curve Calc.'!E58</f>
        <v>25.6</v>
      </c>
      <c r="F55" s="1112">
        <f ca="1">'[1]Monthly Curve Calc.'!F58</f>
        <v>1.7989999999999999</v>
      </c>
      <c r="G55" s="810">
        <f t="shared" ca="1" si="4"/>
        <v>1.0850756783005382</v>
      </c>
      <c r="H55" s="808">
        <f t="shared" ca="1" si="5"/>
        <v>1.0227692307692307</v>
      </c>
      <c r="I55" s="808">
        <f t="shared" ca="1" si="6"/>
        <v>1.0202692307692307</v>
      </c>
      <c r="J55" s="808">
        <f t="shared" ca="1" si="12"/>
        <v>0.99923896499238973</v>
      </c>
      <c r="K55" s="808">
        <f t="shared" ca="1" si="7"/>
        <v>14.450029166666665</v>
      </c>
      <c r="L55" s="811">
        <f t="shared" ca="1" si="11"/>
        <v>1.1640250000000001</v>
      </c>
      <c r="M55" s="773">
        <f t="shared" si="0"/>
        <v>43</v>
      </c>
      <c r="N55" s="807">
        <f t="shared" ca="1" si="1"/>
        <v>1.0227692307692307</v>
      </c>
      <c r="O55" s="808">
        <f t="shared" si="9"/>
        <v>1.0049999999999999</v>
      </c>
      <c r="P55" s="811">
        <f t="shared" ca="1" si="10"/>
        <v>1.0374531835205993</v>
      </c>
    </row>
    <row r="56" spans="1:16">
      <c r="A56" s="809">
        <f t="shared" si="2"/>
        <v>36526</v>
      </c>
      <c r="B56" s="1110">
        <f ca="1">'[1]Monthly Curve Calc.'!B59</f>
        <v>177.96266761992723</v>
      </c>
      <c r="C56" s="1111">
        <f ca="1">'[1]Monthly Curve Calc.'!C59</f>
        <v>168.75941921656877</v>
      </c>
      <c r="D56" s="1111">
        <f ca="1">'[1]Monthly Curve Calc.'!D59</f>
        <v>135.6398759862023</v>
      </c>
      <c r="E56" s="1111">
        <f ca="1">'[1]Monthly Curve Calc.'!E59</f>
        <v>26.192083333333336</v>
      </c>
      <c r="F56" s="1112">
        <f ca="1">'[1]Monthly Curve Calc.'!F59</f>
        <v>1.7947506486897897</v>
      </c>
      <c r="G56" s="810">
        <f t="shared" ca="1" si="4"/>
        <v>1.0850756783005382</v>
      </c>
      <c r="H56" s="808">
        <f t="shared" ca="1" si="5"/>
        <v>1.0227692307692307</v>
      </c>
      <c r="I56" s="808">
        <f t="shared" ca="1" si="6"/>
        <v>1.0202692307692307</v>
      </c>
      <c r="J56" s="808">
        <f t="shared" ca="1" si="12"/>
        <v>1.0297029702970295</v>
      </c>
      <c r="K56" s="808">
        <f t="shared" ca="1" si="7"/>
        <v>19.64</v>
      </c>
      <c r="L56" s="811">
        <f t="shared" ca="1" si="11"/>
        <v>1.8557916666666667</v>
      </c>
      <c r="M56" s="773">
        <f t="shared" si="0"/>
        <v>44</v>
      </c>
      <c r="N56" s="807">
        <f t="shared" ca="1" si="1"/>
        <v>1.0227692307692307</v>
      </c>
      <c r="O56" s="808">
        <f t="shared" si="9"/>
        <v>1.0049999999999999</v>
      </c>
      <c r="P56" s="811">
        <f t="shared" ca="1" si="10"/>
        <v>1.0374531835205993</v>
      </c>
    </row>
    <row r="57" spans="1:16">
      <c r="A57" s="809">
        <f t="shared" si="2"/>
        <v>36557</v>
      </c>
      <c r="B57" s="1110">
        <f ca="1">'[1]Monthly Curve Calc.'!B60</f>
        <v>179.28508953524309</v>
      </c>
      <c r="C57" s="1111">
        <f ca="1">'[1]Monthly Curve Calc.'!C60</f>
        <v>169.22009253899941</v>
      </c>
      <c r="D57" s="1111">
        <f ca="1">'[1]Monthly Curve Calc.'!D60</f>
        <v>136.08118311799069</v>
      </c>
      <c r="E57" s="1111">
        <f ca="1">'[1]Monthly Curve Calc.'!E60</f>
        <v>26.784166666666671</v>
      </c>
      <c r="F57" s="1112">
        <f ca="1">'[1]Monthly Curve Calc.'!F60</f>
        <v>1.7905113346150201</v>
      </c>
      <c r="G57" s="810">
        <f t="shared" ca="1" si="4"/>
        <v>1.0850756783005382</v>
      </c>
      <c r="H57" s="808">
        <f t="shared" ca="1" si="5"/>
        <v>1.0227692307692307</v>
      </c>
      <c r="I57" s="808">
        <f t="shared" ca="1" si="6"/>
        <v>1.0202692307692307</v>
      </c>
      <c r="J57" s="808">
        <f t="shared" ca="1" si="12"/>
        <v>1.0297029702970295</v>
      </c>
      <c r="K57" s="808">
        <f t="shared" ca="1" si="7"/>
        <v>19.64</v>
      </c>
      <c r="L57" s="811">
        <f t="shared" ca="1" si="11"/>
        <v>1.8557916666666667</v>
      </c>
      <c r="M57" s="773">
        <f t="shared" si="0"/>
        <v>45</v>
      </c>
      <c r="N57" s="807">
        <f t="shared" ca="1" si="1"/>
        <v>1.0227692307692307</v>
      </c>
      <c r="O57" s="808">
        <f t="shared" si="9"/>
        <v>1.0049999999999999</v>
      </c>
      <c r="P57" s="811">
        <f t="shared" ca="1" si="10"/>
        <v>1.0374531835205993</v>
      </c>
    </row>
    <row r="58" spans="1:16">
      <c r="A58" s="809">
        <f t="shared" si="2"/>
        <v>36586</v>
      </c>
      <c r="B58" s="1110">
        <f ca="1">'[1]Monthly Curve Calc.'!B61</f>
        <v>180.61733822909343</v>
      </c>
      <c r="C58" s="1111">
        <f ca="1">'[1]Monthly Curve Calc.'!C61</f>
        <v>169.68202339070447</v>
      </c>
      <c r="D58" s="1111">
        <f ca="1">'[1]Monthly Curve Calc.'!D61</f>
        <v>136.52392605162683</v>
      </c>
      <c r="E58" s="1111">
        <f ca="1">'[1]Monthly Curve Calc.'!E61</f>
        <v>27.376250000000006</v>
      </c>
      <c r="F58" s="1112">
        <f ca="1">'[1]Monthly Curve Calc.'!F61</f>
        <v>1.7862820340671086</v>
      </c>
      <c r="G58" s="810">
        <f t="shared" ca="1" si="4"/>
        <v>1.0850756783005382</v>
      </c>
      <c r="H58" s="808">
        <f t="shared" ca="1" si="5"/>
        <v>1.0227692307692307</v>
      </c>
      <c r="I58" s="808">
        <f t="shared" ca="1" si="6"/>
        <v>1.0202692307692307</v>
      </c>
      <c r="J58" s="808">
        <f t="shared" ca="1" si="12"/>
        <v>1.0297029702970295</v>
      </c>
      <c r="K58" s="808">
        <f t="shared" ca="1" si="7"/>
        <v>19.64</v>
      </c>
      <c r="L58" s="811">
        <f t="shared" ca="1" si="11"/>
        <v>1.8557916666666667</v>
      </c>
      <c r="M58" s="773">
        <f t="shared" si="0"/>
        <v>46</v>
      </c>
      <c r="N58" s="807">
        <f t="shared" ca="1" si="1"/>
        <v>1.0227692307692307</v>
      </c>
      <c r="O58" s="808">
        <f t="shared" si="9"/>
        <v>1.0049999999999999</v>
      </c>
      <c r="P58" s="811">
        <f t="shared" ca="1" si="10"/>
        <v>1.0374531835205993</v>
      </c>
    </row>
    <row r="59" spans="1:16">
      <c r="A59" s="809">
        <f t="shared" si="2"/>
        <v>36617</v>
      </c>
      <c r="B59" s="1110">
        <f ca="1">'[1]Monthly Curve Calc.'!B62</f>
        <v>181.95948672323877</v>
      </c>
      <c r="C59" s="1111">
        <f ca="1">'[1]Monthly Curve Calc.'!C62</f>
        <v>170.1452152044416</v>
      </c>
      <c r="D59" s="1111">
        <f ca="1">'[1]Monthly Curve Calc.'!D62</f>
        <v>136.96810945852158</v>
      </c>
      <c r="E59" s="1111">
        <f ca="1">'[1]Monthly Curve Calc.'!E62</f>
        <v>27.968333333333341</v>
      </c>
      <c r="F59" s="1112">
        <f ca="1">'[1]Monthly Curve Calc.'!F62</f>
        <v>1.7820627233934743</v>
      </c>
      <c r="G59" s="810">
        <f t="shared" ca="1" si="4"/>
        <v>1.0850756783005382</v>
      </c>
      <c r="H59" s="808">
        <f t="shared" ca="1" si="5"/>
        <v>1.0227692307692307</v>
      </c>
      <c r="I59" s="808">
        <f t="shared" ca="1" si="6"/>
        <v>1.0202692307692307</v>
      </c>
      <c r="J59" s="808">
        <f t="shared" ca="1" si="12"/>
        <v>1.0297029702970295</v>
      </c>
      <c r="K59" s="808">
        <f t="shared" ca="1" si="7"/>
        <v>19.64</v>
      </c>
      <c r="L59" s="811">
        <f t="shared" ca="1" si="11"/>
        <v>1.8557916666666667</v>
      </c>
      <c r="M59" s="773">
        <f t="shared" si="0"/>
        <v>47</v>
      </c>
      <c r="N59" s="807">
        <f t="shared" ca="1" si="1"/>
        <v>1.0227692307692307</v>
      </c>
      <c r="O59" s="808">
        <f t="shared" si="9"/>
        <v>1.0049999999999999</v>
      </c>
      <c r="P59" s="811">
        <f t="shared" ca="1" si="10"/>
        <v>1.0374531835205993</v>
      </c>
    </row>
    <row r="60" spans="1:16">
      <c r="A60" s="809">
        <f t="shared" si="2"/>
        <v>36647</v>
      </c>
      <c r="B60" s="1110">
        <f ca="1">'[1]Monthly Curve Calc.'!B63</f>
        <v>183.31160858205661</v>
      </c>
      <c r="C60" s="1111">
        <f ca="1">'[1]Monthly Curve Calc.'!C63</f>
        <v>170.60967142233909</v>
      </c>
      <c r="D60" s="1111">
        <f ca="1">'[1]Monthly Curve Calc.'!D63</f>
        <v>137.4137380252844</v>
      </c>
      <c r="E60" s="1111">
        <f ca="1">'[1]Monthly Curve Calc.'!E63</f>
        <v>28.560416666666676</v>
      </c>
      <c r="F60" s="1112">
        <f ca="1">'[1]Monthly Curve Calc.'!F63</f>
        <v>1.7778533789974047</v>
      </c>
      <c r="G60" s="810">
        <f t="shared" ca="1" si="4"/>
        <v>1.1469239629576979</v>
      </c>
      <c r="H60" s="808">
        <f t="shared" ca="1" si="5"/>
        <v>1.0237377569460988</v>
      </c>
      <c r="I60" s="808">
        <f t="shared" ca="1" si="6"/>
        <v>1.0212377569460989</v>
      </c>
      <c r="J60" s="808">
        <f t="shared" ca="1" si="12"/>
        <v>1.0297029702970295</v>
      </c>
      <c r="K60" s="808">
        <f t="shared" ca="1" si="7"/>
        <v>19.64</v>
      </c>
      <c r="L60" s="811">
        <f t="shared" ca="1" si="11"/>
        <v>1.8557916666666667</v>
      </c>
      <c r="M60" s="773">
        <f t="shared" si="0"/>
        <v>48</v>
      </c>
      <c r="N60" s="807">
        <f t="shared" ca="1" si="1"/>
        <v>1.0237377569460988</v>
      </c>
      <c r="O60" s="808">
        <f t="shared" si="9"/>
        <v>1.0049999999999999</v>
      </c>
      <c r="P60" s="811">
        <f t="shared" ca="1" si="10"/>
        <v>1.0620799950339679</v>
      </c>
    </row>
    <row r="61" spans="1:16">
      <c r="A61" s="809">
        <f t="shared" si="2"/>
        <v>36678</v>
      </c>
      <c r="B61" s="1110">
        <f ca="1">'[1]Monthly Curve Calc.'!B64</f>
        <v>184.67377791657367</v>
      </c>
      <c r="C61" s="1111">
        <f ca="1">'[1]Monthly Curve Calc.'!C64</f>
        <v>171.07539549592141</v>
      </c>
      <c r="D61" s="1111">
        <f ca="1">'[1]Monthly Curve Calc.'!D64</f>
        <v>137.86081645377271</v>
      </c>
      <c r="E61" s="1111">
        <f ca="1">'[1]Monthly Curve Calc.'!E64</f>
        <v>29.152500000000011</v>
      </c>
      <c r="F61" s="1112">
        <f ca="1">'[1]Monthly Curve Calc.'!F64</f>
        <v>1.7736539773379247</v>
      </c>
      <c r="G61" s="810">
        <f t="shared" ca="1" si="4"/>
        <v>1.1469239629576979</v>
      </c>
      <c r="H61" s="808">
        <f t="shared" ca="1" si="5"/>
        <v>1.0237377569460988</v>
      </c>
      <c r="I61" s="808">
        <f t="shared" ca="1" si="6"/>
        <v>1.0212377569460989</v>
      </c>
      <c r="J61" s="808">
        <f t="shared" ca="1" si="12"/>
        <v>1.0297029702970295</v>
      </c>
      <c r="K61" s="808">
        <f t="shared" ca="1" si="7"/>
        <v>19.64</v>
      </c>
      <c r="L61" s="811">
        <f t="shared" ca="1" si="11"/>
        <v>1.8557916666666667</v>
      </c>
      <c r="M61" s="773">
        <f t="shared" si="0"/>
        <v>49</v>
      </c>
      <c r="N61" s="807">
        <f t="shared" ca="1" si="1"/>
        <v>1.0237377569460988</v>
      </c>
      <c r="O61" s="808">
        <f t="shared" si="9"/>
        <v>1.0049999999999999</v>
      </c>
      <c r="P61" s="811">
        <f t="shared" ca="1" si="10"/>
        <v>1.0620799950339679</v>
      </c>
    </row>
    <row r="62" spans="1:16">
      <c r="A62" s="809">
        <f t="shared" si="2"/>
        <v>36708</v>
      </c>
      <c r="B62" s="1110">
        <f ca="1">'[1]Monthly Curve Calc.'!B65</f>
        <v>186.04606938852791</v>
      </c>
      <c r="C62" s="1111">
        <f ca="1">'[1]Monthly Curve Calc.'!C65</f>
        <v>171.54239088613488</v>
      </c>
      <c r="D62" s="1111">
        <f ca="1">'[1]Monthly Curve Calc.'!D65</f>
        <v>138.30934946114149</v>
      </c>
      <c r="E62" s="1111">
        <f ca="1">'[1]Monthly Curve Calc.'!E65</f>
        <v>29.744583333333345</v>
      </c>
      <c r="F62" s="1112">
        <f ca="1">'[1]Monthly Curve Calc.'!F65</f>
        <v>1.7694644949296643</v>
      </c>
      <c r="G62" s="810">
        <f t="shared" ca="1" si="4"/>
        <v>1.1469239629576979</v>
      </c>
      <c r="H62" s="808">
        <f t="shared" ca="1" si="5"/>
        <v>1.0237377569460988</v>
      </c>
      <c r="I62" s="808">
        <f t="shared" ca="1" si="6"/>
        <v>1.0212377569460989</v>
      </c>
      <c r="J62" s="808">
        <f t="shared" ca="1" si="12"/>
        <v>1.0297029702970295</v>
      </c>
      <c r="K62" s="808">
        <f t="shared" ca="1" si="7"/>
        <v>19.64</v>
      </c>
      <c r="L62" s="811">
        <f t="shared" ca="1" si="11"/>
        <v>1.8557916666666667</v>
      </c>
      <c r="M62" s="773">
        <f t="shared" si="0"/>
        <v>50</v>
      </c>
      <c r="N62" s="807">
        <f t="shared" ca="1" si="1"/>
        <v>1.0237377569460988</v>
      </c>
      <c r="O62" s="808">
        <f t="shared" si="9"/>
        <v>1.0049999999999999</v>
      </c>
      <c r="P62" s="811">
        <f t="shared" ca="1" si="10"/>
        <v>1.0620799950339679</v>
      </c>
    </row>
    <row r="63" spans="1:16">
      <c r="A63" s="809">
        <f t="shared" si="2"/>
        <v>36739</v>
      </c>
      <c r="B63" s="1110">
        <f ca="1">'[1]Monthly Curve Calc.'!B66</f>
        <v>187.42855821446085</v>
      </c>
      <c r="C63" s="1111">
        <f ca="1">'[1]Monthly Curve Calc.'!C66</f>
        <v>172.01066106337339</v>
      </c>
      <c r="D63" s="1111">
        <f ca="1">'[1]Monthly Curve Calc.'!D66</f>
        <v>138.75934177989313</v>
      </c>
      <c r="E63" s="1111">
        <f ca="1">'[1]Monthly Curve Calc.'!E66</f>
        <v>30.33666666666668</v>
      </c>
      <c r="F63" s="1112">
        <f ca="1">'[1]Monthly Curve Calc.'!F66</f>
        <v>1.7652849083427271</v>
      </c>
      <c r="G63" s="810">
        <f t="shared" ca="1" si="4"/>
        <v>1.1469239629576979</v>
      </c>
      <c r="H63" s="808">
        <f t="shared" ca="1" si="5"/>
        <v>1.0237377569460988</v>
      </c>
      <c r="I63" s="808">
        <f t="shared" ca="1" si="6"/>
        <v>1.0212377569460989</v>
      </c>
      <c r="J63" s="808">
        <f t="shared" ca="1" si="12"/>
        <v>1.0297029702970295</v>
      </c>
      <c r="K63" s="808">
        <f t="shared" ca="1" si="7"/>
        <v>19.64</v>
      </c>
      <c r="L63" s="811">
        <f t="shared" ca="1" si="11"/>
        <v>1.8557916666666667</v>
      </c>
      <c r="M63" s="773">
        <f t="shared" si="0"/>
        <v>51</v>
      </c>
      <c r="N63" s="807">
        <f t="shared" ca="1" si="1"/>
        <v>1.0237377569460988</v>
      </c>
      <c r="O63" s="808">
        <f t="shared" si="9"/>
        <v>1.0049999999999999</v>
      </c>
      <c r="P63" s="811">
        <f t="shared" ca="1" si="10"/>
        <v>1.0620799950339679</v>
      </c>
    </row>
    <row r="64" spans="1:16">
      <c r="A64" s="809">
        <f t="shared" si="2"/>
        <v>36770</v>
      </c>
      <c r="B64" s="1110">
        <f ca="1">'[1]Monthly Curve Calc.'!B67</f>
        <v>188.82132016984022</v>
      </c>
      <c r="C64" s="1111">
        <f ca="1">'[1]Monthly Curve Calc.'!C67</f>
        <v>172.48020950750416</v>
      </c>
      <c r="D64" s="1111">
        <f ca="1">'[1]Monthly Curve Calc.'!D67</f>
        <v>139.21079815792726</v>
      </c>
      <c r="E64" s="1111">
        <f ca="1">'[1]Monthly Curve Calc.'!E67</f>
        <v>30.928750000000015</v>
      </c>
      <c r="F64" s="1112">
        <f ca="1">'[1]Monthly Curve Calc.'!F67</f>
        <v>1.76111519420256</v>
      </c>
      <c r="G64" s="810">
        <f t="shared" ca="1" si="4"/>
        <v>1.1469239629576979</v>
      </c>
      <c r="H64" s="808">
        <f t="shared" ca="1" si="5"/>
        <v>1.0237377569460988</v>
      </c>
      <c r="I64" s="808">
        <f t="shared" ca="1" si="6"/>
        <v>1.0212377569460989</v>
      </c>
      <c r="J64" s="808">
        <f t="shared" ca="1" si="12"/>
        <v>1.0297029702970295</v>
      </c>
      <c r="K64" s="808">
        <f t="shared" ca="1" si="7"/>
        <v>19.64</v>
      </c>
      <c r="L64" s="811">
        <f t="shared" ca="1" si="11"/>
        <v>1.8557916666666667</v>
      </c>
      <c r="M64" s="773">
        <f t="shared" si="0"/>
        <v>52</v>
      </c>
      <c r="N64" s="807">
        <f t="shared" ca="1" si="1"/>
        <v>1.0237377569460988</v>
      </c>
      <c r="O64" s="808">
        <f t="shared" si="9"/>
        <v>1.0049999999999999</v>
      </c>
      <c r="P64" s="811">
        <f t="shared" ca="1" si="10"/>
        <v>1.0620799950339679</v>
      </c>
    </row>
    <row r="65" spans="1:16">
      <c r="A65" s="809">
        <f t="shared" si="2"/>
        <v>36800</v>
      </c>
      <c r="B65" s="1110">
        <f ca="1">'[1]Monthly Curve Calc.'!B68</f>
        <v>190.22443159321332</v>
      </c>
      <c r="C65" s="1111">
        <f ca="1">'[1]Monthly Curve Calc.'!C68</f>
        <v>172.95103970789367</v>
      </c>
      <c r="D65" s="1111">
        <f ca="1">'[1]Monthly Curve Calc.'!D68</f>
        <v>139.66372335859094</v>
      </c>
      <c r="E65" s="1111">
        <f ca="1">'[1]Monthly Curve Calc.'!E68</f>
        <v>31.52083333333335</v>
      </c>
      <c r="F65" s="1112">
        <f ca="1">'[1]Monthly Curve Calc.'!F68</f>
        <v>1.7569553291898219</v>
      </c>
      <c r="G65" s="810">
        <f t="shared" ca="1" si="4"/>
        <v>1.1469239629576979</v>
      </c>
      <c r="H65" s="808">
        <f t="shared" ca="1" si="5"/>
        <v>1.0237377569460988</v>
      </c>
      <c r="I65" s="808">
        <f t="shared" ca="1" si="6"/>
        <v>1.0212377569460989</v>
      </c>
      <c r="J65" s="808">
        <f t="shared" ca="1" si="12"/>
        <v>1.0297029702970295</v>
      </c>
      <c r="K65" s="808">
        <f t="shared" ca="1" si="7"/>
        <v>19.64</v>
      </c>
      <c r="L65" s="811">
        <f t="shared" ca="1" si="11"/>
        <v>1.8557916666666667</v>
      </c>
      <c r="M65" s="773">
        <f t="shared" si="0"/>
        <v>53</v>
      </c>
      <c r="N65" s="807">
        <f t="shared" ca="1" si="1"/>
        <v>1.0237377569460988</v>
      </c>
      <c r="O65" s="808">
        <f t="shared" si="9"/>
        <v>1.0049999999999999</v>
      </c>
      <c r="P65" s="811">
        <f t="shared" ca="1" si="10"/>
        <v>1.0620799950339679</v>
      </c>
    </row>
    <row r="66" spans="1:16">
      <c r="A66" s="809">
        <f t="shared" si="2"/>
        <v>36831</v>
      </c>
      <c r="B66" s="1110">
        <f ca="1">'[1]Monthly Curve Calc.'!B69</f>
        <v>191.63796939039119</v>
      </c>
      <c r="C66" s="1111">
        <f ca="1">'[1]Monthly Curve Calc.'!C69</f>
        <v>173.42315516343351</v>
      </c>
      <c r="D66" s="1111">
        <f ca="1">'[1]Monthly Curve Calc.'!D69</f>
        <v>140.11812216072886</v>
      </c>
      <c r="E66" s="1111">
        <f ca="1">'[1]Monthly Curve Calc.'!E69</f>
        <v>32.112916666666685</v>
      </c>
      <c r="F66" s="1112">
        <f ca="1">'[1]Monthly Curve Calc.'!F69</f>
        <v>1.7528052900402533</v>
      </c>
      <c r="G66" s="810">
        <f t="shared" ca="1" si="4"/>
        <v>1.1469239629576979</v>
      </c>
      <c r="H66" s="808">
        <f t="shared" ca="1" si="5"/>
        <v>1.0237377569460988</v>
      </c>
      <c r="I66" s="808">
        <f t="shared" ca="1" si="6"/>
        <v>1.0212377569460989</v>
      </c>
      <c r="J66" s="808">
        <f t="shared" ca="1" si="12"/>
        <v>1.0297029702970295</v>
      </c>
      <c r="K66" s="808">
        <f t="shared" ca="1" si="7"/>
        <v>19.64</v>
      </c>
      <c r="L66" s="811">
        <f t="shared" ca="1" si="11"/>
        <v>1.8557916666666667</v>
      </c>
      <c r="M66" s="773">
        <f t="shared" si="0"/>
        <v>54</v>
      </c>
      <c r="N66" s="807">
        <f t="shared" ca="1" si="1"/>
        <v>1.0237377569460988</v>
      </c>
      <c r="O66" s="808">
        <f t="shared" si="9"/>
        <v>1.0049999999999999</v>
      </c>
      <c r="P66" s="811">
        <f t="shared" ca="1" si="10"/>
        <v>1.0620799950339679</v>
      </c>
    </row>
    <row r="67" spans="1:16">
      <c r="A67" s="809">
        <f t="shared" si="2"/>
        <v>36861</v>
      </c>
      <c r="B67" s="1110">
        <f ca="1">'[1]Monthly Curve Calc.'!B70</f>
        <v>193.06201103866388</v>
      </c>
      <c r="C67" s="1111">
        <f ca="1">'[1]Monthly Curve Calc.'!C70</f>
        <v>173.89655938256641</v>
      </c>
      <c r="D67" s="1111">
        <f ca="1">'[1]Monthly Curve Calc.'!D70</f>
        <v>140.5739993587338</v>
      </c>
      <c r="E67" s="1111">
        <f ca="1">'[1]Monthly Curve Calc.'!E70</f>
        <v>26.745000000000001</v>
      </c>
      <c r="F67" s="1112">
        <f ca="1">'[1]Monthly Curve Calc.'!F70</f>
        <v>1.8038677232680336</v>
      </c>
      <c r="G67" s="810">
        <f t="shared" ca="1" si="4"/>
        <v>1.1469239629576979</v>
      </c>
      <c r="H67" s="808">
        <f t="shared" ca="1" si="5"/>
        <v>1.0237377569460988</v>
      </c>
      <c r="I67" s="808">
        <f t="shared" ca="1" si="6"/>
        <v>1.0212377569460989</v>
      </c>
      <c r="J67" s="808">
        <f t="shared" ca="1" si="12"/>
        <v>1.0297029702970295</v>
      </c>
      <c r="K67" s="808">
        <f t="shared" ca="1" si="7"/>
        <v>19.64</v>
      </c>
      <c r="L67" s="811">
        <f t="shared" ca="1" si="11"/>
        <v>1.8557916666666667</v>
      </c>
      <c r="M67" s="773">
        <f t="shared" si="0"/>
        <v>55</v>
      </c>
      <c r="N67" s="807">
        <f t="shared" ca="1" si="1"/>
        <v>1.0237377569460988</v>
      </c>
      <c r="O67" s="808">
        <f t="shared" si="9"/>
        <v>1.0049999999999999</v>
      </c>
      <c r="P67" s="811">
        <f t="shared" ca="1" si="10"/>
        <v>1.0620799950339679</v>
      </c>
    </row>
    <row r="68" spans="1:16">
      <c r="A68" s="809">
        <f t="shared" si="2"/>
        <v>36892</v>
      </c>
      <c r="B68" s="1110">
        <f ca="1">'[1]Monthly Curve Calc.'!B71</f>
        <v>194.45347137228308</v>
      </c>
      <c r="C68" s="1111">
        <f ca="1">'[1]Monthly Curve Calc.'!C71</f>
        <v>174.3626262314074</v>
      </c>
      <c r="D68" s="1111">
        <f ca="1">'[1]Monthly Curve Calc.'!D71</f>
        <v>140.99652459526345</v>
      </c>
      <c r="E68" s="1111">
        <f ca="1">'[1]Monthly Curve Calc.'!E71</f>
        <v>26.422152777777779</v>
      </c>
      <c r="F68" s="1112">
        <f ca="1">'[1]Monthly Curve Calc.'!F71</f>
        <v>1.8188212690525873</v>
      </c>
      <c r="G68" s="810">
        <f t="shared" ca="1" si="4"/>
        <v>1.1469239629576979</v>
      </c>
      <c r="H68" s="808">
        <f t="shared" ca="1" si="5"/>
        <v>1.0237377569460988</v>
      </c>
      <c r="I68" s="808">
        <f t="shared" ca="1" si="6"/>
        <v>1.0212377569460989</v>
      </c>
      <c r="J68" s="808">
        <f t="shared" ca="1" si="12"/>
        <v>1.0397485159669662</v>
      </c>
      <c r="K68" s="808">
        <f t="shared" ca="1" si="7"/>
        <v>28.951875000000012</v>
      </c>
      <c r="L68" s="811">
        <f t="shared" ca="1" si="11"/>
        <v>1.7762172530894818</v>
      </c>
      <c r="M68" s="773">
        <f t="shared" si="0"/>
        <v>56</v>
      </c>
      <c r="N68" s="807">
        <f t="shared" ca="1" si="1"/>
        <v>1.0237377569460988</v>
      </c>
      <c r="O68" s="808">
        <f t="shared" si="9"/>
        <v>1.0049999999999999</v>
      </c>
      <c r="P68" s="811">
        <f t="shared" ca="1" si="10"/>
        <v>1.0620799950339679</v>
      </c>
    </row>
    <row r="69" spans="1:16">
      <c r="A69" s="809">
        <f t="shared" si="2"/>
        <v>36923</v>
      </c>
      <c r="B69" s="1110">
        <f ca="1">'[1]Monthly Curve Calc.'!B72</f>
        <v>195.85496041040827</v>
      </c>
      <c r="C69" s="1111">
        <f ca="1">'[1]Monthly Curve Calc.'!C72</f>
        <v>174.82994220391342</v>
      </c>
      <c r="D69" s="1111">
        <f ca="1">'[1]Monthly Curve Calc.'!D72</f>
        <v>141.42031982180777</v>
      </c>
      <c r="E69" s="1111">
        <f ca="1">'[1]Monthly Curve Calc.'!E72</f>
        <v>26.099305555555556</v>
      </c>
      <c r="F69" s="1112">
        <f ca="1">'[1]Monthly Curve Calc.'!F72</f>
        <v>1.8338987754405969</v>
      </c>
      <c r="G69" s="810">
        <f t="shared" ca="1" si="4"/>
        <v>1.1469239629576979</v>
      </c>
      <c r="H69" s="808">
        <f t="shared" ca="1" si="5"/>
        <v>1.0237377569460988</v>
      </c>
      <c r="I69" s="808">
        <f t="shared" ca="1" si="6"/>
        <v>1.0212377569460989</v>
      </c>
      <c r="J69" s="808">
        <f t="shared" ca="1" si="12"/>
        <v>1.0397485159669662</v>
      </c>
      <c r="K69" s="808">
        <f t="shared" ca="1" si="7"/>
        <v>28.951875000000012</v>
      </c>
      <c r="L69" s="811">
        <f t="shared" ca="1" si="11"/>
        <v>1.7762172530894818</v>
      </c>
      <c r="M69" s="773">
        <f t="shared" si="0"/>
        <v>57</v>
      </c>
      <c r="N69" s="807">
        <f t="shared" ca="1" si="1"/>
        <v>1.0237377569460988</v>
      </c>
      <c r="O69" s="808">
        <f t="shared" si="9"/>
        <v>1.0049999999999999</v>
      </c>
      <c r="P69" s="811">
        <f t="shared" ca="1" si="10"/>
        <v>1.0620799950339679</v>
      </c>
    </row>
    <row r="70" spans="1:16">
      <c r="A70" s="809">
        <f t="shared" si="2"/>
        <v>36951</v>
      </c>
      <c r="B70" s="1110">
        <f ca="1">'[1]Monthly Curve Calc.'!B73</f>
        <v>197.26655043315523</v>
      </c>
      <c r="C70" s="1111">
        <f ca="1">'[1]Monthly Curve Calc.'!C73</f>
        <v>175.29851064790876</v>
      </c>
      <c r="D70" s="1111">
        <f ca="1">'[1]Monthly Curve Calc.'!D73</f>
        <v>141.84538885559348</v>
      </c>
      <c r="E70" s="1111">
        <f ca="1">'[1]Monthly Curve Calc.'!E73</f>
        <v>25.776458333333334</v>
      </c>
      <c r="F70" s="1112">
        <f ca="1">'[1]Monthly Curve Calc.'!F73</f>
        <v>1.849101270029893</v>
      </c>
      <c r="G70" s="810">
        <f t="shared" ca="1" si="4"/>
        <v>1.1469239629576979</v>
      </c>
      <c r="H70" s="808">
        <f t="shared" ca="1" si="5"/>
        <v>1.0237377569460988</v>
      </c>
      <c r="I70" s="808">
        <f t="shared" ca="1" si="6"/>
        <v>1.0212377569460989</v>
      </c>
      <c r="J70" s="808">
        <f t="shared" ca="1" si="12"/>
        <v>1.0397485159669662</v>
      </c>
      <c r="K70" s="808">
        <f t="shared" ca="1" si="7"/>
        <v>28.951875000000012</v>
      </c>
      <c r="L70" s="811">
        <f t="shared" ca="1" si="11"/>
        <v>1.7762172530894818</v>
      </c>
      <c r="M70" s="773">
        <f t="shared" si="0"/>
        <v>58</v>
      </c>
      <c r="N70" s="807">
        <f t="shared" ca="1" si="1"/>
        <v>1.0237377569460988</v>
      </c>
      <c r="O70" s="808">
        <f t="shared" si="9"/>
        <v>1.0049999999999999</v>
      </c>
      <c r="P70" s="811">
        <f t="shared" ca="1" si="10"/>
        <v>1.0620799950339679</v>
      </c>
    </row>
    <row r="71" spans="1:16">
      <c r="A71" s="809">
        <f t="shared" si="2"/>
        <v>36982</v>
      </c>
      <c r="B71" s="1110">
        <f ca="1">'[1]Monthly Curve Calc.'!B74</f>
        <v>198.68831424158597</v>
      </c>
      <c r="C71" s="1111">
        <f ca="1">'[1]Monthly Curve Calc.'!C74</f>
        <v>175.76833492019037</v>
      </c>
      <c r="D71" s="1111">
        <f ca="1">'[1]Monthly Curve Calc.'!D74</f>
        <v>142.27173552532085</v>
      </c>
      <c r="E71" s="1111">
        <f ca="1">'[1]Monthly Curve Calc.'!E74</f>
        <v>25.453611111111112</v>
      </c>
      <c r="F71" s="1112">
        <f ca="1">'[1]Monthly Curve Calc.'!F74</f>
        <v>1.8644297889367973</v>
      </c>
      <c r="G71" s="810">
        <f t="shared" ca="1" si="4"/>
        <v>1.1469239629576979</v>
      </c>
      <c r="H71" s="808">
        <f t="shared" ca="1" si="5"/>
        <v>1.0237377569460988</v>
      </c>
      <c r="I71" s="808">
        <f t="shared" ca="1" si="6"/>
        <v>1.0212377569460989</v>
      </c>
      <c r="J71" s="808">
        <f t="shared" ca="1" si="12"/>
        <v>1.0397485159669662</v>
      </c>
      <c r="K71" s="808">
        <f t="shared" ca="1" si="7"/>
        <v>28.951875000000012</v>
      </c>
      <c r="L71" s="811">
        <f t="shared" ca="1" si="11"/>
        <v>1.7762172530894818</v>
      </c>
      <c r="M71" s="773">
        <f t="shared" si="0"/>
        <v>59</v>
      </c>
      <c r="N71" s="807">
        <f t="shared" ca="1" si="1"/>
        <v>1.0237377569460988</v>
      </c>
      <c r="O71" s="808">
        <f t="shared" si="9"/>
        <v>1.0049999999999999</v>
      </c>
      <c r="P71" s="811">
        <f t="shared" ca="1" si="10"/>
        <v>1.0620799950339679</v>
      </c>
    </row>
    <row r="72" spans="1:16">
      <c r="A72" s="809">
        <f t="shared" si="2"/>
        <v>37012</v>
      </c>
      <c r="B72" s="1110">
        <f ca="1">'[1]Monthly Curve Calc.'!B75</f>
        <v>200.12032516146326</v>
      </c>
      <c r="C72" s="1111">
        <f ca="1">'[1]Monthly Curve Calc.'!C75</f>
        <v>176.23941838655188</v>
      </c>
      <c r="D72" s="1111">
        <f ca="1">'[1]Monthly Curve Calc.'!D75</f>
        <v>142.69936367119809</v>
      </c>
      <c r="E72" s="1111">
        <f ca="1">'[1]Monthly Curve Calc.'!E75</f>
        <v>25.13076388888889</v>
      </c>
      <c r="F72" s="1112">
        <f ca="1">'[1]Monthly Curve Calc.'!F75</f>
        <v>1.8798853768667387</v>
      </c>
      <c r="G72" s="810">
        <f t="shared" ca="1" si="4"/>
        <v>1.0919370999534188</v>
      </c>
      <c r="H72" s="808">
        <f t="shared" ca="1" si="5"/>
        <v>1.0330489441562738</v>
      </c>
      <c r="I72" s="808">
        <f t="shared" ca="1" si="6"/>
        <v>1.0305489441562738</v>
      </c>
      <c r="J72" s="808">
        <f t="shared" ca="1" si="12"/>
        <v>1.0397485159669662</v>
      </c>
      <c r="K72" s="808">
        <f t="shared" ca="1" si="7"/>
        <v>28.951875000000012</v>
      </c>
      <c r="L72" s="811">
        <f t="shared" ca="1" si="11"/>
        <v>1.7762172530894818</v>
      </c>
      <c r="M72" s="773">
        <f t="shared" si="0"/>
        <v>60</v>
      </c>
      <c r="N72" s="807">
        <f t="shared" ca="1" si="1"/>
        <v>1.0330489441562738</v>
      </c>
      <c r="O72" s="808">
        <f t="shared" si="9"/>
        <v>1.0049999999999999</v>
      </c>
      <c r="P72" s="811">
        <f t="shared" ca="1" si="10"/>
        <v>1.097180617479341</v>
      </c>
    </row>
    <row r="73" spans="1:16">
      <c r="A73" s="809">
        <f t="shared" si="2"/>
        <v>37043</v>
      </c>
      <c r="B73" s="1110">
        <f ca="1">'[1]Monthly Curve Calc.'!B76</f>
        <v>201.56265704703233</v>
      </c>
      <c r="C73" s="1111">
        <f ca="1">'[1]Monthly Curve Calc.'!C76</f>
        <v>176.71176442180774</v>
      </c>
      <c r="D73" s="1111">
        <f ca="1">'[1]Monthly Curve Calc.'!D76</f>
        <v>143.12827714497598</v>
      </c>
      <c r="E73" s="1111">
        <f ca="1">'[1]Monthly Curve Calc.'!E76</f>
        <v>24.807916666666667</v>
      </c>
      <c r="F73" s="1112">
        <f ca="1">'[1]Monthly Curve Calc.'!F76</f>
        <v>1.8954690871854543</v>
      </c>
      <c r="G73" s="810">
        <f t="shared" ca="1" si="4"/>
        <v>1.0919370999534188</v>
      </c>
      <c r="H73" s="808">
        <f t="shared" ca="1" si="5"/>
        <v>1.0330489441562738</v>
      </c>
      <c r="I73" s="808">
        <f t="shared" ca="1" si="6"/>
        <v>1.0305489441562738</v>
      </c>
      <c r="J73" s="808">
        <f t="shared" ca="1" si="12"/>
        <v>1.0397485159669662</v>
      </c>
      <c r="K73" s="808">
        <f t="shared" ca="1" si="7"/>
        <v>28.951875000000012</v>
      </c>
      <c r="L73" s="811">
        <f t="shared" ca="1" si="11"/>
        <v>1.7762172530894818</v>
      </c>
      <c r="M73" s="773">
        <f t="shared" si="0"/>
        <v>61</v>
      </c>
      <c r="N73" s="807">
        <f t="shared" ca="1" si="1"/>
        <v>1.0330489441562738</v>
      </c>
      <c r="O73" s="808">
        <f t="shared" si="9"/>
        <v>1.0049999999999999</v>
      </c>
      <c r="P73" s="811">
        <f t="shared" ca="1" si="10"/>
        <v>1.097180617479341</v>
      </c>
    </row>
    <row r="74" spans="1:16">
      <c r="A74" s="809">
        <f t="shared" si="2"/>
        <v>37073</v>
      </c>
      <c r="B74" s="1110">
        <f ca="1">'[1]Monthly Curve Calc.'!B77</f>
        <v>203.01538428482988</v>
      </c>
      <c r="C74" s="1111">
        <f ca="1">'[1]Monthly Curve Calc.'!C77</f>
        <v>177.18537640981734</v>
      </c>
      <c r="D74" s="1111">
        <f ca="1">'[1]Monthly Curve Calc.'!D77</f>
        <v>143.5584798099826</v>
      </c>
      <c r="E74" s="1111">
        <f ca="1">'[1]Monthly Curve Calc.'!E77</f>
        <v>24.485069444444445</v>
      </c>
      <c r="F74" s="1112">
        <f ca="1">'[1]Monthly Curve Calc.'!F77</f>
        <v>1.9111819819907805</v>
      </c>
      <c r="G74" s="810">
        <f t="shared" ca="1" si="4"/>
        <v>1.0919370999534188</v>
      </c>
      <c r="H74" s="808">
        <f t="shared" ca="1" si="5"/>
        <v>1.0330489441562738</v>
      </c>
      <c r="I74" s="808">
        <f t="shared" ca="1" si="6"/>
        <v>1.0305489441562738</v>
      </c>
      <c r="J74" s="808">
        <f t="shared" ca="1" si="12"/>
        <v>1.0397485159669662</v>
      </c>
      <c r="K74" s="808">
        <f t="shared" ca="1" si="7"/>
        <v>28.951875000000012</v>
      </c>
      <c r="L74" s="811">
        <f t="shared" ca="1" si="11"/>
        <v>1.7762172530894818</v>
      </c>
      <c r="M74" s="773">
        <f t="shared" si="0"/>
        <v>62</v>
      </c>
      <c r="N74" s="807">
        <f t="shared" ca="1" si="1"/>
        <v>1.0330489441562738</v>
      </c>
      <c r="O74" s="808">
        <f t="shared" si="9"/>
        <v>1.0049999999999999</v>
      </c>
      <c r="P74" s="811">
        <f t="shared" ca="1" si="10"/>
        <v>1.097180617479341</v>
      </c>
    </row>
    <row r="75" spans="1:16">
      <c r="A75" s="809">
        <f t="shared" si="2"/>
        <v>37104</v>
      </c>
      <c r="B75" s="1110">
        <f ca="1">'[1]Monthly Curve Calc.'!B78</f>
        <v>204.47858179752038</v>
      </c>
      <c r="C75" s="1111">
        <f ca="1">'[1]Monthly Curve Calc.'!C78</f>
        <v>177.66025774350925</v>
      </c>
      <c r="D75" s="1111">
        <f ca="1">'[1]Monthly Curve Calc.'!D78</f>
        <v>143.98997554115803</v>
      </c>
      <c r="E75" s="1111">
        <f ca="1">'[1]Monthly Curve Calc.'!E78</f>
        <v>24.162222222222223</v>
      </c>
      <c r="F75" s="1112">
        <f ca="1">'[1]Monthly Curve Calc.'!F78</f>
        <v>1.9270251321850405</v>
      </c>
      <c r="G75" s="810">
        <f t="shared" ca="1" si="4"/>
        <v>1.0919370999534188</v>
      </c>
      <c r="H75" s="808">
        <f t="shared" ca="1" si="5"/>
        <v>1.0330489441562738</v>
      </c>
      <c r="I75" s="808">
        <f t="shared" ca="1" si="6"/>
        <v>1.0305489441562738</v>
      </c>
      <c r="J75" s="808">
        <f t="shared" ca="1" si="12"/>
        <v>1.0397485159669662</v>
      </c>
      <c r="K75" s="808">
        <f t="shared" ca="1" si="7"/>
        <v>28.951875000000012</v>
      </c>
      <c r="L75" s="811">
        <f t="shared" ca="1" si="11"/>
        <v>1.7762172530894818</v>
      </c>
      <c r="M75" s="773">
        <f t="shared" si="0"/>
        <v>63</v>
      </c>
      <c r="N75" s="807">
        <f t="shared" ca="1" si="1"/>
        <v>1.0330489441562738</v>
      </c>
      <c r="O75" s="808">
        <f t="shared" si="9"/>
        <v>1.0049999999999999</v>
      </c>
      <c r="P75" s="811">
        <f t="shared" ca="1" si="10"/>
        <v>1.097180617479341</v>
      </c>
    </row>
    <row r="76" spans="1:16">
      <c r="A76" s="809">
        <f t="shared" si="2"/>
        <v>37135</v>
      </c>
      <c r="B76" s="1110">
        <f ca="1">'[1]Monthly Curve Calc.'!B79</f>
        <v>205.95232504776021</v>
      </c>
      <c r="C76" s="1111">
        <f ca="1">'[1]Monthly Curve Calc.'!C79</f>
        <v>178.13641182490562</v>
      </c>
      <c r="D76" s="1111">
        <f ca="1">'[1]Monthly Curve Calc.'!D79</f>
        <v>144.42276822508936</v>
      </c>
      <c r="E76" s="1111">
        <f ca="1">'[1]Monthly Curve Calc.'!E79</f>
        <v>23.839375</v>
      </c>
      <c r="F76" s="1112">
        <f ca="1">'[1]Monthly Curve Calc.'!F79</f>
        <v>1.9429996175480302</v>
      </c>
      <c r="G76" s="810">
        <f t="shared" ca="1" si="4"/>
        <v>1.0919370999534188</v>
      </c>
      <c r="H76" s="808">
        <f t="shared" ca="1" si="5"/>
        <v>1.0330489441562738</v>
      </c>
      <c r="I76" s="808">
        <f t="shared" ca="1" si="6"/>
        <v>1.0305489441562738</v>
      </c>
      <c r="J76" s="808">
        <f t="shared" ca="1" si="12"/>
        <v>1.0397485159669662</v>
      </c>
      <c r="K76" s="808">
        <f t="shared" ca="1" si="7"/>
        <v>28.951875000000012</v>
      </c>
      <c r="L76" s="811">
        <f t="shared" ca="1" si="11"/>
        <v>1.7762172530894818</v>
      </c>
      <c r="M76" s="773">
        <f t="shared" si="0"/>
        <v>64</v>
      </c>
      <c r="N76" s="807">
        <f t="shared" ca="1" si="1"/>
        <v>1.0330489441562738</v>
      </c>
      <c r="O76" s="808">
        <f t="shared" si="9"/>
        <v>1.0049999999999999</v>
      </c>
      <c r="P76" s="811">
        <f t="shared" ca="1" si="10"/>
        <v>1.097180617479341</v>
      </c>
    </row>
    <row r="77" spans="1:16">
      <c r="A77" s="809">
        <f t="shared" si="2"/>
        <v>37165</v>
      </c>
      <c r="B77" s="1110">
        <f ca="1">'[1]Monthly Curve Calc.'!B80</f>
        <v>207.43669004208951</v>
      </c>
      <c r="C77" s="1111">
        <f ca="1">'[1]Monthly Curve Calc.'!C80</f>
        <v>178.61384206514646</v>
      </c>
      <c r="D77" s="1111">
        <f ca="1">'[1]Monthly Curve Calc.'!D80</f>
        <v>144.85686176004563</v>
      </c>
      <c r="E77" s="1111">
        <f ca="1">'[1]Monthly Curve Calc.'!E80</f>
        <v>23.516527777777778</v>
      </c>
      <c r="F77" s="1112">
        <f ca="1">'[1]Monthly Curve Calc.'!F80</f>
        <v>1.95910652681061</v>
      </c>
      <c r="G77" s="810">
        <f t="shared" ca="1" si="4"/>
        <v>1.0919370999534188</v>
      </c>
      <c r="H77" s="808">
        <f t="shared" ca="1" si="5"/>
        <v>1.0330489441562738</v>
      </c>
      <c r="I77" s="808">
        <f t="shared" ca="1" si="6"/>
        <v>1.0305489441562738</v>
      </c>
      <c r="J77" s="808">
        <f t="shared" ca="1" si="12"/>
        <v>1.0397485159669662</v>
      </c>
      <c r="K77" s="808">
        <f t="shared" ca="1" si="7"/>
        <v>28.951875000000012</v>
      </c>
      <c r="L77" s="811">
        <f t="shared" ca="1" si="11"/>
        <v>1.7762172530894818</v>
      </c>
      <c r="M77" s="773">
        <f t="shared" ref="M77:M140" si="13">M76+1</f>
        <v>65</v>
      </c>
      <c r="N77" s="807">
        <f t="shared" ca="1" si="1"/>
        <v>1.0330489441562738</v>
      </c>
      <c r="O77" s="808">
        <f t="shared" si="9"/>
        <v>1.0049999999999999</v>
      </c>
      <c r="P77" s="811">
        <f t="shared" ca="1" si="10"/>
        <v>1.097180617479341</v>
      </c>
    </row>
    <row r="78" spans="1:16">
      <c r="A78" s="809">
        <f t="shared" si="2"/>
        <v>37196</v>
      </c>
      <c r="B78" s="1110">
        <f ca="1">'[1]Monthly Curve Calc.'!B81</f>
        <v>208.93175333485209</v>
      </c>
      <c r="C78" s="1111">
        <f ca="1">'[1]Monthly Curve Calc.'!C81</f>
        <v>179.09255188451411</v>
      </c>
      <c r="D78" s="1111">
        <f ca="1">'[1]Monthly Curve Calc.'!D81</f>
        <v>145.29226005601299</v>
      </c>
      <c r="E78" s="1111">
        <f ca="1">'[1]Monthly Curve Calc.'!E81</f>
        <v>23.193680555555556</v>
      </c>
      <c r="F78" s="1112">
        <f ca="1">'[1]Monthly Curve Calc.'!F81</f>
        <v>1.9753469577289071</v>
      </c>
      <c r="G78" s="810">
        <f t="shared" ca="1" si="4"/>
        <v>1.0919370999534188</v>
      </c>
      <c r="H78" s="808">
        <f t="shared" ca="1" si="5"/>
        <v>1.0330489441562738</v>
      </c>
      <c r="I78" s="808">
        <f t="shared" ca="1" si="6"/>
        <v>1.0305489441562738</v>
      </c>
      <c r="J78" s="808">
        <f t="shared" ca="1" si="12"/>
        <v>1.0397485159669662</v>
      </c>
      <c r="K78" s="808">
        <f t="shared" ca="1" si="7"/>
        <v>28.951875000000012</v>
      </c>
      <c r="L78" s="811">
        <f t="shared" ca="1" si="11"/>
        <v>1.7762172530894818</v>
      </c>
      <c r="M78" s="773">
        <f t="shared" si="13"/>
        <v>66</v>
      </c>
      <c r="N78" s="807">
        <f t="shared" ca="1" si="1"/>
        <v>1.0330489441562738</v>
      </c>
      <c r="O78" s="808">
        <f t="shared" si="9"/>
        <v>1.0049999999999999</v>
      </c>
      <c r="P78" s="811">
        <f t="shared" ca="1" si="10"/>
        <v>1.097180617479341</v>
      </c>
    </row>
    <row r="79" spans="1:16">
      <c r="A79" s="809">
        <f t="shared" si="2"/>
        <v>37226</v>
      </c>
      <c r="B79" s="1110">
        <f ca="1">'[1]Monthly Curve Calc.'!B82</f>
        <v>210.4375920321437</v>
      </c>
      <c r="C79" s="1111">
        <f ca="1">'[1]Monthly Curve Calc.'!C82</f>
        <v>179.57254471245776</v>
      </c>
      <c r="D79" s="1111">
        <f ca="1">'[1]Monthly Curve Calc.'!D82</f>
        <v>145.72896703472983</v>
      </c>
      <c r="E79" s="1111">
        <f ca="1">'[1]Monthly Curve Calc.'!E82</f>
        <v>22.870833333333337</v>
      </c>
      <c r="F79" s="1112">
        <f ca="1">'[1]Monthly Curve Calc.'!F82</f>
        <v>1.9917220171591306</v>
      </c>
      <c r="G79" s="810">
        <f t="shared" ca="1" si="4"/>
        <v>1.0919370999534188</v>
      </c>
      <c r="H79" s="808">
        <f t="shared" ca="1" si="5"/>
        <v>1.0330489441562738</v>
      </c>
      <c r="I79" s="808">
        <f t="shared" ca="1" si="6"/>
        <v>1.0305489441562738</v>
      </c>
      <c r="J79" s="808">
        <f t="shared" ca="1" si="12"/>
        <v>1.0397485159669662</v>
      </c>
      <c r="K79" s="808">
        <f t="shared" ca="1" si="7"/>
        <v>28.951875000000012</v>
      </c>
      <c r="L79" s="811">
        <f t="shared" ca="1" si="11"/>
        <v>1.7762172530894818</v>
      </c>
      <c r="M79" s="773">
        <f t="shared" si="13"/>
        <v>67</v>
      </c>
      <c r="N79" s="807">
        <f t="shared" ca="1" si="1"/>
        <v>1.0330489441562738</v>
      </c>
      <c r="O79" s="808">
        <f t="shared" si="9"/>
        <v>1.0049999999999999</v>
      </c>
      <c r="P79" s="811">
        <f t="shared" ca="1" si="10"/>
        <v>1.097180617479341</v>
      </c>
    </row>
    <row r="80" spans="1:16">
      <c r="A80" s="809">
        <f t="shared" si="2"/>
        <v>37257</v>
      </c>
      <c r="B80" s="1110">
        <f ca="1">'[1]Monthly Curve Calc.'!B83</f>
        <v>211.87309067014004</v>
      </c>
      <c r="C80" s="1111">
        <f ca="1">'[1]Monthly Curve Calc.'!C83</f>
        <v>180.02195483939127</v>
      </c>
      <c r="D80" s="1111">
        <f ca="1">'[1]Monthly Curve Calc.'!D83</f>
        <v>146.09280126420066</v>
      </c>
      <c r="E80" s="1111">
        <f ca="1">'[1]Monthly Curve Calc.'!E83</f>
        <v>22.712152777777781</v>
      </c>
      <c r="F80" s="1112">
        <f ca="1">'[1]Monthly Curve Calc.'!F83</f>
        <v>2.0024865610216462</v>
      </c>
      <c r="G80" s="810">
        <f t="shared" ca="1" si="4"/>
        <v>1.0919370999534188</v>
      </c>
      <c r="H80" s="808">
        <f t="shared" ca="1" si="5"/>
        <v>1.0330489441562738</v>
      </c>
      <c r="I80" s="808">
        <f t="shared" ca="1" si="6"/>
        <v>1.0305489441562738</v>
      </c>
      <c r="J80" s="808">
        <f t="shared" ca="1" si="12"/>
        <v>1.0366708473794002</v>
      </c>
      <c r="K80" s="808">
        <f t="shared" ca="1" si="7"/>
        <v>24.646493055555556</v>
      </c>
      <c r="L80" s="811">
        <f t="shared" ca="1" si="11"/>
        <v>1.9040823167445471</v>
      </c>
      <c r="M80" s="773">
        <f t="shared" si="13"/>
        <v>68</v>
      </c>
      <c r="N80" s="807">
        <f t="shared" ca="1" si="1"/>
        <v>1.0330489441562738</v>
      </c>
      <c r="O80" s="808">
        <f t="shared" si="9"/>
        <v>1.0049999999999999</v>
      </c>
      <c r="P80" s="811">
        <f t="shared" ca="1" si="10"/>
        <v>1.097180617479341</v>
      </c>
    </row>
    <row r="81" spans="1:16">
      <c r="A81" s="809">
        <f t="shared" si="2"/>
        <v>37288</v>
      </c>
      <c r="B81" s="1110">
        <f ca="1">'[1]Monthly Curve Calc.'!B84</f>
        <v>213.31838155257233</v>
      </c>
      <c r="C81" s="1111">
        <f ca="1">'[1]Monthly Curve Calc.'!C84</f>
        <v>180.47248968983146</v>
      </c>
      <c r="D81" s="1111">
        <f ca="1">'[1]Monthly Curve Calc.'!D84</f>
        <v>146.45754386041028</v>
      </c>
      <c r="E81" s="1111">
        <f ca="1">'[1]Monthly Curve Calc.'!E84</f>
        <v>22.553472222222226</v>
      </c>
      <c r="F81" s="1112">
        <f ca="1">'[1]Monthly Curve Calc.'!F84</f>
        <v>2.0133092833867692</v>
      </c>
      <c r="G81" s="810">
        <f t="shared" ca="1" si="4"/>
        <v>1.0919370999534188</v>
      </c>
      <c r="H81" s="808">
        <f t="shared" ca="1" si="5"/>
        <v>1.0330489441562738</v>
      </c>
      <c r="I81" s="808">
        <f t="shared" ca="1" si="6"/>
        <v>1.0305489441562738</v>
      </c>
      <c r="J81" s="808">
        <f t="shared" ca="1" si="12"/>
        <v>1.0366708473794002</v>
      </c>
      <c r="K81" s="808">
        <f t="shared" ca="1" si="7"/>
        <v>24.646493055555556</v>
      </c>
      <c r="L81" s="811">
        <f t="shared" ca="1" si="11"/>
        <v>1.9040823167445471</v>
      </c>
      <c r="M81" s="773">
        <f t="shared" si="13"/>
        <v>69</v>
      </c>
      <c r="N81" s="807">
        <f t="shared" ref="N81:N144" ca="1" si="14">HLOOKUP(N$14,Dec_Change,$M81)</f>
        <v>1.0330489441562738</v>
      </c>
      <c r="O81" s="808">
        <f t="shared" si="9"/>
        <v>1.0049999999999999</v>
      </c>
      <c r="P81" s="811">
        <f t="shared" ca="1" si="10"/>
        <v>1.097180617479341</v>
      </c>
    </row>
    <row r="82" spans="1:16">
      <c r="A82" s="809">
        <f t="shared" si="2"/>
        <v>37316</v>
      </c>
      <c r="B82" s="1110">
        <f ca="1">'[1]Monthly Curve Calc.'!B85</f>
        <v>214.77353147717102</v>
      </c>
      <c r="C82" s="1111">
        <f ca="1">'[1]Monthly Curve Calc.'!C85</f>
        <v>180.92415207858576</v>
      </c>
      <c r="D82" s="1111">
        <f ca="1">'[1]Monthly Curve Calc.'!D85</f>
        <v>146.82319709123254</v>
      </c>
      <c r="E82" s="1111">
        <f ca="1">'[1]Monthly Curve Calc.'!E85</f>
        <v>22.39479166666667</v>
      </c>
      <c r="F82" s="1112">
        <f ca="1">'[1]Monthly Curve Calc.'!F85</f>
        <v>2.0241904986884602</v>
      </c>
      <c r="G82" s="810">
        <f t="shared" ca="1" si="4"/>
        <v>1.0919370999534188</v>
      </c>
      <c r="H82" s="808">
        <f t="shared" ca="1" si="5"/>
        <v>1.0330489441562738</v>
      </c>
      <c r="I82" s="808">
        <f t="shared" ca="1" si="6"/>
        <v>1.0305489441562738</v>
      </c>
      <c r="J82" s="808">
        <f t="shared" ca="1" si="12"/>
        <v>1.0366708473794002</v>
      </c>
      <c r="K82" s="808">
        <f t="shared" ca="1" si="7"/>
        <v>24.646493055555556</v>
      </c>
      <c r="L82" s="811">
        <f t="shared" ca="1" si="11"/>
        <v>1.9040823167445471</v>
      </c>
      <c r="M82" s="773">
        <f t="shared" si="13"/>
        <v>70</v>
      </c>
      <c r="N82" s="807">
        <f t="shared" ca="1" si="14"/>
        <v>1.0330489441562738</v>
      </c>
      <c r="O82" s="808">
        <f t="shared" si="9"/>
        <v>1.0049999999999999</v>
      </c>
      <c r="P82" s="811">
        <f t="shared" ca="1" si="10"/>
        <v>1.097180617479341</v>
      </c>
    </row>
    <row r="83" spans="1:16">
      <c r="A83" s="809">
        <f t="shared" si="2"/>
        <v>37347</v>
      </c>
      <c r="B83" s="1110">
        <f ca="1">'[1]Monthly Curve Calc.'!B86</f>
        <v>216.23860769732684</v>
      </c>
      <c r="C83" s="1111">
        <f ca="1">'[1]Monthly Curve Calc.'!C86</f>
        <v>181.37694482750612</v>
      </c>
      <c r="D83" s="1111">
        <f ca="1">'[1]Monthly Curve Calc.'!D86</f>
        <v>147.1897632302034</v>
      </c>
      <c r="E83" s="1111">
        <f ca="1">'[1]Monthly Curve Calc.'!E86</f>
        <v>22.236111111111114</v>
      </c>
      <c r="F83" s="1112">
        <f ca="1">'[1]Monthly Curve Calc.'!F86</f>
        <v>2.0351305230600838</v>
      </c>
      <c r="G83" s="810">
        <f t="shared" ca="1" si="4"/>
        <v>1.0919370999534188</v>
      </c>
      <c r="H83" s="808">
        <f t="shared" ca="1" si="5"/>
        <v>1.0330489441562738</v>
      </c>
      <c r="I83" s="808">
        <f t="shared" ca="1" si="6"/>
        <v>1.0305489441562738</v>
      </c>
      <c r="J83" s="808">
        <f t="shared" ca="1" si="12"/>
        <v>1.0366708473794002</v>
      </c>
      <c r="K83" s="808">
        <f t="shared" ca="1" si="7"/>
        <v>24.646493055555556</v>
      </c>
      <c r="L83" s="811">
        <f t="shared" ca="1" si="11"/>
        <v>1.9040823167445471</v>
      </c>
      <c r="M83" s="773">
        <f t="shared" si="13"/>
        <v>71</v>
      </c>
      <c r="N83" s="807">
        <f t="shared" ca="1" si="14"/>
        <v>1.0330489441562738</v>
      </c>
      <c r="O83" s="808">
        <f t="shared" si="9"/>
        <v>1.0049999999999999</v>
      </c>
      <c r="P83" s="811">
        <f t="shared" ca="1" si="10"/>
        <v>1.097180617479341</v>
      </c>
    </row>
    <row r="84" spans="1:16">
      <c r="A84" s="809">
        <f t="shared" ref="A84:A147" si="15">EDATE(A83,1)</f>
        <v>37377</v>
      </c>
      <c r="B84" s="1110">
        <f ca="1">'[1]Monthly Curve Calc.'!B87</f>
        <v>217.71367792519908</v>
      </c>
      <c r="C84" s="1111">
        <f ca="1">'[1]Monthly Curve Calc.'!C87</f>
        <v>181.83087076550666</v>
      </c>
      <c r="D84" s="1111">
        <f ca="1">'[1]Monthly Curve Calc.'!D87</f>
        <v>147.55724455653498</v>
      </c>
      <c r="E84" s="1111">
        <f ca="1">'[1]Monthly Curve Calc.'!E87</f>
        <v>22.077430555555559</v>
      </c>
      <c r="F84" s="1112">
        <f ca="1">'[1]Monthly Curve Calc.'!F87</f>
        <v>2.0461296743435908</v>
      </c>
      <c r="G84" s="810">
        <f t="shared" ca="1" si="4"/>
        <v>1.0883307783989822</v>
      </c>
      <c r="H84" s="808">
        <f t="shared" ca="1" si="5"/>
        <v>1.0319091030239458</v>
      </c>
      <c r="I84" s="808">
        <f t="shared" ca="1" si="6"/>
        <v>1.0294091030239458</v>
      </c>
      <c r="J84" s="808">
        <f t="shared" ca="1" si="12"/>
        <v>1.0366708473794002</v>
      </c>
      <c r="K84" s="808">
        <f t="shared" ca="1" si="7"/>
        <v>24.646493055555556</v>
      </c>
      <c r="L84" s="811">
        <f t="shared" ca="1" si="11"/>
        <v>1.9040823167445471</v>
      </c>
      <c r="M84" s="773">
        <f t="shared" si="13"/>
        <v>72</v>
      </c>
      <c r="N84" s="807">
        <f t="shared" ca="1" si="14"/>
        <v>1.0319091030239458</v>
      </c>
      <c r="O84" s="808">
        <f t="shared" si="9"/>
        <v>1.0049999999999999</v>
      </c>
      <c r="P84" s="811">
        <f t="shared" ca="1" si="10"/>
        <v>1.1321906668383659</v>
      </c>
    </row>
    <row r="85" spans="1:16">
      <c r="A85" s="809">
        <f t="shared" si="15"/>
        <v>37408</v>
      </c>
      <c r="B85" s="1110">
        <f ca="1">'[1]Monthly Curve Calc.'!B88</f>
        <v>219.19881033484506</v>
      </c>
      <c r="C85" s="1111">
        <f ca="1">'[1]Monthly Curve Calc.'!C88</f>
        <v>182.28593272858129</v>
      </c>
      <c r="D85" s="1111">
        <f ca="1">'[1]Monthly Curve Calc.'!D88</f>
        <v>147.92564335512984</v>
      </c>
      <c r="E85" s="1111">
        <f ca="1">'[1]Monthly Curve Calc.'!E88</f>
        <v>21.918750000000003</v>
      </c>
      <c r="F85" s="1112">
        <f ca="1">'[1]Monthly Curve Calc.'!F88</f>
        <v>2.0571882720987551</v>
      </c>
      <c r="G85" s="810">
        <f t="shared" ref="G85:G148" ca="1" si="16">IF(AND($A85&gt;G$16,MONTH($A85)=MONTH(G$16)),B84/B72,G84)</f>
        <v>1.0883307783989822</v>
      </c>
      <c r="H85" s="808">
        <f t="shared" ref="H85:H148" ca="1" si="17">IF(AND($A85&gt;H$16,MONTH($A85)=MONTH(H$16)),C84/C72,H84)</f>
        <v>1.0319091030239458</v>
      </c>
      <c r="I85" s="808">
        <f t="shared" ref="I85:I148" ca="1" si="18">IF(AND($A85&gt;I$16,MONTH($A85)=MONTH(I$16)),C84/C72-I$18,I84)</f>
        <v>1.0294091030239458</v>
      </c>
      <c r="J85" s="808">
        <f t="shared" ca="1" si="12"/>
        <v>1.0366708473794002</v>
      </c>
      <c r="K85" s="808">
        <f t="shared" ref="K85:K148" ca="1" si="19">IF($A85&gt;=K$16,IF(MONTH($A85)=MONTH(K$16),AVERAGE(E73:E84),K84),K84)</f>
        <v>24.646493055555556</v>
      </c>
      <c r="L85" s="811">
        <f t="shared" ca="1" si="11"/>
        <v>1.9040823167445471</v>
      </c>
      <c r="M85" s="773">
        <f t="shared" si="13"/>
        <v>73</v>
      </c>
      <c r="N85" s="807">
        <f t="shared" ca="1" si="14"/>
        <v>1.0319091030239458</v>
      </c>
      <c r="O85" s="808">
        <f t="shared" ref="O85:O148" si="20">O84</f>
        <v>1.0049999999999999</v>
      </c>
      <c r="P85" s="811">
        <f t="shared" ref="P85:P148" ca="1" si="21">IF(AND($A85&gt;=P$16,MONTH($A85)=MONTH(P$16)),MAX(N85,O85)*P84,P84)</f>
        <v>1.1321906668383659</v>
      </c>
    </row>
    <row r="86" spans="1:16">
      <c r="A86" s="809">
        <f t="shared" si="15"/>
        <v>37438</v>
      </c>
      <c r="B86" s="1110">
        <f ca="1">'[1]Monthly Curve Calc.'!B89</f>
        <v>220.69407356537104</v>
      </c>
      <c r="C86" s="1111">
        <f ca="1">'[1]Monthly Curve Calc.'!C89</f>
        <v>182.74213355982153</v>
      </c>
      <c r="D86" s="1111">
        <f ca="1">'[1]Monthly Curve Calc.'!D89</f>
        <v>148.29496191659513</v>
      </c>
      <c r="E86" s="1111">
        <f ca="1">'[1]Monthly Curve Calc.'!E89</f>
        <v>21.760069444444447</v>
      </c>
      <c r="F86" s="1112">
        <f ca="1">'[1]Monthly Curve Calc.'!F89</f>
        <v>2.0683066376124559</v>
      </c>
      <c r="G86" s="810">
        <f t="shared" ca="1" si="16"/>
        <v>1.0883307783989822</v>
      </c>
      <c r="H86" s="808">
        <f t="shared" ca="1" si="17"/>
        <v>1.0319091030239458</v>
      </c>
      <c r="I86" s="808">
        <f t="shared" ca="1" si="18"/>
        <v>1.0294091030239458</v>
      </c>
      <c r="J86" s="808">
        <f t="shared" ca="1" si="12"/>
        <v>1.0366708473794002</v>
      </c>
      <c r="K86" s="808">
        <f t="shared" ca="1" si="19"/>
        <v>24.646493055555556</v>
      </c>
      <c r="L86" s="811">
        <f t="shared" ca="1" si="11"/>
        <v>1.9040823167445471</v>
      </c>
      <c r="M86" s="773">
        <f t="shared" si="13"/>
        <v>74</v>
      </c>
      <c r="N86" s="807">
        <f t="shared" ca="1" si="14"/>
        <v>1.0319091030239458</v>
      </c>
      <c r="O86" s="808">
        <f t="shared" si="20"/>
        <v>1.0049999999999999</v>
      </c>
      <c r="P86" s="811">
        <f t="shared" ca="1" si="21"/>
        <v>1.1321906668383659</v>
      </c>
    </row>
    <row r="87" spans="1:16">
      <c r="A87" s="809">
        <f t="shared" si="15"/>
        <v>37469</v>
      </c>
      <c r="B87" s="1110">
        <f ca="1">'[1]Monthly Curve Calc.'!B90</f>
        <v>222.19953672410441</v>
      </c>
      <c r="C87" s="1111">
        <f ca="1">'[1]Monthly Curve Calc.'!C90</f>
        <v>183.19947610943416</v>
      </c>
      <c r="D87" s="1111">
        <f ca="1">'[1]Monthly Curve Calc.'!D90</f>
        <v>148.66520253725685</v>
      </c>
      <c r="E87" s="1111">
        <f ca="1">'[1]Monthly Curve Calc.'!E90</f>
        <v>21.601388888888891</v>
      </c>
      <c r="F87" s="1112">
        <f ca="1">'[1]Monthly Curve Calc.'!F90</f>
        <v>2.0794850939080129</v>
      </c>
      <c r="G87" s="810">
        <f t="shared" ca="1" si="16"/>
        <v>1.0883307783989822</v>
      </c>
      <c r="H87" s="808">
        <f t="shared" ca="1" si="17"/>
        <v>1.0319091030239458</v>
      </c>
      <c r="I87" s="808">
        <f t="shared" ca="1" si="18"/>
        <v>1.0294091030239458</v>
      </c>
      <c r="J87" s="808">
        <f t="shared" ca="1" si="12"/>
        <v>1.0366708473794002</v>
      </c>
      <c r="K87" s="808">
        <f t="shared" ca="1" si="19"/>
        <v>24.646493055555556</v>
      </c>
      <c r="L87" s="811">
        <f t="shared" ca="1" si="11"/>
        <v>1.9040823167445471</v>
      </c>
      <c r="M87" s="773">
        <f t="shared" si="13"/>
        <v>75</v>
      </c>
      <c r="N87" s="807">
        <f t="shared" ca="1" si="14"/>
        <v>1.0319091030239458</v>
      </c>
      <c r="O87" s="808">
        <f t="shared" si="20"/>
        <v>1.0049999999999999</v>
      </c>
      <c r="P87" s="811">
        <f t="shared" ca="1" si="21"/>
        <v>1.1321906668383659</v>
      </c>
    </row>
    <row r="88" spans="1:16">
      <c r="A88" s="809">
        <f t="shared" si="15"/>
        <v>37500</v>
      </c>
      <c r="B88" s="1110">
        <f ca="1">'[1]Monthly Curve Calc.'!B91</f>
        <v>223.71526938978778</v>
      </c>
      <c r="C88" s="1111">
        <f ca="1">'[1]Monthly Curve Calc.'!C91</f>
        <v>183.65796323475908</v>
      </c>
      <c r="D88" s="1111">
        <f ca="1">'[1]Monthly Curve Calc.'!D91</f>
        <v>149.03636751917409</v>
      </c>
      <c r="E88" s="1111">
        <f ca="1">'[1]Monthly Curve Calc.'!E91</f>
        <v>21.442708333333336</v>
      </c>
      <c r="F88" s="1112">
        <f ca="1">'[1]Monthly Curve Calc.'!F91</f>
        <v>2.0907239657545715</v>
      </c>
      <c r="G88" s="810">
        <f t="shared" ca="1" si="16"/>
        <v>1.0883307783989822</v>
      </c>
      <c r="H88" s="808">
        <f t="shared" ca="1" si="17"/>
        <v>1.0319091030239458</v>
      </c>
      <c r="I88" s="808">
        <f t="shared" ca="1" si="18"/>
        <v>1.0294091030239458</v>
      </c>
      <c r="J88" s="808">
        <f t="shared" ca="1" si="12"/>
        <v>1.0366708473794002</v>
      </c>
      <c r="K88" s="808">
        <f t="shared" ca="1" si="19"/>
        <v>24.646493055555556</v>
      </c>
      <c r="L88" s="811">
        <f t="shared" ca="1" si="11"/>
        <v>1.9040823167445471</v>
      </c>
      <c r="M88" s="773">
        <f t="shared" si="13"/>
        <v>76</v>
      </c>
      <c r="N88" s="807">
        <f t="shared" ca="1" si="14"/>
        <v>1.0319091030239458</v>
      </c>
      <c r="O88" s="808">
        <f t="shared" si="20"/>
        <v>1.0049999999999999</v>
      </c>
      <c r="P88" s="811">
        <f t="shared" ca="1" si="21"/>
        <v>1.1321906668383659</v>
      </c>
    </row>
    <row r="89" spans="1:16">
      <c r="A89" s="809">
        <f t="shared" si="15"/>
        <v>37530</v>
      </c>
      <c r="B89" s="1110">
        <f ca="1">'[1]Monthly Curve Calc.'!B92</f>
        <v>225.24134161579468</v>
      </c>
      <c r="C89" s="1111">
        <f ca="1">'[1]Monthly Curve Calc.'!C92</f>
        <v>184.11759780028717</v>
      </c>
      <c r="D89" s="1111">
        <f ca="1">'[1]Monthly Curve Calc.'!D92</f>
        <v>149.40845917015344</v>
      </c>
      <c r="E89" s="1111">
        <f ca="1">'[1]Monthly Curve Calc.'!E92</f>
        <v>21.28402777777778</v>
      </c>
      <c r="F89" s="1112">
        <f ca="1">'[1]Monthly Curve Calc.'!F92</f>
        <v>2.1020235796765379</v>
      </c>
      <c r="G89" s="810">
        <f t="shared" ca="1" si="16"/>
        <v>1.0883307783989822</v>
      </c>
      <c r="H89" s="808">
        <f t="shared" ca="1" si="17"/>
        <v>1.0319091030239458</v>
      </c>
      <c r="I89" s="808">
        <f t="shared" ca="1" si="18"/>
        <v>1.0294091030239458</v>
      </c>
      <c r="J89" s="808">
        <f t="shared" ca="1" si="12"/>
        <v>1.0366708473794002</v>
      </c>
      <c r="K89" s="808">
        <f t="shared" ca="1" si="19"/>
        <v>24.646493055555556</v>
      </c>
      <c r="L89" s="811">
        <f t="shared" ca="1" si="11"/>
        <v>1.9040823167445471</v>
      </c>
      <c r="M89" s="773">
        <f t="shared" si="13"/>
        <v>77</v>
      </c>
      <c r="N89" s="807">
        <f t="shared" ca="1" si="14"/>
        <v>1.0319091030239458</v>
      </c>
      <c r="O89" s="808">
        <f t="shared" si="20"/>
        <v>1.0049999999999999</v>
      </c>
      <c r="P89" s="811">
        <f t="shared" ca="1" si="21"/>
        <v>1.1321906668383659</v>
      </c>
    </row>
    <row r="90" spans="1:16">
      <c r="A90" s="809">
        <f t="shared" si="15"/>
        <v>37561</v>
      </c>
      <c r="B90" s="1110">
        <f ca="1">'[1]Monthly Curve Calc.'!B93</f>
        <v>226.77782393336727</v>
      </c>
      <c r="C90" s="1111">
        <f ca="1">'[1]Monthly Curve Calc.'!C93</f>
        <v>184.57838267767818</v>
      </c>
      <c r="D90" s="1111">
        <f ca="1">'[1]Monthly Curve Calc.'!D93</f>
        <v>149.78147980376323</v>
      </c>
      <c r="E90" s="1111">
        <f ca="1">'[1]Monthly Curve Calc.'!E93</f>
        <v>21.125347222222224</v>
      </c>
      <c r="F90" s="1112">
        <f ca="1">'[1]Monthly Curve Calc.'!F93</f>
        <v>2.1133842639630656</v>
      </c>
      <c r="G90" s="810">
        <f t="shared" ca="1" si="16"/>
        <v>1.0883307783989822</v>
      </c>
      <c r="H90" s="808">
        <f t="shared" ca="1" si="17"/>
        <v>1.0319091030239458</v>
      </c>
      <c r="I90" s="808">
        <f t="shared" ca="1" si="18"/>
        <v>1.0294091030239458</v>
      </c>
      <c r="J90" s="808">
        <f t="shared" ca="1" si="12"/>
        <v>1.0366708473794002</v>
      </c>
      <c r="K90" s="808">
        <f t="shared" ca="1" si="19"/>
        <v>24.646493055555556</v>
      </c>
      <c r="L90" s="811">
        <f t="shared" ca="1" si="11"/>
        <v>1.9040823167445471</v>
      </c>
      <c r="M90" s="773">
        <f t="shared" si="13"/>
        <v>78</v>
      </c>
      <c r="N90" s="807">
        <f t="shared" ca="1" si="14"/>
        <v>1.0319091030239458</v>
      </c>
      <c r="O90" s="808">
        <f t="shared" si="20"/>
        <v>1.0049999999999999</v>
      </c>
      <c r="P90" s="811">
        <f t="shared" ca="1" si="21"/>
        <v>1.1321906668383659</v>
      </c>
    </row>
    <row r="91" spans="1:16">
      <c r="A91" s="809">
        <f t="shared" si="15"/>
        <v>37591</v>
      </c>
      <c r="B91" s="1110">
        <f ca="1">'[1]Monthly Curve Calc.'!B94</f>
        <v>228.32478735487609</v>
      </c>
      <c r="C91" s="1111">
        <f ca="1">'[1]Monthly Curve Calc.'!C94</f>
        <v>185.04032074577864</v>
      </c>
      <c r="D91" s="1111">
        <f ca="1">'[1]Monthly Curve Calc.'!D94</f>
        <v>150.15543173934796</v>
      </c>
      <c r="E91" s="1111">
        <f ca="1">'[1]Monthly Curve Calc.'!E94</f>
        <v>20.966666666666665</v>
      </c>
      <c r="F91" s="1112">
        <f ca="1">'[1]Monthly Curve Calc.'!F94</f>
        <v>2.1248063486775925</v>
      </c>
      <c r="G91" s="810">
        <f t="shared" ca="1" si="16"/>
        <v>1.0883307783989822</v>
      </c>
      <c r="H91" s="808">
        <f t="shared" ca="1" si="17"/>
        <v>1.0319091030239458</v>
      </c>
      <c r="I91" s="808">
        <f t="shared" ca="1" si="18"/>
        <v>1.0294091030239458</v>
      </c>
      <c r="J91" s="808">
        <f t="shared" ca="1" si="12"/>
        <v>1.0366708473794002</v>
      </c>
      <c r="K91" s="808">
        <f t="shared" ca="1" si="19"/>
        <v>24.646493055555556</v>
      </c>
      <c r="L91" s="811">
        <f t="shared" ca="1" si="11"/>
        <v>1.9040823167445471</v>
      </c>
      <c r="M91" s="773">
        <f t="shared" si="13"/>
        <v>79</v>
      </c>
      <c r="N91" s="807">
        <f t="shared" ca="1" si="14"/>
        <v>1.0319091030239458</v>
      </c>
      <c r="O91" s="808">
        <f t="shared" si="20"/>
        <v>1.0049999999999999</v>
      </c>
      <c r="P91" s="811">
        <f t="shared" ca="1" si="21"/>
        <v>1.1321906668383659</v>
      </c>
    </row>
    <row r="92" spans="1:16">
      <c r="A92" s="809">
        <f t="shared" si="15"/>
        <v>37622</v>
      </c>
      <c r="B92" s="1110">
        <f ca="1">'[1]Monthly Curve Calc.'!B95</f>
        <v>229.7938359115775</v>
      </c>
      <c r="C92" s="1111">
        <f ca="1">'[1]Monthly Curve Calc.'!C95</f>
        <v>185.48840652139788</v>
      </c>
      <c r="D92" s="1111">
        <f ca="1">'[1]Monthly Curve Calc.'!D95</f>
        <v>150.50035823592538</v>
      </c>
      <c r="E92" s="1111">
        <f ca="1">'[1]Monthly Curve Calc.'!E95</f>
        <v>20.894791666666666</v>
      </c>
      <c r="F92" s="1112">
        <f ca="1">'[1]Monthly Curve Calc.'!F95</f>
        <v>2.1308778783404252</v>
      </c>
      <c r="G92" s="810">
        <f t="shared" ca="1" si="16"/>
        <v>1.0883307783989822</v>
      </c>
      <c r="H92" s="808">
        <f t="shared" ca="1" si="17"/>
        <v>1.0319091030239458</v>
      </c>
      <c r="I92" s="808">
        <f t="shared" ca="1" si="18"/>
        <v>1.0294091030239458</v>
      </c>
      <c r="J92" s="808">
        <f t="shared" ca="1" si="12"/>
        <v>1.0303746385820687</v>
      </c>
      <c r="K92" s="808">
        <f t="shared" ca="1" si="19"/>
        <v>21.839409722222225</v>
      </c>
      <c r="L92" s="811">
        <f t="shared" ca="1" si="11"/>
        <v>2.0630970585159614</v>
      </c>
      <c r="M92" s="773">
        <f t="shared" si="13"/>
        <v>80</v>
      </c>
      <c r="N92" s="807">
        <f t="shared" ca="1" si="14"/>
        <v>1.0319091030239458</v>
      </c>
      <c r="O92" s="808">
        <f t="shared" si="20"/>
        <v>1.0049999999999999</v>
      </c>
      <c r="P92" s="811">
        <f t="shared" ca="1" si="21"/>
        <v>1.1321906668383659</v>
      </c>
    </row>
    <row r="93" spans="1:16">
      <c r="A93" s="809">
        <f t="shared" si="15"/>
        <v>37653</v>
      </c>
      <c r="B93" s="1110">
        <f ca="1">'[1]Monthly Curve Calc.'!B96</f>
        <v>231.27233637092579</v>
      </c>
      <c r="C93" s="1111">
        <f ca="1">'[1]Monthly Curve Calc.'!C96</f>
        <v>185.93757736248557</v>
      </c>
      <c r="D93" s="1111">
        <f ca="1">'[1]Monthly Curve Calc.'!D96</f>
        <v>150.84607707339023</v>
      </c>
      <c r="E93" s="1111">
        <f ca="1">'[1]Monthly Curve Calc.'!E96</f>
        <v>20.822916666666668</v>
      </c>
      <c r="F93" s="1112">
        <f ca="1">'[1]Monthly Curve Calc.'!F96</f>
        <v>2.1369667571007271</v>
      </c>
      <c r="G93" s="810">
        <f t="shared" ca="1" si="16"/>
        <v>1.0883307783989822</v>
      </c>
      <c r="H93" s="808">
        <f t="shared" ca="1" si="17"/>
        <v>1.0319091030239458</v>
      </c>
      <c r="I93" s="808">
        <f t="shared" ca="1" si="18"/>
        <v>1.0294091030239458</v>
      </c>
      <c r="J93" s="808">
        <f t="shared" ca="1" si="12"/>
        <v>1.0303746385820687</v>
      </c>
      <c r="K93" s="808">
        <f t="shared" ca="1" si="19"/>
        <v>21.839409722222225</v>
      </c>
      <c r="L93" s="811">
        <f t="shared" ca="1" si="11"/>
        <v>2.0630970585159614</v>
      </c>
      <c r="M93" s="773">
        <f t="shared" si="13"/>
        <v>81</v>
      </c>
      <c r="N93" s="807">
        <f t="shared" ca="1" si="14"/>
        <v>1.0319091030239458</v>
      </c>
      <c r="O93" s="808">
        <f t="shared" si="20"/>
        <v>1.0049999999999999</v>
      </c>
      <c r="P93" s="811">
        <f t="shared" ca="1" si="21"/>
        <v>1.1321906668383659</v>
      </c>
    </row>
    <row r="94" spans="1:16">
      <c r="A94" s="809">
        <f t="shared" si="15"/>
        <v>37681</v>
      </c>
      <c r="B94" s="1110">
        <f ca="1">'[1]Monthly Curve Calc.'!B97</f>
        <v>232.76034954674716</v>
      </c>
      <c r="C94" s="1111">
        <f ca="1">'[1]Monthly Curve Calc.'!C97</f>
        <v>186.38783589659013</v>
      </c>
      <c r="D94" s="1111">
        <f ca="1">'[1]Monthly Curve Calc.'!D97</f>
        <v>151.19259007185232</v>
      </c>
      <c r="E94" s="1111">
        <f ca="1">'[1]Monthly Curve Calc.'!E97</f>
        <v>20.751041666666669</v>
      </c>
      <c r="F94" s="1112">
        <f ca="1">'[1]Monthly Curve Calc.'!F97</f>
        <v>2.1430730345326912</v>
      </c>
      <c r="G94" s="810">
        <f t="shared" ca="1" si="16"/>
        <v>1.0883307783989822</v>
      </c>
      <c r="H94" s="808">
        <f t="shared" ca="1" si="17"/>
        <v>1.0319091030239458</v>
      </c>
      <c r="I94" s="808">
        <f t="shared" ca="1" si="18"/>
        <v>1.0294091030239458</v>
      </c>
      <c r="J94" s="808">
        <f t="shared" ca="1" si="12"/>
        <v>1.0303746385820687</v>
      </c>
      <c r="K94" s="808">
        <f t="shared" ca="1" si="19"/>
        <v>21.839409722222225</v>
      </c>
      <c r="L94" s="811">
        <f t="shared" ca="1" si="11"/>
        <v>2.0630970585159614</v>
      </c>
      <c r="M94" s="773">
        <f t="shared" si="13"/>
        <v>82</v>
      </c>
      <c r="N94" s="807">
        <f t="shared" ca="1" si="14"/>
        <v>1.0319091030239458</v>
      </c>
      <c r="O94" s="808">
        <f t="shared" si="20"/>
        <v>1.0049999999999999</v>
      </c>
      <c r="P94" s="811">
        <f t="shared" ca="1" si="21"/>
        <v>1.1321906668383659</v>
      </c>
    </row>
    <row r="95" spans="1:16">
      <c r="A95" s="809">
        <f t="shared" si="15"/>
        <v>37712</v>
      </c>
      <c r="B95" s="1110">
        <f ca="1">'[1]Monthly Curve Calc.'!B98</f>
        <v>234.25793664414587</v>
      </c>
      <c r="C95" s="1111">
        <f ca="1">'[1]Monthly Curve Calc.'!C98</f>
        <v>186.83918475762275</v>
      </c>
      <c r="D95" s="1111">
        <f ca="1">'[1]Monthly Curve Calc.'!D98</f>
        <v>151.5398990556024</v>
      </c>
      <c r="E95" s="1111">
        <f ca="1">'[1]Monthly Curve Calc.'!E98</f>
        <v>20.679166666666671</v>
      </c>
      <c r="F95" s="1112">
        <f ca="1">'[1]Monthly Curve Calc.'!F98</f>
        <v>2.1491967603521664</v>
      </c>
      <c r="G95" s="810">
        <f t="shared" ca="1" si="16"/>
        <v>1.0883307783989822</v>
      </c>
      <c r="H95" s="808">
        <f t="shared" ca="1" si="17"/>
        <v>1.0319091030239458</v>
      </c>
      <c r="I95" s="808">
        <f t="shared" ca="1" si="18"/>
        <v>1.0294091030239458</v>
      </c>
      <c r="J95" s="808">
        <f t="shared" ca="1" si="12"/>
        <v>1.0303746385820687</v>
      </c>
      <c r="K95" s="808">
        <f t="shared" ca="1" si="19"/>
        <v>21.839409722222225</v>
      </c>
      <c r="L95" s="811">
        <f t="shared" ca="1" si="11"/>
        <v>2.0630970585159614</v>
      </c>
      <c r="M95" s="773">
        <f t="shared" si="13"/>
        <v>83</v>
      </c>
      <c r="N95" s="807">
        <f t="shared" ca="1" si="14"/>
        <v>1.0319091030239458</v>
      </c>
      <c r="O95" s="808">
        <f t="shared" si="20"/>
        <v>1.0049999999999999</v>
      </c>
      <c r="P95" s="811">
        <f t="shared" ca="1" si="21"/>
        <v>1.1321906668383659</v>
      </c>
    </row>
    <row r="96" spans="1:16">
      <c r="A96" s="809">
        <f t="shared" si="15"/>
        <v>37742</v>
      </c>
      <c r="B96" s="1110">
        <f ca="1">'[1]Monthly Curve Calc.'!B99</f>
        <v>235.76515926202157</v>
      </c>
      <c r="C96" s="1111">
        <f ca="1">'[1]Monthly Curve Calc.'!C99</f>
        <v>187.29162658587273</v>
      </c>
      <c r="D96" s="1111">
        <f ca="1">'[1]Monthly Curve Calc.'!D99</f>
        <v>151.88800585312191</v>
      </c>
      <c r="E96" s="1111">
        <f ca="1">'[1]Monthly Curve Calc.'!E99</f>
        <v>20.607291666666672</v>
      </c>
      <c r="F96" s="1112">
        <f ca="1">'[1]Monthly Curve Calc.'!F99</f>
        <v>2.1553379844170619</v>
      </c>
      <c r="G96" s="810">
        <f t="shared" ca="1" si="16"/>
        <v>1.0833307665948395</v>
      </c>
      <c r="H96" s="808">
        <f t="shared" ca="1" si="17"/>
        <v>1.0301154037813975</v>
      </c>
      <c r="I96" s="808">
        <f t="shared" ca="1" si="18"/>
        <v>1.0276154037813976</v>
      </c>
      <c r="J96" s="808">
        <f t="shared" ca="1" si="12"/>
        <v>1.0303746385820687</v>
      </c>
      <c r="K96" s="808">
        <f t="shared" ca="1" si="19"/>
        <v>21.839409722222225</v>
      </c>
      <c r="L96" s="811">
        <f t="shared" ca="1" si="11"/>
        <v>2.0630970585159614</v>
      </c>
      <c r="M96" s="773">
        <f t="shared" si="13"/>
        <v>84</v>
      </c>
      <c r="N96" s="807">
        <f t="shared" ca="1" si="14"/>
        <v>1.0301154037813975</v>
      </c>
      <c r="O96" s="808">
        <f t="shared" si="20"/>
        <v>1.0049999999999999</v>
      </c>
      <c r="P96" s="811">
        <f t="shared" ca="1" si="21"/>
        <v>1.166287045927733</v>
      </c>
    </row>
    <row r="97" spans="1:16">
      <c r="A97" s="809">
        <f t="shared" si="15"/>
        <v>37773</v>
      </c>
      <c r="B97" s="1110">
        <f ca="1">'[1]Monthly Curve Calc.'!B100</f>
        <v>237.28207939560318</v>
      </c>
      <c r="C97" s="1111">
        <f ca="1">'[1]Monthly Curve Calc.'!C100</f>
        <v>187.74516402802308</v>
      </c>
      <c r="D97" s="1111">
        <f ca="1">'[1]Monthly Curve Calc.'!D100</f>
        <v>152.23691229709252</v>
      </c>
      <c r="E97" s="1111">
        <f ca="1">'[1]Monthly Curve Calc.'!E100</f>
        <v>20.535416666666674</v>
      </c>
      <c r="F97" s="1112">
        <f ca="1">'[1]Monthly Curve Calc.'!F100</f>
        <v>2.1614967567277539</v>
      </c>
      <c r="G97" s="810">
        <f t="shared" ca="1" si="16"/>
        <v>1.0833307665948395</v>
      </c>
      <c r="H97" s="808">
        <f t="shared" ca="1" si="17"/>
        <v>1.0301154037813975</v>
      </c>
      <c r="I97" s="808">
        <f t="shared" ca="1" si="18"/>
        <v>1.0276154037813976</v>
      </c>
      <c r="J97" s="808">
        <f t="shared" ca="1" si="12"/>
        <v>1.0303746385820687</v>
      </c>
      <c r="K97" s="808">
        <f t="shared" ca="1" si="19"/>
        <v>21.839409722222225</v>
      </c>
      <c r="L97" s="811">
        <f t="shared" ref="L97:L160" ca="1" si="22">IF($A97&gt;=L$16,IF(MONTH($A97)=MONTH(L$16),AVERAGE(F85:F96),L96),L96)</f>
        <v>2.0630970585159614</v>
      </c>
      <c r="M97" s="773">
        <f t="shared" si="13"/>
        <v>85</v>
      </c>
      <c r="N97" s="807">
        <f t="shared" ca="1" si="14"/>
        <v>1.0301154037813975</v>
      </c>
      <c r="O97" s="808">
        <f t="shared" si="20"/>
        <v>1.0049999999999999</v>
      </c>
      <c r="P97" s="811">
        <f t="shared" ca="1" si="21"/>
        <v>1.166287045927733</v>
      </c>
    </row>
    <row r="98" spans="1:16">
      <c r="A98" s="809">
        <f t="shared" si="15"/>
        <v>37803</v>
      </c>
      <c r="B98" s="1110">
        <f ca="1">'[1]Monthly Curve Calc.'!B101</f>
        <v>238.80875943899872</v>
      </c>
      <c r="C98" s="1111">
        <f ca="1">'[1]Monthly Curve Calc.'!C101</f>
        <v>188.19979973716582</v>
      </c>
      <c r="D98" s="1111">
        <f ca="1">'[1]Monthly Curve Calc.'!D101</f>
        <v>152.58662022440581</v>
      </c>
      <c r="E98" s="1111">
        <f ca="1">'[1]Monthly Curve Calc.'!E101</f>
        <v>20.463541666666675</v>
      </c>
      <c r="F98" s="1112">
        <f ca="1">'[1]Monthly Curve Calc.'!F101</f>
        <v>2.1676731274274914</v>
      </c>
      <c r="G98" s="810">
        <f t="shared" ca="1" si="16"/>
        <v>1.0833307665948395</v>
      </c>
      <c r="H98" s="808">
        <f t="shared" ca="1" si="17"/>
        <v>1.0301154037813975</v>
      </c>
      <c r="I98" s="808">
        <f t="shared" ca="1" si="18"/>
        <v>1.0276154037813976</v>
      </c>
      <c r="J98" s="808">
        <f t="shared" ca="1" si="12"/>
        <v>1.0303746385820687</v>
      </c>
      <c r="K98" s="808">
        <f t="shared" ca="1" si="19"/>
        <v>21.839409722222225</v>
      </c>
      <c r="L98" s="811">
        <f t="shared" ca="1" si="22"/>
        <v>2.0630970585159614</v>
      </c>
      <c r="M98" s="773">
        <f t="shared" si="13"/>
        <v>86</v>
      </c>
      <c r="N98" s="807">
        <f t="shared" ca="1" si="14"/>
        <v>1.0301154037813975</v>
      </c>
      <c r="O98" s="808">
        <f t="shared" si="20"/>
        <v>1.0049999999999999</v>
      </c>
      <c r="P98" s="811">
        <f t="shared" ca="1" si="21"/>
        <v>1.166287045927733</v>
      </c>
    </row>
    <row r="99" spans="1:16">
      <c r="A99" s="809">
        <f t="shared" si="15"/>
        <v>37834</v>
      </c>
      <c r="B99" s="1110">
        <f ca="1">'[1]Monthly Curve Calc.'!B102</f>
        <v>240.34526218776179</v>
      </c>
      <c r="C99" s="1111">
        <f ca="1">'[1]Monthly Curve Calc.'!C102</f>
        <v>188.65553637281764</v>
      </c>
      <c r="D99" s="1111">
        <f ca="1">'[1]Monthly Curve Calc.'!D102</f>
        <v>152.93713147617294</v>
      </c>
      <c r="E99" s="1111">
        <f ca="1">'[1]Monthly Curve Calc.'!E102</f>
        <v>20.391666666666676</v>
      </c>
      <c r="F99" s="1112">
        <f ca="1">'[1]Monthly Curve Calc.'!F102</f>
        <v>2.1738671468028063</v>
      </c>
      <c r="G99" s="810">
        <f t="shared" ca="1" si="16"/>
        <v>1.0833307665948395</v>
      </c>
      <c r="H99" s="808">
        <f t="shared" ca="1" si="17"/>
        <v>1.0301154037813975</v>
      </c>
      <c r="I99" s="808">
        <f t="shared" ca="1" si="18"/>
        <v>1.0276154037813976</v>
      </c>
      <c r="J99" s="808">
        <f t="shared" ca="1" si="12"/>
        <v>1.0303746385820687</v>
      </c>
      <c r="K99" s="808">
        <f t="shared" ca="1" si="19"/>
        <v>21.839409722222225</v>
      </c>
      <c r="L99" s="811">
        <f t="shared" ca="1" si="22"/>
        <v>2.0630970585159614</v>
      </c>
      <c r="M99" s="773">
        <f t="shared" si="13"/>
        <v>87</v>
      </c>
      <c r="N99" s="807">
        <f t="shared" ca="1" si="14"/>
        <v>1.0301154037813975</v>
      </c>
      <c r="O99" s="808">
        <f t="shared" si="20"/>
        <v>1.0049999999999999</v>
      </c>
      <c r="P99" s="811">
        <f t="shared" ca="1" si="21"/>
        <v>1.166287045927733</v>
      </c>
    </row>
    <row r="100" spans="1:16">
      <c r="A100" s="809">
        <f t="shared" si="15"/>
        <v>37865</v>
      </c>
      <c r="B100" s="1110">
        <f ca="1">'[1]Monthly Curve Calc.'!B103</f>
        <v>241.89165084147453</v>
      </c>
      <c r="C100" s="1111">
        <f ca="1">'[1]Monthly Curve Calc.'!C103</f>
        <v>189.11237660093536</v>
      </c>
      <c r="D100" s="1111">
        <f ca="1">'[1]Monthly Curve Calc.'!D103</f>
        <v>153.28844789773433</v>
      </c>
      <c r="E100" s="1111">
        <f ca="1">'[1]Monthly Curve Calc.'!E103</f>
        <v>20.319791666666678</v>
      </c>
      <c r="F100" s="1112">
        <f ca="1">'[1]Monthly Curve Calc.'!F103</f>
        <v>2.1800788652839209</v>
      </c>
      <c r="G100" s="810">
        <f t="shared" ca="1" si="16"/>
        <v>1.0833307665948395</v>
      </c>
      <c r="H100" s="808">
        <f t="shared" ca="1" si="17"/>
        <v>1.0301154037813975</v>
      </c>
      <c r="I100" s="808">
        <f t="shared" ca="1" si="18"/>
        <v>1.0276154037813976</v>
      </c>
      <c r="J100" s="808">
        <f t="shared" ca="1" si="12"/>
        <v>1.0303746385820687</v>
      </c>
      <c r="K100" s="808">
        <f t="shared" ca="1" si="19"/>
        <v>21.839409722222225</v>
      </c>
      <c r="L100" s="811">
        <f t="shared" ca="1" si="22"/>
        <v>2.0630970585159614</v>
      </c>
      <c r="M100" s="773">
        <f t="shared" si="13"/>
        <v>88</v>
      </c>
      <c r="N100" s="807">
        <f t="shared" ca="1" si="14"/>
        <v>1.0301154037813975</v>
      </c>
      <c r="O100" s="808">
        <f t="shared" si="20"/>
        <v>1.0049999999999999</v>
      </c>
      <c r="P100" s="811">
        <f t="shared" ca="1" si="21"/>
        <v>1.166287045927733</v>
      </c>
    </row>
    <row r="101" spans="1:16">
      <c r="A101" s="809">
        <f t="shared" si="15"/>
        <v>37895</v>
      </c>
      <c r="B101" s="1110">
        <f ca="1">'[1]Monthly Curve Calc.'!B104</f>
        <v>243.447989006347</v>
      </c>
      <c r="C101" s="1111">
        <f ca="1">'[1]Monthly Curve Calc.'!C104</f>
        <v>189.57032309393159</v>
      </c>
      <c r="D101" s="1111">
        <f ca="1">'[1]Monthly Curve Calc.'!D104</f>
        <v>153.64057133866942</v>
      </c>
      <c r="E101" s="1111">
        <f ca="1">'[1]Monthly Curve Calc.'!E104</f>
        <v>20.247916666666679</v>
      </c>
      <c r="F101" s="1112">
        <f ca="1">'[1]Monthly Curve Calc.'!F104</f>
        <v>2.1863083334451598</v>
      </c>
      <c r="G101" s="810">
        <f t="shared" ca="1" si="16"/>
        <v>1.0833307665948395</v>
      </c>
      <c r="H101" s="808">
        <f t="shared" ca="1" si="17"/>
        <v>1.0301154037813975</v>
      </c>
      <c r="I101" s="808">
        <f t="shared" ca="1" si="18"/>
        <v>1.0276154037813976</v>
      </c>
      <c r="J101" s="808">
        <f t="shared" ca="1" si="12"/>
        <v>1.0303746385820687</v>
      </c>
      <c r="K101" s="808">
        <f t="shared" ca="1" si="19"/>
        <v>21.839409722222225</v>
      </c>
      <c r="L101" s="811">
        <f t="shared" ca="1" si="22"/>
        <v>2.0630970585159614</v>
      </c>
      <c r="M101" s="773">
        <f t="shared" si="13"/>
        <v>89</v>
      </c>
      <c r="N101" s="807">
        <f t="shared" ca="1" si="14"/>
        <v>1.0301154037813975</v>
      </c>
      <c r="O101" s="808">
        <f t="shared" si="20"/>
        <v>1.0049999999999999</v>
      </c>
      <c r="P101" s="811">
        <f t="shared" ca="1" si="21"/>
        <v>1.166287045927733</v>
      </c>
    </row>
    <row r="102" spans="1:16">
      <c r="A102" s="809">
        <f t="shared" si="15"/>
        <v>37926</v>
      </c>
      <c r="B102" s="1110">
        <f ca="1">'[1]Monthly Curve Calc.'!B105</f>
        <v>245.01434069783363</v>
      </c>
      <c r="C102" s="1111">
        <f ca="1">'[1]Monthly Curve Calc.'!C105</f>
        <v>190.02937853069034</v>
      </c>
      <c r="D102" s="1111">
        <f ca="1">'[1]Monthly Curve Calc.'!D105</f>
        <v>153.99350365280634</v>
      </c>
      <c r="E102" s="1111">
        <f ca="1">'[1]Monthly Curve Calc.'!E105</f>
        <v>20.176041666666681</v>
      </c>
      <c r="F102" s="1112">
        <f ca="1">'[1]Monthly Curve Calc.'!F105</f>
        <v>2.1925556020053616</v>
      </c>
      <c r="G102" s="810">
        <f t="shared" ca="1" si="16"/>
        <v>1.0833307665948395</v>
      </c>
      <c r="H102" s="808">
        <f t="shared" ca="1" si="17"/>
        <v>1.0301154037813975</v>
      </c>
      <c r="I102" s="808">
        <f t="shared" ca="1" si="18"/>
        <v>1.0276154037813976</v>
      </c>
      <c r="J102" s="808">
        <f t="shared" ca="1" si="12"/>
        <v>1.0303746385820687</v>
      </c>
      <c r="K102" s="808">
        <f t="shared" ca="1" si="19"/>
        <v>21.839409722222225</v>
      </c>
      <c r="L102" s="811">
        <f t="shared" ca="1" si="22"/>
        <v>2.0630970585159614</v>
      </c>
      <c r="M102" s="773">
        <f t="shared" si="13"/>
        <v>90</v>
      </c>
      <c r="N102" s="807">
        <f t="shared" ca="1" si="14"/>
        <v>1.0301154037813975</v>
      </c>
      <c r="O102" s="808">
        <f t="shared" si="20"/>
        <v>1.0049999999999999</v>
      </c>
      <c r="P102" s="811">
        <f t="shared" ca="1" si="21"/>
        <v>1.166287045927733</v>
      </c>
    </row>
    <row r="103" spans="1:16">
      <c r="A103" s="809">
        <f t="shared" si="15"/>
        <v>37956</v>
      </c>
      <c r="B103" s="1110">
        <f ca="1">'[1]Monthly Curve Calc.'!B106</f>
        <v>246.59077034326614</v>
      </c>
      <c r="C103" s="1111">
        <f ca="1">'[1]Monthly Curve Calc.'!C106</f>
        <v>190.4895455965827</v>
      </c>
      <c r="D103" s="1111">
        <f ca="1">'[1]Monthly Curve Calc.'!D106</f>
        <v>154.34724669823174</v>
      </c>
      <c r="E103" s="1111">
        <f ca="1">'[1]Monthly Curve Calc.'!E106</f>
        <v>20.104166666666668</v>
      </c>
      <c r="F103" s="1112">
        <f ca="1">'[1]Monthly Curve Calc.'!F106</f>
        <v>2.1988207218282909</v>
      </c>
      <c r="G103" s="810">
        <f t="shared" ca="1" si="16"/>
        <v>1.0833307665948395</v>
      </c>
      <c r="H103" s="808">
        <f t="shared" ca="1" si="17"/>
        <v>1.0301154037813975</v>
      </c>
      <c r="I103" s="808">
        <f t="shared" ca="1" si="18"/>
        <v>1.0276154037813976</v>
      </c>
      <c r="J103" s="808">
        <f t="shared" ca="1" si="12"/>
        <v>1.0303746385820687</v>
      </c>
      <c r="K103" s="808">
        <f t="shared" ca="1" si="19"/>
        <v>21.839409722222225</v>
      </c>
      <c r="L103" s="811">
        <f t="shared" ca="1" si="22"/>
        <v>2.0630970585159614</v>
      </c>
      <c r="M103" s="773">
        <f t="shared" si="13"/>
        <v>91</v>
      </c>
      <c r="N103" s="807">
        <f t="shared" ca="1" si="14"/>
        <v>1.0301154037813975</v>
      </c>
      <c r="O103" s="808">
        <f t="shared" si="20"/>
        <v>1.0049999999999999</v>
      </c>
      <c r="P103" s="811">
        <f t="shared" ca="1" si="21"/>
        <v>1.166287045927733</v>
      </c>
    </row>
    <row r="104" spans="1:16">
      <c r="A104" s="809">
        <f t="shared" si="15"/>
        <v>37987</v>
      </c>
      <c r="B104" s="1110">
        <f ca="1">'[1]Monthly Curve Calc.'!B107</f>
        <v>248.17734278450365</v>
      </c>
      <c r="C104" s="1111">
        <f ca="1">'[1]Monthly Curve Calc.'!C107</f>
        <v>190.93955289546653</v>
      </c>
      <c r="D104" s="1111">
        <f ca="1">'[1]Monthly Curve Calc.'!D107</f>
        <v>154.67873862562061</v>
      </c>
      <c r="E104" s="1111">
        <f ca="1">'[1]Monthly Curve Calc.'!E107</f>
        <v>20.072812500000001</v>
      </c>
      <c r="F104" s="1112">
        <f ca="1">'[1]Monthly Curve Calc.'!F107</f>
        <v>2.2045030649335842</v>
      </c>
      <c r="G104" s="810">
        <f t="shared" ca="1" si="16"/>
        <v>1.0833307665948395</v>
      </c>
      <c r="H104" s="808">
        <f t="shared" ca="1" si="17"/>
        <v>1.0301154037813975</v>
      </c>
      <c r="I104" s="808">
        <f t="shared" ca="1" si="18"/>
        <v>1.0276154037813976</v>
      </c>
      <c r="J104" s="808">
        <f t="shared" ca="1" si="12"/>
        <v>1.027916505652358</v>
      </c>
      <c r="K104" s="808">
        <f t="shared" ca="1" si="19"/>
        <v>20.499479166666671</v>
      </c>
      <c r="L104" s="811">
        <f t="shared" ca="1" si="22"/>
        <v>2.1646877473553214</v>
      </c>
      <c r="M104" s="773">
        <f t="shared" si="13"/>
        <v>92</v>
      </c>
      <c r="N104" s="807">
        <f t="shared" ca="1" si="14"/>
        <v>1.0301154037813975</v>
      </c>
      <c r="O104" s="808">
        <f t="shared" si="20"/>
        <v>1.0049999999999999</v>
      </c>
      <c r="P104" s="811">
        <f t="shared" ca="1" si="21"/>
        <v>1.166287045927733</v>
      </c>
    </row>
    <row r="105" spans="1:16">
      <c r="A105" s="809">
        <f t="shared" si="15"/>
        <v>38018</v>
      </c>
      <c r="B105" s="1110">
        <f ca="1">'[1]Monthly Curve Calc.'!B108</f>
        <v>249.77412328059978</v>
      </c>
      <c r="C105" s="1111">
        <f ca="1">'[1]Monthly Curve Calc.'!C108</f>
        <v>191.39062327930031</v>
      </c>
      <c r="D105" s="1111">
        <f ca="1">'[1]Monthly Curve Calc.'!D108</f>
        <v>155.01094249896428</v>
      </c>
      <c r="E105" s="1111">
        <f ca="1">'[1]Monthly Curve Calc.'!E108</f>
        <v>20.041458333333335</v>
      </c>
      <c r="F105" s="1112">
        <f ca="1">'[1]Monthly Curve Calc.'!F108</f>
        <v>2.2102000927391106</v>
      </c>
      <c r="G105" s="810">
        <f t="shared" ca="1" si="16"/>
        <v>1.0833307665948395</v>
      </c>
      <c r="H105" s="808">
        <f t="shared" ca="1" si="17"/>
        <v>1.0301154037813975</v>
      </c>
      <c r="I105" s="808">
        <f t="shared" ca="1" si="18"/>
        <v>1.0276154037813976</v>
      </c>
      <c r="J105" s="808">
        <f t="shared" ca="1" si="12"/>
        <v>1.027916505652358</v>
      </c>
      <c r="K105" s="808">
        <f t="shared" ca="1" si="19"/>
        <v>20.499479166666671</v>
      </c>
      <c r="L105" s="811">
        <f t="shared" ca="1" si="22"/>
        <v>2.1646877473553214</v>
      </c>
      <c r="M105" s="773">
        <f t="shared" si="13"/>
        <v>93</v>
      </c>
      <c r="N105" s="807">
        <f t="shared" ca="1" si="14"/>
        <v>1.0301154037813975</v>
      </c>
      <c r="O105" s="808">
        <f t="shared" si="20"/>
        <v>1.0049999999999999</v>
      </c>
      <c r="P105" s="811">
        <f t="shared" ca="1" si="21"/>
        <v>1.166287045927733</v>
      </c>
    </row>
    <row r="106" spans="1:16">
      <c r="A106" s="809">
        <f t="shared" si="15"/>
        <v>38047</v>
      </c>
      <c r="B106" s="1110">
        <f ca="1">'[1]Monthly Curve Calc.'!B109</f>
        <v>251.38117751048688</v>
      </c>
      <c r="C106" s="1111">
        <f ca="1">'[1]Monthly Curve Calc.'!C109</f>
        <v>191.84275925948691</v>
      </c>
      <c r="D106" s="1111">
        <f ca="1">'[1]Monthly Curve Calc.'!D109</f>
        <v>155.34385984731071</v>
      </c>
      <c r="E106" s="1111">
        <f ca="1">'[1]Monthly Curve Calc.'!E109</f>
        <v>20.010104166666668</v>
      </c>
      <c r="F106" s="1112">
        <f ca="1">'[1]Monthly Curve Calc.'!F109</f>
        <v>2.2159118431940779</v>
      </c>
      <c r="G106" s="810">
        <f t="shared" ca="1" si="16"/>
        <v>1.0833307665948395</v>
      </c>
      <c r="H106" s="808">
        <f t="shared" ca="1" si="17"/>
        <v>1.0301154037813975</v>
      </c>
      <c r="I106" s="808">
        <f t="shared" ca="1" si="18"/>
        <v>1.0276154037813976</v>
      </c>
      <c r="J106" s="808">
        <f t="shared" ca="1" si="12"/>
        <v>1.027916505652358</v>
      </c>
      <c r="K106" s="808">
        <f t="shared" ca="1" si="19"/>
        <v>20.499479166666671</v>
      </c>
      <c r="L106" s="811">
        <f t="shared" ca="1" si="22"/>
        <v>2.1646877473553214</v>
      </c>
      <c r="M106" s="773">
        <f t="shared" si="13"/>
        <v>94</v>
      </c>
      <c r="N106" s="807">
        <f t="shared" ca="1" si="14"/>
        <v>1.0301154037813975</v>
      </c>
      <c r="O106" s="808">
        <f t="shared" si="20"/>
        <v>1.0049999999999999</v>
      </c>
      <c r="P106" s="811">
        <f t="shared" ca="1" si="21"/>
        <v>1.166287045927733</v>
      </c>
    </row>
    <row r="107" spans="1:16">
      <c r="A107" s="809">
        <f t="shared" si="15"/>
        <v>38078</v>
      </c>
      <c r="B107" s="1110">
        <f ca="1">'[1]Monthly Curve Calc.'!B110</f>
        <v>252.99857157567746</v>
      </c>
      <c r="C107" s="1111">
        <f ca="1">'[1]Monthly Curve Calc.'!C110</f>
        <v>192.29596335336203</v>
      </c>
      <c r="D107" s="1111">
        <f ca="1">'[1]Monthly Curve Calc.'!D110</f>
        <v>155.67749220299174</v>
      </c>
      <c r="E107" s="1111">
        <f ca="1">'[1]Monthly Curve Calc.'!E110</f>
        <v>19.978750000000002</v>
      </c>
      <c r="F107" s="1112">
        <f ca="1">'[1]Monthly Curve Calc.'!F110</f>
        <v>2.2216383543457656</v>
      </c>
      <c r="G107" s="810">
        <f t="shared" ca="1" si="16"/>
        <v>1.0833307665948395</v>
      </c>
      <c r="H107" s="808">
        <f t="shared" ca="1" si="17"/>
        <v>1.0301154037813975</v>
      </c>
      <c r="I107" s="808">
        <f t="shared" ca="1" si="18"/>
        <v>1.0276154037813976</v>
      </c>
      <c r="J107" s="808">
        <f t="shared" ca="1" si="12"/>
        <v>1.027916505652358</v>
      </c>
      <c r="K107" s="808">
        <f t="shared" ca="1" si="19"/>
        <v>20.499479166666671</v>
      </c>
      <c r="L107" s="811">
        <f t="shared" ca="1" si="22"/>
        <v>2.1646877473553214</v>
      </c>
      <c r="M107" s="773">
        <f t="shared" si="13"/>
        <v>95</v>
      </c>
      <c r="N107" s="807">
        <f t="shared" ca="1" si="14"/>
        <v>1.0301154037813975</v>
      </c>
      <c r="O107" s="808">
        <f t="shared" si="20"/>
        <v>1.0049999999999999</v>
      </c>
      <c r="P107" s="811">
        <f t="shared" ca="1" si="21"/>
        <v>1.166287045927733</v>
      </c>
    </row>
    <row r="108" spans="1:16">
      <c r="A108" s="809">
        <f t="shared" si="15"/>
        <v>38108</v>
      </c>
      <c r="B108" s="1110">
        <f ca="1">'[1]Monthly Curve Calc.'!B111</f>
        <v>254.62637200298323</v>
      </c>
      <c r="C108" s="1111">
        <f ca="1">'[1]Monthly Curve Calc.'!C111</f>
        <v>192.75023808420826</v>
      </c>
      <c r="D108" s="1111">
        <f ca="1">'[1]Monthly Curve Calc.'!D111</f>
        <v>156.01184110163021</v>
      </c>
      <c r="E108" s="1111">
        <f ca="1">'[1]Monthly Curve Calc.'!E111</f>
        <v>19.947395833333335</v>
      </c>
      <c r="F108" s="1112">
        <f ca="1">'[1]Monthly Curve Calc.'!F111</f>
        <v>2.227379664339777</v>
      </c>
      <c r="G108" s="810">
        <f t="shared" ca="1" si="16"/>
        <v>1.0799999999999996</v>
      </c>
      <c r="H108" s="808">
        <f t="shared" ca="1" si="17"/>
        <v>1.0292057504041141</v>
      </c>
      <c r="I108" s="808">
        <f t="shared" ca="1" si="18"/>
        <v>1.0267057504041142</v>
      </c>
      <c r="J108" s="808">
        <f t="shared" ca="1" si="12"/>
        <v>1.027916505652358</v>
      </c>
      <c r="K108" s="808">
        <f t="shared" ca="1" si="19"/>
        <v>20.499479166666671</v>
      </c>
      <c r="L108" s="811">
        <f t="shared" ca="1" si="22"/>
        <v>2.1646877473553214</v>
      </c>
      <c r="M108" s="773">
        <f t="shared" si="13"/>
        <v>96</v>
      </c>
      <c r="N108" s="807">
        <f t="shared" ca="1" si="14"/>
        <v>1.0292057504041141</v>
      </c>
      <c r="O108" s="808">
        <f t="shared" si="20"/>
        <v>1.0049999999999999</v>
      </c>
      <c r="P108" s="811">
        <f t="shared" ca="1" si="21"/>
        <v>1.2003493342906499</v>
      </c>
    </row>
    <row r="109" spans="1:16">
      <c r="A109" s="809">
        <f t="shared" si="15"/>
        <v>38139</v>
      </c>
      <c r="B109" s="1110">
        <f ca="1">'[1]Monthly Curve Calc.'!B112</f>
        <v>256.26464574725134</v>
      </c>
      <c r="C109" s="1111">
        <f ca="1">'[1]Monthly Curve Calc.'!C112</f>
        <v>193.20558598126917</v>
      </c>
      <c r="D109" s="1111">
        <f ca="1">'[1]Monthly Curve Calc.'!D112</f>
        <v>156.34690808214705</v>
      </c>
      <c r="E109" s="1111">
        <f ca="1">'[1]Monthly Curve Calc.'!E112</f>
        <v>19.916041666666668</v>
      </c>
      <c r="F109" s="1112">
        <f ca="1">'[1]Monthly Curve Calc.'!F112</f>
        <v>2.2331358114202935</v>
      </c>
      <c r="G109" s="810">
        <f t="shared" ca="1" si="16"/>
        <v>1.0799999999999996</v>
      </c>
      <c r="H109" s="808">
        <f t="shared" ca="1" si="17"/>
        <v>1.0292057504041141</v>
      </c>
      <c r="I109" s="808">
        <f t="shared" ca="1" si="18"/>
        <v>1.0267057504041142</v>
      </c>
      <c r="J109" s="808">
        <f t="shared" ref="J109:J172" ca="1" si="23">IF(AND($A109&gt;J$16,MONTH($A109)=MONTH(J$16)),D108/D96,J108)</f>
        <v>1.027916505652358</v>
      </c>
      <c r="K109" s="808">
        <f t="shared" ca="1" si="19"/>
        <v>20.499479166666671</v>
      </c>
      <c r="L109" s="811">
        <f t="shared" ca="1" si="22"/>
        <v>2.1646877473553214</v>
      </c>
      <c r="M109" s="773">
        <f t="shared" si="13"/>
        <v>97</v>
      </c>
      <c r="N109" s="807">
        <f t="shared" ca="1" si="14"/>
        <v>1.0292057504041141</v>
      </c>
      <c r="O109" s="808">
        <f t="shared" si="20"/>
        <v>1.0049999999999999</v>
      </c>
      <c r="P109" s="811">
        <f t="shared" ca="1" si="21"/>
        <v>1.2003493342906499</v>
      </c>
    </row>
    <row r="110" spans="1:16">
      <c r="A110" s="809">
        <f t="shared" si="15"/>
        <v>38169</v>
      </c>
      <c r="B110" s="1110">
        <f ca="1">'[1]Monthly Curve Calc.'!B113</f>
        <v>257.9134601941185</v>
      </c>
      <c r="C110" s="1111">
        <f ca="1">'[1]Monthly Curve Calc.'!C113</f>
        <v>193.66200957976326</v>
      </c>
      <c r="D110" s="1111">
        <f ca="1">'[1]Monthly Curve Calc.'!D113</f>
        <v>156.68269468676831</v>
      </c>
      <c r="E110" s="1111">
        <f ca="1">'[1]Monthly Curve Calc.'!E113</f>
        <v>19.884687500000002</v>
      </c>
      <c r="F110" s="1112">
        <f ca="1">'[1]Monthly Curve Calc.'!F113</f>
        <v>2.2389068339303306</v>
      </c>
      <c r="G110" s="810">
        <f t="shared" ca="1" si="16"/>
        <v>1.0799999999999996</v>
      </c>
      <c r="H110" s="808">
        <f t="shared" ca="1" si="17"/>
        <v>1.0292057504041141</v>
      </c>
      <c r="I110" s="808">
        <f t="shared" ca="1" si="18"/>
        <v>1.0267057504041142</v>
      </c>
      <c r="J110" s="808">
        <f t="shared" ca="1" si="23"/>
        <v>1.027916505652358</v>
      </c>
      <c r="K110" s="808">
        <f t="shared" ca="1" si="19"/>
        <v>20.499479166666671</v>
      </c>
      <c r="L110" s="811">
        <f t="shared" ca="1" si="22"/>
        <v>2.1646877473553214</v>
      </c>
      <c r="M110" s="773">
        <f t="shared" si="13"/>
        <v>98</v>
      </c>
      <c r="N110" s="807">
        <f t="shared" ca="1" si="14"/>
        <v>1.0292057504041141</v>
      </c>
      <c r="O110" s="808">
        <f t="shared" si="20"/>
        <v>1.0049999999999999</v>
      </c>
      <c r="P110" s="811">
        <f t="shared" ca="1" si="21"/>
        <v>1.2003493342906499</v>
      </c>
    </row>
    <row r="111" spans="1:16">
      <c r="A111" s="809">
        <f t="shared" si="15"/>
        <v>38200</v>
      </c>
      <c r="B111" s="1110">
        <f ca="1">'[1]Monthly Curve Calc.'!B114</f>
        <v>259.5728831627826</v>
      </c>
      <c r="C111" s="1111">
        <f ca="1">'[1]Monthly Curve Calc.'!C114</f>
        <v>194.11951142089825</v>
      </c>
      <c r="D111" s="1111">
        <f ca="1">'[1]Monthly Curve Calc.'!D114</f>
        <v>157.01920246103231</v>
      </c>
      <c r="E111" s="1111">
        <f ca="1">'[1]Monthly Curve Calc.'!E114</f>
        <v>19.853333333333335</v>
      </c>
      <c r="F111" s="1112">
        <f ca="1">'[1]Monthly Curve Calc.'!F114</f>
        <v>2.2446927703119925</v>
      </c>
      <c r="G111" s="810">
        <f t="shared" ca="1" si="16"/>
        <v>1.0799999999999996</v>
      </c>
      <c r="H111" s="808">
        <f t="shared" ca="1" si="17"/>
        <v>1.0292057504041141</v>
      </c>
      <c r="I111" s="808">
        <f t="shared" ca="1" si="18"/>
        <v>1.0267057504041142</v>
      </c>
      <c r="J111" s="808">
        <f t="shared" ca="1" si="23"/>
        <v>1.027916505652358</v>
      </c>
      <c r="K111" s="808">
        <f t="shared" ca="1" si="19"/>
        <v>20.499479166666671</v>
      </c>
      <c r="L111" s="811">
        <f t="shared" ca="1" si="22"/>
        <v>2.1646877473553214</v>
      </c>
      <c r="M111" s="773">
        <f t="shared" si="13"/>
        <v>99</v>
      </c>
      <c r="N111" s="807">
        <f t="shared" ca="1" si="14"/>
        <v>1.0292057504041141</v>
      </c>
      <c r="O111" s="808">
        <f t="shared" si="20"/>
        <v>1.0049999999999999</v>
      </c>
      <c r="P111" s="811">
        <f t="shared" ca="1" si="21"/>
        <v>1.2003493342906499</v>
      </c>
    </row>
    <row r="112" spans="1:16">
      <c r="A112" s="809">
        <f t="shared" si="15"/>
        <v>38231</v>
      </c>
      <c r="B112" s="1110">
        <f ca="1">'[1]Monthly Curve Calc.'!B115</f>
        <v>261.24298290879233</v>
      </c>
      <c r="C112" s="1111">
        <f ca="1">'[1]Monthly Curve Calc.'!C115</f>
        <v>194.57809405188507</v>
      </c>
      <c r="D112" s="1111">
        <f ca="1">'[1]Monthly Curve Calc.'!D115</f>
        <v>157.35643295379668</v>
      </c>
      <c r="E112" s="1111">
        <f ca="1">'[1]Monthly Curve Calc.'!E115</f>
        <v>19.821979166666669</v>
      </c>
      <c r="F112" s="1112">
        <f ca="1">'[1]Monthly Curve Calc.'!F115</f>
        <v>2.2504936591067271</v>
      </c>
      <c r="G112" s="810">
        <f t="shared" ca="1" si="16"/>
        <v>1.0799999999999996</v>
      </c>
      <c r="H112" s="808">
        <f t="shared" ca="1" si="17"/>
        <v>1.0292057504041141</v>
      </c>
      <c r="I112" s="808">
        <f t="shared" ca="1" si="18"/>
        <v>1.0267057504041142</v>
      </c>
      <c r="J112" s="808">
        <f t="shared" ca="1" si="23"/>
        <v>1.027916505652358</v>
      </c>
      <c r="K112" s="808">
        <f t="shared" ca="1" si="19"/>
        <v>20.499479166666671</v>
      </c>
      <c r="L112" s="811">
        <f t="shared" ca="1" si="22"/>
        <v>2.1646877473553214</v>
      </c>
      <c r="M112" s="773">
        <f t="shared" si="13"/>
        <v>100</v>
      </c>
      <c r="N112" s="807">
        <f t="shared" ca="1" si="14"/>
        <v>1.0292057504041141</v>
      </c>
      <c r="O112" s="808">
        <f t="shared" si="20"/>
        <v>1.0049999999999999</v>
      </c>
      <c r="P112" s="811">
        <f t="shared" ca="1" si="21"/>
        <v>1.2003493342906499</v>
      </c>
    </row>
    <row r="113" spans="1:16">
      <c r="A113" s="809">
        <f t="shared" si="15"/>
        <v>38261</v>
      </c>
      <c r="B113" s="1110">
        <f ca="1">'[1]Monthly Curve Calc.'!B116</f>
        <v>262.92382812685463</v>
      </c>
      <c r="C113" s="1111">
        <f ca="1">'[1]Monthly Curve Calc.'!C116</f>
        <v>195.03776002595217</v>
      </c>
      <c r="D113" s="1111">
        <f ca="1">'[1]Monthly Curve Calc.'!D116</f>
        <v>157.6943877172456</v>
      </c>
      <c r="E113" s="1111">
        <f ca="1">'[1]Monthly Curve Calc.'!E116</f>
        <v>19.790625000000002</v>
      </c>
      <c r="F113" s="1112">
        <f ca="1">'[1]Monthly Curve Calc.'!F116</f>
        <v>2.2563095389555845</v>
      </c>
      <c r="G113" s="810">
        <f t="shared" ca="1" si="16"/>
        <v>1.0799999999999996</v>
      </c>
      <c r="H113" s="808">
        <f t="shared" ca="1" si="17"/>
        <v>1.0292057504041141</v>
      </c>
      <c r="I113" s="808">
        <f t="shared" ca="1" si="18"/>
        <v>1.0267057504041142</v>
      </c>
      <c r="J113" s="808">
        <f t="shared" ca="1" si="23"/>
        <v>1.027916505652358</v>
      </c>
      <c r="K113" s="808">
        <f t="shared" ca="1" si="19"/>
        <v>20.499479166666671</v>
      </c>
      <c r="L113" s="811">
        <f t="shared" ca="1" si="22"/>
        <v>2.1646877473553214</v>
      </c>
      <c r="M113" s="773">
        <f t="shared" si="13"/>
        <v>101</v>
      </c>
      <c r="N113" s="807">
        <f t="shared" ca="1" si="14"/>
        <v>1.0292057504041141</v>
      </c>
      <c r="O113" s="808">
        <f t="shared" si="20"/>
        <v>1.0049999999999999</v>
      </c>
      <c r="P113" s="811">
        <f t="shared" ca="1" si="21"/>
        <v>1.2003493342906499</v>
      </c>
    </row>
    <row r="114" spans="1:16">
      <c r="A114" s="809">
        <f t="shared" si="15"/>
        <v>38292</v>
      </c>
      <c r="B114" s="1110">
        <f ca="1">'[1]Monthly Curve Calc.'!B117</f>
        <v>264.61548795366019</v>
      </c>
      <c r="C114" s="1111">
        <f ca="1">'[1]Monthly Curve Calc.'!C117</f>
        <v>195.49851190235964</v>
      </c>
      <c r="D114" s="1111">
        <f ca="1">'[1]Monthly Curve Calc.'!D117</f>
        <v>158.03306830689681</v>
      </c>
      <c r="E114" s="1111">
        <f ca="1">'[1]Monthly Curve Calc.'!E117</f>
        <v>19.759270833333336</v>
      </c>
      <c r="F114" s="1112">
        <f ca="1">'[1]Monthly Curve Calc.'!F117</f>
        <v>2.2621404485994736</v>
      </c>
      <c r="G114" s="810">
        <f t="shared" ca="1" si="16"/>
        <v>1.0799999999999996</v>
      </c>
      <c r="H114" s="808">
        <f t="shared" ca="1" si="17"/>
        <v>1.0292057504041141</v>
      </c>
      <c r="I114" s="808">
        <f t="shared" ca="1" si="18"/>
        <v>1.0267057504041142</v>
      </c>
      <c r="J114" s="808">
        <f t="shared" ca="1" si="23"/>
        <v>1.027916505652358</v>
      </c>
      <c r="K114" s="808">
        <f t="shared" ca="1" si="19"/>
        <v>20.499479166666671</v>
      </c>
      <c r="L114" s="811">
        <f t="shared" ca="1" si="22"/>
        <v>2.1646877473553214</v>
      </c>
      <c r="M114" s="773">
        <f t="shared" si="13"/>
        <v>102</v>
      </c>
      <c r="N114" s="807">
        <f t="shared" ca="1" si="14"/>
        <v>1.0292057504041141</v>
      </c>
      <c r="O114" s="808">
        <f t="shared" si="20"/>
        <v>1.0049999999999999</v>
      </c>
      <c r="P114" s="811">
        <f t="shared" ca="1" si="21"/>
        <v>1.2003493342906499</v>
      </c>
    </row>
    <row r="115" spans="1:16">
      <c r="A115" s="809">
        <f t="shared" si="15"/>
        <v>38322</v>
      </c>
      <c r="B115" s="1110">
        <f ca="1">'[1]Monthly Curve Calc.'!B118</f>
        <v>266.3180319707273</v>
      </c>
      <c r="C115" s="1111">
        <f ca="1">'[1]Monthly Curve Calc.'!C118</f>
        <v>195.96035224641349</v>
      </c>
      <c r="D115" s="1111">
        <f ca="1">'[1]Monthly Curve Calc.'!D118</f>
        <v>158.37247628160887</v>
      </c>
      <c r="E115" s="1111">
        <f ca="1">'[1]Monthly Curve Calc.'!E118</f>
        <v>19.727916666666669</v>
      </c>
      <c r="F115" s="1112">
        <f ca="1">'[1]Monthly Curve Calc.'!F118</f>
        <v>2.2679864268794208</v>
      </c>
      <c r="G115" s="810">
        <f t="shared" ca="1" si="16"/>
        <v>1.0799999999999996</v>
      </c>
      <c r="H115" s="808">
        <f t="shared" ca="1" si="17"/>
        <v>1.0292057504041141</v>
      </c>
      <c r="I115" s="808">
        <f t="shared" ca="1" si="18"/>
        <v>1.0267057504041142</v>
      </c>
      <c r="J115" s="808">
        <f t="shared" ca="1" si="23"/>
        <v>1.027916505652358</v>
      </c>
      <c r="K115" s="808">
        <f t="shared" ca="1" si="19"/>
        <v>20.499479166666671</v>
      </c>
      <c r="L115" s="811">
        <f t="shared" ca="1" si="22"/>
        <v>2.1646877473553214</v>
      </c>
      <c r="M115" s="773">
        <f t="shared" si="13"/>
        <v>103</v>
      </c>
      <c r="N115" s="807">
        <f t="shared" ca="1" si="14"/>
        <v>1.0292057504041141</v>
      </c>
      <c r="O115" s="808">
        <f t="shared" si="20"/>
        <v>1.0049999999999999</v>
      </c>
      <c r="P115" s="811">
        <f t="shared" ca="1" si="21"/>
        <v>1.2003493342906499</v>
      </c>
    </row>
    <row r="116" spans="1:16">
      <c r="A116" s="809">
        <f t="shared" si="15"/>
        <v>38353</v>
      </c>
      <c r="B116" s="1110">
        <f ca="1">'[1]Monthly Curve Calc.'!B119</f>
        <v>267.92790290869908</v>
      </c>
      <c r="C116" s="1111">
        <f ca="1">'[1]Monthly Curve Calc.'!C119</f>
        <v>196.41532611484243</v>
      </c>
      <c r="D116" s="1111">
        <f ca="1">'[1]Monthly Curve Calc.'!D119</f>
        <v>158.69348113586753</v>
      </c>
      <c r="E116" s="1111">
        <f ca="1">'[1]Monthly Curve Calc.'!E119</f>
        <v>19.718263888888892</v>
      </c>
      <c r="F116" s="1112">
        <f ca="1">'[1]Monthly Curve Calc.'!F119</f>
        <v>2.2732944230483629</v>
      </c>
      <c r="G116" s="810">
        <f t="shared" ca="1" si="16"/>
        <v>1.0799999999999996</v>
      </c>
      <c r="H116" s="808">
        <f t="shared" ca="1" si="17"/>
        <v>1.0292057504041141</v>
      </c>
      <c r="I116" s="808">
        <f t="shared" ca="1" si="18"/>
        <v>1.0267057504041142</v>
      </c>
      <c r="J116" s="808">
        <f t="shared" ca="1" si="23"/>
        <v>1.0260790501255066</v>
      </c>
      <c r="K116" s="808">
        <f t="shared" ca="1" si="19"/>
        <v>19.900364583333335</v>
      </c>
      <c r="L116" s="811">
        <f t="shared" ca="1" si="22"/>
        <v>2.2361082090630116</v>
      </c>
      <c r="M116" s="773">
        <f t="shared" si="13"/>
        <v>104</v>
      </c>
      <c r="N116" s="807">
        <f t="shared" ca="1" si="14"/>
        <v>1.0292057504041141</v>
      </c>
      <c r="O116" s="808">
        <f t="shared" si="20"/>
        <v>1.0049999999999999</v>
      </c>
      <c r="P116" s="811">
        <f t="shared" ca="1" si="21"/>
        <v>1.2003493342906499</v>
      </c>
    </row>
    <row r="117" spans="1:16">
      <c r="A117" s="809">
        <f t="shared" si="15"/>
        <v>38384</v>
      </c>
      <c r="B117" s="1110">
        <f ca="1">'[1]Monthly Curve Calc.'!B120</f>
        <v>269.54750538613047</v>
      </c>
      <c r="C117" s="1111">
        <f ca="1">'[1]Monthly Curve Calc.'!C120</f>
        <v>196.87135632563133</v>
      </c>
      <c r="D117" s="1111">
        <f ca="1">'[1]Monthly Curve Calc.'!D120</f>
        <v>159.01513663422091</v>
      </c>
      <c r="E117" s="1111">
        <f ca="1">'[1]Monthly Curve Calc.'!E120</f>
        <v>19.708611111111114</v>
      </c>
      <c r="F117" s="1112">
        <f ca="1">'[1]Monthly Curve Calc.'!F120</f>
        <v>2.2786148420532601</v>
      </c>
      <c r="G117" s="810">
        <f t="shared" ca="1" si="16"/>
        <v>1.0799999999999996</v>
      </c>
      <c r="H117" s="808">
        <f t="shared" ca="1" si="17"/>
        <v>1.0292057504041141</v>
      </c>
      <c r="I117" s="808">
        <f t="shared" ca="1" si="18"/>
        <v>1.0267057504041142</v>
      </c>
      <c r="J117" s="808">
        <f t="shared" ca="1" si="23"/>
        <v>1.0260790501255066</v>
      </c>
      <c r="K117" s="808">
        <f t="shared" ca="1" si="19"/>
        <v>19.900364583333335</v>
      </c>
      <c r="L117" s="811">
        <f t="shared" ca="1" si="22"/>
        <v>2.2361082090630116</v>
      </c>
      <c r="M117" s="773">
        <f t="shared" si="13"/>
        <v>105</v>
      </c>
      <c r="N117" s="807">
        <f t="shared" ca="1" si="14"/>
        <v>1.0292057504041141</v>
      </c>
      <c r="O117" s="808">
        <f t="shared" si="20"/>
        <v>1.0049999999999999</v>
      </c>
      <c r="P117" s="811">
        <f t="shared" ca="1" si="21"/>
        <v>1.2003493342906499</v>
      </c>
    </row>
    <row r="118" spans="1:16">
      <c r="A118" s="809">
        <f t="shared" si="15"/>
        <v>38412</v>
      </c>
      <c r="B118" s="1110">
        <f ca="1">'[1]Monthly Curve Calc.'!B121</f>
        <v>271.17689822938945</v>
      </c>
      <c r="C118" s="1111">
        <f ca="1">'[1]Monthly Curve Calc.'!C121</f>
        <v>197.32844533135884</v>
      </c>
      <c r="D118" s="1111">
        <f ca="1">'[1]Monthly Curve Calc.'!D121</f>
        <v>159.33744409545821</v>
      </c>
      <c r="E118" s="1111">
        <f ca="1">'[1]Monthly Curve Calc.'!E121</f>
        <v>19.698958333333337</v>
      </c>
      <c r="F118" s="1112">
        <f ca="1">'[1]Monthly Curve Calc.'!F121</f>
        <v>2.2839477129685219</v>
      </c>
      <c r="G118" s="810">
        <f t="shared" ca="1" si="16"/>
        <v>1.0799999999999996</v>
      </c>
      <c r="H118" s="808">
        <f t="shared" ca="1" si="17"/>
        <v>1.0292057504041141</v>
      </c>
      <c r="I118" s="808">
        <f t="shared" ca="1" si="18"/>
        <v>1.0267057504041142</v>
      </c>
      <c r="J118" s="808">
        <f t="shared" ca="1" si="23"/>
        <v>1.0260790501255066</v>
      </c>
      <c r="K118" s="808">
        <f t="shared" ca="1" si="19"/>
        <v>19.900364583333335</v>
      </c>
      <c r="L118" s="811">
        <f t="shared" ca="1" si="22"/>
        <v>2.2361082090630116</v>
      </c>
      <c r="M118" s="773">
        <f t="shared" si="13"/>
        <v>106</v>
      </c>
      <c r="N118" s="807">
        <f t="shared" ca="1" si="14"/>
        <v>1.0292057504041141</v>
      </c>
      <c r="O118" s="808">
        <f t="shared" si="20"/>
        <v>1.0049999999999999</v>
      </c>
      <c r="P118" s="811">
        <f t="shared" ca="1" si="21"/>
        <v>1.2003493342906499</v>
      </c>
    </row>
    <row r="119" spans="1:16">
      <c r="A119" s="809">
        <f t="shared" si="15"/>
        <v>38443</v>
      </c>
      <c r="B119" s="1110">
        <f ca="1">'[1]Monthly Curve Calc.'!B122</f>
        <v>272.81614062044468</v>
      </c>
      <c r="C119" s="1111">
        <f ca="1">'[1]Monthly Curve Calc.'!C122</f>
        <v>197.78659559029785</v>
      </c>
      <c r="D119" s="1111">
        <f ca="1">'[1]Monthly Curve Calc.'!D122</f>
        <v>159.6604048410417</v>
      </c>
      <c r="E119" s="1111">
        <f ca="1">'[1]Monthly Curve Calc.'!E122</f>
        <v>19.68930555555556</v>
      </c>
      <c r="F119" s="1112">
        <f ca="1">'[1]Monthly Curve Calc.'!F122</f>
        <v>2.289293064936603</v>
      </c>
      <c r="G119" s="810">
        <f t="shared" ca="1" si="16"/>
        <v>1.0799999999999996</v>
      </c>
      <c r="H119" s="808">
        <f t="shared" ca="1" si="17"/>
        <v>1.0292057504041141</v>
      </c>
      <c r="I119" s="808">
        <f t="shared" ca="1" si="18"/>
        <v>1.0267057504041142</v>
      </c>
      <c r="J119" s="808">
        <f t="shared" ca="1" si="23"/>
        <v>1.0260790501255066</v>
      </c>
      <c r="K119" s="808">
        <f t="shared" ca="1" si="19"/>
        <v>19.900364583333335</v>
      </c>
      <c r="L119" s="811">
        <f t="shared" ca="1" si="22"/>
        <v>2.2361082090630116</v>
      </c>
      <c r="M119" s="773">
        <f t="shared" si="13"/>
        <v>107</v>
      </c>
      <c r="N119" s="807">
        <f t="shared" ca="1" si="14"/>
        <v>1.0292057504041141</v>
      </c>
      <c r="O119" s="808">
        <f t="shared" si="20"/>
        <v>1.0049999999999999</v>
      </c>
      <c r="P119" s="811">
        <f t="shared" ca="1" si="21"/>
        <v>1.2003493342906499</v>
      </c>
    </row>
    <row r="120" spans="1:16">
      <c r="A120" s="809">
        <f t="shared" si="15"/>
        <v>38473</v>
      </c>
      <c r="B120" s="1110">
        <f ca="1">'[1]Monthly Curve Calc.'!B123</f>
        <v>274.46529209901507</v>
      </c>
      <c r="C120" s="1111">
        <f ca="1">'[1]Monthly Curve Calc.'!C123</f>
        <v>198.24580956642885</v>
      </c>
      <c r="D120" s="1111">
        <f ca="1">'[1]Monthly Curve Calc.'!D123</f>
        <v>159.98402019511209</v>
      </c>
      <c r="E120" s="1111">
        <f ca="1">'[1]Monthly Curve Calc.'!E123</f>
        <v>19.679652777777783</v>
      </c>
      <c r="F120" s="1112">
        <f ca="1">'[1]Monthly Curve Calc.'!F123</f>
        <v>2.2946509271681639</v>
      </c>
      <c r="G120" s="810">
        <f t="shared" ca="1" si="16"/>
        <v>1.0783307546811163</v>
      </c>
      <c r="H120" s="808">
        <f t="shared" ca="1" si="17"/>
        <v>1.0285530290973726</v>
      </c>
      <c r="I120" s="808">
        <f t="shared" ca="1" si="18"/>
        <v>1.0260530290973726</v>
      </c>
      <c r="J120" s="808">
        <f t="shared" ca="1" si="23"/>
        <v>1.0260790501255066</v>
      </c>
      <c r="K120" s="808">
        <f t="shared" ca="1" si="19"/>
        <v>19.900364583333335</v>
      </c>
      <c r="L120" s="811">
        <f t="shared" ca="1" si="22"/>
        <v>2.2361082090630116</v>
      </c>
      <c r="M120" s="773">
        <f t="shared" si="13"/>
        <v>108</v>
      </c>
      <c r="N120" s="807">
        <f t="shared" ca="1" si="14"/>
        <v>1.0285530290973726</v>
      </c>
      <c r="O120" s="808">
        <f t="shared" si="20"/>
        <v>1.0049999999999999</v>
      </c>
      <c r="P120" s="811">
        <f t="shared" ca="1" si="21"/>
        <v>1.2346229437596627</v>
      </c>
    </row>
    <row r="121" spans="1:16">
      <c r="A121" s="809">
        <f t="shared" si="15"/>
        <v>38504</v>
      </c>
      <c r="B121" s="1110">
        <f ca="1">'[1]Monthly Curve Calc.'!B124</f>
        <v>276.12441256473221</v>
      </c>
      <c r="C121" s="1111">
        <f ca="1">'[1]Monthly Curve Calc.'!C124</f>
        <v>198.70608972945308</v>
      </c>
      <c r="D121" s="1111">
        <f ca="1">'[1]Monthly Curve Calc.'!D124</f>
        <v>160.30829148449402</v>
      </c>
      <c r="E121" s="1111">
        <f ca="1">'[1]Monthly Curve Calc.'!E124</f>
        <v>19.670000000000005</v>
      </c>
      <c r="F121" s="1112">
        <f ca="1">'[1]Monthly Curve Calc.'!F124</f>
        <v>2.3000213289422287</v>
      </c>
      <c r="G121" s="810">
        <f t="shared" ca="1" si="16"/>
        <v>1.0783307546811163</v>
      </c>
      <c r="H121" s="808">
        <f t="shared" ca="1" si="17"/>
        <v>1.0285530290973726</v>
      </c>
      <c r="I121" s="808">
        <f t="shared" ca="1" si="18"/>
        <v>1.0260530290973726</v>
      </c>
      <c r="J121" s="808">
        <f t="shared" ca="1" si="23"/>
        <v>1.0260790501255066</v>
      </c>
      <c r="K121" s="808">
        <f t="shared" ca="1" si="19"/>
        <v>19.900364583333335</v>
      </c>
      <c r="L121" s="811">
        <f t="shared" ca="1" si="22"/>
        <v>2.2361082090630116</v>
      </c>
      <c r="M121" s="773">
        <f t="shared" si="13"/>
        <v>109</v>
      </c>
      <c r="N121" s="807">
        <f t="shared" ca="1" si="14"/>
        <v>1.0285530290973726</v>
      </c>
      <c r="O121" s="808">
        <f t="shared" si="20"/>
        <v>1.0049999999999999</v>
      </c>
      <c r="P121" s="811">
        <f t="shared" ca="1" si="21"/>
        <v>1.2346229437596627</v>
      </c>
    </row>
    <row r="122" spans="1:16">
      <c r="A122" s="809">
        <f t="shared" si="15"/>
        <v>38534</v>
      </c>
      <c r="B122" s="1110">
        <f ca="1">'[1]Monthly Curve Calc.'!B125</f>
        <v>277.79356227931612</v>
      </c>
      <c r="C122" s="1111">
        <f ca="1">'[1]Monthly Curve Calc.'!C125</f>
        <v>199.16743855480584</v>
      </c>
      <c r="D122" s="1111">
        <f ca="1">'[1]Monthly Curve Calc.'!D125</f>
        <v>160.63322003870147</v>
      </c>
      <c r="E122" s="1111">
        <f ca="1">'[1]Monthly Curve Calc.'!E125</f>
        <v>19.660347222222228</v>
      </c>
      <c r="F122" s="1112">
        <f ca="1">'[1]Monthly Curve Calc.'!F125</f>
        <v>2.3054042996063471</v>
      </c>
      <c r="G122" s="810">
        <f t="shared" ca="1" si="16"/>
        <v>1.0783307546811163</v>
      </c>
      <c r="H122" s="808">
        <f t="shared" ca="1" si="17"/>
        <v>1.0285530290973726</v>
      </c>
      <c r="I122" s="808">
        <f t="shared" ca="1" si="18"/>
        <v>1.0260530290973726</v>
      </c>
      <c r="J122" s="808">
        <f t="shared" ca="1" si="23"/>
        <v>1.0260790501255066</v>
      </c>
      <c r="K122" s="808">
        <f t="shared" ca="1" si="19"/>
        <v>19.900364583333335</v>
      </c>
      <c r="L122" s="811">
        <f t="shared" ca="1" si="22"/>
        <v>2.2361082090630116</v>
      </c>
      <c r="M122" s="773">
        <f t="shared" si="13"/>
        <v>110</v>
      </c>
      <c r="N122" s="807">
        <f t="shared" ca="1" si="14"/>
        <v>1.0285530290973726</v>
      </c>
      <c r="O122" s="808">
        <f t="shared" si="20"/>
        <v>1.0049999999999999</v>
      </c>
      <c r="P122" s="811">
        <f t="shared" ca="1" si="21"/>
        <v>1.2346229437596627</v>
      </c>
    </row>
    <row r="123" spans="1:16">
      <c r="A123" s="809">
        <f t="shared" si="15"/>
        <v>38565</v>
      </c>
      <c r="B123" s="1110">
        <f ca="1">'[1]Monthly Curve Calc.'!B126</f>
        <v>279.47280186876412</v>
      </c>
      <c r="C123" s="1111">
        <f ca="1">'[1]Monthly Curve Calc.'!C126</f>
        <v>199.62985852366984</v>
      </c>
      <c r="D123" s="1111">
        <f ca="1">'[1]Monthly Curve Calc.'!D126</f>
        <v>160.95880718994317</v>
      </c>
      <c r="E123" s="1111">
        <f ca="1">'[1]Monthly Curve Calc.'!E126</f>
        <v>19.650694444444451</v>
      </c>
      <c r="F123" s="1112">
        <f ca="1">'[1]Monthly Curve Calc.'!F126</f>
        <v>2.3107998685767535</v>
      </c>
      <c r="G123" s="810">
        <f t="shared" ca="1" si="16"/>
        <v>1.0783307546811163</v>
      </c>
      <c r="H123" s="808">
        <f t="shared" ca="1" si="17"/>
        <v>1.0285530290973726</v>
      </c>
      <c r="I123" s="808">
        <f t="shared" ca="1" si="18"/>
        <v>1.0260530290973726</v>
      </c>
      <c r="J123" s="808">
        <f t="shared" ca="1" si="23"/>
        <v>1.0260790501255066</v>
      </c>
      <c r="K123" s="808">
        <f t="shared" ca="1" si="19"/>
        <v>19.900364583333335</v>
      </c>
      <c r="L123" s="811">
        <f t="shared" ca="1" si="22"/>
        <v>2.2361082090630116</v>
      </c>
      <c r="M123" s="773">
        <f t="shared" si="13"/>
        <v>111</v>
      </c>
      <c r="N123" s="807">
        <f t="shared" ca="1" si="14"/>
        <v>1.0285530290973726</v>
      </c>
      <c r="O123" s="808">
        <f t="shared" si="20"/>
        <v>1.0049999999999999</v>
      </c>
      <c r="P123" s="811">
        <f t="shared" ca="1" si="21"/>
        <v>1.2346229437596627</v>
      </c>
    </row>
    <row r="124" spans="1:16">
      <c r="A124" s="809">
        <f t="shared" si="15"/>
        <v>38596</v>
      </c>
      <c r="B124" s="1110">
        <f ca="1">'[1]Monthly Curve Calc.'!B127</f>
        <v>281.16219232555272</v>
      </c>
      <c r="C124" s="1111">
        <f ca="1">'[1]Monthly Curve Calc.'!C127</f>
        <v>200.09335212298845</v>
      </c>
      <c r="D124" s="1111">
        <f ca="1">'[1]Monthly Curve Calc.'!D127</f>
        <v>161.28505427312814</v>
      </c>
      <c r="E124" s="1111">
        <f ca="1">'[1]Monthly Curve Calc.'!E127</f>
        <v>19.641041666666673</v>
      </c>
      <c r="F124" s="1112">
        <f ca="1">'[1]Monthly Curve Calc.'!F127</f>
        <v>2.316208065338528</v>
      </c>
      <c r="G124" s="810">
        <f t="shared" ca="1" si="16"/>
        <v>1.0783307546811163</v>
      </c>
      <c r="H124" s="808">
        <f t="shared" ca="1" si="17"/>
        <v>1.0285530290973726</v>
      </c>
      <c r="I124" s="808">
        <f t="shared" ca="1" si="18"/>
        <v>1.0260530290973726</v>
      </c>
      <c r="J124" s="808">
        <f t="shared" ca="1" si="23"/>
        <v>1.0260790501255066</v>
      </c>
      <c r="K124" s="808">
        <f t="shared" ca="1" si="19"/>
        <v>19.900364583333335</v>
      </c>
      <c r="L124" s="811">
        <f t="shared" ca="1" si="22"/>
        <v>2.2361082090630116</v>
      </c>
      <c r="M124" s="773">
        <f t="shared" si="13"/>
        <v>112</v>
      </c>
      <c r="N124" s="807">
        <f t="shared" ca="1" si="14"/>
        <v>1.0285530290973726</v>
      </c>
      <c r="O124" s="808">
        <f t="shared" si="20"/>
        <v>1.0049999999999999</v>
      </c>
      <c r="P124" s="811">
        <f t="shared" ca="1" si="21"/>
        <v>1.2346229437596627</v>
      </c>
    </row>
    <row r="125" spans="1:16">
      <c r="A125" s="809">
        <f t="shared" si="15"/>
        <v>38626</v>
      </c>
      <c r="B125" s="1110">
        <f ca="1">'[1]Monthly Curve Calc.'!B128</f>
        <v>282.86179501085303</v>
      </c>
      <c r="C125" s="1111">
        <f ca="1">'[1]Monthly Curve Calc.'!C128</f>
        <v>200.5579218454792</v>
      </c>
      <c r="D125" s="1111">
        <f ca="1">'[1]Monthly Curve Calc.'!D128</f>
        <v>161.61196262587112</v>
      </c>
      <c r="E125" s="1111">
        <f ca="1">'[1]Monthly Curve Calc.'!E128</f>
        <v>19.631388888888896</v>
      </c>
      <c r="F125" s="1112">
        <f ca="1">'[1]Monthly Curve Calc.'!F128</f>
        <v>2.3216289194457573</v>
      </c>
      <c r="G125" s="810">
        <f t="shared" ca="1" si="16"/>
        <v>1.0783307546811163</v>
      </c>
      <c r="H125" s="808">
        <f t="shared" ca="1" si="17"/>
        <v>1.0285530290973726</v>
      </c>
      <c r="I125" s="808">
        <f t="shared" ca="1" si="18"/>
        <v>1.0260530290973726</v>
      </c>
      <c r="J125" s="808">
        <f t="shared" ca="1" si="23"/>
        <v>1.0260790501255066</v>
      </c>
      <c r="K125" s="808">
        <f t="shared" ca="1" si="19"/>
        <v>19.900364583333335</v>
      </c>
      <c r="L125" s="811">
        <f t="shared" ca="1" si="22"/>
        <v>2.2361082090630116</v>
      </c>
      <c r="M125" s="773">
        <f t="shared" si="13"/>
        <v>113</v>
      </c>
      <c r="N125" s="807">
        <f t="shared" ca="1" si="14"/>
        <v>1.0285530290973726</v>
      </c>
      <c r="O125" s="808">
        <f t="shared" si="20"/>
        <v>1.0049999999999999</v>
      </c>
      <c r="P125" s="811">
        <f t="shared" ca="1" si="21"/>
        <v>1.2346229437596627</v>
      </c>
    </row>
    <row r="126" spans="1:16">
      <c r="A126" s="809">
        <f t="shared" si="15"/>
        <v>38657</v>
      </c>
      <c r="B126" s="1110">
        <f ca="1">'[1]Monthly Curve Calc.'!B129</f>
        <v>284.57167165675946</v>
      </c>
      <c r="C126" s="1111">
        <f ca="1">'[1]Monthly Curve Calc.'!C129</f>
        <v>201.02357018964713</v>
      </c>
      <c r="D126" s="1111">
        <f ca="1">'[1]Monthly Curve Calc.'!D129</f>
        <v>161.93953358849802</v>
      </c>
      <c r="E126" s="1111">
        <f ca="1">'[1]Monthly Curve Calc.'!E129</f>
        <v>19.621736111111119</v>
      </c>
      <c r="F126" s="1112">
        <f ca="1">'[1]Monthly Curve Calc.'!F129</f>
        <v>2.3270624605216974</v>
      </c>
      <c r="G126" s="810">
        <f t="shared" ca="1" si="16"/>
        <v>1.0783307546811163</v>
      </c>
      <c r="H126" s="808">
        <f t="shared" ca="1" si="17"/>
        <v>1.0285530290973726</v>
      </c>
      <c r="I126" s="808">
        <f t="shared" ca="1" si="18"/>
        <v>1.0260530290973726</v>
      </c>
      <c r="J126" s="808">
        <f t="shared" ca="1" si="23"/>
        <v>1.0260790501255066</v>
      </c>
      <c r="K126" s="808">
        <f t="shared" ca="1" si="19"/>
        <v>19.900364583333335</v>
      </c>
      <c r="L126" s="811">
        <f t="shared" ca="1" si="22"/>
        <v>2.2361082090630116</v>
      </c>
      <c r="M126" s="773">
        <f t="shared" si="13"/>
        <v>114</v>
      </c>
      <c r="N126" s="807">
        <f t="shared" ca="1" si="14"/>
        <v>1.0285530290973726</v>
      </c>
      <c r="O126" s="808">
        <f t="shared" si="20"/>
        <v>1.0049999999999999</v>
      </c>
      <c r="P126" s="811">
        <f t="shared" ca="1" si="21"/>
        <v>1.2346229437596627</v>
      </c>
    </row>
    <row r="127" spans="1:16">
      <c r="A127" s="809">
        <f t="shared" si="15"/>
        <v>38687</v>
      </c>
      <c r="B127" s="1110">
        <f ca="1">'[1]Monthly Curve Calc.'!B130</f>
        <v>286.2918843685319</v>
      </c>
      <c r="C127" s="1111">
        <f ca="1">'[1]Monthly Curve Calc.'!C130</f>
        <v>201.49029965979815</v>
      </c>
      <c r="D127" s="1111">
        <f ca="1">'[1]Monthly Curve Calc.'!D130</f>
        <v>162.2677685040515</v>
      </c>
      <c r="E127" s="1111">
        <f ca="1">'[1]Monthly Curve Calc.'!E130</f>
        <v>19.612083333333334</v>
      </c>
      <c r="F127" s="1112">
        <f ca="1">'[1]Monthly Curve Calc.'!F130</f>
        <v>2.3325087182589361</v>
      </c>
      <c r="G127" s="810">
        <f t="shared" ca="1" si="16"/>
        <v>1.0783307546811163</v>
      </c>
      <c r="H127" s="808">
        <f t="shared" ca="1" si="17"/>
        <v>1.0285530290973726</v>
      </c>
      <c r="I127" s="808">
        <f t="shared" ca="1" si="18"/>
        <v>1.0260530290973726</v>
      </c>
      <c r="J127" s="808">
        <f t="shared" ca="1" si="23"/>
        <v>1.0260790501255066</v>
      </c>
      <c r="K127" s="808">
        <f t="shared" ca="1" si="19"/>
        <v>19.900364583333335</v>
      </c>
      <c r="L127" s="811">
        <f t="shared" ca="1" si="22"/>
        <v>2.2361082090630116</v>
      </c>
      <c r="M127" s="773">
        <f t="shared" si="13"/>
        <v>115</v>
      </c>
      <c r="N127" s="807">
        <f t="shared" ca="1" si="14"/>
        <v>1.0285530290973726</v>
      </c>
      <c r="O127" s="808">
        <f t="shared" si="20"/>
        <v>1.0049999999999999</v>
      </c>
      <c r="P127" s="811">
        <f t="shared" ca="1" si="21"/>
        <v>1.2346229437596627</v>
      </c>
    </row>
    <row r="128" spans="1:16">
      <c r="A128" s="809">
        <f t="shared" si="15"/>
        <v>38718</v>
      </c>
      <c r="B128" s="1110">
        <f ca="1">'[1]Monthly Curve Calc.'!B131</f>
        <v>288.02249562685154</v>
      </c>
      <c r="C128" s="1111">
        <f ca="1">'[1]Monthly Curve Calc.'!C131</f>
        <v>201.94726564185683</v>
      </c>
      <c r="D128" s="1111">
        <f ca="1">'[1]Monthly Curve Calc.'!D131</f>
        <v>162.57803223037317</v>
      </c>
      <c r="E128" s="1111">
        <f ca="1">'[1]Monthly Curve Calc.'!E131</f>
        <v>19.609409722222225</v>
      </c>
      <c r="F128" s="1112">
        <f ca="1">'[1]Monthly Curve Calc.'!F131</f>
        <v>2.3378826174225127</v>
      </c>
      <c r="G128" s="810">
        <f t="shared" ca="1" si="16"/>
        <v>1.0783307546811163</v>
      </c>
      <c r="H128" s="808">
        <f t="shared" ca="1" si="17"/>
        <v>1.0285530290973726</v>
      </c>
      <c r="I128" s="808">
        <f t="shared" ca="1" si="18"/>
        <v>1.0260530290973726</v>
      </c>
      <c r="J128" s="808">
        <f t="shared" ca="1" si="23"/>
        <v>1.0245957650843083</v>
      </c>
      <c r="K128" s="808">
        <f t="shared" ca="1" si="19"/>
        <v>19.665173611111115</v>
      </c>
      <c r="L128" s="811">
        <f t="shared" ca="1" si="22"/>
        <v>2.3027862192387638</v>
      </c>
      <c r="M128" s="773">
        <f t="shared" si="13"/>
        <v>116</v>
      </c>
      <c r="N128" s="807">
        <f t="shared" ca="1" si="14"/>
        <v>1.0285530290973726</v>
      </c>
      <c r="O128" s="808">
        <f t="shared" si="20"/>
        <v>1.0049999999999999</v>
      </c>
      <c r="P128" s="811">
        <f t="shared" ca="1" si="21"/>
        <v>1.2346229437596627</v>
      </c>
    </row>
    <row r="129" spans="1:16">
      <c r="A129" s="809">
        <f t="shared" si="15"/>
        <v>38749</v>
      </c>
      <c r="B129" s="1110">
        <f ca="1">'[1]Monthly Curve Calc.'!B132</f>
        <v>289.76356829009029</v>
      </c>
      <c r="C129" s="1111">
        <f ca="1">'[1]Monthly Curve Calc.'!C132</f>
        <v>202.40526799097196</v>
      </c>
      <c r="D129" s="1111">
        <f ca="1">'[1]Monthly Curve Calc.'!D132</f>
        <v>162.88888919576357</v>
      </c>
      <c r="E129" s="1111">
        <f ca="1">'[1]Monthly Curve Calc.'!E132</f>
        <v>19.606736111111111</v>
      </c>
      <c r="F129" s="1112">
        <f ca="1">'[1]Monthly Curve Calc.'!F132</f>
        <v>2.3432688975868521</v>
      </c>
      <c r="G129" s="810">
        <f t="shared" ca="1" si="16"/>
        <v>1.0783307546811163</v>
      </c>
      <c r="H129" s="808">
        <f t="shared" ca="1" si="17"/>
        <v>1.0285530290973726</v>
      </c>
      <c r="I129" s="808">
        <f t="shared" ca="1" si="18"/>
        <v>1.0260530290973726</v>
      </c>
      <c r="J129" s="808">
        <f t="shared" ca="1" si="23"/>
        <v>1.0245957650843083</v>
      </c>
      <c r="K129" s="808">
        <f t="shared" ca="1" si="19"/>
        <v>19.665173611111115</v>
      </c>
      <c r="L129" s="811">
        <f t="shared" ca="1" si="22"/>
        <v>2.3027862192387638</v>
      </c>
      <c r="M129" s="773">
        <f t="shared" si="13"/>
        <v>117</v>
      </c>
      <c r="N129" s="807">
        <f t="shared" ca="1" si="14"/>
        <v>1.0285530290973726</v>
      </c>
      <c r="O129" s="808">
        <f t="shared" si="20"/>
        <v>1.0049999999999999</v>
      </c>
      <c r="P129" s="811">
        <f t="shared" ca="1" si="21"/>
        <v>1.2346229437596627</v>
      </c>
    </row>
    <row r="130" spans="1:16">
      <c r="A130" s="809">
        <f t="shared" si="15"/>
        <v>38777</v>
      </c>
      <c r="B130" s="1110">
        <f ca="1">'[1]Monthly Curve Calc.'!B133</f>
        <v>291.5151655965937</v>
      </c>
      <c r="C130" s="1111">
        <f ca="1">'[1]Monthly Curve Calc.'!C133</f>
        <v>202.86430905755191</v>
      </c>
      <c r="D130" s="1111">
        <f ca="1">'[1]Monthly Curve Calc.'!D133</f>
        <v>163.20034053452412</v>
      </c>
      <c r="E130" s="1111">
        <f ca="1">'[1]Monthly Curve Calc.'!E133</f>
        <v>19.604062499999998</v>
      </c>
      <c r="F130" s="1112">
        <f ca="1">'[1]Monthly Curve Calc.'!F133</f>
        <v>2.3486675872767138</v>
      </c>
      <c r="G130" s="810">
        <f t="shared" ca="1" si="16"/>
        <v>1.0783307546811163</v>
      </c>
      <c r="H130" s="808">
        <f t="shared" ca="1" si="17"/>
        <v>1.0285530290973726</v>
      </c>
      <c r="I130" s="808">
        <f t="shared" ca="1" si="18"/>
        <v>1.0260530290973726</v>
      </c>
      <c r="J130" s="808">
        <f t="shared" ca="1" si="23"/>
        <v>1.0245957650843083</v>
      </c>
      <c r="K130" s="808">
        <f t="shared" ca="1" si="19"/>
        <v>19.665173611111115</v>
      </c>
      <c r="L130" s="811">
        <f t="shared" ca="1" si="22"/>
        <v>2.3027862192387638</v>
      </c>
      <c r="M130" s="773">
        <f t="shared" si="13"/>
        <v>118</v>
      </c>
      <c r="N130" s="807">
        <f t="shared" ca="1" si="14"/>
        <v>1.0285530290973726</v>
      </c>
      <c r="O130" s="808">
        <f t="shared" si="20"/>
        <v>1.0049999999999999</v>
      </c>
      <c r="P130" s="811">
        <f t="shared" ca="1" si="21"/>
        <v>1.2346229437596627</v>
      </c>
    </row>
    <row r="131" spans="1:16">
      <c r="A131" s="809">
        <f t="shared" si="15"/>
        <v>38808</v>
      </c>
      <c r="B131" s="1110">
        <f ca="1">'[1]Monthly Curve Calc.'!B134</f>
        <v>293.27735116697812</v>
      </c>
      <c r="C131" s="1111">
        <f ca="1">'[1]Monthly Curve Calc.'!C134</f>
        <v>203.32439119733561</v>
      </c>
      <c r="D131" s="1111">
        <f ca="1">'[1]Monthly Curve Calc.'!D134</f>
        <v>163.51238738312512</v>
      </c>
      <c r="E131" s="1111">
        <f ca="1">'[1]Monthly Curve Calc.'!E134</f>
        <v>19.601388888888884</v>
      </c>
      <c r="F131" s="1112">
        <f ca="1">'[1]Monthly Curve Calc.'!F134</f>
        <v>2.3540787150825753</v>
      </c>
      <c r="G131" s="810">
        <f t="shared" ca="1" si="16"/>
        <v>1.0783307546811163</v>
      </c>
      <c r="H131" s="808">
        <f t="shared" ca="1" si="17"/>
        <v>1.0285530290973726</v>
      </c>
      <c r="I131" s="808">
        <f t="shared" ca="1" si="18"/>
        <v>1.0260530290973726</v>
      </c>
      <c r="J131" s="808">
        <f t="shared" ca="1" si="23"/>
        <v>1.0245957650843083</v>
      </c>
      <c r="K131" s="808">
        <f t="shared" ca="1" si="19"/>
        <v>19.665173611111115</v>
      </c>
      <c r="L131" s="811">
        <f t="shared" ca="1" si="22"/>
        <v>2.3027862192387638</v>
      </c>
      <c r="M131" s="773">
        <f t="shared" si="13"/>
        <v>119</v>
      </c>
      <c r="N131" s="807">
        <f t="shared" ca="1" si="14"/>
        <v>1.0285530290973726</v>
      </c>
      <c r="O131" s="808">
        <f t="shared" si="20"/>
        <v>1.0049999999999999</v>
      </c>
      <c r="P131" s="811">
        <f t="shared" ca="1" si="21"/>
        <v>1.2346229437596627</v>
      </c>
    </row>
    <row r="132" spans="1:16">
      <c r="A132" s="809">
        <f t="shared" si="15"/>
        <v>38838</v>
      </c>
      <c r="B132" s="1110">
        <f ca="1">'[1]Monthly Curve Calc.'!B135</f>
        <v>295.05018900644126</v>
      </c>
      <c r="C132" s="1111">
        <f ca="1">'[1]Monthly Curve Calc.'!C135</f>
        <v>203.7855167714047</v>
      </c>
      <c r="D132" s="1111">
        <f ca="1">'[1]Monthly Curve Calc.'!D135</f>
        <v>163.82503088020982</v>
      </c>
      <c r="E132" s="1111">
        <f ca="1">'[1]Monthly Curve Calc.'!E135</f>
        <v>19.598715277777771</v>
      </c>
      <c r="F132" s="1112">
        <f ca="1">'[1]Monthly Curve Calc.'!F135</f>
        <v>2.3595023096607846</v>
      </c>
      <c r="G132" s="810">
        <f t="shared" ca="1" si="16"/>
        <v>1.0750000000000004</v>
      </c>
      <c r="H132" s="808">
        <f t="shared" ca="1" si="17"/>
        <v>1.0279988418351107</v>
      </c>
      <c r="I132" s="808">
        <f t="shared" ca="1" si="18"/>
        <v>1.0254988418351108</v>
      </c>
      <c r="J132" s="808">
        <f t="shared" ca="1" si="23"/>
        <v>1.0245957650843083</v>
      </c>
      <c r="K132" s="808">
        <f t="shared" ca="1" si="19"/>
        <v>19.665173611111115</v>
      </c>
      <c r="L132" s="811">
        <f t="shared" ca="1" si="22"/>
        <v>2.3027862192387638</v>
      </c>
      <c r="M132" s="773">
        <f t="shared" si="13"/>
        <v>120</v>
      </c>
      <c r="N132" s="807">
        <f t="shared" ca="1" si="14"/>
        <v>1.0279988418351107</v>
      </c>
      <c r="O132" s="808">
        <f t="shared" si="20"/>
        <v>1.0049999999999999</v>
      </c>
      <c r="P132" s="811">
        <f t="shared" ca="1" si="21"/>
        <v>1.2691909562879884</v>
      </c>
    </row>
    <row r="133" spans="1:16">
      <c r="A133" s="809">
        <f t="shared" si="15"/>
        <v>38869</v>
      </c>
      <c r="B133" s="1110">
        <f ca="1">'[1]Monthly Curve Calc.'!B136</f>
        <v>296.83374350708715</v>
      </c>
      <c r="C133" s="1111">
        <f ca="1">'[1]Monthly Curve Calc.'!C136</f>
        <v>204.24768814619551</v>
      </c>
      <c r="D133" s="1111">
        <f ca="1">'[1]Monthly Curve Calc.'!D136</f>
        <v>164.13827216659865</v>
      </c>
      <c r="E133" s="1111">
        <f ca="1">'[1]Monthly Curve Calc.'!E136</f>
        <v>19.596041666666657</v>
      </c>
      <c r="F133" s="1112">
        <f ca="1">'[1]Monthly Curve Calc.'!F136</f>
        <v>2.3649383997337114</v>
      </c>
      <c r="G133" s="810">
        <f t="shared" ca="1" si="16"/>
        <v>1.0750000000000004</v>
      </c>
      <c r="H133" s="808">
        <f t="shared" ca="1" si="17"/>
        <v>1.0279988418351107</v>
      </c>
      <c r="I133" s="808">
        <f t="shared" ca="1" si="18"/>
        <v>1.0254988418351108</v>
      </c>
      <c r="J133" s="808">
        <f t="shared" ca="1" si="23"/>
        <v>1.0245957650843083</v>
      </c>
      <c r="K133" s="808">
        <f t="shared" ca="1" si="19"/>
        <v>19.665173611111115</v>
      </c>
      <c r="L133" s="811">
        <f t="shared" ca="1" si="22"/>
        <v>2.3027862192387638</v>
      </c>
      <c r="M133" s="773">
        <f t="shared" si="13"/>
        <v>121</v>
      </c>
      <c r="N133" s="807">
        <f t="shared" ca="1" si="14"/>
        <v>1.0279988418351107</v>
      </c>
      <c r="O133" s="808">
        <f t="shared" si="20"/>
        <v>1.0049999999999999</v>
      </c>
      <c r="P133" s="811">
        <f t="shared" ca="1" si="21"/>
        <v>1.2691909562879884</v>
      </c>
    </row>
    <row r="134" spans="1:16">
      <c r="A134" s="809">
        <f t="shared" si="15"/>
        <v>38899</v>
      </c>
      <c r="B134" s="1110">
        <f ca="1">'[1]Monthly Curve Calc.'!B137</f>
        <v>298.62807945026486</v>
      </c>
      <c r="C134" s="1111">
        <f ca="1">'[1]Monthly Curve Calc.'!C137</f>
        <v>204.71090769351133</v>
      </c>
      <c r="D134" s="1111">
        <f ca="1">'[1]Monthly Curve Calc.'!D137</f>
        <v>164.45211238529333</v>
      </c>
      <c r="E134" s="1111">
        <f ca="1">'[1]Monthly Curve Calc.'!E137</f>
        <v>19.593368055555544</v>
      </c>
      <c r="F134" s="1112">
        <f ca="1">'[1]Monthly Curve Calc.'!F137</f>
        <v>2.370387014089899</v>
      </c>
      <c r="G134" s="810">
        <f t="shared" ca="1" si="16"/>
        <v>1.0750000000000004</v>
      </c>
      <c r="H134" s="808">
        <f t="shared" ca="1" si="17"/>
        <v>1.0279988418351107</v>
      </c>
      <c r="I134" s="808">
        <f t="shared" ca="1" si="18"/>
        <v>1.0254988418351108</v>
      </c>
      <c r="J134" s="808">
        <f t="shared" ca="1" si="23"/>
        <v>1.0245957650843083</v>
      </c>
      <c r="K134" s="808">
        <f t="shared" ca="1" si="19"/>
        <v>19.665173611111115</v>
      </c>
      <c r="L134" s="811">
        <f t="shared" ca="1" si="22"/>
        <v>2.3027862192387638</v>
      </c>
      <c r="M134" s="773">
        <f t="shared" si="13"/>
        <v>122</v>
      </c>
      <c r="N134" s="807">
        <f t="shared" ca="1" si="14"/>
        <v>1.0279988418351107</v>
      </c>
      <c r="O134" s="808">
        <f t="shared" si="20"/>
        <v>1.0049999999999999</v>
      </c>
      <c r="P134" s="811">
        <f t="shared" ca="1" si="21"/>
        <v>1.2691909562879884</v>
      </c>
    </row>
    <row r="135" spans="1:16">
      <c r="A135" s="809">
        <f t="shared" si="15"/>
        <v>38930</v>
      </c>
      <c r="B135" s="1110">
        <f ca="1">'[1]Monthly Curve Calc.'!B138</f>
        <v>300.43326200892147</v>
      </c>
      <c r="C135" s="1111">
        <f ca="1">'[1]Monthly Curve Calc.'!C138</f>
        <v>205.17517779053455</v>
      </c>
      <c r="D135" s="1111">
        <f ca="1">'[1]Monthly Curve Calc.'!D138</f>
        <v>164.76655268148102</v>
      </c>
      <c r="E135" s="1111">
        <f ca="1">'[1]Monthly Curve Calc.'!E138</f>
        <v>19.590694444444431</v>
      </c>
      <c r="F135" s="1112">
        <f ca="1">'[1]Monthly Curve Calc.'!F138</f>
        <v>2.3758481815842174</v>
      </c>
      <c r="G135" s="810">
        <f t="shared" ca="1" si="16"/>
        <v>1.0750000000000004</v>
      </c>
      <c r="H135" s="808">
        <f t="shared" ca="1" si="17"/>
        <v>1.0279988418351107</v>
      </c>
      <c r="I135" s="808">
        <f t="shared" ca="1" si="18"/>
        <v>1.0254988418351108</v>
      </c>
      <c r="J135" s="808">
        <f t="shared" ca="1" si="23"/>
        <v>1.0245957650843083</v>
      </c>
      <c r="K135" s="808">
        <f t="shared" ca="1" si="19"/>
        <v>19.665173611111115</v>
      </c>
      <c r="L135" s="811">
        <f t="shared" ca="1" si="22"/>
        <v>2.3027862192387638</v>
      </c>
      <c r="M135" s="773">
        <f t="shared" si="13"/>
        <v>123</v>
      </c>
      <c r="N135" s="807">
        <f t="shared" ca="1" si="14"/>
        <v>1.0279988418351107</v>
      </c>
      <c r="O135" s="808">
        <f t="shared" si="20"/>
        <v>1.0049999999999999</v>
      </c>
      <c r="P135" s="811">
        <f t="shared" ca="1" si="21"/>
        <v>1.2691909562879884</v>
      </c>
    </row>
    <row r="136" spans="1:16">
      <c r="A136" s="809">
        <f t="shared" si="15"/>
        <v>38961</v>
      </c>
      <c r="B136" s="1110">
        <f ca="1">'[1]Monthly Curve Calc.'!B139</f>
        <v>302.24935674996919</v>
      </c>
      <c r="C136" s="1111">
        <f ca="1">'[1]Monthly Curve Calc.'!C139</f>
        <v>205.64050081983879</v>
      </c>
      <c r="D136" s="1111">
        <f ca="1">'[1]Monthly Curve Calc.'!D139</f>
        <v>165.08159420253855</v>
      </c>
      <c r="E136" s="1111">
        <f ca="1">'[1]Monthly Curve Calc.'!E139</f>
        <v>19.588020833333317</v>
      </c>
      <c r="F136" s="1112">
        <f ca="1">'[1]Monthly Curve Calc.'!F139</f>
        <v>2.3813219311380154</v>
      </c>
      <c r="G136" s="810">
        <f t="shared" ca="1" si="16"/>
        <v>1.0750000000000004</v>
      </c>
      <c r="H136" s="808">
        <f t="shared" ca="1" si="17"/>
        <v>1.0279988418351107</v>
      </c>
      <c r="I136" s="808">
        <f t="shared" ca="1" si="18"/>
        <v>1.0254988418351108</v>
      </c>
      <c r="J136" s="808">
        <f t="shared" ca="1" si="23"/>
        <v>1.0245957650843083</v>
      </c>
      <c r="K136" s="808">
        <f t="shared" ca="1" si="19"/>
        <v>19.665173611111115</v>
      </c>
      <c r="L136" s="811">
        <f t="shared" ca="1" si="22"/>
        <v>2.3027862192387638</v>
      </c>
      <c r="M136" s="773">
        <f t="shared" si="13"/>
        <v>124</v>
      </c>
      <c r="N136" s="807">
        <f t="shared" ca="1" si="14"/>
        <v>1.0279988418351107</v>
      </c>
      <c r="O136" s="808">
        <f t="shared" si="20"/>
        <v>1.0049999999999999</v>
      </c>
      <c r="P136" s="811">
        <f t="shared" ca="1" si="21"/>
        <v>1.2691909562879884</v>
      </c>
    </row>
    <row r="137" spans="1:16">
      <c r="A137" s="809">
        <f t="shared" si="15"/>
        <v>38991</v>
      </c>
      <c r="B137" s="1110">
        <f ca="1">'[1]Monthly Curve Calc.'!B140</f>
        <v>304.076429636667</v>
      </c>
      <c r="C137" s="1111">
        <f ca="1">'[1]Monthly Curve Calc.'!C140</f>
        <v>206.10687916940122</v>
      </c>
      <c r="D137" s="1111">
        <f ca="1">'[1]Monthly Curve Calc.'!D140</f>
        <v>165.39723809803664</v>
      </c>
      <c r="E137" s="1111">
        <f ca="1">'[1]Monthly Curve Calc.'!E140</f>
        <v>19.585347222222204</v>
      </c>
      <c r="F137" s="1112">
        <f ca="1">'[1]Monthly Curve Calc.'!F140</f>
        <v>2.3868082917392743</v>
      </c>
      <c r="G137" s="810">
        <f t="shared" ca="1" si="16"/>
        <v>1.0750000000000004</v>
      </c>
      <c r="H137" s="808">
        <f t="shared" ca="1" si="17"/>
        <v>1.0279988418351107</v>
      </c>
      <c r="I137" s="808">
        <f t="shared" ca="1" si="18"/>
        <v>1.0254988418351108</v>
      </c>
      <c r="J137" s="808">
        <f t="shared" ca="1" si="23"/>
        <v>1.0245957650843083</v>
      </c>
      <c r="K137" s="808">
        <f t="shared" ca="1" si="19"/>
        <v>19.665173611111115</v>
      </c>
      <c r="L137" s="811">
        <f t="shared" ca="1" si="22"/>
        <v>2.3027862192387638</v>
      </c>
      <c r="M137" s="773">
        <f t="shared" si="13"/>
        <v>125</v>
      </c>
      <c r="N137" s="807">
        <f t="shared" ca="1" si="14"/>
        <v>1.0279988418351107</v>
      </c>
      <c r="O137" s="808">
        <f t="shared" si="20"/>
        <v>1.0049999999999999</v>
      </c>
      <c r="P137" s="811">
        <f t="shared" ca="1" si="21"/>
        <v>1.2691909562879884</v>
      </c>
    </row>
    <row r="138" spans="1:16">
      <c r="A138" s="809">
        <f t="shared" si="15"/>
        <v>39022</v>
      </c>
      <c r="B138" s="1110">
        <f ca="1">'[1]Monthly Curve Calc.'!B141</f>
        <v>305.91454703101641</v>
      </c>
      <c r="C138" s="1111">
        <f ca="1">'[1]Monthly Curve Calc.'!C141</f>
        <v>206.57431523261479</v>
      </c>
      <c r="D138" s="1111">
        <f ca="1">'[1]Monthly Curve Calc.'!D141</f>
        <v>165.71348551974395</v>
      </c>
      <c r="E138" s="1111">
        <f ca="1">'[1]Monthly Curve Calc.'!E141</f>
        <v>19.58267361111109</v>
      </c>
      <c r="F138" s="1112">
        <f ca="1">'[1]Monthly Curve Calc.'!F141</f>
        <v>2.3923072924427613</v>
      </c>
      <c r="G138" s="810">
        <f t="shared" ca="1" si="16"/>
        <v>1.0750000000000004</v>
      </c>
      <c r="H138" s="808">
        <f t="shared" ca="1" si="17"/>
        <v>1.0279988418351107</v>
      </c>
      <c r="I138" s="808">
        <f t="shared" ca="1" si="18"/>
        <v>1.0254988418351108</v>
      </c>
      <c r="J138" s="808">
        <f t="shared" ca="1" si="23"/>
        <v>1.0245957650843083</v>
      </c>
      <c r="K138" s="808">
        <f t="shared" ca="1" si="19"/>
        <v>19.665173611111115</v>
      </c>
      <c r="L138" s="811">
        <f t="shared" ca="1" si="22"/>
        <v>2.3027862192387638</v>
      </c>
      <c r="M138" s="773">
        <f t="shared" si="13"/>
        <v>126</v>
      </c>
      <c r="N138" s="807">
        <f t="shared" ca="1" si="14"/>
        <v>1.0279988418351107</v>
      </c>
      <c r="O138" s="808">
        <f t="shared" si="20"/>
        <v>1.0049999999999999</v>
      </c>
      <c r="P138" s="811">
        <f t="shared" ca="1" si="21"/>
        <v>1.2691909562879884</v>
      </c>
    </row>
    <row r="139" spans="1:16">
      <c r="A139" s="809">
        <f t="shared" si="15"/>
        <v>39052</v>
      </c>
      <c r="B139" s="1110">
        <f ca="1">'[1]Monthly Curve Calc.'!B142</f>
        <v>307.76377569617176</v>
      </c>
      <c r="C139" s="1111">
        <f ca="1">'[1]Monthly Curve Calc.'!C142</f>
        <v>207.04281140830045</v>
      </c>
      <c r="D139" s="1111">
        <f ca="1">'[1]Monthly Curve Calc.'!D142</f>
        <v>166.03033762163147</v>
      </c>
      <c r="E139" s="1111">
        <f ca="1">'[1]Monthly Curve Calc.'!E142</f>
        <v>19.579999999999995</v>
      </c>
      <c r="F139" s="1112">
        <f ca="1">'[1]Monthly Curve Calc.'!F142</f>
        <v>2.39781896237018</v>
      </c>
      <c r="G139" s="810">
        <f t="shared" ca="1" si="16"/>
        <v>1.0750000000000004</v>
      </c>
      <c r="H139" s="808">
        <f t="shared" ca="1" si="17"/>
        <v>1.0279988418351107</v>
      </c>
      <c r="I139" s="808">
        <f t="shared" ca="1" si="18"/>
        <v>1.0254988418351108</v>
      </c>
      <c r="J139" s="808">
        <f t="shared" ca="1" si="23"/>
        <v>1.0245957650843083</v>
      </c>
      <c r="K139" s="808">
        <f t="shared" ca="1" si="19"/>
        <v>19.665173611111115</v>
      </c>
      <c r="L139" s="811">
        <f t="shared" ca="1" si="22"/>
        <v>2.3027862192387638</v>
      </c>
      <c r="M139" s="773">
        <f t="shared" si="13"/>
        <v>127</v>
      </c>
      <c r="N139" s="807">
        <f t="shared" ca="1" si="14"/>
        <v>1.0279988418351107</v>
      </c>
      <c r="O139" s="808">
        <f t="shared" si="20"/>
        <v>1.0049999999999999</v>
      </c>
      <c r="P139" s="811">
        <f t="shared" ca="1" si="21"/>
        <v>1.2691909562879884</v>
      </c>
    </row>
    <row r="140" spans="1:16">
      <c r="A140" s="809">
        <f t="shared" si="15"/>
        <v>39083</v>
      </c>
      <c r="B140" s="1110">
        <f ca="1">'[1]Monthly Curve Calc.'!B143</f>
        <v>309.62418279886538</v>
      </c>
      <c r="C140" s="1111">
        <f ca="1">'[1]Monthly Curve Calc.'!C143</f>
        <v>207.50163896315578</v>
      </c>
      <c r="D140" s="1111">
        <f ca="1">'[1]Monthly Curve Calc.'!D143</f>
        <v>166.32745963630512</v>
      </c>
      <c r="E140" s="1111">
        <f ca="1">'[1]Monthly Curve Calc.'!E143</f>
        <v>19.604999999999997</v>
      </c>
      <c r="F140" s="1112">
        <f ca="1">'[1]Monthly Curve Calc.'!F143</f>
        <v>2.4031820782557931</v>
      </c>
      <c r="G140" s="810">
        <f t="shared" ca="1" si="16"/>
        <v>1.0750000000000004</v>
      </c>
      <c r="H140" s="808">
        <f t="shared" ca="1" si="17"/>
        <v>1.0279988418351107</v>
      </c>
      <c r="I140" s="808">
        <f t="shared" ca="1" si="18"/>
        <v>1.0254988418351108</v>
      </c>
      <c r="J140" s="808">
        <f t="shared" ca="1" si="23"/>
        <v>1.0231874090108415</v>
      </c>
      <c r="K140" s="808">
        <f t="shared" ca="1" si="19"/>
        <v>19.594704861111101</v>
      </c>
      <c r="L140" s="811">
        <f t="shared" ca="1" si="22"/>
        <v>2.3677358500106247</v>
      </c>
      <c r="M140" s="773">
        <f t="shared" si="13"/>
        <v>128</v>
      </c>
      <c r="N140" s="807">
        <f t="shared" ca="1" si="14"/>
        <v>1.0279988418351107</v>
      </c>
      <c r="O140" s="808">
        <f t="shared" si="20"/>
        <v>1.0049999999999999</v>
      </c>
      <c r="P140" s="811">
        <f t="shared" ca="1" si="21"/>
        <v>1.2691909562879884</v>
      </c>
    </row>
    <row r="141" spans="1:16">
      <c r="A141" s="809">
        <f t="shared" si="15"/>
        <v>39114</v>
      </c>
      <c r="B141" s="1110">
        <f ca="1">'[1]Monthly Curve Calc.'!B144</f>
        <v>311.495835911847</v>
      </c>
      <c r="C141" s="1111">
        <f ca="1">'[1]Monthly Curve Calc.'!C144</f>
        <v>207.96148332571221</v>
      </c>
      <c r="D141" s="1111">
        <f ca="1">'[1]Monthly Curve Calc.'!D144</f>
        <v>166.625113370018</v>
      </c>
      <c r="E141" s="1111">
        <f ca="1">'[1]Monthly Curve Calc.'!E144</f>
        <v>19.629999999999995</v>
      </c>
      <c r="F141" s="1112">
        <f ca="1">'[1]Monthly Curve Calc.'!F144</f>
        <v>2.4085571896308298</v>
      </c>
      <c r="G141" s="810">
        <f t="shared" ca="1" si="16"/>
        <v>1.0750000000000004</v>
      </c>
      <c r="H141" s="808">
        <f t="shared" ca="1" si="17"/>
        <v>1.0279988418351107</v>
      </c>
      <c r="I141" s="808">
        <f t="shared" ca="1" si="18"/>
        <v>1.0254988418351108</v>
      </c>
      <c r="J141" s="808">
        <f t="shared" ca="1" si="23"/>
        <v>1.0231874090108415</v>
      </c>
      <c r="K141" s="808">
        <f t="shared" ca="1" si="19"/>
        <v>19.594704861111101</v>
      </c>
      <c r="L141" s="811">
        <f t="shared" ca="1" si="22"/>
        <v>2.3677358500106247</v>
      </c>
      <c r="M141" s="773">
        <f t="shared" ref="M141:M204" si="24">M140+1</f>
        <v>129</v>
      </c>
      <c r="N141" s="807">
        <f t="shared" ca="1" si="14"/>
        <v>1.0279988418351107</v>
      </c>
      <c r="O141" s="808">
        <f t="shared" si="20"/>
        <v>1.0049999999999999</v>
      </c>
      <c r="P141" s="811">
        <f t="shared" ca="1" si="21"/>
        <v>1.2691909562879884</v>
      </c>
    </row>
    <row r="142" spans="1:16">
      <c r="A142" s="809">
        <f t="shared" si="15"/>
        <v>39142</v>
      </c>
      <c r="B142" s="1110">
        <f ca="1">'[1]Monthly Curve Calc.'!B145</f>
        <v>313.37880301633817</v>
      </c>
      <c r="C142" s="1111">
        <f ca="1">'[1]Monthly Curve Calc.'!C145</f>
        <v>208.42234674931717</v>
      </c>
      <c r="D142" s="1111">
        <f ca="1">'[1]Monthly Curve Calc.'!D145</f>
        <v>166.92329977431569</v>
      </c>
      <c r="E142" s="1111">
        <f ca="1">'[1]Monthly Curve Calc.'!E145</f>
        <v>19.654999999999994</v>
      </c>
      <c r="F142" s="1112">
        <f ca="1">'[1]Monthly Curve Calc.'!F145</f>
        <v>2.4139443233251718</v>
      </c>
      <c r="G142" s="810">
        <f t="shared" ca="1" si="16"/>
        <v>1.0750000000000004</v>
      </c>
      <c r="H142" s="808">
        <f t="shared" ca="1" si="17"/>
        <v>1.0279988418351107</v>
      </c>
      <c r="I142" s="808">
        <f t="shared" ca="1" si="18"/>
        <v>1.0254988418351108</v>
      </c>
      <c r="J142" s="808">
        <f t="shared" ca="1" si="23"/>
        <v>1.0231874090108415</v>
      </c>
      <c r="K142" s="808">
        <f t="shared" ca="1" si="19"/>
        <v>19.594704861111101</v>
      </c>
      <c r="L142" s="811">
        <f t="shared" ca="1" si="22"/>
        <v>2.3677358500106247</v>
      </c>
      <c r="M142" s="773">
        <f t="shared" si="24"/>
        <v>130</v>
      </c>
      <c r="N142" s="807">
        <f t="shared" ca="1" si="14"/>
        <v>1.0279988418351107</v>
      </c>
      <c r="O142" s="808">
        <f t="shared" si="20"/>
        <v>1.0049999999999999</v>
      </c>
      <c r="P142" s="811">
        <f t="shared" ca="1" si="21"/>
        <v>1.2691909562879884</v>
      </c>
    </row>
    <row r="143" spans="1:16">
      <c r="A143" s="809">
        <f t="shared" si="15"/>
        <v>39173</v>
      </c>
      <c r="B143" s="1110">
        <f ca="1">'[1]Monthly Curve Calc.'!B146</f>
        <v>315.27315250450141</v>
      </c>
      <c r="C143" s="1111">
        <f ca="1">'[1]Monthly Curve Calc.'!C146</f>
        <v>208.88423149231176</v>
      </c>
      <c r="D143" s="1111">
        <f ca="1">'[1]Monthly Curve Calc.'!D146</f>
        <v>167.2220198024466</v>
      </c>
      <c r="E143" s="1111">
        <f ca="1">'[1]Monthly Curve Calc.'!E146</f>
        <v>19.679999999999993</v>
      </c>
      <c r="F143" s="1112">
        <f ca="1">'[1]Monthly Curve Calc.'!F146</f>
        <v>2.419343506228711</v>
      </c>
      <c r="G143" s="810">
        <f t="shared" ca="1" si="16"/>
        <v>1.0750000000000004</v>
      </c>
      <c r="H143" s="808">
        <f t="shared" ca="1" si="17"/>
        <v>1.0279988418351107</v>
      </c>
      <c r="I143" s="808">
        <f t="shared" ca="1" si="18"/>
        <v>1.0254988418351108</v>
      </c>
      <c r="J143" s="808">
        <f t="shared" ca="1" si="23"/>
        <v>1.0231874090108415</v>
      </c>
      <c r="K143" s="808">
        <f t="shared" ca="1" si="19"/>
        <v>19.594704861111101</v>
      </c>
      <c r="L143" s="811">
        <f t="shared" ca="1" si="22"/>
        <v>2.3677358500106247</v>
      </c>
      <c r="M143" s="773">
        <f t="shared" si="24"/>
        <v>131</v>
      </c>
      <c r="N143" s="807">
        <f t="shared" ca="1" si="14"/>
        <v>1.0279988418351107</v>
      </c>
      <c r="O143" s="808">
        <f t="shared" si="20"/>
        <v>1.0049999999999999</v>
      </c>
      <c r="P143" s="811">
        <f t="shared" ca="1" si="21"/>
        <v>1.2691909562879884</v>
      </c>
    </row>
    <row r="144" spans="1:16">
      <c r="A144" s="809">
        <f t="shared" si="15"/>
        <v>39203</v>
      </c>
      <c r="B144" s="1110">
        <f ca="1">'[1]Monthly Curve Calc.'!B147</f>
        <v>317.17895318192427</v>
      </c>
      <c r="C144" s="1111">
        <f ca="1">'[1]Monthly Curve Calc.'!C147</f>
        <v>209.3471398180418</v>
      </c>
      <c r="D144" s="1111">
        <f ca="1">'[1]Monthly Curve Calc.'!D147</f>
        <v>167.52127440936505</v>
      </c>
      <c r="E144" s="1111">
        <f ca="1">'[1]Monthly Curve Calc.'!E147</f>
        <v>19.704999999999991</v>
      </c>
      <c r="F144" s="1112">
        <f ca="1">'[1]Monthly Curve Calc.'!F147</f>
        <v>2.4247547652914823</v>
      </c>
      <c r="G144" s="810">
        <f t="shared" ca="1" si="16"/>
        <v>1.0749999999999997</v>
      </c>
      <c r="H144" s="808">
        <f t="shared" ca="1" si="17"/>
        <v>1.0273446794171393</v>
      </c>
      <c r="I144" s="808">
        <f t="shared" ca="1" si="18"/>
        <v>1.0248446794171393</v>
      </c>
      <c r="J144" s="808">
        <f t="shared" ca="1" si="23"/>
        <v>1.0231874090108415</v>
      </c>
      <c r="K144" s="808">
        <f t="shared" ca="1" si="19"/>
        <v>19.594704861111101</v>
      </c>
      <c r="L144" s="811">
        <f t="shared" ca="1" si="22"/>
        <v>2.3677358500106247</v>
      </c>
      <c r="M144" s="773">
        <f t="shared" si="24"/>
        <v>132</v>
      </c>
      <c r="N144" s="807">
        <f t="shared" ca="1" si="14"/>
        <v>1.0273446794171393</v>
      </c>
      <c r="O144" s="808">
        <f t="shared" si="20"/>
        <v>1.0049999999999999</v>
      </c>
      <c r="P144" s="811">
        <f t="shared" ca="1" si="21"/>
        <v>1.3038965761068158</v>
      </c>
    </row>
    <row r="145" spans="1:16">
      <c r="A145" s="809">
        <f t="shared" si="15"/>
        <v>39234</v>
      </c>
      <c r="B145" s="1110">
        <f ca="1">'[1]Monthly Curve Calc.'!B148</f>
        <v>319.09627427011861</v>
      </c>
      <c r="C145" s="1111">
        <f ca="1">'[1]Monthly Curve Calc.'!C148</f>
        <v>209.81107399486888</v>
      </c>
      <c r="D145" s="1111">
        <f ca="1">'[1]Monthly Curve Calc.'!D148</f>
        <v>167.82106455173434</v>
      </c>
      <c r="E145" s="1111">
        <f ca="1">'[1]Monthly Curve Calc.'!E148</f>
        <v>19.72999999999999</v>
      </c>
      <c r="F145" s="1112">
        <f ca="1">'[1]Monthly Curve Calc.'!F148</f>
        <v>2.4301781275237988</v>
      </c>
      <c r="G145" s="810">
        <f t="shared" ca="1" si="16"/>
        <v>1.0749999999999997</v>
      </c>
      <c r="H145" s="808">
        <f t="shared" ca="1" si="17"/>
        <v>1.0273446794171393</v>
      </c>
      <c r="I145" s="808">
        <f t="shared" ca="1" si="18"/>
        <v>1.0248446794171393</v>
      </c>
      <c r="J145" s="808">
        <f t="shared" ca="1" si="23"/>
        <v>1.0231874090108415</v>
      </c>
      <c r="K145" s="808">
        <f t="shared" ca="1" si="19"/>
        <v>19.594704861111101</v>
      </c>
      <c r="L145" s="811">
        <f t="shared" ca="1" si="22"/>
        <v>2.3677358500106247</v>
      </c>
      <c r="M145" s="773">
        <f t="shared" si="24"/>
        <v>133</v>
      </c>
      <c r="N145" s="807">
        <f t="shared" ref="N145:N208" ca="1" si="25">HLOOKUP(N$14,Dec_Change,$M145)</f>
        <v>1.0273446794171393</v>
      </c>
      <c r="O145" s="808">
        <f t="shared" si="20"/>
        <v>1.0049999999999999</v>
      </c>
      <c r="P145" s="811">
        <f t="shared" ca="1" si="21"/>
        <v>1.3038965761068158</v>
      </c>
    </row>
    <row r="146" spans="1:16">
      <c r="A146" s="809">
        <f t="shared" si="15"/>
        <v>39264</v>
      </c>
      <c r="B146" s="1110">
        <f ca="1">'[1]Monthly Curve Calc.'!B149</f>
        <v>321.02518540903463</v>
      </c>
      <c r="C146" s="1111">
        <f ca="1">'[1]Monthly Curve Calc.'!C149</f>
        <v>210.2760362961815</v>
      </c>
      <c r="D146" s="1111">
        <f ca="1">'[1]Monthly Curve Calc.'!D149</f>
        <v>168.12139118792973</v>
      </c>
      <c r="E146" s="1111">
        <f ca="1">'[1]Monthly Curve Calc.'!E149</f>
        <v>19.754999999999988</v>
      </c>
      <c r="F146" s="1112">
        <f ca="1">'[1]Monthly Curve Calc.'!F149</f>
        <v>2.4356136199963871</v>
      </c>
      <c r="G146" s="810">
        <f t="shared" ca="1" si="16"/>
        <v>1.0749999999999997</v>
      </c>
      <c r="H146" s="808">
        <f t="shared" ca="1" si="17"/>
        <v>1.0273446794171393</v>
      </c>
      <c r="I146" s="808">
        <f t="shared" ca="1" si="18"/>
        <v>1.0248446794171393</v>
      </c>
      <c r="J146" s="808">
        <f t="shared" ca="1" si="23"/>
        <v>1.0231874090108415</v>
      </c>
      <c r="K146" s="808">
        <f t="shared" ca="1" si="19"/>
        <v>19.594704861111101</v>
      </c>
      <c r="L146" s="811">
        <f t="shared" ca="1" si="22"/>
        <v>2.3677358500106247</v>
      </c>
      <c r="M146" s="773">
        <f t="shared" si="24"/>
        <v>134</v>
      </c>
      <c r="N146" s="807">
        <f t="shared" ca="1" si="25"/>
        <v>1.0273446794171393</v>
      </c>
      <c r="O146" s="808">
        <f t="shared" si="20"/>
        <v>1.0049999999999999</v>
      </c>
      <c r="P146" s="811">
        <f t="shared" ca="1" si="21"/>
        <v>1.3038965761068158</v>
      </c>
    </row>
    <row r="147" spans="1:16">
      <c r="A147" s="809">
        <f t="shared" si="15"/>
        <v>39295</v>
      </c>
      <c r="B147" s="1110">
        <f ca="1">'[1]Monthly Curve Calc.'!B150</f>
        <v>322.96575665959051</v>
      </c>
      <c r="C147" s="1111">
        <f ca="1">'[1]Monthly Curve Calc.'!C150</f>
        <v>210.74202900040626</v>
      </c>
      <c r="D147" s="1111">
        <f ca="1">'[1]Monthly Curve Calc.'!D150</f>
        <v>168.42225527804158</v>
      </c>
      <c r="E147" s="1111">
        <f ca="1">'[1]Monthly Curve Calc.'!E150</f>
        <v>19.779999999999987</v>
      </c>
      <c r="F147" s="1112">
        <f ca="1">'[1]Monthly Curve Calc.'!F150</f>
        <v>2.4410612698405219</v>
      </c>
      <c r="G147" s="810">
        <f t="shared" ca="1" si="16"/>
        <v>1.0749999999999997</v>
      </c>
      <c r="H147" s="808">
        <f t="shared" ca="1" si="17"/>
        <v>1.0273446794171393</v>
      </c>
      <c r="I147" s="808">
        <f t="shared" ca="1" si="18"/>
        <v>1.0248446794171393</v>
      </c>
      <c r="J147" s="808">
        <f t="shared" ca="1" si="23"/>
        <v>1.0231874090108415</v>
      </c>
      <c r="K147" s="808">
        <f t="shared" ca="1" si="19"/>
        <v>19.594704861111101</v>
      </c>
      <c r="L147" s="811">
        <f t="shared" ca="1" si="22"/>
        <v>2.3677358500106247</v>
      </c>
      <c r="M147" s="773">
        <f t="shared" si="24"/>
        <v>135</v>
      </c>
      <c r="N147" s="807">
        <f t="shared" ca="1" si="25"/>
        <v>1.0273446794171393</v>
      </c>
      <c r="O147" s="808">
        <f t="shared" si="20"/>
        <v>1.0049999999999999</v>
      </c>
      <c r="P147" s="811">
        <f t="shared" ca="1" si="21"/>
        <v>1.3038965761068158</v>
      </c>
    </row>
    <row r="148" spans="1:16">
      <c r="A148" s="809">
        <f t="shared" ref="A148:A211" si="26">EDATE(A147,1)</f>
        <v>39326</v>
      </c>
      <c r="B148" s="1110">
        <f ca="1">'[1]Monthly Curve Calc.'!B151</f>
        <v>324.91805850621682</v>
      </c>
      <c r="C148" s="1111">
        <f ca="1">'[1]Monthly Curve Calc.'!C151</f>
        <v>211.20905439101895</v>
      </c>
      <c r="D148" s="1111">
        <f ca="1">'[1]Monthly Curve Calc.'!D151</f>
        <v>168.72365778387839</v>
      </c>
      <c r="E148" s="1111">
        <f ca="1">'[1]Monthly Curve Calc.'!E151</f>
        <v>19.804999999999986</v>
      </c>
      <c r="F148" s="1112">
        <f ca="1">'[1]Monthly Curve Calc.'!F151</f>
        <v>2.4465211042481605</v>
      </c>
      <c r="G148" s="810">
        <f t="shared" ca="1" si="16"/>
        <v>1.0749999999999997</v>
      </c>
      <c r="H148" s="808">
        <f t="shared" ca="1" si="17"/>
        <v>1.0273446794171393</v>
      </c>
      <c r="I148" s="808">
        <f t="shared" ca="1" si="18"/>
        <v>1.0248446794171393</v>
      </c>
      <c r="J148" s="808">
        <f t="shared" ca="1" si="23"/>
        <v>1.0231874090108415</v>
      </c>
      <c r="K148" s="808">
        <f t="shared" ca="1" si="19"/>
        <v>19.594704861111101</v>
      </c>
      <c r="L148" s="811">
        <f t="shared" ca="1" si="22"/>
        <v>2.3677358500106247</v>
      </c>
      <c r="M148" s="773">
        <f t="shared" si="24"/>
        <v>136</v>
      </c>
      <c r="N148" s="807">
        <f t="shared" ca="1" si="25"/>
        <v>1.0273446794171393</v>
      </c>
      <c r="O148" s="808">
        <f t="shared" si="20"/>
        <v>1.0049999999999999</v>
      </c>
      <c r="P148" s="811">
        <f t="shared" ca="1" si="21"/>
        <v>1.3038965761068158</v>
      </c>
    </row>
    <row r="149" spans="1:16">
      <c r="A149" s="809">
        <f t="shared" si="26"/>
        <v>39356</v>
      </c>
      <c r="B149" s="1110">
        <f ca="1">'[1]Monthly Curve Calc.'!B152</f>
        <v>326.88216185941701</v>
      </c>
      <c r="C149" s="1111">
        <f ca="1">'[1]Monthly Curve Calc.'!C152</f>
        <v>211.67711475655577</v>
      </c>
      <c r="D149" s="1111">
        <f ca="1">'[1]Monthly Curve Calc.'!D152</f>
        <v>169.0255996689699</v>
      </c>
      <c r="E149" s="1111">
        <f ca="1">'[1]Monthly Curve Calc.'!E152</f>
        <v>19.829999999999984</v>
      </c>
      <c r="F149" s="1112">
        <f ca="1">'[1]Monthly Curve Calc.'!F152</f>
        <v>2.4519931504720804</v>
      </c>
      <c r="G149" s="810">
        <f t="shared" ref="G149:G212" ca="1" si="27">IF(AND($A149&gt;G$16,MONTH($A149)=MONTH(G$16)),B148/B136,G148)</f>
        <v>1.0749999999999997</v>
      </c>
      <c r="H149" s="808">
        <f t="shared" ref="H149:H212" ca="1" si="28">IF(AND($A149&gt;H$16,MONTH($A149)=MONTH(H$16)),C148/C136,H148)</f>
        <v>1.0273446794171393</v>
      </c>
      <c r="I149" s="808">
        <f t="shared" ref="I149:I212" ca="1" si="29">IF(AND($A149&gt;I$16,MONTH($A149)=MONTH(I$16)),C148/C136-I$18,I148)</f>
        <v>1.0248446794171393</v>
      </c>
      <c r="J149" s="808">
        <f t="shared" ca="1" si="23"/>
        <v>1.0231874090108415</v>
      </c>
      <c r="K149" s="808">
        <f t="shared" ref="K149:K212" ca="1" si="30">IF($A149&gt;=K$16,IF(MONTH($A149)=MONTH(K$16),AVERAGE(E137:E148),K148),K148)</f>
        <v>19.594704861111101</v>
      </c>
      <c r="L149" s="811">
        <f t="shared" ca="1" si="22"/>
        <v>2.3677358500106247</v>
      </c>
      <c r="M149" s="773">
        <f t="shared" si="24"/>
        <v>137</v>
      </c>
      <c r="N149" s="807">
        <f t="shared" ca="1" si="25"/>
        <v>1.0273446794171393</v>
      </c>
      <c r="O149" s="808">
        <f t="shared" ref="O149:O212" si="31">O148</f>
        <v>1.0049999999999999</v>
      </c>
      <c r="P149" s="811">
        <f t="shared" ref="P149:P212" ca="1" si="32">IF(AND($A149&gt;=P$16,MONTH($A149)=MONTH(P$16)),MAX(N149,O149)*P148,P148)</f>
        <v>1.3038965761068158</v>
      </c>
    </row>
    <row r="150" spans="1:16">
      <c r="A150" s="809">
        <f t="shared" si="26"/>
        <v>39387</v>
      </c>
      <c r="B150" s="1110">
        <f ca="1">'[1]Monthly Curve Calc.'!B153</f>
        <v>328.8581380583426</v>
      </c>
      <c r="C150" s="1111">
        <f ca="1">'[1]Monthly Curve Calc.'!C153</f>
        <v>212.14621239062456</v>
      </c>
      <c r="D150" s="1111">
        <f ca="1">'[1]Monthly Curve Calc.'!D153</f>
        <v>169.3280818985701</v>
      </c>
      <c r="E150" s="1111">
        <f ca="1">'[1]Monthly Curve Calc.'!E153</f>
        <v>19.854999999999983</v>
      </c>
      <c r="F150" s="1112">
        <f ca="1">'[1]Monthly Curve Calc.'!F153</f>
        <v>2.4574774358260143</v>
      </c>
      <c r="G150" s="810">
        <f t="shared" ca="1" si="27"/>
        <v>1.0749999999999997</v>
      </c>
      <c r="H150" s="808">
        <f t="shared" ca="1" si="28"/>
        <v>1.0273446794171393</v>
      </c>
      <c r="I150" s="808">
        <f t="shared" ca="1" si="29"/>
        <v>1.0248446794171393</v>
      </c>
      <c r="J150" s="808">
        <f t="shared" ca="1" si="23"/>
        <v>1.0231874090108415</v>
      </c>
      <c r="K150" s="808">
        <f t="shared" ca="1" si="30"/>
        <v>19.594704861111101</v>
      </c>
      <c r="L150" s="811">
        <f t="shared" ca="1" si="22"/>
        <v>2.3677358500106247</v>
      </c>
      <c r="M150" s="773">
        <f t="shared" si="24"/>
        <v>138</v>
      </c>
      <c r="N150" s="807">
        <f t="shared" ca="1" si="25"/>
        <v>1.0273446794171393</v>
      </c>
      <c r="O150" s="808">
        <f t="shared" si="31"/>
        <v>1.0049999999999999</v>
      </c>
      <c r="P150" s="811">
        <f t="shared" ca="1" si="32"/>
        <v>1.3038965761068158</v>
      </c>
    </row>
    <row r="151" spans="1:16">
      <c r="A151" s="809">
        <f t="shared" si="26"/>
        <v>39417</v>
      </c>
      <c r="B151" s="1110">
        <f ca="1">'[1]Monthly Curve Calc.'!B154</f>
        <v>330.84605887338461</v>
      </c>
      <c r="C151" s="1111">
        <f ca="1">'[1]Monthly Curve Calc.'!C154</f>
        <v>212.61634959191602</v>
      </c>
      <c r="D151" s="1111">
        <f ca="1">'[1]Monthly Curve Calc.'!D154</f>
        <v>169.63110543966042</v>
      </c>
      <c r="E151" s="1111">
        <f ca="1">'[1]Monthly Curve Calc.'!E154</f>
        <v>19.88</v>
      </c>
      <c r="F151" s="1112">
        <f ca="1">'[1]Monthly Curve Calc.'!F154</f>
        <v>2.4629739876847867</v>
      </c>
      <c r="G151" s="810">
        <f t="shared" ca="1" si="27"/>
        <v>1.0749999999999997</v>
      </c>
      <c r="H151" s="808">
        <f t="shared" ca="1" si="28"/>
        <v>1.0273446794171393</v>
      </c>
      <c r="I151" s="808">
        <f t="shared" ca="1" si="29"/>
        <v>1.0248446794171393</v>
      </c>
      <c r="J151" s="808">
        <f t="shared" ca="1" si="23"/>
        <v>1.0231874090108415</v>
      </c>
      <c r="K151" s="808">
        <f t="shared" ca="1" si="30"/>
        <v>19.594704861111101</v>
      </c>
      <c r="L151" s="811">
        <f t="shared" ca="1" si="22"/>
        <v>2.3677358500106247</v>
      </c>
      <c r="M151" s="773">
        <f t="shared" si="24"/>
        <v>139</v>
      </c>
      <c r="N151" s="807">
        <f t="shared" ca="1" si="25"/>
        <v>1.0273446794171393</v>
      </c>
      <c r="O151" s="808">
        <f t="shared" si="31"/>
        <v>1.0049999999999999</v>
      </c>
      <c r="P151" s="811">
        <f t="shared" ca="1" si="32"/>
        <v>1.3038965761068158</v>
      </c>
    </row>
    <row r="152" spans="1:16">
      <c r="A152" s="809">
        <f t="shared" si="26"/>
        <v>39448</v>
      </c>
      <c r="B152" s="1110">
        <f ca="1">'[1]Monthly Curve Calc.'!B155</f>
        <v>332.84599650878027</v>
      </c>
      <c r="C152" s="1111">
        <f ca="1">'[1]Monthly Curve Calc.'!C155</f>
        <v>213.07888091182747</v>
      </c>
      <c r="D152" s="1111">
        <f ca="1">'[1]Monthly Curve Calc.'!D155</f>
        <v>169.91762554703541</v>
      </c>
      <c r="E152" s="1111">
        <f ca="1">'[1]Monthly Curve Calc.'!E155</f>
        <v>19.932083333333331</v>
      </c>
      <c r="F152" s="1112">
        <f ca="1">'[1]Monthly Curve Calc.'!F155</f>
        <v>2.4681826378384035</v>
      </c>
      <c r="G152" s="810">
        <f t="shared" ca="1" si="27"/>
        <v>1.0749999999999997</v>
      </c>
      <c r="H152" s="808">
        <f t="shared" ca="1" si="28"/>
        <v>1.0273446794171393</v>
      </c>
      <c r="I152" s="808">
        <f t="shared" ca="1" si="29"/>
        <v>1.0248446794171393</v>
      </c>
      <c r="J152" s="808">
        <f t="shared" ca="1" si="23"/>
        <v>1.0216874088772545</v>
      </c>
      <c r="K152" s="808">
        <f t="shared" ca="1" si="30"/>
        <v>19.742499999999993</v>
      </c>
      <c r="L152" s="811">
        <f t="shared" ca="1" si="22"/>
        <v>2.4329667131936445</v>
      </c>
      <c r="M152" s="773">
        <f t="shared" si="24"/>
        <v>140</v>
      </c>
      <c r="N152" s="807">
        <f t="shared" ca="1" si="25"/>
        <v>1.0273446794171393</v>
      </c>
      <c r="O152" s="808">
        <f t="shared" si="31"/>
        <v>1.0049999999999999</v>
      </c>
      <c r="P152" s="811">
        <f t="shared" ca="1" si="32"/>
        <v>1.3038965761068158</v>
      </c>
    </row>
    <row r="153" spans="1:16">
      <c r="A153" s="809">
        <f t="shared" si="26"/>
        <v>39479</v>
      </c>
      <c r="B153" s="1110">
        <f ca="1">'[1]Monthly Curve Calc.'!B156</f>
        <v>334.85802360523553</v>
      </c>
      <c r="C153" s="1111">
        <f ca="1">'[1]Monthly Curve Calc.'!C156</f>
        <v>213.54241843480051</v>
      </c>
      <c r="D153" s="1111">
        <f ca="1">'[1]Monthly Curve Calc.'!D156</f>
        <v>170.2046296091174</v>
      </c>
      <c r="E153" s="1111">
        <f ca="1">'[1]Monthly Curve Calc.'!E156</f>
        <v>19.984166666666663</v>
      </c>
      <c r="F153" s="1112">
        <f ca="1">'[1]Monthly Curve Calc.'!F156</f>
        <v>2.4734023031454724</v>
      </c>
      <c r="G153" s="810">
        <f t="shared" ca="1" si="27"/>
        <v>1.0749999999999997</v>
      </c>
      <c r="H153" s="808">
        <f t="shared" ca="1" si="28"/>
        <v>1.0273446794171393</v>
      </c>
      <c r="I153" s="808">
        <f t="shared" ca="1" si="29"/>
        <v>1.0248446794171393</v>
      </c>
      <c r="J153" s="808">
        <f t="shared" ca="1" si="23"/>
        <v>1.0216874088772545</v>
      </c>
      <c r="K153" s="808">
        <f t="shared" ca="1" si="30"/>
        <v>19.742499999999993</v>
      </c>
      <c r="L153" s="811">
        <f t="shared" ca="1" si="22"/>
        <v>2.4329667131936445</v>
      </c>
      <c r="M153" s="773">
        <f t="shared" si="24"/>
        <v>141</v>
      </c>
      <c r="N153" s="807">
        <f t="shared" ca="1" si="25"/>
        <v>1.0273446794171393</v>
      </c>
      <c r="O153" s="808">
        <f t="shared" si="31"/>
        <v>1.0049999999999999</v>
      </c>
      <c r="P153" s="811">
        <f t="shared" ca="1" si="32"/>
        <v>1.3038965761068158</v>
      </c>
    </row>
    <row r="154" spans="1:16">
      <c r="A154" s="809">
        <f t="shared" si="26"/>
        <v>39508</v>
      </c>
      <c r="B154" s="1110">
        <f ca="1">'[1]Monthly Curve Calc.'!B157</f>
        <v>336.88221324256352</v>
      </c>
      <c r="C154" s="1111">
        <f ca="1">'[1]Monthly Curve Calc.'!C157</f>
        <v>214.00696434975629</v>
      </c>
      <c r="D154" s="1111">
        <f ca="1">'[1]Monthly Curve Calc.'!D157</f>
        <v>170.49211844334346</v>
      </c>
      <c r="E154" s="1111">
        <f ca="1">'[1]Monthly Curve Calc.'!E157</f>
        <v>20.036249999999995</v>
      </c>
      <c r="F154" s="1112">
        <f ca="1">'[1]Monthly Curve Calc.'!F157</f>
        <v>2.4786330069006288</v>
      </c>
      <c r="G154" s="810">
        <f t="shared" ca="1" si="27"/>
        <v>1.0749999999999997</v>
      </c>
      <c r="H154" s="808">
        <f t="shared" ca="1" si="28"/>
        <v>1.0273446794171393</v>
      </c>
      <c r="I154" s="808">
        <f t="shared" ca="1" si="29"/>
        <v>1.0248446794171393</v>
      </c>
      <c r="J154" s="808">
        <f t="shared" ca="1" si="23"/>
        <v>1.0216874088772545</v>
      </c>
      <c r="K154" s="808">
        <f t="shared" ca="1" si="30"/>
        <v>19.742499999999993</v>
      </c>
      <c r="L154" s="811">
        <f t="shared" ca="1" si="22"/>
        <v>2.4329667131936445</v>
      </c>
      <c r="M154" s="773">
        <f t="shared" si="24"/>
        <v>142</v>
      </c>
      <c r="N154" s="807">
        <f t="shared" ca="1" si="25"/>
        <v>1.0273446794171393</v>
      </c>
      <c r="O154" s="808">
        <f t="shared" si="31"/>
        <v>1.0049999999999999</v>
      </c>
      <c r="P154" s="811">
        <f t="shared" ca="1" si="32"/>
        <v>1.3038965761068158</v>
      </c>
    </row>
    <row r="155" spans="1:16">
      <c r="A155" s="809">
        <f t="shared" si="26"/>
        <v>39539</v>
      </c>
      <c r="B155" s="1110">
        <f ca="1">'[1]Monthly Curve Calc.'!B158</f>
        <v>338.91863894233899</v>
      </c>
      <c r="C155" s="1111">
        <f ca="1">'[1]Monthly Curve Calc.'!C158</f>
        <v>214.47252085037783</v>
      </c>
      <c r="D155" s="1111">
        <f ca="1">'[1]Monthly Curve Calc.'!D158</f>
        <v>170.78009286853137</v>
      </c>
      <c r="E155" s="1111">
        <f ca="1">'[1]Monthly Curve Calc.'!E158</f>
        <v>20.088333333333328</v>
      </c>
      <c r="F155" s="1112">
        <f ca="1">'[1]Monthly Curve Calc.'!F158</f>
        <v>2.4838747724477708</v>
      </c>
      <c r="G155" s="810">
        <f t="shared" ca="1" si="27"/>
        <v>1.0749999999999997</v>
      </c>
      <c r="H155" s="808">
        <f t="shared" ca="1" si="28"/>
        <v>1.0273446794171393</v>
      </c>
      <c r="I155" s="808">
        <f t="shared" ca="1" si="29"/>
        <v>1.0248446794171393</v>
      </c>
      <c r="J155" s="808">
        <f t="shared" ca="1" si="23"/>
        <v>1.0216874088772545</v>
      </c>
      <c r="K155" s="808">
        <f t="shared" ca="1" si="30"/>
        <v>19.742499999999993</v>
      </c>
      <c r="L155" s="811">
        <f t="shared" ca="1" si="22"/>
        <v>2.4329667131936445</v>
      </c>
      <c r="M155" s="773">
        <f t="shared" si="24"/>
        <v>143</v>
      </c>
      <c r="N155" s="807">
        <f t="shared" ca="1" si="25"/>
        <v>1.0273446794171393</v>
      </c>
      <c r="O155" s="808">
        <f t="shared" si="31"/>
        <v>1.0049999999999999</v>
      </c>
      <c r="P155" s="811">
        <f t="shared" ca="1" si="32"/>
        <v>1.3038965761068158</v>
      </c>
    </row>
    <row r="156" spans="1:16">
      <c r="A156" s="809">
        <f t="shared" si="26"/>
        <v>39569</v>
      </c>
      <c r="B156" s="1110">
        <f ca="1">'[1]Monthly Curve Calc.'!B159</f>
        <v>340.96737467056857</v>
      </c>
      <c r="C156" s="1111">
        <f ca="1">'[1]Monthly Curve Calc.'!C159</f>
        <v>214.93909013512035</v>
      </c>
      <c r="D156" s="1111">
        <f ca="1">'[1]Monthly Curve Calc.'!D159</f>
        <v>171.06855370488196</v>
      </c>
      <c r="E156" s="1111">
        <f ca="1">'[1]Monthly Curve Calc.'!E159</f>
        <v>20.14041666666666</v>
      </c>
      <c r="F156" s="1112">
        <f ca="1">'[1]Monthly Curve Calc.'!F159</f>
        <v>2.4891276231801638</v>
      </c>
      <c r="G156" s="810">
        <f t="shared" ca="1" si="27"/>
        <v>1.075</v>
      </c>
      <c r="H156" s="808">
        <f t="shared" ca="1" si="28"/>
        <v>1.0267530455417444</v>
      </c>
      <c r="I156" s="808">
        <f t="shared" ca="1" si="29"/>
        <v>1.0242530455417445</v>
      </c>
      <c r="J156" s="808">
        <f t="shared" ca="1" si="23"/>
        <v>1.0216874088772545</v>
      </c>
      <c r="K156" s="808">
        <f t="shared" ca="1" si="30"/>
        <v>19.742499999999993</v>
      </c>
      <c r="L156" s="811">
        <f t="shared" ca="1" si="22"/>
        <v>2.4329667131936445</v>
      </c>
      <c r="M156" s="773">
        <f t="shared" si="24"/>
        <v>144</v>
      </c>
      <c r="N156" s="807">
        <f t="shared" ca="1" si="25"/>
        <v>1.0267530455417444</v>
      </c>
      <c r="O156" s="808">
        <f t="shared" si="31"/>
        <v>1.0049999999999999</v>
      </c>
      <c r="P156" s="811">
        <f t="shared" ca="1" si="32"/>
        <v>1.3387797805891259</v>
      </c>
    </row>
    <row r="157" spans="1:16">
      <c r="A157" s="809">
        <f t="shared" si="26"/>
        <v>39600</v>
      </c>
      <c r="B157" s="1110">
        <f ca="1">'[1]Monthly Curve Calc.'!B160</f>
        <v>343.0284948403775</v>
      </c>
      <c r="C157" s="1111">
        <f ca="1">'[1]Monthly Curve Calc.'!C160</f>
        <v>215.40667440722163</v>
      </c>
      <c r="D157" s="1111">
        <f ca="1">'[1]Monthly Curve Calc.'!D160</f>
        <v>171.35750177398148</v>
      </c>
      <c r="E157" s="1111">
        <f ca="1">'[1]Monthly Curve Calc.'!E160</f>
        <v>20.192499999999992</v>
      </c>
      <c r="F157" s="1112">
        <f ca="1">'[1]Monthly Curve Calc.'!F160</f>
        <v>2.4943915825405454</v>
      </c>
      <c r="G157" s="810">
        <f t="shared" ca="1" si="27"/>
        <v>1.075</v>
      </c>
      <c r="H157" s="808">
        <f t="shared" ca="1" si="28"/>
        <v>1.0267530455417444</v>
      </c>
      <c r="I157" s="808">
        <f t="shared" ca="1" si="29"/>
        <v>1.0242530455417445</v>
      </c>
      <c r="J157" s="808">
        <f t="shared" ca="1" si="23"/>
        <v>1.0216874088772545</v>
      </c>
      <c r="K157" s="808">
        <f t="shared" ca="1" si="30"/>
        <v>19.742499999999993</v>
      </c>
      <c r="L157" s="811">
        <f t="shared" ca="1" si="22"/>
        <v>2.4329667131936445</v>
      </c>
      <c r="M157" s="773">
        <f t="shared" si="24"/>
        <v>145</v>
      </c>
      <c r="N157" s="807">
        <f t="shared" ca="1" si="25"/>
        <v>1.0267530455417444</v>
      </c>
      <c r="O157" s="808">
        <f t="shared" si="31"/>
        <v>1.0049999999999999</v>
      </c>
      <c r="P157" s="811">
        <f t="shared" ca="1" si="32"/>
        <v>1.3387797805891259</v>
      </c>
    </row>
    <row r="158" spans="1:16">
      <c r="A158" s="809">
        <f t="shared" si="26"/>
        <v>39630</v>
      </c>
      <c r="B158" s="1110">
        <f ca="1">'[1]Monthly Curve Calc.'!B161</f>
        <v>345.10207431471224</v>
      </c>
      <c r="C158" s="1111">
        <f ca="1">'[1]Monthly Curve Calc.'!C161</f>
        <v>215.87527587471243</v>
      </c>
      <c r="D158" s="1111">
        <f ca="1">'[1]Monthly Curve Calc.'!D161</f>
        <v>171.64693789880386</v>
      </c>
      <c r="E158" s="1111">
        <f ca="1">'[1]Monthly Curve Calc.'!E161</f>
        <v>20.244583333333324</v>
      </c>
      <c r="F158" s="1112">
        <f ca="1">'[1]Monthly Curve Calc.'!F161</f>
        <v>2.4996666740212286</v>
      </c>
      <c r="G158" s="810">
        <f t="shared" ca="1" si="27"/>
        <v>1.075</v>
      </c>
      <c r="H158" s="808">
        <f t="shared" ca="1" si="28"/>
        <v>1.0267530455417444</v>
      </c>
      <c r="I158" s="808">
        <f t="shared" ca="1" si="29"/>
        <v>1.0242530455417445</v>
      </c>
      <c r="J158" s="808">
        <f t="shared" ca="1" si="23"/>
        <v>1.0216874088772545</v>
      </c>
      <c r="K158" s="808">
        <f t="shared" ca="1" si="30"/>
        <v>19.742499999999993</v>
      </c>
      <c r="L158" s="811">
        <f t="shared" ca="1" si="22"/>
        <v>2.4329667131936445</v>
      </c>
      <c r="M158" s="773">
        <f t="shared" si="24"/>
        <v>146</v>
      </c>
      <c r="N158" s="807">
        <f t="shared" ca="1" si="25"/>
        <v>1.0267530455417444</v>
      </c>
      <c r="O158" s="808">
        <f t="shared" si="31"/>
        <v>1.0049999999999999</v>
      </c>
      <c r="P158" s="811">
        <f t="shared" ca="1" si="32"/>
        <v>1.3387797805891259</v>
      </c>
    </row>
    <row r="159" spans="1:16">
      <c r="A159" s="809">
        <f t="shared" si="26"/>
        <v>39661</v>
      </c>
      <c r="B159" s="1110">
        <f ca="1">'[1]Monthly Curve Calc.'!B162</f>
        <v>347.18818840905976</v>
      </c>
      <c r="C159" s="1111">
        <f ca="1">'[1]Monthly Curve Calc.'!C162</f>
        <v>216.34489675042695</v>
      </c>
      <c r="D159" s="1111">
        <f ca="1">'[1]Monthly Curve Calc.'!D162</f>
        <v>171.93686290371309</v>
      </c>
      <c r="E159" s="1111">
        <f ca="1">'[1]Monthly Curve Calc.'!E162</f>
        <v>20.296666666666656</v>
      </c>
      <c r="F159" s="1112">
        <f ca="1">'[1]Monthly Curve Calc.'!F162</f>
        <v>2.5049529211642083</v>
      </c>
      <c r="G159" s="810">
        <f t="shared" ca="1" si="27"/>
        <v>1.075</v>
      </c>
      <c r="H159" s="808">
        <f t="shared" ca="1" si="28"/>
        <v>1.0267530455417444</v>
      </c>
      <c r="I159" s="808">
        <f t="shared" ca="1" si="29"/>
        <v>1.0242530455417445</v>
      </c>
      <c r="J159" s="808">
        <f t="shared" ca="1" si="23"/>
        <v>1.0216874088772545</v>
      </c>
      <c r="K159" s="808">
        <f t="shared" ca="1" si="30"/>
        <v>19.742499999999993</v>
      </c>
      <c r="L159" s="811">
        <f t="shared" ca="1" si="22"/>
        <v>2.4329667131936445</v>
      </c>
      <c r="M159" s="773">
        <f t="shared" si="24"/>
        <v>147</v>
      </c>
      <c r="N159" s="807">
        <f t="shared" ca="1" si="25"/>
        <v>1.0267530455417444</v>
      </c>
      <c r="O159" s="808">
        <f t="shared" si="31"/>
        <v>1.0049999999999999</v>
      </c>
      <c r="P159" s="811">
        <f t="shared" ca="1" si="32"/>
        <v>1.3387797805891259</v>
      </c>
    </row>
    <row r="160" spans="1:16">
      <c r="A160" s="809">
        <f t="shared" si="26"/>
        <v>39692</v>
      </c>
      <c r="B160" s="1110">
        <f ca="1">'[1]Monthly Curve Calc.'!B163</f>
        <v>349.28691289418305</v>
      </c>
      <c r="C160" s="1111">
        <f ca="1">'[1]Monthly Curve Calc.'!C163</f>
        <v>216.81553925201325</v>
      </c>
      <c r="D160" s="1111">
        <f ca="1">'[1]Monthly Curve Calc.'!D163</f>
        <v>172.22727761446561</v>
      </c>
      <c r="E160" s="1111">
        <f ca="1">'[1]Monthly Curve Calc.'!E163</f>
        <v>20.348749999999988</v>
      </c>
      <c r="F160" s="1112">
        <f ca="1">'[1]Monthly Curve Calc.'!F163</f>
        <v>2.5102503475612647</v>
      </c>
      <c r="G160" s="810">
        <f t="shared" ca="1" si="27"/>
        <v>1.075</v>
      </c>
      <c r="H160" s="808">
        <f t="shared" ca="1" si="28"/>
        <v>1.0267530455417444</v>
      </c>
      <c r="I160" s="808">
        <f t="shared" ca="1" si="29"/>
        <v>1.0242530455417445</v>
      </c>
      <c r="J160" s="808">
        <f t="shared" ca="1" si="23"/>
        <v>1.0216874088772545</v>
      </c>
      <c r="K160" s="808">
        <f t="shared" ca="1" si="30"/>
        <v>19.742499999999993</v>
      </c>
      <c r="L160" s="811">
        <f t="shared" ca="1" si="22"/>
        <v>2.4329667131936445</v>
      </c>
      <c r="M160" s="773">
        <f t="shared" si="24"/>
        <v>148</v>
      </c>
      <c r="N160" s="807">
        <f t="shared" ca="1" si="25"/>
        <v>1.0267530455417444</v>
      </c>
      <c r="O160" s="808">
        <f t="shared" si="31"/>
        <v>1.0049999999999999</v>
      </c>
      <c r="P160" s="811">
        <f t="shared" ca="1" si="32"/>
        <v>1.3387797805891259</v>
      </c>
    </row>
    <row r="161" spans="1:16">
      <c r="A161" s="809">
        <f t="shared" si="26"/>
        <v>39722</v>
      </c>
      <c r="B161" s="1110">
        <f ca="1">'[1]Monthly Curve Calc.'!B164</f>
        <v>351.3983239988732</v>
      </c>
      <c r="C161" s="1111">
        <f ca="1">'[1]Monthly Curve Calc.'!C164</f>
        <v>217.28720560194367</v>
      </c>
      <c r="D161" s="1111">
        <f ca="1">'[1]Monthly Curve Calc.'!D164</f>
        <v>172.51818285821261</v>
      </c>
      <c r="E161" s="1111">
        <f ca="1">'[1]Monthly Curve Calc.'!E164</f>
        <v>20.40083333333332</v>
      </c>
      <c r="F161" s="1112">
        <f ca="1">'[1]Monthly Curve Calc.'!F164</f>
        <v>2.5155589768540705</v>
      </c>
      <c r="G161" s="810">
        <f t="shared" ca="1" si="27"/>
        <v>1.075</v>
      </c>
      <c r="H161" s="808">
        <f t="shared" ca="1" si="28"/>
        <v>1.0267530455417444</v>
      </c>
      <c r="I161" s="808">
        <f t="shared" ca="1" si="29"/>
        <v>1.0242530455417445</v>
      </c>
      <c r="J161" s="808">
        <f t="shared" ca="1" si="23"/>
        <v>1.0216874088772545</v>
      </c>
      <c r="K161" s="808">
        <f t="shared" ca="1" si="30"/>
        <v>19.742499999999993</v>
      </c>
      <c r="L161" s="811">
        <f t="shared" ref="L161:L224" ca="1" si="33">IF($A161&gt;=L$16,IF(MONTH($A161)=MONTH(L$16),AVERAGE(F149:F160),L160),L160)</f>
        <v>2.4329667131936445</v>
      </c>
      <c r="M161" s="773">
        <f t="shared" si="24"/>
        <v>149</v>
      </c>
      <c r="N161" s="807">
        <f t="shared" ca="1" si="25"/>
        <v>1.0267530455417444</v>
      </c>
      <c r="O161" s="808">
        <f t="shared" si="31"/>
        <v>1.0049999999999999</v>
      </c>
      <c r="P161" s="811">
        <f t="shared" ca="1" si="32"/>
        <v>1.3387797805891259</v>
      </c>
    </row>
    <row r="162" spans="1:16">
      <c r="A162" s="809">
        <f t="shared" si="26"/>
        <v>39753</v>
      </c>
      <c r="B162" s="1110">
        <f ca="1">'[1]Monthly Curve Calc.'!B165</f>
        <v>353.52249841271822</v>
      </c>
      <c r="C162" s="1111">
        <f ca="1">'[1]Monthly Curve Calc.'!C165</f>
        <v>217.75989802752542</v>
      </c>
      <c r="D162" s="1111">
        <f ca="1">'[1]Monthly Curve Calc.'!D165</f>
        <v>172.80957946350242</v>
      </c>
      <c r="E162" s="1111">
        <f ca="1">'[1]Monthly Curve Calc.'!E165</f>
        <v>20.452916666666653</v>
      </c>
      <c r="F162" s="1112">
        <f ca="1">'[1]Monthly Curve Calc.'!F165</f>
        <v>2.5208788327342946</v>
      </c>
      <c r="G162" s="810">
        <f t="shared" ca="1" si="27"/>
        <v>1.075</v>
      </c>
      <c r="H162" s="808">
        <f t="shared" ca="1" si="28"/>
        <v>1.0267530455417444</v>
      </c>
      <c r="I162" s="808">
        <f t="shared" ca="1" si="29"/>
        <v>1.0242530455417445</v>
      </c>
      <c r="J162" s="808">
        <f t="shared" ca="1" si="23"/>
        <v>1.0216874088772545</v>
      </c>
      <c r="K162" s="808">
        <f t="shared" ca="1" si="30"/>
        <v>19.742499999999993</v>
      </c>
      <c r="L162" s="811">
        <f t="shared" ca="1" si="33"/>
        <v>2.4329667131936445</v>
      </c>
      <c r="M162" s="773">
        <f t="shared" si="24"/>
        <v>150</v>
      </c>
      <c r="N162" s="807">
        <f t="shared" ca="1" si="25"/>
        <v>1.0267530455417444</v>
      </c>
      <c r="O162" s="808">
        <f t="shared" si="31"/>
        <v>1.0049999999999999</v>
      </c>
      <c r="P162" s="811">
        <f t="shared" ca="1" si="32"/>
        <v>1.3387797805891259</v>
      </c>
    </row>
    <row r="163" spans="1:16">
      <c r="A163" s="809">
        <f t="shared" si="26"/>
        <v>39783</v>
      </c>
      <c r="B163" s="1110">
        <f ca="1">'[1]Monthly Curve Calc.'!B166</f>
        <v>355.65951328888838</v>
      </c>
      <c r="C163" s="1111">
        <f ca="1">'[1]Monthly Curve Calc.'!C166</f>
        <v>218.23361876091104</v>
      </c>
      <c r="D163" s="1111">
        <f ca="1">'[1]Monthly Curve Calc.'!D166</f>
        <v>173.10146826028279</v>
      </c>
      <c r="E163" s="1111">
        <f ca="1">'[1]Monthly Curve Calc.'!E166</f>
        <v>20.504999999999999</v>
      </c>
      <c r="F163" s="1112">
        <f ca="1">'[1]Monthly Curve Calc.'!F166</f>
        <v>2.5262099389437069</v>
      </c>
      <c r="G163" s="810">
        <f t="shared" ca="1" si="27"/>
        <v>1.075</v>
      </c>
      <c r="H163" s="808">
        <f t="shared" ca="1" si="28"/>
        <v>1.0267530455417444</v>
      </c>
      <c r="I163" s="808">
        <f t="shared" ca="1" si="29"/>
        <v>1.0242530455417445</v>
      </c>
      <c r="J163" s="808">
        <f t="shared" ca="1" si="23"/>
        <v>1.0216874088772545</v>
      </c>
      <c r="K163" s="808">
        <f t="shared" ca="1" si="30"/>
        <v>19.742499999999993</v>
      </c>
      <c r="L163" s="811">
        <f t="shared" ca="1" si="33"/>
        <v>2.4329667131936445</v>
      </c>
      <c r="M163" s="773">
        <f t="shared" si="24"/>
        <v>151</v>
      </c>
      <c r="N163" s="807">
        <f t="shared" ca="1" si="25"/>
        <v>1.0267530455417444</v>
      </c>
      <c r="O163" s="808">
        <f t="shared" si="31"/>
        <v>1.0049999999999999</v>
      </c>
      <c r="P163" s="811">
        <f t="shared" ca="1" si="32"/>
        <v>1.3387797805891259</v>
      </c>
    </row>
    <row r="164" spans="1:16">
      <c r="A164" s="809">
        <f t="shared" si="26"/>
        <v>39814</v>
      </c>
      <c r="B164" s="1110">
        <f ca="1">'[1]Monthly Curve Calc.'!B167</f>
        <v>357.72612812434687</v>
      </c>
      <c r="C164" s="1111">
        <f ca="1">'[1]Monthly Curve Calc.'!C167</f>
        <v>218.70045212737875</v>
      </c>
      <c r="D164" s="1111">
        <f ca="1">'[1]Monthly Curve Calc.'!D167</f>
        <v>173.38121940356976</v>
      </c>
      <c r="E164" s="1111">
        <f ca="1">'[1]Monthly Curve Calc.'!E167</f>
        <v>20.555</v>
      </c>
      <c r="F164" s="1112">
        <f ca="1">'[1]Monthly Curve Calc.'!F167</f>
        <v>2.5314135178011798</v>
      </c>
      <c r="G164" s="810">
        <f t="shared" ca="1" si="27"/>
        <v>1.075</v>
      </c>
      <c r="H164" s="808">
        <f t="shared" ca="1" si="28"/>
        <v>1.0267530455417444</v>
      </c>
      <c r="I164" s="808">
        <f t="shared" ca="1" si="29"/>
        <v>1.0242530455417445</v>
      </c>
      <c r="J164" s="808">
        <f t="shared" ca="1" si="23"/>
        <v>1.0204582927855577</v>
      </c>
      <c r="K164" s="808">
        <f t="shared" ca="1" si="30"/>
        <v>20.218541666666656</v>
      </c>
      <c r="L164" s="811">
        <f t="shared" ca="1" si="33"/>
        <v>2.4970941347776465</v>
      </c>
      <c r="M164" s="773">
        <f t="shared" si="24"/>
        <v>152</v>
      </c>
      <c r="N164" s="807">
        <f t="shared" ca="1" si="25"/>
        <v>1.0267530455417444</v>
      </c>
      <c r="O164" s="808">
        <f t="shared" si="31"/>
        <v>1.0049999999999999</v>
      </c>
      <c r="P164" s="811">
        <f t="shared" ca="1" si="32"/>
        <v>1.3387797805891259</v>
      </c>
    </row>
    <row r="165" spans="1:16">
      <c r="A165" s="809">
        <f t="shared" si="26"/>
        <v>39845</v>
      </c>
      <c r="B165" s="1110">
        <f ca="1">'[1]Monthly Curve Calc.'!B168</f>
        <v>359.80475134624959</v>
      </c>
      <c r="C165" s="1111">
        <f ca="1">'[1]Monthly Curve Calc.'!C168</f>
        <v>219.16828411813398</v>
      </c>
      <c r="D165" s="1111">
        <f ca="1">'[1]Monthly Curve Calc.'!D168</f>
        <v>173.66142265568607</v>
      </c>
      <c r="E165" s="1111">
        <f ca="1">'[1]Monthly Curve Calc.'!E168</f>
        <v>20.605</v>
      </c>
      <c r="F165" s="1112">
        <f ca="1">'[1]Monthly Curve Calc.'!F168</f>
        <v>2.5366278151791164</v>
      </c>
      <c r="G165" s="810">
        <f t="shared" ca="1" si="27"/>
        <v>1.075</v>
      </c>
      <c r="H165" s="808">
        <f t="shared" ca="1" si="28"/>
        <v>1.0267530455417444</v>
      </c>
      <c r="I165" s="808">
        <f t="shared" ca="1" si="29"/>
        <v>1.0242530455417445</v>
      </c>
      <c r="J165" s="808">
        <f t="shared" ca="1" si="23"/>
        <v>1.0204582927855577</v>
      </c>
      <c r="K165" s="808">
        <f t="shared" ca="1" si="30"/>
        <v>20.218541666666656</v>
      </c>
      <c r="L165" s="811">
        <f t="shared" ca="1" si="33"/>
        <v>2.4970941347776465</v>
      </c>
      <c r="M165" s="773">
        <f t="shared" si="24"/>
        <v>153</v>
      </c>
      <c r="N165" s="807">
        <f t="shared" ca="1" si="25"/>
        <v>1.0267530455417444</v>
      </c>
      <c r="O165" s="808">
        <f t="shared" si="31"/>
        <v>1.0049999999999999</v>
      </c>
      <c r="P165" s="811">
        <f t="shared" ca="1" si="32"/>
        <v>1.3387797805891259</v>
      </c>
    </row>
    <row r="166" spans="1:16">
      <c r="A166" s="809">
        <f t="shared" si="26"/>
        <v>39873</v>
      </c>
      <c r="B166" s="1110">
        <f ca="1">'[1]Monthly Curve Calc.'!B169</f>
        <v>361.89545273119086</v>
      </c>
      <c r="C166" s="1111">
        <f ca="1">'[1]Monthly Curve Calc.'!C169</f>
        <v>219.63711686937893</v>
      </c>
      <c r="D166" s="1111">
        <f ca="1">'[1]Monthly Curve Calc.'!D169</f>
        <v>173.94207874728966</v>
      </c>
      <c r="E166" s="1111">
        <f ca="1">'[1]Monthly Curve Calc.'!E169</f>
        <v>20.655000000000001</v>
      </c>
      <c r="F166" s="1112">
        <f ca="1">'[1]Monthly Curve Calc.'!F169</f>
        <v>2.5418528531559139</v>
      </c>
      <c r="G166" s="810">
        <f t="shared" ca="1" si="27"/>
        <v>1.075</v>
      </c>
      <c r="H166" s="808">
        <f t="shared" ca="1" si="28"/>
        <v>1.0267530455417444</v>
      </c>
      <c r="I166" s="808">
        <f t="shared" ca="1" si="29"/>
        <v>1.0242530455417445</v>
      </c>
      <c r="J166" s="808">
        <f t="shared" ca="1" si="23"/>
        <v>1.0204582927855577</v>
      </c>
      <c r="K166" s="808">
        <f t="shared" ca="1" si="30"/>
        <v>20.218541666666656</v>
      </c>
      <c r="L166" s="811">
        <f t="shared" ca="1" si="33"/>
        <v>2.4970941347776465</v>
      </c>
      <c r="M166" s="773">
        <f t="shared" si="24"/>
        <v>154</v>
      </c>
      <c r="N166" s="807">
        <f t="shared" ca="1" si="25"/>
        <v>1.0267530455417444</v>
      </c>
      <c r="O166" s="808">
        <f t="shared" si="31"/>
        <v>1.0049999999999999</v>
      </c>
      <c r="P166" s="811">
        <f t="shared" ca="1" si="32"/>
        <v>1.3387797805891259</v>
      </c>
    </row>
    <row r="167" spans="1:16">
      <c r="A167" s="809">
        <f t="shared" si="26"/>
        <v>39904</v>
      </c>
      <c r="B167" s="1110">
        <f ca="1">'[1]Monthly Curve Calc.'!B170</f>
        <v>363.99830246121275</v>
      </c>
      <c r="C167" s="1111">
        <f ca="1">'[1]Monthly Curve Calc.'!C170</f>
        <v>220.10695252188546</v>
      </c>
      <c r="D167" s="1111">
        <f ca="1">'[1]Monthly Curve Calc.'!D170</f>
        <v>174.22318841021925</v>
      </c>
      <c r="E167" s="1111">
        <f ca="1">'[1]Monthly Curve Calc.'!E170</f>
        <v>20.705000000000002</v>
      </c>
      <c r="F167" s="1112">
        <f ca="1">'[1]Monthly Curve Calc.'!F170</f>
        <v>2.5470886538554471</v>
      </c>
      <c r="G167" s="810">
        <f t="shared" ca="1" si="27"/>
        <v>1.075</v>
      </c>
      <c r="H167" s="808">
        <f t="shared" ca="1" si="28"/>
        <v>1.0267530455417444</v>
      </c>
      <c r="I167" s="808">
        <f t="shared" ca="1" si="29"/>
        <v>1.0242530455417445</v>
      </c>
      <c r="J167" s="808">
        <f t="shared" ca="1" si="23"/>
        <v>1.0204582927855577</v>
      </c>
      <c r="K167" s="808">
        <f t="shared" ca="1" si="30"/>
        <v>20.218541666666656</v>
      </c>
      <c r="L167" s="811">
        <f t="shared" ca="1" si="33"/>
        <v>2.4970941347776465</v>
      </c>
      <c r="M167" s="773">
        <f t="shared" si="24"/>
        <v>155</v>
      </c>
      <c r="N167" s="807">
        <f t="shared" ca="1" si="25"/>
        <v>1.0267530455417444</v>
      </c>
      <c r="O167" s="808">
        <f t="shared" si="31"/>
        <v>1.0049999999999999</v>
      </c>
      <c r="P167" s="811">
        <f t="shared" ca="1" si="32"/>
        <v>1.3387797805891259</v>
      </c>
    </row>
    <row r="168" spans="1:16">
      <c r="A168" s="809">
        <f t="shared" si="26"/>
        <v>39934</v>
      </c>
      <c r="B168" s="1110">
        <f ca="1">'[1]Monthly Curve Calc.'!B171</f>
        <v>366.11337112616093</v>
      </c>
      <c r="C168" s="1111">
        <f ca="1">'[1]Monthly Curve Calc.'!C171</f>
        <v>220.57779322100484</v>
      </c>
      <c r="D168" s="1111">
        <f ca="1">'[1]Monthly Curve Calc.'!D171</f>
        <v>174.50475237749637</v>
      </c>
      <c r="E168" s="1111">
        <f ca="1">'[1]Monthly Curve Calc.'!E171</f>
        <v>20.755000000000003</v>
      </c>
      <c r="F168" s="1112">
        <f ca="1">'[1]Monthly Curve Calc.'!F171</f>
        <v>2.5523352394471628</v>
      </c>
      <c r="G168" s="810">
        <f t="shared" ca="1" si="27"/>
        <v>1.0739990683225322</v>
      </c>
      <c r="H168" s="808">
        <f t="shared" ca="1" si="28"/>
        <v>1.0262711122579586</v>
      </c>
      <c r="I168" s="808">
        <f t="shared" ca="1" si="29"/>
        <v>1.0237711122579587</v>
      </c>
      <c r="J168" s="808">
        <f t="shared" ca="1" si="23"/>
        <v>1.0204582927855577</v>
      </c>
      <c r="K168" s="808">
        <f t="shared" ca="1" si="30"/>
        <v>20.218541666666656</v>
      </c>
      <c r="L168" s="811">
        <f t="shared" ca="1" si="33"/>
        <v>2.4970941347776465</v>
      </c>
      <c r="M168" s="773">
        <f t="shared" si="24"/>
        <v>156</v>
      </c>
      <c r="N168" s="807">
        <f t="shared" ca="1" si="25"/>
        <v>1.0262711122579586</v>
      </c>
      <c r="O168" s="808">
        <f t="shared" si="31"/>
        <v>1.0049999999999999</v>
      </c>
      <c r="P168" s="811">
        <f t="shared" ca="1" si="32"/>
        <v>1.3739510144936682</v>
      </c>
    </row>
    <row r="169" spans="1:16">
      <c r="A169" s="809">
        <f t="shared" si="26"/>
        <v>39965</v>
      </c>
      <c r="B169" s="1110">
        <f ca="1">'[1]Monthly Curve Calc.'!B172</f>
        <v>368.24072972605438</v>
      </c>
      <c r="C169" s="1111">
        <f ca="1">'[1]Monthly Curve Calc.'!C172</f>
        <v>221.04964111667758</v>
      </c>
      <c r="D169" s="1111">
        <f ca="1">'[1]Monthly Curve Calc.'!D172</f>
        <v>174.78677138332716</v>
      </c>
      <c r="E169" s="1111">
        <f ca="1">'[1]Monthly Curve Calc.'!E172</f>
        <v>20.805000000000003</v>
      </c>
      <c r="F169" s="1112">
        <f ca="1">'[1]Monthly Curve Calc.'!F172</f>
        <v>2.5575926321461733</v>
      </c>
      <c r="G169" s="810">
        <f t="shared" ca="1" si="27"/>
        <v>1.0739990683225322</v>
      </c>
      <c r="H169" s="808">
        <f t="shared" ca="1" si="28"/>
        <v>1.0262711122579586</v>
      </c>
      <c r="I169" s="808">
        <f t="shared" ca="1" si="29"/>
        <v>1.0237711122579587</v>
      </c>
      <c r="J169" s="808">
        <f t="shared" ca="1" si="23"/>
        <v>1.0204582927855577</v>
      </c>
      <c r="K169" s="808">
        <f t="shared" ca="1" si="30"/>
        <v>20.218541666666656</v>
      </c>
      <c r="L169" s="811">
        <f t="shared" ca="1" si="33"/>
        <v>2.4970941347776465</v>
      </c>
      <c r="M169" s="773">
        <f t="shared" si="24"/>
        <v>157</v>
      </c>
      <c r="N169" s="807">
        <f t="shared" ca="1" si="25"/>
        <v>1.0262711122579586</v>
      </c>
      <c r="O169" s="808">
        <f t="shared" si="31"/>
        <v>1.0049999999999999</v>
      </c>
      <c r="P169" s="811">
        <f t="shared" ca="1" si="32"/>
        <v>1.3739510144936682</v>
      </c>
    </row>
    <row r="170" spans="1:16">
      <c r="A170" s="809">
        <f t="shared" si="26"/>
        <v>39995</v>
      </c>
      <c r="B170" s="1110">
        <f ca="1">'[1]Monthly Curve Calc.'!B173</f>
        <v>370.38044967346877</v>
      </c>
      <c r="C170" s="1111">
        <f ca="1">'[1]Monthly Curve Calc.'!C173</f>
        <v>221.52249836344316</v>
      </c>
      <c r="D170" s="1111">
        <f ca="1">'[1]Monthly Curve Calc.'!D173</f>
        <v>175.06924616310431</v>
      </c>
      <c r="E170" s="1111">
        <f ca="1">'[1]Monthly Curve Calc.'!E173</f>
        <v>20.855000000000004</v>
      </c>
      <c r="F170" s="1112">
        <f ca="1">'[1]Monthly Curve Calc.'!F173</f>
        <v>2.56286085421335</v>
      </c>
      <c r="G170" s="810">
        <f t="shared" ca="1" si="27"/>
        <v>1.0739990683225322</v>
      </c>
      <c r="H170" s="808">
        <f t="shared" ca="1" si="28"/>
        <v>1.0262711122579586</v>
      </c>
      <c r="I170" s="808">
        <f t="shared" ca="1" si="29"/>
        <v>1.0237711122579587</v>
      </c>
      <c r="J170" s="808">
        <f t="shared" ca="1" si="23"/>
        <v>1.0204582927855577</v>
      </c>
      <c r="K170" s="808">
        <f t="shared" ca="1" si="30"/>
        <v>20.218541666666656</v>
      </c>
      <c r="L170" s="811">
        <f t="shared" ca="1" si="33"/>
        <v>2.4970941347776465</v>
      </c>
      <c r="M170" s="773">
        <f t="shared" si="24"/>
        <v>158</v>
      </c>
      <c r="N170" s="807">
        <f t="shared" ca="1" si="25"/>
        <v>1.0262711122579586</v>
      </c>
      <c r="O170" s="808">
        <f t="shared" si="31"/>
        <v>1.0049999999999999</v>
      </c>
      <c r="P170" s="811">
        <f t="shared" ca="1" si="32"/>
        <v>1.3739510144936682</v>
      </c>
    </row>
    <row r="171" spans="1:16">
      <c r="A171" s="809">
        <f t="shared" si="26"/>
        <v>40026</v>
      </c>
      <c r="B171" s="1110">
        <f ca="1">'[1]Monthly Curve Calc.'!B174</f>
        <v>372.53260279593354</v>
      </c>
      <c r="C171" s="1111">
        <f ca="1">'[1]Monthly Curve Calc.'!C174</f>
        <v>221.99636712045003</v>
      </c>
      <c r="D171" s="1111">
        <f ca="1">'[1]Monthly Curve Calc.'!D174</f>
        <v>175.35217745340901</v>
      </c>
      <c r="E171" s="1111">
        <f ca="1">'[1]Monthly Curve Calc.'!E174</f>
        <v>20.905000000000005</v>
      </c>
      <c r="F171" s="1112">
        <f ca="1">'[1]Monthly Curve Calc.'!F174</f>
        <v>2.5681399279554182</v>
      </c>
      <c r="G171" s="810">
        <f t="shared" ca="1" si="27"/>
        <v>1.0739990683225322</v>
      </c>
      <c r="H171" s="808">
        <f t="shared" ca="1" si="28"/>
        <v>1.0262711122579586</v>
      </c>
      <c r="I171" s="808">
        <f t="shared" ca="1" si="29"/>
        <v>1.0237711122579587</v>
      </c>
      <c r="J171" s="808">
        <f t="shared" ca="1" si="23"/>
        <v>1.0204582927855577</v>
      </c>
      <c r="K171" s="808">
        <f t="shared" ca="1" si="30"/>
        <v>20.218541666666656</v>
      </c>
      <c r="L171" s="811">
        <f t="shared" ca="1" si="33"/>
        <v>2.4970941347776465</v>
      </c>
      <c r="M171" s="773">
        <f t="shared" si="24"/>
        <v>159</v>
      </c>
      <c r="N171" s="807">
        <f t="shared" ca="1" si="25"/>
        <v>1.0262711122579586</v>
      </c>
      <c r="O171" s="808">
        <f t="shared" si="31"/>
        <v>1.0049999999999999</v>
      </c>
      <c r="P171" s="811">
        <f t="shared" ca="1" si="32"/>
        <v>1.3739510144936682</v>
      </c>
    </row>
    <row r="172" spans="1:16">
      <c r="A172" s="809">
        <f t="shared" si="26"/>
        <v>40057</v>
      </c>
      <c r="B172" s="1110">
        <f ca="1">'[1]Monthly Curve Calc.'!B175</f>
        <v>374.69726133834314</v>
      </c>
      <c r="C172" s="1111">
        <f ca="1">'[1]Monthly Curve Calc.'!C175</f>
        <v>222.47124955146529</v>
      </c>
      <c r="D172" s="1111">
        <f ca="1">'[1]Monthly Curve Calc.'!D175</f>
        <v>175.6355659920128</v>
      </c>
      <c r="E172" s="1111">
        <f ca="1">'[1]Monthly Curve Calc.'!E175</f>
        <v>20.955000000000005</v>
      </c>
      <c r="F172" s="1112">
        <f ca="1">'[1]Monthly Curve Calc.'!F175</f>
        <v>2.5734298757250516</v>
      </c>
      <c r="G172" s="810">
        <f t="shared" ca="1" si="27"/>
        <v>1.0739990683225322</v>
      </c>
      <c r="H172" s="808">
        <f t="shared" ca="1" si="28"/>
        <v>1.0262711122579586</v>
      </c>
      <c r="I172" s="808">
        <f t="shared" ca="1" si="29"/>
        <v>1.0237711122579587</v>
      </c>
      <c r="J172" s="808">
        <f t="shared" ca="1" si="23"/>
        <v>1.0204582927855577</v>
      </c>
      <c r="K172" s="808">
        <f t="shared" ca="1" si="30"/>
        <v>20.218541666666656</v>
      </c>
      <c r="L172" s="811">
        <f t="shared" ca="1" si="33"/>
        <v>2.4970941347776465</v>
      </c>
      <c r="M172" s="773">
        <f t="shared" si="24"/>
        <v>160</v>
      </c>
      <c r="N172" s="807">
        <f t="shared" ca="1" si="25"/>
        <v>1.0262711122579586</v>
      </c>
      <c r="O172" s="808">
        <f t="shared" si="31"/>
        <v>1.0049999999999999</v>
      </c>
      <c r="P172" s="811">
        <f t="shared" ca="1" si="32"/>
        <v>1.3739510144936682</v>
      </c>
    </row>
    <row r="173" spans="1:16">
      <c r="A173" s="809">
        <f t="shared" si="26"/>
        <v>40087</v>
      </c>
      <c r="B173" s="1110">
        <f ca="1">'[1]Monthly Curve Calc.'!B176</f>
        <v>376.87449796538232</v>
      </c>
      <c r="C173" s="1111">
        <f ca="1">'[1]Monthly Curve Calc.'!C176</f>
        <v>222.94714782488469</v>
      </c>
      <c r="D173" s="1111">
        <f ca="1">'[1]Monthly Curve Calc.'!D176</f>
        <v>175.91941251787958</v>
      </c>
      <c r="E173" s="1111">
        <f ca="1">'[1]Monthly Curve Calc.'!E176</f>
        <v>21.005000000000006</v>
      </c>
      <c r="F173" s="1112">
        <f ca="1">'[1]Monthly Curve Calc.'!F176</f>
        <v>2.5787307199209661</v>
      </c>
      <c r="G173" s="810">
        <f t="shared" ca="1" si="27"/>
        <v>1.0739990683225322</v>
      </c>
      <c r="H173" s="808">
        <f t="shared" ca="1" si="28"/>
        <v>1.0262711122579586</v>
      </c>
      <c r="I173" s="808">
        <f t="shared" ca="1" si="29"/>
        <v>1.0237711122579587</v>
      </c>
      <c r="J173" s="808">
        <f t="shared" ref="J173:J236" ca="1" si="34">IF(AND($A173&gt;J$16,MONTH($A173)=MONTH(J$16)),D172/D160,J172)</f>
        <v>1.0204582927855577</v>
      </c>
      <c r="K173" s="808">
        <f t="shared" ca="1" si="30"/>
        <v>20.218541666666656</v>
      </c>
      <c r="L173" s="811">
        <f t="shared" ca="1" si="33"/>
        <v>2.4970941347776465</v>
      </c>
      <c r="M173" s="773">
        <f t="shared" si="24"/>
        <v>161</v>
      </c>
      <c r="N173" s="807">
        <f t="shared" ca="1" si="25"/>
        <v>1.0262711122579586</v>
      </c>
      <c r="O173" s="808">
        <f t="shared" si="31"/>
        <v>1.0049999999999999</v>
      </c>
      <c r="P173" s="811">
        <f t="shared" ca="1" si="32"/>
        <v>1.3739510144936682</v>
      </c>
    </row>
    <row r="174" spans="1:16">
      <c r="A174" s="809">
        <f t="shared" si="26"/>
        <v>40118</v>
      </c>
      <c r="B174" s="1110">
        <f ca="1">'[1]Monthly Curve Calc.'!B177</f>
        <v>379.06438576396511</v>
      </c>
      <c r="C174" s="1111">
        <f ca="1">'[1]Monthly Curve Calc.'!C177</f>
        <v>223.4240641137425</v>
      </c>
      <c r="D174" s="1111">
        <f ca="1">'[1]Monthly Curve Calc.'!D177</f>
        <v>176.2037177711675</v>
      </c>
      <c r="E174" s="1111">
        <f ca="1">'[1]Monthly Curve Calc.'!E177</f>
        <v>21.055000000000007</v>
      </c>
      <c r="F174" s="1112">
        <f ca="1">'[1]Monthly Curve Calc.'!F177</f>
        <v>2.5840424829880164</v>
      </c>
      <c r="G174" s="810">
        <f t="shared" ca="1" si="27"/>
        <v>1.0739990683225322</v>
      </c>
      <c r="H174" s="808">
        <f t="shared" ca="1" si="28"/>
        <v>1.0262711122579586</v>
      </c>
      <c r="I174" s="808">
        <f t="shared" ca="1" si="29"/>
        <v>1.0237711122579587</v>
      </c>
      <c r="J174" s="808">
        <f t="shared" ca="1" si="34"/>
        <v>1.0204582927855577</v>
      </c>
      <c r="K174" s="808">
        <f t="shared" ca="1" si="30"/>
        <v>20.218541666666656</v>
      </c>
      <c r="L174" s="811">
        <f t="shared" ca="1" si="33"/>
        <v>2.4970941347776465</v>
      </c>
      <c r="M174" s="773">
        <f t="shared" si="24"/>
        <v>162</v>
      </c>
      <c r="N174" s="807">
        <f t="shared" ca="1" si="25"/>
        <v>1.0262711122579586</v>
      </c>
      <c r="O174" s="808">
        <f t="shared" si="31"/>
        <v>1.0049999999999999</v>
      </c>
      <c r="P174" s="811">
        <f t="shared" ca="1" si="32"/>
        <v>1.3739510144936682</v>
      </c>
    </row>
    <row r="175" spans="1:16">
      <c r="A175" s="809">
        <f t="shared" si="26"/>
        <v>40148</v>
      </c>
      <c r="B175" s="1110">
        <f ca="1">'[1]Monthly Curve Calc.'!B178</f>
        <v>381.26699824568851</v>
      </c>
      <c r="C175" s="1111">
        <f ca="1">'[1]Monthly Curve Calc.'!C178</f>
        <v>223.9020005957214</v>
      </c>
      <c r="D175" s="1111">
        <f ca="1">'[1]Monthly Curve Calc.'!D178</f>
        <v>176.48848249323086</v>
      </c>
      <c r="E175" s="1111">
        <f ca="1">'[1]Monthly Curve Calc.'!E178</f>
        <v>21.105</v>
      </c>
      <c r="F175" s="1112">
        <f ca="1">'[1]Monthly Curve Calc.'!F178</f>
        <v>2.5893651874172878</v>
      </c>
      <c r="G175" s="810">
        <f t="shared" ca="1" si="27"/>
        <v>1.0739990683225322</v>
      </c>
      <c r="H175" s="808">
        <f t="shared" ca="1" si="28"/>
        <v>1.0262711122579586</v>
      </c>
      <c r="I175" s="808">
        <f t="shared" ca="1" si="29"/>
        <v>1.0237711122579587</v>
      </c>
      <c r="J175" s="808">
        <f t="shared" ca="1" si="34"/>
        <v>1.0204582927855577</v>
      </c>
      <c r="K175" s="808">
        <f t="shared" ca="1" si="30"/>
        <v>20.218541666666656</v>
      </c>
      <c r="L175" s="811">
        <f t="shared" ca="1" si="33"/>
        <v>2.4970941347776465</v>
      </c>
      <c r="M175" s="773">
        <f t="shared" si="24"/>
        <v>163</v>
      </c>
      <c r="N175" s="807">
        <f t="shared" ca="1" si="25"/>
        <v>1.0262711122579586</v>
      </c>
      <c r="O175" s="808">
        <f t="shared" si="31"/>
        <v>1.0049999999999999</v>
      </c>
      <c r="P175" s="811">
        <f t="shared" ca="1" si="32"/>
        <v>1.3739510144936682</v>
      </c>
    </row>
    <row r="176" spans="1:16">
      <c r="A176" s="809">
        <f t="shared" si="26"/>
        <v>40179</v>
      </c>
      <c r="B176" s="1110">
        <f ca="1">'[1]Monthly Curve Calc.'!B179</f>
        <v>383.48240934930004</v>
      </c>
      <c r="C176" s="1111">
        <f ca="1">'[1]Monthly Curve Calc.'!C179</f>
        <v>224.37366820194069</v>
      </c>
      <c r="D176" s="1111">
        <f ca="1">'[1]Monthly Curve Calc.'!D179</f>
        <v>176.7590109963586</v>
      </c>
      <c r="E176" s="1111">
        <f ca="1">'[1]Monthly Curve Calc.'!E179</f>
        <v>21.155000000000001</v>
      </c>
      <c r="F176" s="1112">
        <f ca="1">'[1]Monthly Curve Calc.'!F179</f>
        <v>2.5944082870946334</v>
      </c>
      <c r="G176" s="810">
        <f t="shared" ca="1" si="27"/>
        <v>1.0739990683225322</v>
      </c>
      <c r="H176" s="808">
        <f t="shared" ca="1" si="28"/>
        <v>1.0262711122579586</v>
      </c>
      <c r="I176" s="808">
        <f t="shared" ca="1" si="29"/>
        <v>1.0237711122579587</v>
      </c>
      <c r="J176" s="808">
        <f t="shared" ca="1" si="34"/>
        <v>1.019566640693395</v>
      </c>
      <c r="K176" s="808">
        <f t="shared" ca="1" si="30"/>
        <v>20.830000000000002</v>
      </c>
      <c r="L176" s="811">
        <f t="shared" ca="1" si="33"/>
        <v>2.5602899799837568</v>
      </c>
      <c r="M176" s="773">
        <f t="shared" si="24"/>
        <v>164</v>
      </c>
      <c r="N176" s="807">
        <f t="shared" ca="1" si="25"/>
        <v>1.0262711122579586</v>
      </c>
      <c r="O176" s="808">
        <f t="shared" si="31"/>
        <v>1.0049999999999999</v>
      </c>
      <c r="P176" s="811">
        <f t="shared" ca="1" si="32"/>
        <v>1.3739510144936682</v>
      </c>
    </row>
    <row r="177" spans="1:16">
      <c r="A177" s="809">
        <f t="shared" si="26"/>
        <v>40210</v>
      </c>
      <c r="B177" s="1110">
        <f ca="1">'[1]Monthly Curve Calc.'!B180</f>
        <v>385.71069344317976</v>
      </c>
      <c r="C177" s="1111">
        <f ca="1">'[1]Monthly Curve Calc.'!C180</f>
        <v>224.84632941397933</v>
      </c>
      <c r="D177" s="1111">
        <f ca="1">'[1]Monthly Curve Calc.'!D180</f>
        <v>177.02995417624015</v>
      </c>
      <c r="E177" s="1111">
        <f ca="1">'[1]Monthly Curve Calc.'!E180</f>
        <v>21.205000000000002</v>
      </c>
      <c r="F177" s="1112">
        <f ca="1">'[1]Monthly Curve Calc.'!F180</f>
        <v>2.5994612088142612</v>
      </c>
      <c r="G177" s="810">
        <f t="shared" ca="1" si="27"/>
        <v>1.0739990683225322</v>
      </c>
      <c r="H177" s="808">
        <f t="shared" ca="1" si="28"/>
        <v>1.0262711122579586</v>
      </c>
      <c r="I177" s="808">
        <f t="shared" ca="1" si="29"/>
        <v>1.0237711122579587</v>
      </c>
      <c r="J177" s="808">
        <f t="shared" ca="1" si="34"/>
        <v>1.019566640693395</v>
      </c>
      <c r="K177" s="808">
        <f t="shared" ca="1" si="30"/>
        <v>20.830000000000002</v>
      </c>
      <c r="L177" s="811">
        <f t="shared" ca="1" si="33"/>
        <v>2.5602899799837568</v>
      </c>
      <c r="M177" s="773">
        <f t="shared" si="24"/>
        <v>165</v>
      </c>
      <c r="N177" s="807">
        <f t="shared" ca="1" si="25"/>
        <v>1.0262711122579586</v>
      </c>
      <c r="O177" s="808">
        <f t="shared" si="31"/>
        <v>1.0049999999999999</v>
      </c>
      <c r="P177" s="811">
        <f t="shared" ca="1" si="32"/>
        <v>1.3739510144936682</v>
      </c>
    </row>
    <row r="178" spans="1:16">
      <c r="A178" s="809">
        <f t="shared" si="26"/>
        <v>40238</v>
      </c>
      <c r="B178" s="1110">
        <f ca="1">'[1]Monthly Curve Calc.'!B181</f>
        <v>387.95192532783682</v>
      </c>
      <c r="C178" s="1111">
        <f ca="1">'[1]Monthly Curve Calc.'!C181</f>
        <v>225.31998632494805</v>
      </c>
      <c r="D178" s="1111">
        <f ca="1">'[1]Monthly Curve Calc.'!D181</f>
        <v>177.30131266850839</v>
      </c>
      <c r="E178" s="1111">
        <f ca="1">'[1]Monthly Curve Calc.'!E181</f>
        <v>21.255000000000003</v>
      </c>
      <c r="F178" s="1112">
        <f ca="1">'[1]Monthly Curve Calc.'!F181</f>
        <v>2.6045239717057789</v>
      </c>
      <c r="G178" s="810">
        <f t="shared" ca="1" si="27"/>
        <v>1.0739990683225322</v>
      </c>
      <c r="H178" s="808">
        <f t="shared" ca="1" si="28"/>
        <v>1.0262711122579586</v>
      </c>
      <c r="I178" s="808">
        <f t="shared" ca="1" si="29"/>
        <v>1.0237711122579587</v>
      </c>
      <c r="J178" s="808">
        <f t="shared" ca="1" si="34"/>
        <v>1.019566640693395</v>
      </c>
      <c r="K178" s="808">
        <f t="shared" ca="1" si="30"/>
        <v>20.830000000000002</v>
      </c>
      <c r="L178" s="811">
        <f t="shared" ca="1" si="33"/>
        <v>2.5602899799837568</v>
      </c>
      <c r="M178" s="773">
        <f t="shared" si="24"/>
        <v>166</v>
      </c>
      <c r="N178" s="807">
        <f t="shared" ca="1" si="25"/>
        <v>1.0262711122579586</v>
      </c>
      <c r="O178" s="808">
        <f t="shared" si="31"/>
        <v>1.0049999999999999</v>
      </c>
      <c r="P178" s="811">
        <f t="shared" ca="1" si="32"/>
        <v>1.3739510144936682</v>
      </c>
    </row>
    <row r="179" spans="1:16">
      <c r="A179" s="809">
        <f t="shared" si="26"/>
        <v>40269</v>
      </c>
      <c r="B179" s="1110">
        <f ca="1">'[1]Monthly Curve Calc.'!B182</f>
        <v>390.20618023842025</v>
      </c>
      <c r="C179" s="1111">
        <f ca="1">'[1]Monthly Curve Calc.'!C182</f>
        <v>225.79464103236685</v>
      </c>
      <c r="D179" s="1111">
        <f ca="1">'[1]Monthly Curve Calc.'!D182</f>
        <v>177.57308710977048</v>
      </c>
      <c r="E179" s="1111">
        <f ca="1">'[1]Monthly Curve Calc.'!E182</f>
        <v>21.305000000000003</v>
      </c>
      <c r="F179" s="1112">
        <f ca="1">'[1]Monthly Curve Calc.'!F182</f>
        <v>2.60959659493605</v>
      </c>
      <c r="G179" s="810">
        <f t="shared" ca="1" si="27"/>
        <v>1.0739990683225322</v>
      </c>
      <c r="H179" s="808">
        <f t="shared" ca="1" si="28"/>
        <v>1.0262711122579586</v>
      </c>
      <c r="I179" s="808">
        <f t="shared" ca="1" si="29"/>
        <v>1.0237711122579587</v>
      </c>
      <c r="J179" s="808">
        <f t="shared" ca="1" si="34"/>
        <v>1.019566640693395</v>
      </c>
      <c r="K179" s="808">
        <f t="shared" ca="1" si="30"/>
        <v>20.830000000000002</v>
      </c>
      <c r="L179" s="811">
        <f t="shared" ca="1" si="33"/>
        <v>2.5602899799837568</v>
      </c>
      <c r="M179" s="773">
        <f t="shared" si="24"/>
        <v>167</v>
      </c>
      <c r="N179" s="807">
        <f t="shared" ca="1" si="25"/>
        <v>1.0262711122579586</v>
      </c>
      <c r="O179" s="808">
        <f t="shared" si="31"/>
        <v>1.0049999999999999</v>
      </c>
      <c r="P179" s="811">
        <f t="shared" ca="1" si="32"/>
        <v>1.3739510144936682</v>
      </c>
    </row>
    <row r="180" spans="1:16">
      <c r="A180" s="809">
        <f t="shared" si="26"/>
        <v>40299</v>
      </c>
      <c r="B180" s="1110">
        <f ca="1">'[1]Monthly Curve Calc.'!B183</f>
        <v>392.47353384724471</v>
      </c>
      <c r="C180" s="1111">
        <f ca="1">'[1]Monthly Curve Calc.'!C183</f>
        <v>226.27029563817439</v>
      </c>
      <c r="D180" s="1111">
        <f ca="1">'[1]Monthly Curve Calc.'!D183</f>
        <v>177.84527813760948</v>
      </c>
      <c r="E180" s="1111">
        <f ca="1">'[1]Monthly Curve Calc.'!E183</f>
        <v>21.355000000000004</v>
      </c>
      <c r="F180" s="1112">
        <f ca="1">'[1]Monthly Curve Calc.'!F183</f>
        <v>2.6146790977092684</v>
      </c>
      <c r="G180" s="810">
        <f t="shared" ca="1" si="27"/>
        <v>1.0720000000000005</v>
      </c>
      <c r="H180" s="808">
        <f t="shared" ca="1" si="28"/>
        <v>1.0258405672574831</v>
      </c>
      <c r="I180" s="808">
        <f t="shared" ca="1" si="29"/>
        <v>1.0233405672574831</v>
      </c>
      <c r="J180" s="808">
        <f t="shared" ca="1" si="34"/>
        <v>1.019566640693395</v>
      </c>
      <c r="K180" s="808">
        <f t="shared" ca="1" si="30"/>
        <v>20.830000000000002</v>
      </c>
      <c r="L180" s="811">
        <f t="shared" ca="1" si="33"/>
        <v>2.5602899799837568</v>
      </c>
      <c r="M180" s="773">
        <f t="shared" si="24"/>
        <v>168</v>
      </c>
      <c r="N180" s="807">
        <f t="shared" ca="1" si="25"/>
        <v>1.0258405672574831</v>
      </c>
      <c r="O180" s="808">
        <f t="shared" si="31"/>
        <v>1.0049999999999999</v>
      </c>
      <c r="P180" s="811">
        <f t="shared" ca="1" si="32"/>
        <v>1.409454688092179</v>
      </c>
    </row>
    <row r="181" spans="1:16">
      <c r="A181" s="809">
        <f t="shared" si="26"/>
        <v>40330</v>
      </c>
      <c r="B181" s="1110">
        <f ca="1">'[1]Monthly Curve Calc.'!B184</f>
        <v>394.75406226633049</v>
      </c>
      <c r="C181" s="1111">
        <f ca="1">'[1]Monthly Curve Calc.'!C184</f>
        <v>226.74695224873719</v>
      </c>
      <c r="D181" s="1111">
        <f ca="1">'[1]Monthly Curve Calc.'!D184</f>
        <v>178.11788639058571</v>
      </c>
      <c r="E181" s="1111">
        <f ca="1">'[1]Monthly Curve Calc.'!E184</f>
        <v>21.405000000000005</v>
      </c>
      <c r="F181" s="1112">
        <f ca="1">'[1]Monthly Curve Calc.'!F184</f>
        <v>2.6197714992670309</v>
      </c>
      <c r="G181" s="810">
        <f t="shared" ca="1" si="27"/>
        <v>1.0720000000000005</v>
      </c>
      <c r="H181" s="808">
        <f t="shared" ca="1" si="28"/>
        <v>1.0258405672574831</v>
      </c>
      <c r="I181" s="808">
        <f t="shared" ca="1" si="29"/>
        <v>1.0233405672574831</v>
      </c>
      <c r="J181" s="808">
        <f t="shared" ca="1" si="34"/>
        <v>1.019566640693395</v>
      </c>
      <c r="K181" s="808">
        <f t="shared" ca="1" si="30"/>
        <v>20.830000000000002</v>
      </c>
      <c r="L181" s="811">
        <f t="shared" ca="1" si="33"/>
        <v>2.5602899799837568</v>
      </c>
      <c r="M181" s="773">
        <f t="shared" si="24"/>
        <v>169</v>
      </c>
      <c r="N181" s="807">
        <f t="shared" ca="1" si="25"/>
        <v>1.0258405672574831</v>
      </c>
      <c r="O181" s="808">
        <f t="shared" si="31"/>
        <v>1.0049999999999999</v>
      </c>
      <c r="P181" s="811">
        <f t="shared" ca="1" si="32"/>
        <v>1.409454688092179</v>
      </c>
    </row>
    <row r="182" spans="1:16">
      <c r="A182" s="809">
        <f t="shared" si="26"/>
        <v>40360</v>
      </c>
      <c r="B182" s="1110">
        <f ca="1">'[1]Monthly Curve Calc.'!B185</f>
        <v>397.04784204995872</v>
      </c>
      <c r="C182" s="1111">
        <f ca="1">'[1]Monthly Curve Calc.'!C185</f>
        <v>227.22461297485901</v>
      </c>
      <c r="D182" s="1111">
        <f ca="1">'[1]Monthly Curve Calc.'!D185</f>
        <v>178.3909125082383</v>
      </c>
      <c r="E182" s="1111">
        <f ca="1">'[1]Monthly Curve Calc.'!E185</f>
        <v>21.455000000000005</v>
      </c>
      <c r="F182" s="1112">
        <f ca="1">'[1]Monthly Curve Calc.'!F185</f>
        <v>2.6248738188884091</v>
      </c>
      <c r="G182" s="810">
        <f t="shared" ca="1" si="27"/>
        <v>1.0720000000000005</v>
      </c>
      <c r="H182" s="808">
        <f t="shared" ca="1" si="28"/>
        <v>1.0258405672574831</v>
      </c>
      <c r="I182" s="808">
        <f t="shared" ca="1" si="29"/>
        <v>1.0233405672574831</v>
      </c>
      <c r="J182" s="808">
        <f t="shared" ca="1" si="34"/>
        <v>1.019566640693395</v>
      </c>
      <c r="K182" s="808">
        <f t="shared" ca="1" si="30"/>
        <v>20.830000000000002</v>
      </c>
      <c r="L182" s="811">
        <f t="shared" ca="1" si="33"/>
        <v>2.5602899799837568</v>
      </c>
      <c r="M182" s="773">
        <f t="shared" si="24"/>
        <v>170</v>
      </c>
      <c r="N182" s="807">
        <f t="shared" ca="1" si="25"/>
        <v>1.0258405672574831</v>
      </c>
      <c r="O182" s="808">
        <f t="shared" si="31"/>
        <v>1.0049999999999999</v>
      </c>
      <c r="P182" s="811">
        <f t="shared" ca="1" si="32"/>
        <v>1.409454688092179</v>
      </c>
    </row>
    <row r="183" spans="1:16">
      <c r="A183" s="809">
        <f t="shared" si="26"/>
        <v>40391</v>
      </c>
      <c r="B183" s="1110">
        <f ca="1">'[1]Monthly Curve Calc.'!B186</f>
        <v>399.35495019724095</v>
      </c>
      <c r="C183" s="1111">
        <f ca="1">'[1]Monthly Curve Calc.'!C186</f>
        <v>227.70327993179018</v>
      </c>
      <c r="D183" s="1111">
        <f ca="1">'[1]Monthly Curve Calc.'!D186</f>
        <v>178.66435713108669</v>
      </c>
      <c r="E183" s="1111">
        <f ca="1">'[1]Monthly Curve Calc.'!E186</f>
        <v>21.505000000000006</v>
      </c>
      <c r="F183" s="1112">
        <f ca="1">'[1]Monthly Curve Calc.'!F186</f>
        <v>2.6299860758900229</v>
      </c>
      <c r="G183" s="810">
        <f t="shared" ca="1" si="27"/>
        <v>1.0720000000000005</v>
      </c>
      <c r="H183" s="808">
        <f t="shared" ca="1" si="28"/>
        <v>1.0258405672574831</v>
      </c>
      <c r="I183" s="808">
        <f t="shared" ca="1" si="29"/>
        <v>1.0233405672574831</v>
      </c>
      <c r="J183" s="808">
        <f t="shared" ca="1" si="34"/>
        <v>1.019566640693395</v>
      </c>
      <c r="K183" s="808">
        <f t="shared" ca="1" si="30"/>
        <v>20.830000000000002</v>
      </c>
      <c r="L183" s="811">
        <f t="shared" ca="1" si="33"/>
        <v>2.5602899799837568</v>
      </c>
      <c r="M183" s="773">
        <f t="shared" si="24"/>
        <v>171</v>
      </c>
      <c r="N183" s="807">
        <f t="shared" ca="1" si="25"/>
        <v>1.0258405672574831</v>
      </c>
      <c r="O183" s="808">
        <f t="shared" si="31"/>
        <v>1.0049999999999999</v>
      </c>
      <c r="P183" s="811">
        <f t="shared" ca="1" si="32"/>
        <v>1.409454688092179</v>
      </c>
    </row>
    <row r="184" spans="1:16">
      <c r="A184" s="809">
        <f t="shared" si="26"/>
        <v>40422</v>
      </c>
      <c r="B184" s="1110">
        <f ca="1">'[1]Monthly Curve Calc.'!B187</f>
        <v>401.67546415470406</v>
      </c>
      <c r="C184" s="1111">
        <f ca="1">'[1]Monthly Curve Calc.'!C187</f>
        <v>228.18295523923697</v>
      </c>
      <c r="D184" s="1111">
        <f ca="1">'[1]Monthly Curve Calc.'!D187</f>
        <v>178.93822090063213</v>
      </c>
      <c r="E184" s="1111">
        <f ca="1">'[1]Monthly Curve Calc.'!E187</f>
        <v>21.555000000000007</v>
      </c>
      <c r="F184" s="1112">
        <f ca="1">'[1]Monthly Curve Calc.'!F187</f>
        <v>2.6351082896261135</v>
      </c>
      <c r="G184" s="810">
        <f t="shared" ca="1" si="27"/>
        <v>1.0720000000000005</v>
      </c>
      <c r="H184" s="808">
        <f t="shared" ca="1" si="28"/>
        <v>1.0258405672574831</v>
      </c>
      <c r="I184" s="808">
        <f t="shared" ca="1" si="29"/>
        <v>1.0233405672574831</v>
      </c>
      <c r="J184" s="808">
        <f t="shared" ca="1" si="34"/>
        <v>1.019566640693395</v>
      </c>
      <c r="K184" s="808">
        <f t="shared" ca="1" si="30"/>
        <v>20.830000000000002</v>
      </c>
      <c r="L184" s="811">
        <f t="shared" ca="1" si="33"/>
        <v>2.5602899799837568</v>
      </c>
      <c r="M184" s="773">
        <f t="shared" si="24"/>
        <v>172</v>
      </c>
      <c r="N184" s="807">
        <f t="shared" ca="1" si="25"/>
        <v>1.0258405672574831</v>
      </c>
      <c r="O184" s="808">
        <f t="shared" si="31"/>
        <v>1.0049999999999999</v>
      </c>
      <c r="P184" s="811">
        <f t="shared" ca="1" si="32"/>
        <v>1.409454688092179</v>
      </c>
    </row>
    <row r="185" spans="1:16">
      <c r="A185" s="809">
        <f t="shared" si="26"/>
        <v>40452</v>
      </c>
      <c r="B185" s="1110">
        <f ca="1">'[1]Monthly Curve Calc.'!B188</f>
        <v>404.00946181889003</v>
      </c>
      <c r="C185" s="1111">
        <f ca="1">'[1]Monthly Curve Calc.'!C188</f>
        <v>228.66364102137103</v>
      </c>
      <c r="D185" s="1111">
        <f ca="1">'[1]Monthly Curve Calc.'!D188</f>
        <v>179.21250445935922</v>
      </c>
      <c r="E185" s="1111">
        <f ca="1">'[1]Monthly Curve Calc.'!E188</f>
        <v>21.605000000000008</v>
      </c>
      <c r="F185" s="1112">
        <f ca="1">'[1]Monthly Curve Calc.'!F188</f>
        <v>2.6402404794886176</v>
      </c>
      <c r="G185" s="810">
        <f t="shared" ca="1" si="27"/>
        <v>1.0720000000000005</v>
      </c>
      <c r="H185" s="808">
        <f t="shared" ca="1" si="28"/>
        <v>1.0258405672574831</v>
      </c>
      <c r="I185" s="808">
        <f t="shared" ca="1" si="29"/>
        <v>1.0233405672574831</v>
      </c>
      <c r="J185" s="808">
        <f t="shared" ca="1" si="34"/>
        <v>1.019566640693395</v>
      </c>
      <c r="K185" s="808">
        <f t="shared" ca="1" si="30"/>
        <v>20.830000000000002</v>
      </c>
      <c r="L185" s="811">
        <f t="shared" ca="1" si="33"/>
        <v>2.5602899799837568</v>
      </c>
      <c r="M185" s="773">
        <f t="shared" si="24"/>
        <v>173</v>
      </c>
      <c r="N185" s="807">
        <f t="shared" ca="1" si="25"/>
        <v>1.0258405672574831</v>
      </c>
      <c r="O185" s="808">
        <f t="shared" si="31"/>
        <v>1.0049999999999999</v>
      </c>
      <c r="P185" s="811">
        <f t="shared" ca="1" si="32"/>
        <v>1.409454688092179</v>
      </c>
    </row>
    <row r="186" spans="1:16">
      <c r="A186" s="809">
        <f t="shared" si="26"/>
        <v>40483</v>
      </c>
      <c r="B186" s="1110">
        <f ca="1">'[1]Monthly Curve Calc.'!B189</f>
        <v>406.3570215389708</v>
      </c>
      <c r="C186" s="1111">
        <f ca="1">'[1]Monthly Curve Calc.'!C189</f>
        <v>229.14533940683867</v>
      </c>
      <c r="D186" s="1111">
        <f ca="1">'[1]Monthly Curve Calc.'!D189</f>
        <v>179.48720845073737</v>
      </c>
      <c r="E186" s="1111">
        <f ca="1">'[1]Monthly Curve Calc.'!E189</f>
        <v>21.655000000000008</v>
      </c>
      <c r="F186" s="1112">
        <f ca="1">'[1]Monthly Curve Calc.'!F189</f>
        <v>2.6453826649072392</v>
      </c>
      <c r="G186" s="810">
        <f t="shared" ca="1" si="27"/>
        <v>1.0720000000000005</v>
      </c>
      <c r="H186" s="808">
        <f t="shared" ca="1" si="28"/>
        <v>1.0258405672574831</v>
      </c>
      <c r="I186" s="808">
        <f t="shared" ca="1" si="29"/>
        <v>1.0233405672574831</v>
      </c>
      <c r="J186" s="808">
        <f t="shared" ca="1" si="34"/>
        <v>1.019566640693395</v>
      </c>
      <c r="K186" s="808">
        <f t="shared" ca="1" si="30"/>
        <v>20.830000000000002</v>
      </c>
      <c r="L186" s="811">
        <f t="shared" ca="1" si="33"/>
        <v>2.5602899799837568</v>
      </c>
      <c r="M186" s="773">
        <f t="shared" si="24"/>
        <v>174</v>
      </c>
      <c r="N186" s="807">
        <f t="shared" ca="1" si="25"/>
        <v>1.0258405672574831</v>
      </c>
      <c r="O186" s="808">
        <f t="shared" si="31"/>
        <v>1.0049999999999999</v>
      </c>
      <c r="P186" s="811">
        <f t="shared" ca="1" si="32"/>
        <v>1.409454688092179</v>
      </c>
    </row>
    <row r="187" spans="1:16">
      <c r="A187" s="809">
        <f t="shared" si="26"/>
        <v>40513</v>
      </c>
      <c r="B187" s="1110">
        <f ca="1">'[1]Monthly Curve Calc.'!B190</f>
        <v>408.71822211937825</v>
      </c>
      <c r="C187" s="1111">
        <f ca="1">'[1]Monthly Curve Calc.'!C190</f>
        <v>229.62805252877044</v>
      </c>
      <c r="D187" s="1111">
        <f ca="1">'[1]Monthly Curve Calc.'!D190</f>
        <v>179.76233351922232</v>
      </c>
      <c r="E187" s="1111">
        <f ca="1">'[1]Monthly Curve Calc.'!E190</f>
        <v>21.704999999999998</v>
      </c>
      <c r="F187" s="1112">
        <f ca="1">'[1]Monthly Curve Calc.'!F190</f>
        <v>2.6505348653495227</v>
      </c>
      <c r="G187" s="810">
        <f t="shared" ca="1" si="27"/>
        <v>1.0720000000000005</v>
      </c>
      <c r="H187" s="808">
        <f t="shared" ca="1" si="28"/>
        <v>1.0258405672574831</v>
      </c>
      <c r="I187" s="808">
        <f t="shared" ca="1" si="29"/>
        <v>1.0233405672574831</v>
      </c>
      <c r="J187" s="808">
        <f t="shared" ca="1" si="34"/>
        <v>1.019566640693395</v>
      </c>
      <c r="K187" s="808">
        <f t="shared" ca="1" si="30"/>
        <v>20.830000000000002</v>
      </c>
      <c r="L187" s="811">
        <f t="shared" ca="1" si="33"/>
        <v>2.5602899799837568</v>
      </c>
      <c r="M187" s="773">
        <f t="shared" si="24"/>
        <v>175</v>
      </c>
      <c r="N187" s="807">
        <f t="shared" ca="1" si="25"/>
        <v>1.0258405672574831</v>
      </c>
      <c r="O187" s="808">
        <f t="shared" si="31"/>
        <v>1.0049999999999999</v>
      </c>
      <c r="P187" s="811">
        <f t="shared" ca="1" si="32"/>
        <v>1.409454688092179</v>
      </c>
    </row>
    <row r="188" spans="1:16">
      <c r="A188" s="809">
        <f t="shared" si="26"/>
        <v>40544</v>
      </c>
      <c r="B188" s="1110">
        <f ca="1">'[1]Monthly Curve Calc.'!B191</f>
        <v>411.09314282244981</v>
      </c>
      <c r="C188" s="1111">
        <f ca="1">'[1]Monthly Curve Calc.'!C191</f>
        <v>230.10632842772247</v>
      </c>
      <c r="D188" s="1111">
        <f ca="1">'[1]Monthly Curve Calc.'!D191</f>
        <v>180.02099370792212</v>
      </c>
      <c r="E188" s="1111">
        <f ca="1">'[1]Monthly Curve Calc.'!E191</f>
        <v>21.754999999999999</v>
      </c>
      <c r="F188" s="1112">
        <f ca="1">'[1]Monthly Curve Calc.'!F191</f>
        <v>2.6551333521534075</v>
      </c>
      <c r="G188" s="810">
        <f t="shared" ca="1" si="27"/>
        <v>1.0720000000000005</v>
      </c>
      <c r="H188" s="808">
        <f t="shared" ca="1" si="28"/>
        <v>1.0258405672574831</v>
      </c>
      <c r="I188" s="808">
        <f t="shared" ca="1" si="29"/>
        <v>1.0233405672574831</v>
      </c>
      <c r="J188" s="808">
        <f t="shared" ca="1" si="34"/>
        <v>1.0185499415018033</v>
      </c>
      <c r="K188" s="808">
        <f t="shared" ca="1" si="30"/>
        <v>21.430000000000003</v>
      </c>
      <c r="L188" s="811">
        <f t="shared" ca="1" si="33"/>
        <v>2.6223805711397459</v>
      </c>
      <c r="M188" s="773">
        <f t="shared" si="24"/>
        <v>176</v>
      </c>
      <c r="N188" s="807">
        <f t="shared" ca="1" si="25"/>
        <v>1.0258405672574831</v>
      </c>
      <c r="O188" s="808">
        <f t="shared" si="31"/>
        <v>1.0049999999999999</v>
      </c>
      <c r="P188" s="811">
        <f t="shared" ca="1" si="32"/>
        <v>1.409454688092179</v>
      </c>
    </row>
    <row r="189" spans="1:16">
      <c r="A189" s="809">
        <f t="shared" si="26"/>
        <v>40575</v>
      </c>
      <c r="B189" s="1110">
        <f ca="1">'[1]Monthly Curve Calc.'!B192</f>
        <v>413.48186337108888</v>
      </c>
      <c r="C189" s="1111">
        <f ca="1">'[1]Monthly Curve Calc.'!C192</f>
        <v>230.58560049344507</v>
      </c>
      <c r="D189" s="1111">
        <f ca="1">'[1]Monthly Curve Calc.'!D192</f>
        <v>180.28002608300773</v>
      </c>
      <c r="E189" s="1111">
        <f ca="1">'[1]Monthly Curve Calc.'!E192</f>
        <v>21.805</v>
      </c>
      <c r="F189" s="1112">
        <f ca="1">'[1]Monthly Curve Calc.'!F192</f>
        <v>2.6597398170002005</v>
      </c>
      <c r="G189" s="810">
        <f t="shared" ca="1" si="27"/>
        <v>1.0720000000000005</v>
      </c>
      <c r="H189" s="808">
        <f t="shared" ca="1" si="28"/>
        <v>1.0258405672574831</v>
      </c>
      <c r="I189" s="808">
        <f t="shared" ca="1" si="29"/>
        <v>1.0233405672574831</v>
      </c>
      <c r="J189" s="808">
        <f t="shared" ca="1" si="34"/>
        <v>1.0185499415018033</v>
      </c>
      <c r="K189" s="808">
        <f t="shared" ca="1" si="30"/>
        <v>21.430000000000003</v>
      </c>
      <c r="L189" s="811">
        <f t="shared" ca="1" si="33"/>
        <v>2.6223805711397459</v>
      </c>
      <c r="M189" s="773">
        <f t="shared" si="24"/>
        <v>177</v>
      </c>
      <c r="N189" s="807">
        <f t="shared" ca="1" si="25"/>
        <v>1.0258405672574831</v>
      </c>
      <c r="O189" s="808">
        <f t="shared" si="31"/>
        <v>1.0049999999999999</v>
      </c>
      <c r="P189" s="811">
        <f t="shared" ca="1" si="32"/>
        <v>1.409454688092179</v>
      </c>
    </row>
    <row r="190" spans="1:16">
      <c r="A190" s="809">
        <f t="shared" si="26"/>
        <v>40603</v>
      </c>
      <c r="B190" s="1110">
        <f ca="1">'[1]Monthly Curve Calc.'!B193</f>
        <v>415.88446395144121</v>
      </c>
      <c r="C190" s="1111">
        <f ca="1">'[1]Monthly Curve Calc.'!C193</f>
        <v>231.06587080078299</v>
      </c>
      <c r="D190" s="1111">
        <f ca="1">'[1]Monthly Curve Calc.'!D193</f>
        <v>180.53943118001848</v>
      </c>
      <c r="E190" s="1111">
        <f ca="1">'[1]Monthly Curve Calc.'!E193</f>
        <v>21.855</v>
      </c>
      <c r="F190" s="1112">
        <f ca="1">'[1]Monthly Curve Calc.'!F193</f>
        <v>2.6643542737312305</v>
      </c>
      <c r="G190" s="810">
        <f t="shared" ca="1" si="27"/>
        <v>1.0720000000000005</v>
      </c>
      <c r="H190" s="808">
        <f t="shared" ca="1" si="28"/>
        <v>1.0258405672574831</v>
      </c>
      <c r="I190" s="808">
        <f t="shared" ca="1" si="29"/>
        <v>1.0233405672574831</v>
      </c>
      <c r="J190" s="808">
        <f t="shared" ca="1" si="34"/>
        <v>1.0185499415018033</v>
      </c>
      <c r="K190" s="808">
        <f t="shared" ca="1" si="30"/>
        <v>21.430000000000003</v>
      </c>
      <c r="L190" s="811">
        <f t="shared" ca="1" si="33"/>
        <v>2.6223805711397459</v>
      </c>
      <c r="M190" s="773">
        <f t="shared" si="24"/>
        <v>178</v>
      </c>
      <c r="N190" s="807">
        <f t="shared" ca="1" si="25"/>
        <v>1.0258405672574831</v>
      </c>
      <c r="O190" s="808">
        <f t="shared" si="31"/>
        <v>1.0049999999999999</v>
      </c>
      <c r="P190" s="811">
        <f t="shared" ca="1" si="32"/>
        <v>1.409454688092179</v>
      </c>
    </row>
    <row r="191" spans="1:16">
      <c r="A191" s="809">
        <f t="shared" si="26"/>
        <v>40634</v>
      </c>
      <c r="B191" s="1110">
        <f ca="1">'[1]Monthly Curve Calc.'!B194</f>
        <v>418.30102521558666</v>
      </c>
      <c r="C191" s="1111">
        <f ca="1">'[1]Monthly Curve Calc.'!C194</f>
        <v>231.54714142890248</v>
      </c>
      <c r="D191" s="1111">
        <f ca="1">'[1]Monthly Curve Calc.'!D194</f>
        <v>180.79920953526431</v>
      </c>
      <c r="E191" s="1111">
        <f ca="1">'[1]Monthly Curve Calc.'!E194</f>
        <v>21.905000000000001</v>
      </c>
      <c r="F191" s="1112">
        <f ca="1">'[1]Monthly Curve Calc.'!F194</f>
        <v>2.6689767362118406</v>
      </c>
      <c r="G191" s="810">
        <f t="shared" ca="1" si="27"/>
        <v>1.0720000000000005</v>
      </c>
      <c r="H191" s="808">
        <f t="shared" ca="1" si="28"/>
        <v>1.0258405672574831</v>
      </c>
      <c r="I191" s="808">
        <f t="shared" ca="1" si="29"/>
        <v>1.0233405672574831</v>
      </c>
      <c r="J191" s="808">
        <f t="shared" ca="1" si="34"/>
        <v>1.0185499415018033</v>
      </c>
      <c r="K191" s="808">
        <f t="shared" ca="1" si="30"/>
        <v>21.430000000000003</v>
      </c>
      <c r="L191" s="811">
        <f t="shared" ca="1" si="33"/>
        <v>2.6223805711397459</v>
      </c>
      <c r="M191" s="773">
        <f t="shared" si="24"/>
        <v>179</v>
      </c>
      <c r="N191" s="807">
        <f t="shared" ca="1" si="25"/>
        <v>1.0258405672574831</v>
      </c>
      <c r="O191" s="808">
        <f t="shared" si="31"/>
        <v>1.0049999999999999</v>
      </c>
      <c r="P191" s="811">
        <f t="shared" ca="1" si="32"/>
        <v>1.409454688092179</v>
      </c>
    </row>
    <row r="192" spans="1:16">
      <c r="A192" s="809">
        <f t="shared" si="26"/>
        <v>40664</v>
      </c>
      <c r="B192" s="1110">
        <f ca="1">'[1]Monthly Curve Calc.'!B195</f>
        <v>420.73162828424648</v>
      </c>
      <c r="C192" s="1111">
        <f ca="1">'[1]Monthly Curve Calc.'!C195</f>
        <v>232.02941446130041</v>
      </c>
      <c r="D192" s="1111">
        <f ca="1">'[1]Monthly Curve Calc.'!D195</f>
        <v>181.05936168582684</v>
      </c>
      <c r="E192" s="1111">
        <f ca="1">'[1]Monthly Curve Calc.'!E195</f>
        <v>21.955000000000002</v>
      </c>
      <c r="F192" s="1112">
        <f ca="1">'[1]Monthly Curve Calc.'!F195</f>
        <v>2.6736072183314286</v>
      </c>
      <c r="G192" s="810">
        <f t="shared" ca="1" si="27"/>
        <v>1.0720000000000005</v>
      </c>
      <c r="H192" s="808">
        <f t="shared" ca="1" si="28"/>
        <v>1.0254766914317999</v>
      </c>
      <c r="I192" s="808">
        <f t="shared" ca="1" si="29"/>
        <v>1.0229766914317999</v>
      </c>
      <c r="J192" s="808">
        <f t="shared" ca="1" si="34"/>
        <v>1.0185499415018033</v>
      </c>
      <c r="K192" s="808">
        <f t="shared" ca="1" si="30"/>
        <v>21.430000000000003</v>
      </c>
      <c r="L192" s="811">
        <f t="shared" ca="1" si="33"/>
        <v>2.6223805711397459</v>
      </c>
      <c r="M192" s="773">
        <f t="shared" si="24"/>
        <v>180</v>
      </c>
      <c r="N192" s="807">
        <f t="shared" ca="1" si="25"/>
        <v>1.0254766914317999</v>
      </c>
      <c r="O192" s="808">
        <f t="shared" si="31"/>
        <v>1.0049999999999999</v>
      </c>
      <c r="P192" s="811">
        <f t="shared" ca="1" si="32"/>
        <v>1.4453629302678073</v>
      </c>
    </row>
    <row r="193" spans="1:16">
      <c r="A193" s="809">
        <f t="shared" si="26"/>
        <v>40695</v>
      </c>
      <c r="B193" s="1110">
        <f ca="1">'[1]Monthly Curve Calc.'!B196</f>
        <v>423.17635474950646</v>
      </c>
      <c r="C193" s="1111">
        <f ca="1">'[1]Monthly Curve Calc.'!C196</f>
        <v>232.51269198581318</v>
      </c>
      <c r="D193" s="1111">
        <f ca="1">'[1]Monthly Curve Calc.'!D196</f>
        <v>181.3198881695605</v>
      </c>
      <c r="E193" s="1111">
        <f ca="1">'[1]Monthly Curve Calc.'!E196</f>
        <v>22.005000000000003</v>
      </c>
      <c r="F193" s="1112">
        <f ca="1">'[1]Monthly Curve Calc.'!F196</f>
        <v>2.6782457340034895</v>
      </c>
      <c r="G193" s="810">
        <f t="shared" ca="1" si="27"/>
        <v>1.0720000000000005</v>
      </c>
      <c r="H193" s="808">
        <f t="shared" ca="1" si="28"/>
        <v>1.0254766914317999</v>
      </c>
      <c r="I193" s="808">
        <f t="shared" ca="1" si="29"/>
        <v>1.0229766914317999</v>
      </c>
      <c r="J193" s="808">
        <f t="shared" ca="1" si="34"/>
        <v>1.0185499415018033</v>
      </c>
      <c r="K193" s="808">
        <f t="shared" ca="1" si="30"/>
        <v>21.430000000000003</v>
      </c>
      <c r="L193" s="811">
        <f t="shared" ca="1" si="33"/>
        <v>2.6223805711397459</v>
      </c>
      <c r="M193" s="773">
        <f t="shared" si="24"/>
        <v>181</v>
      </c>
      <c r="N193" s="807">
        <f t="shared" ca="1" si="25"/>
        <v>1.0254766914317999</v>
      </c>
      <c r="O193" s="808">
        <f t="shared" si="31"/>
        <v>1.0049999999999999</v>
      </c>
      <c r="P193" s="811">
        <f t="shared" ca="1" si="32"/>
        <v>1.4453629302678073</v>
      </c>
    </row>
    <row r="194" spans="1:16">
      <c r="A194" s="809">
        <f t="shared" si="26"/>
        <v>40725</v>
      </c>
      <c r="B194" s="1110">
        <f ca="1">'[1]Monthly Curve Calc.'!B197</f>
        <v>425.63528667755588</v>
      </c>
      <c r="C194" s="1111">
        <f ca="1">'[1]Monthly Curve Calc.'!C197</f>
        <v>232.99697609462581</v>
      </c>
      <c r="D194" s="1111">
        <f ca="1">'[1]Monthly Curve Calc.'!D197</f>
        <v>181.58078952509365</v>
      </c>
      <c r="E194" s="1111">
        <f ca="1">'[1]Monthly Curve Calc.'!E197</f>
        <v>22.055000000000003</v>
      </c>
      <c r="F194" s="1112">
        <f ca="1">'[1]Monthly Curve Calc.'!F197</f>
        <v>2.6828922971656577</v>
      </c>
      <c r="G194" s="810">
        <f t="shared" ca="1" si="27"/>
        <v>1.0720000000000005</v>
      </c>
      <c r="H194" s="808">
        <f t="shared" ca="1" si="28"/>
        <v>1.0254766914317999</v>
      </c>
      <c r="I194" s="808">
        <f t="shared" ca="1" si="29"/>
        <v>1.0229766914317999</v>
      </c>
      <c r="J194" s="808">
        <f t="shared" ca="1" si="34"/>
        <v>1.0185499415018033</v>
      </c>
      <c r="K194" s="808">
        <f t="shared" ca="1" si="30"/>
        <v>21.430000000000003</v>
      </c>
      <c r="L194" s="811">
        <f t="shared" ca="1" si="33"/>
        <v>2.6223805711397459</v>
      </c>
      <c r="M194" s="773">
        <f t="shared" si="24"/>
        <v>182</v>
      </c>
      <c r="N194" s="807">
        <f t="shared" ca="1" si="25"/>
        <v>1.0254766914317999</v>
      </c>
      <c r="O194" s="808">
        <f t="shared" si="31"/>
        <v>1.0049999999999999</v>
      </c>
      <c r="P194" s="811">
        <f t="shared" ca="1" si="32"/>
        <v>1.4453629302678073</v>
      </c>
    </row>
    <row r="195" spans="1:16">
      <c r="A195" s="809">
        <f t="shared" si="26"/>
        <v>40756</v>
      </c>
      <c r="B195" s="1110">
        <f ca="1">'[1]Monthly Curve Calc.'!B198</f>
        <v>428.10850661144241</v>
      </c>
      <c r="C195" s="1111">
        <f ca="1">'[1]Monthly Curve Calc.'!C198</f>
        <v>233.48226888428096</v>
      </c>
      <c r="D195" s="1111">
        <f ca="1">'[1]Monthly Curve Calc.'!D198</f>
        <v>181.84206629182964</v>
      </c>
      <c r="E195" s="1111">
        <f ca="1">'[1]Monthly Curve Calc.'!E198</f>
        <v>22.105000000000004</v>
      </c>
      <c r="F195" s="1112">
        <f ca="1">'[1]Monthly Curve Calc.'!F198</f>
        <v>2.6875469217797479</v>
      </c>
      <c r="G195" s="810">
        <f t="shared" ca="1" si="27"/>
        <v>1.0720000000000005</v>
      </c>
      <c r="H195" s="808">
        <f t="shared" ca="1" si="28"/>
        <v>1.0254766914317999</v>
      </c>
      <c r="I195" s="808">
        <f t="shared" ca="1" si="29"/>
        <v>1.0229766914317999</v>
      </c>
      <c r="J195" s="808">
        <f t="shared" ca="1" si="34"/>
        <v>1.0185499415018033</v>
      </c>
      <c r="K195" s="808">
        <f t="shared" ca="1" si="30"/>
        <v>21.430000000000003</v>
      </c>
      <c r="L195" s="811">
        <f t="shared" ca="1" si="33"/>
        <v>2.6223805711397459</v>
      </c>
      <c r="M195" s="773">
        <f t="shared" si="24"/>
        <v>183</v>
      </c>
      <c r="N195" s="807">
        <f t="shared" ca="1" si="25"/>
        <v>1.0254766914317999</v>
      </c>
      <c r="O195" s="808">
        <f t="shared" si="31"/>
        <v>1.0049999999999999</v>
      </c>
      <c r="P195" s="811">
        <f t="shared" ca="1" si="32"/>
        <v>1.4453629302678073</v>
      </c>
    </row>
    <row r="196" spans="1:16">
      <c r="A196" s="809">
        <f t="shared" si="26"/>
        <v>40787</v>
      </c>
      <c r="B196" s="1110">
        <f ca="1">'[1]Monthly Curve Calc.'!B199</f>
        <v>430.59609757384288</v>
      </c>
      <c r="C196" s="1111">
        <f ca="1">'[1]Monthly Curve Calc.'!C199</f>
        <v>233.96857245568802</v>
      </c>
      <c r="D196" s="1111">
        <f ca="1">'[1]Monthly Curve Calc.'!D199</f>
        <v>182.10371900994801</v>
      </c>
      <c r="E196" s="1111">
        <f ca="1">'[1]Monthly Curve Calc.'!E199</f>
        <v>22.155000000000005</v>
      </c>
      <c r="F196" s="1112">
        <f ca="1">'[1]Monthly Curve Calc.'!F199</f>
        <v>2.6922096218317977</v>
      </c>
      <c r="G196" s="810">
        <f t="shared" ca="1" si="27"/>
        <v>1.0720000000000005</v>
      </c>
      <c r="H196" s="808">
        <f t="shared" ca="1" si="28"/>
        <v>1.0254766914317999</v>
      </c>
      <c r="I196" s="808">
        <f t="shared" ca="1" si="29"/>
        <v>1.0229766914317999</v>
      </c>
      <c r="J196" s="808">
        <f t="shared" ca="1" si="34"/>
        <v>1.0185499415018033</v>
      </c>
      <c r="K196" s="808">
        <f t="shared" ca="1" si="30"/>
        <v>21.430000000000003</v>
      </c>
      <c r="L196" s="811">
        <f t="shared" ca="1" si="33"/>
        <v>2.6223805711397459</v>
      </c>
      <c r="M196" s="773">
        <f t="shared" si="24"/>
        <v>184</v>
      </c>
      <c r="N196" s="807">
        <f t="shared" ca="1" si="25"/>
        <v>1.0254766914317999</v>
      </c>
      <c r="O196" s="808">
        <f t="shared" si="31"/>
        <v>1.0049999999999999</v>
      </c>
      <c r="P196" s="811">
        <f t="shared" ca="1" si="32"/>
        <v>1.4453629302678073</v>
      </c>
    </row>
    <row r="197" spans="1:16">
      <c r="A197" s="809">
        <f t="shared" si="26"/>
        <v>40817</v>
      </c>
      <c r="B197" s="1110">
        <f ca="1">'[1]Monthly Curve Calc.'!B200</f>
        <v>433.09814306985027</v>
      </c>
      <c r="C197" s="1111">
        <f ca="1">'[1]Monthly Curve Calc.'!C200</f>
        <v>234.45588891413226</v>
      </c>
      <c r="D197" s="1111">
        <f ca="1">'[1]Monthly Curve Calc.'!D200</f>
        <v>182.36574822040555</v>
      </c>
      <c r="E197" s="1111">
        <f ca="1">'[1]Monthly Curve Calc.'!E200</f>
        <v>22.205000000000005</v>
      </c>
      <c r="F197" s="1112">
        <f ca="1">'[1]Monthly Curve Calc.'!F200</f>
        <v>2.6968804113321094</v>
      </c>
      <c r="G197" s="810">
        <f t="shared" ca="1" si="27"/>
        <v>1.0720000000000005</v>
      </c>
      <c r="H197" s="808">
        <f t="shared" ca="1" si="28"/>
        <v>1.0254766914317999</v>
      </c>
      <c r="I197" s="808">
        <f t="shared" ca="1" si="29"/>
        <v>1.0229766914317999</v>
      </c>
      <c r="J197" s="808">
        <f t="shared" ca="1" si="34"/>
        <v>1.0185499415018033</v>
      </c>
      <c r="K197" s="808">
        <f t="shared" ca="1" si="30"/>
        <v>21.430000000000003</v>
      </c>
      <c r="L197" s="811">
        <f t="shared" ca="1" si="33"/>
        <v>2.6223805711397459</v>
      </c>
      <c r="M197" s="773">
        <f t="shared" si="24"/>
        <v>185</v>
      </c>
      <c r="N197" s="807">
        <f t="shared" ca="1" si="25"/>
        <v>1.0254766914317999</v>
      </c>
      <c r="O197" s="808">
        <f t="shared" si="31"/>
        <v>1.0049999999999999</v>
      </c>
      <c r="P197" s="811">
        <f t="shared" ca="1" si="32"/>
        <v>1.4453629302678073</v>
      </c>
    </row>
    <row r="198" spans="1:16">
      <c r="A198" s="809">
        <f t="shared" si="26"/>
        <v>40848</v>
      </c>
      <c r="B198" s="1110">
        <f ca="1">'[1]Monthly Curve Calc.'!B201</f>
        <v>435.61472708977681</v>
      </c>
      <c r="C198" s="1111">
        <f ca="1">'[1]Monthly Curve Calc.'!C201</f>
        <v>234.94422036928387</v>
      </c>
      <c r="D198" s="1111">
        <f ca="1">'[1]Monthly Curve Calc.'!D201</f>
        <v>182.62815446493744</v>
      </c>
      <c r="E198" s="1111">
        <f ca="1">'[1]Monthly Curve Calc.'!E201</f>
        <v>22.255000000000006</v>
      </c>
      <c r="F198" s="1112">
        <f ca="1">'[1]Monthly Curve Calc.'!F201</f>
        <v>2.7015593043152926</v>
      </c>
      <c r="G198" s="810">
        <f t="shared" ca="1" si="27"/>
        <v>1.0720000000000005</v>
      </c>
      <c r="H198" s="808">
        <f t="shared" ca="1" si="28"/>
        <v>1.0254766914317999</v>
      </c>
      <c r="I198" s="808">
        <f t="shared" ca="1" si="29"/>
        <v>1.0229766914317999</v>
      </c>
      <c r="J198" s="808">
        <f t="shared" ca="1" si="34"/>
        <v>1.0185499415018033</v>
      </c>
      <c r="K198" s="808">
        <f t="shared" ca="1" si="30"/>
        <v>21.430000000000003</v>
      </c>
      <c r="L198" s="811">
        <f t="shared" ca="1" si="33"/>
        <v>2.6223805711397459</v>
      </c>
      <c r="M198" s="773">
        <f t="shared" si="24"/>
        <v>186</v>
      </c>
      <c r="N198" s="807">
        <f t="shared" ca="1" si="25"/>
        <v>1.0254766914317999</v>
      </c>
      <c r="O198" s="808">
        <f t="shared" si="31"/>
        <v>1.0049999999999999</v>
      </c>
      <c r="P198" s="811">
        <f t="shared" ca="1" si="32"/>
        <v>1.4453629302678073</v>
      </c>
    </row>
    <row r="199" spans="1:16">
      <c r="A199" s="809">
        <f t="shared" si="26"/>
        <v>40878</v>
      </c>
      <c r="B199" s="1110">
        <f ca="1">'[1]Monthly Curve Calc.'!B202</f>
        <v>438.14593411197365</v>
      </c>
      <c r="C199" s="1111">
        <f ca="1">'[1]Monthly Curve Calc.'!C202</f>
        <v>235.43356893520712</v>
      </c>
      <c r="D199" s="1111">
        <f ca="1">'[1]Monthly Curve Calc.'!D202</f>
        <v>182.89093828605837</v>
      </c>
      <c r="E199" s="1111">
        <f ca="1">'[1]Monthly Curve Calc.'!E202</f>
        <v>22.304999999999996</v>
      </c>
      <c r="F199" s="1112">
        <f ca="1">'[1]Monthly Curve Calc.'!F202</f>
        <v>2.7062463148403069</v>
      </c>
      <c r="G199" s="810">
        <f t="shared" ca="1" si="27"/>
        <v>1.0720000000000005</v>
      </c>
      <c r="H199" s="808">
        <f t="shared" ca="1" si="28"/>
        <v>1.0254766914317999</v>
      </c>
      <c r="I199" s="808">
        <f t="shared" ca="1" si="29"/>
        <v>1.0229766914317999</v>
      </c>
      <c r="J199" s="808">
        <f t="shared" ca="1" si="34"/>
        <v>1.0185499415018033</v>
      </c>
      <c r="K199" s="808">
        <f t="shared" ca="1" si="30"/>
        <v>21.430000000000003</v>
      </c>
      <c r="L199" s="811">
        <f t="shared" ca="1" si="33"/>
        <v>2.6223805711397459</v>
      </c>
      <c r="M199" s="773">
        <f t="shared" si="24"/>
        <v>187</v>
      </c>
      <c r="N199" s="807">
        <f t="shared" ca="1" si="25"/>
        <v>1.0254766914317999</v>
      </c>
      <c r="O199" s="808">
        <f t="shared" si="31"/>
        <v>1.0049999999999999</v>
      </c>
      <c r="P199" s="811">
        <f t="shared" ca="1" si="32"/>
        <v>1.4453629302678073</v>
      </c>
    </row>
    <row r="200" spans="1:16">
      <c r="A200" s="809">
        <f t="shared" si="26"/>
        <v>40909</v>
      </c>
      <c r="B200" s="1110">
        <f ca="1">'[1]Monthly Curve Calc.'!B203</f>
        <v>440.69184910566634</v>
      </c>
      <c r="C200" s="1111">
        <f ca="1">'[1]Monthly Curve Calc.'!C203</f>
        <v>235.92010131714585</v>
      </c>
      <c r="D200" s="1111">
        <f ca="1">'[1]Monthly Curve Calc.'!D203</f>
        <v>183.1392170857919</v>
      </c>
      <c r="E200" s="1111">
        <f ca="1">'[1]Monthly Curve Calc.'!E203</f>
        <v>22.354999999999997</v>
      </c>
      <c r="F200" s="1112">
        <f ca="1">'[1]Monthly Curve Calc.'!F203</f>
        <v>2.7107133756643873</v>
      </c>
      <c r="G200" s="810">
        <f t="shared" ca="1" si="27"/>
        <v>1.0720000000000005</v>
      </c>
      <c r="H200" s="808">
        <f t="shared" ca="1" si="28"/>
        <v>1.0254766914317999</v>
      </c>
      <c r="I200" s="808">
        <f t="shared" ca="1" si="29"/>
        <v>1.0229766914317999</v>
      </c>
      <c r="J200" s="808">
        <f t="shared" ca="1" si="34"/>
        <v>1.0174041174565722</v>
      </c>
      <c r="K200" s="808">
        <f t="shared" ca="1" si="30"/>
        <v>22.03</v>
      </c>
      <c r="L200" s="811">
        <f t="shared" ca="1" si="33"/>
        <v>2.6806160002247092</v>
      </c>
      <c r="M200" s="773">
        <f t="shared" si="24"/>
        <v>188</v>
      </c>
      <c r="N200" s="807">
        <f t="shared" ca="1" si="25"/>
        <v>1.0254766914317999</v>
      </c>
      <c r="O200" s="808">
        <f t="shared" si="31"/>
        <v>1.0049999999999999</v>
      </c>
      <c r="P200" s="811">
        <f t="shared" ca="1" si="32"/>
        <v>1.4453629302678073</v>
      </c>
    </row>
    <row r="201" spans="1:16">
      <c r="A201" s="809">
        <f t="shared" si="26"/>
        <v>40940</v>
      </c>
      <c r="B201" s="1110">
        <f ca="1">'[1]Monthly Curve Calc.'!B204</f>
        <v>443.25255753380742</v>
      </c>
      <c r="C201" s="1111">
        <f ca="1">'[1]Monthly Curve Calc.'!C204</f>
        <v>236.40763913666828</v>
      </c>
      <c r="D201" s="1111">
        <f ca="1">'[1]Monthly Curve Calc.'!D204</f>
        <v>183.38783292990266</v>
      </c>
      <c r="E201" s="1111">
        <f ca="1">'[1]Monthly Curve Calc.'!E204</f>
        <v>22.404999999999998</v>
      </c>
      <c r="F201" s="1112">
        <f ca="1">'[1]Monthly Curve Calc.'!F204</f>
        <v>2.7151878100347324</v>
      </c>
      <c r="G201" s="810">
        <f t="shared" ca="1" si="27"/>
        <v>1.0720000000000005</v>
      </c>
      <c r="H201" s="808">
        <f t="shared" ca="1" si="28"/>
        <v>1.0254766914317999</v>
      </c>
      <c r="I201" s="808">
        <f t="shared" ca="1" si="29"/>
        <v>1.0229766914317999</v>
      </c>
      <c r="J201" s="808">
        <f t="shared" ca="1" si="34"/>
        <v>1.0174041174565722</v>
      </c>
      <c r="K201" s="808">
        <f t="shared" ca="1" si="30"/>
        <v>22.03</v>
      </c>
      <c r="L201" s="811">
        <f t="shared" ca="1" si="33"/>
        <v>2.6806160002247092</v>
      </c>
      <c r="M201" s="773">
        <f t="shared" si="24"/>
        <v>189</v>
      </c>
      <c r="N201" s="807">
        <f t="shared" ca="1" si="25"/>
        <v>1.0254766914317999</v>
      </c>
      <c r="O201" s="808">
        <f t="shared" si="31"/>
        <v>1.0049999999999999</v>
      </c>
      <c r="P201" s="811">
        <f t="shared" ca="1" si="32"/>
        <v>1.4453629302678073</v>
      </c>
    </row>
    <row r="202" spans="1:16">
      <c r="A202" s="809">
        <f t="shared" si="26"/>
        <v>40969</v>
      </c>
      <c r="B202" s="1110">
        <f ca="1">'[1]Monthly Curve Calc.'!B205</f>
        <v>445.82814535594514</v>
      </c>
      <c r="C202" s="1111">
        <f ca="1">'[1]Monthly Curve Calc.'!C205</f>
        <v>236.89618447154925</v>
      </c>
      <c r="D202" s="1111">
        <f ca="1">'[1]Monthly Curve Calc.'!D205</f>
        <v>183.63678627593643</v>
      </c>
      <c r="E202" s="1111">
        <f ca="1">'[1]Monthly Curve Calc.'!E205</f>
        <v>22.454999999999998</v>
      </c>
      <c r="F202" s="1112">
        <f ca="1">'[1]Monthly Curve Calc.'!F205</f>
        <v>2.7196696301224734</v>
      </c>
      <c r="G202" s="810">
        <f t="shared" ca="1" si="27"/>
        <v>1.0720000000000005</v>
      </c>
      <c r="H202" s="808">
        <f t="shared" ca="1" si="28"/>
        <v>1.0254766914317999</v>
      </c>
      <c r="I202" s="808">
        <f t="shared" ca="1" si="29"/>
        <v>1.0229766914317999</v>
      </c>
      <c r="J202" s="808">
        <f t="shared" ca="1" si="34"/>
        <v>1.0174041174565722</v>
      </c>
      <c r="K202" s="808">
        <f t="shared" ca="1" si="30"/>
        <v>22.03</v>
      </c>
      <c r="L202" s="811">
        <f t="shared" ca="1" si="33"/>
        <v>2.6806160002247092</v>
      </c>
      <c r="M202" s="773">
        <f t="shared" si="24"/>
        <v>190</v>
      </c>
      <c r="N202" s="807">
        <f t="shared" ca="1" si="25"/>
        <v>1.0254766914317999</v>
      </c>
      <c r="O202" s="808">
        <f t="shared" si="31"/>
        <v>1.0049999999999999</v>
      </c>
      <c r="P202" s="811">
        <f t="shared" ca="1" si="32"/>
        <v>1.4453629302678073</v>
      </c>
    </row>
    <row r="203" spans="1:16">
      <c r="A203" s="809">
        <f t="shared" si="26"/>
        <v>41000</v>
      </c>
      <c r="B203" s="1110">
        <f ca="1">'[1]Monthly Curve Calc.'!B206</f>
        <v>448.41869903110904</v>
      </c>
      <c r="C203" s="1111">
        <f ca="1">'[1]Monthly Curve Calc.'!C206</f>
        <v>237.38573940385737</v>
      </c>
      <c r="D203" s="1111">
        <f ca="1">'[1]Monthly Curve Calc.'!D206</f>
        <v>183.88607758206007</v>
      </c>
      <c r="E203" s="1111">
        <f ca="1">'[1]Monthly Curve Calc.'!E206</f>
        <v>22.504999999999999</v>
      </c>
      <c r="F203" s="1112">
        <f ca="1">'[1]Monthly Curve Calc.'!F206</f>
        <v>2.7241588481188321</v>
      </c>
      <c r="G203" s="810">
        <f t="shared" ca="1" si="27"/>
        <v>1.0720000000000005</v>
      </c>
      <c r="H203" s="808">
        <f t="shared" ca="1" si="28"/>
        <v>1.0254766914317999</v>
      </c>
      <c r="I203" s="808">
        <f t="shared" ca="1" si="29"/>
        <v>1.0229766914317999</v>
      </c>
      <c r="J203" s="808">
        <f t="shared" ca="1" si="34"/>
        <v>1.0174041174565722</v>
      </c>
      <c r="K203" s="808">
        <f t="shared" ca="1" si="30"/>
        <v>22.03</v>
      </c>
      <c r="L203" s="811">
        <f t="shared" ca="1" si="33"/>
        <v>2.6806160002247092</v>
      </c>
      <c r="M203" s="773">
        <f t="shared" si="24"/>
        <v>191</v>
      </c>
      <c r="N203" s="807">
        <f t="shared" ca="1" si="25"/>
        <v>1.0254766914317999</v>
      </c>
      <c r="O203" s="808">
        <f t="shared" si="31"/>
        <v>1.0049999999999999</v>
      </c>
      <c r="P203" s="811">
        <f t="shared" ca="1" si="32"/>
        <v>1.4453629302678073</v>
      </c>
    </row>
    <row r="204" spans="1:16">
      <c r="A204" s="809">
        <f t="shared" si="26"/>
        <v>41030</v>
      </c>
      <c r="B204" s="1110">
        <f ca="1">'[1]Monthly Curve Calc.'!B207</f>
        <v>451.02430552071235</v>
      </c>
      <c r="C204" s="1111">
        <f ca="1">'[1]Monthly Curve Calc.'!C207</f>
        <v>237.87630601996395</v>
      </c>
      <c r="D204" s="1111">
        <f ca="1">'[1]Monthly Curve Calc.'!D207</f>
        <v>184.13570730706246</v>
      </c>
      <c r="E204" s="1111">
        <f ca="1">'[1]Monthly Curve Calc.'!E207</f>
        <v>22.555</v>
      </c>
      <c r="F204" s="1112">
        <f ca="1">'[1]Monthly Curve Calc.'!F207</f>
        <v>2.7286554762351538</v>
      </c>
      <c r="G204" s="810">
        <f t="shared" ca="1" si="27"/>
        <v>1.0720000000000003</v>
      </c>
      <c r="H204" s="808">
        <f t="shared" ca="1" si="28"/>
        <v>1.0252155908249365</v>
      </c>
      <c r="I204" s="808">
        <f t="shared" ca="1" si="29"/>
        <v>1.0227155908249366</v>
      </c>
      <c r="J204" s="808">
        <f t="shared" ca="1" si="34"/>
        <v>1.0174041174565722</v>
      </c>
      <c r="K204" s="808">
        <f t="shared" ca="1" si="30"/>
        <v>22.03</v>
      </c>
      <c r="L204" s="811">
        <f t="shared" ca="1" si="33"/>
        <v>2.6806160002247092</v>
      </c>
      <c r="M204" s="773">
        <f t="shared" si="24"/>
        <v>192</v>
      </c>
      <c r="N204" s="807">
        <f t="shared" ca="1" si="25"/>
        <v>1.0252155908249365</v>
      </c>
      <c r="O204" s="808">
        <f t="shared" si="31"/>
        <v>1.0049999999999999</v>
      </c>
      <c r="P204" s="811">
        <f t="shared" ca="1" si="32"/>
        <v>1.4818086105109716</v>
      </c>
    </row>
    <row r="205" spans="1:16">
      <c r="A205" s="809">
        <f t="shared" si="26"/>
        <v>41061</v>
      </c>
      <c r="B205" s="1110">
        <f ca="1">'[1]Monthly Curve Calc.'!B208</f>
        <v>453.64505229147107</v>
      </c>
      <c r="C205" s="1111">
        <f ca="1">'[1]Monthly Curve Calc.'!C208</f>
        <v>238.36788641055188</v>
      </c>
      <c r="D205" s="1111">
        <f ca="1">'[1]Monthly Curve Calc.'!D208</f>
        <v>184.3856759103553</v>
      </c>
      <c r="E205" s="1111">
        <f ca="1">'[1]Monthly Curve Calc.'!E208</f>
        <v>22.605</v>
      </c>
      <c r="F205" s="1112">
        <f ca="1">'[1]Monthly Curve Calc.'!F208</f>
        <v>2.7331595267029405</v>
      </c>
      <c r="G205" s="810">
        <f t="shared" ca="1" si="27"/>
        <v>1.0720000000000003</v>
      </c>
      <c r="H205" s="808">
        <f t="shared" ca="1" si="28"/>
        <v>1.0252155908249365</v>
      </c>
      <c r="I205" s="808">
        <f t="shared" ca="1" si="29"/>
        <v>1.0227155908249366</v>
      </c>
      <c r="J205" s="808">
        <f t="shared" ca="1" si="34"/>
        <v>1.0174041174565722</v>
      </c>
      <c r="K205" s="808">
        <f t="shared" ca="1" si="30"/>
        <v>22.03</v>
      </c>
      <c r="L205" s="811">
        <f t="shared" ca="1" si="33"/>
        <v>2.6806160002247092</v>
      </c>
      <c r="M205" s="773">
        <f t="shared" ref="M205:M268" si="35">M204+1</f>
        <v>193</v>
      </c>
      <c r="N205" s="807">
        <f t="shared" ca="1" si="25"/>
        <v>1.0252155908249365</v>
      </c>
      <c r="O205" s="808">
        <f t="shared" si="31"/>
        <v>1.0049999999999999</v>
      </c>
      <c r="P205" s="811">
        <f t="shared" ca="1" si="32"/>
        <v>1.4818086105109716</v>
      </c>
    </row>
    <row r="206" spans="1:16">
      <c r="A206" s="809">
        <f t="shared" si="26"/>
        <v>41091</v>
      </c>
      <c r="B206" s="1110">
        <f ca="1">'[1]Monthly Curve Calc.'!B209</f>
        <v>456.28102731834008</v>
      </c>
      <c r="C206" s="1111">
        <f ca="1">'[1]Monthly Curve Calc.'!C209</f>
        <v>238.86048267062446</v>
      </c>
      <c r="D206" s="1111">
        <f ca="1">'[1]Monthly Curve Calc.'!D209</f>
        <v>184.63598385197389</v>
      </c>
      <c r="E206" s="1111">
        <f ca="1">'[1]Monthly Curve Calc.'!E209</f>
        <v>22.655000000000001</v>
      </c>
      <c r="F206" s="1112">
        <f ca="1">'[1]Monthly Curve Calc.'!F209</f>
        <v>2.7376710117738834</v>
      </c>
      <c r="G206" s="810">
        <f t="shared" ca="1" si="27"/>
        <v>1.0720000000000003</v>
      </c>
      <c r="H206" s="808">
        <f t="shared" ca="1" si="28"/>
        <v>1.0252155908249365</v>
      </c>
      <c r="I206" s="808">
        <f t="shared" ca="1" si="29"/>
        <v>1.0227155908249366</v>
      </c>
      <c r="J206" s="808">
        <f t="shared" ca="1" si="34"/>
        <v>1.0174041174565722</v>
      </c>
      <c r="K206" s="808">
        <f t="shared" ca="1" si="30"/>
        <v>22.03</v>
      </c>
      <c r="L206" s="811">
        <f t="shared" ca="1" si="33"/>
        <v>2.6806160002247092</v>
      </c>
      <c r="M206" s="773">
        <f t="shared" si="35"/>
        <v>194</v>
      </c>
      <c r="N206" s="807">
        <f t="shared" ca="1" si="25"/>
        <v>1.0252155908249365</v>
      </c>
      <c r="O206" s="808">
        <f t="shared" si="31"/>
        <v>1.0049999999999999</v>
      </c>
      <c r="P206" s="811">
        <f t="shared" ca="1" si="32"/>
        <v>1.4818086105109716</v>
      </c>
    </row>
    <row r="207" spans="1:16">
      <c r="A207" s="809">
        <f t="shared" si="26"/>
        <v>41122</v>
      </c>
      <c r="B207" s="1110">
        <f ca="1">'[1]Monthly Curve Calc.'!B210</f>
        <v>458.93231908746645</v>
      </c>
      <c r="C207" s="1111">
        <f ca="1">'[1]Monthly Curve Calc.'!C210</f>
        <v>239.35409689951445</v>
      </c>
      <c r="D207" s="1111">
        <f ca="1">'[1]Monthly Curve Calc.'!D210</f>
        <v>184.88663159257811</v>
      </c>
      <c r="E207" s="1111">
        <f ca="1">'[1]Monthly Curve Calc.'!E210</f>
        <v>22.705000000000002</v>
      </c>
      <c r="F207" s="1112">
        <f ca="1">'[1]Monthly Curve Calc.'!F210</f>
        <v>2.7421899437198975</v>
      </c>
      <c r="G207" s="810">
        <f t="shared" ca="1" si="27"/>
        <v>1.0720000000000003</v>
      </c>
      <c r="H207" s="808">
        <f t="shared" ca="1" si="28"/>
        <v>1.0252155908249365</v>
      </c>
      <c r="I207" s="808">
        <f t="shared" ca="1" si="29"/>
        <v>1.0227155908249366</v>
      </c>
      <c r="J207" s="808">
        <f t="shared" ca="1" si="34"/>
        <v>1.0174041174565722</v>
      </c>
      <c r="K207" s="808">
        <f t="shared" ca="1" si="30"/>
        <v>22.03</v>
      </c>
      <c r="L207" s="811">
        <f t="shared" ca="1" si="33"/>
        <v>2.6806160002247092</v>
      </c>
      <c r="M207" s="773">
        <f t="shared" si="35"/>
        <v>195</v>
      </c>
      <c r="N207" s="807">
        <f t="shared" ca="1" si="25"/>
        <v>1.0252155908249365</v>
      </c>
      <c r="O207" s="808">
        <f t="shared" si="31"/>
        <v>1.0049999999999999</v>
      </c>
      <c r="P207" s="811">
        <f t="shared" ca="1" si="32"/>
        <v>1.4818086105109716</v>
      </c>
    </row>
    <row r="208" spans="1:16">
      <c r="A208" s="809">
        <f t="shared" si="26"/>
        <v>41153</v>
      </c>
      <c r="B208" s="1110">
        <f ca="1">'[1]Monthly Curve Calc.'!B211</f>
        <v>461.59901659915977</v>
      </c>
      <c r="C208" s="1111">
        <f ca="1">'[1]Monthly Curve Calc.'!C211</f>
        <v>239.84873120089293</v>
      </c>
      <c r="D208" s="1111">
        <f ca="1">'[1]Monthly Curve Calc.'!D211</f>
        <v>185.13761959345317</v>
      </c>
      <c r="E208" s="1111">
        <f ca="1">'[1]Monthly Curve Calc.'!E211</f>
        <v>22.755000000000003</v>
      </c>
      <c r="F208" s="1112">
        <f ca="1">'[1]Monthly Curve Calc.'!F211</f>
        <v>2.7467163348331547</v>
      </c>
      <c r="G208" s="810">
        <f t="shared" ca="1" si="27"/>
        <v>1.0720000000000003</v>
      </c>
      <c r="H208" s="808">
        <f t="shared" ca="1" si="28"/>
        <v>1.0252155908249365</v>
      </c>
      <c r="I208" s="808">
        <f t="shared" ca="1" si="29"/>
        <v>1.0227155908249366</v>
      </c>
      <c r="J208" s="808">
        <f t="shared" ca="1" si="34"/>
        <v>1.0174041174565722</v>
      </c>
      <c r="K208" s="808">
        <f t="shared" ca="1" si="30"/>
        <v>22.03</v>
      </c>
      <c r="L208" s="811">
        <f t="shared" ca="1" si="33"/>
        <v>2.6806160002247092</v>
      </c>
      <c r="M208" s="773">
        <f t="shared" si="35"/>
        <v>196</v>
      </c>
      <c r="N208" s="807">
        <f t="shared" ca="1" si="25"/>
        <v>1.0252155908249365</v>
      </c>
      <c r="O208" s="808">
        <f t="shared" si="31"/>
        <v>1.0049999999999999</v>
      </c>
      <c r="P208" s="811">
        <f t="shared" ca="1" si="32"/>
        <v>1.4818086105109716</v>
      </c>
    </row>
    <row r="209" spans="1:16">
      <c r="A209" s="809">
        <f t="shared" si="26"/>
        <v>41183</v>
      </c>
      <c r="B209" s="1110">
        <f ca="1">'[1]Monthly Curve Calc.'!B212</f>
        <v>464.28120937087965</v>
      </c>
      <c r="C209" s="1111">
        <f ca="1">'[1]Monthly Curve Calc.'!C212</f>
        <v>240.34438768277832</v>
      </c>
      <c r="D209" s="1111">
        <f ca="1">'[1]Monthly Curve Calc.'!D212</f>
        <v>185.38894831651047</v>
      </c>
      <c r="E209" s="1111">
        <f ca="1">'[1]Monthly Curve Calc.'!E212</f>
        <v>22.805000000000003</v>
      </c>
      <c r="F209" s="1112">
        <f ca="1">'[1]Monthly Curve Calc.'!F212</f>
        <v>2.7512501974261161</v>
      </c>
      <c r="G209" s="810">
        <f t="shared" ca="1" si="27"/>
        <v>1.0720000000000003</v>
      </c>
      <c r="H209" s="808">
        <f t="shared" ca="1" si="28"/>
        <v>1.0252155908249365</v>
      </c>
      <c r="I209" s="808">
        <f t="shared" ca="1" si="29"/>
        <v>1.0227155908249366</v>
      </c>
      <c r="J209" s="808">
        <f t="shared" ca="1" si="34"/>
        <v>1.0174041174565722</v>
      </c>
      <c r="K209" s="808">
        <f t="shared" ca="1" si="30"/>
        <v>22.03</v>
      </c>
      <c r="L209" s="811">
        <f t="shared" ca="1" si="33"/>
        <v>2.6806160002247092</v>
      </c>
      <c r="M209" s="773">
        <f t="shared" si="35"/>
        <v>197</v>
      </c>
      <c r="N209" s="807">
        <f t="shared" ref="N209:N272" ca="1" si="36">HLOOKUP(N$14,Dec_Change,$M209)</f>
        <v>1.0252155908249365</v>
      </c>
      <c r="O209" s="808">
        <f t="shared" si="31"/>
        <v>1.0049999999999999</v>
      </c>
      <c r="P209" s="811">
        <f t="shared" ca="1" si="32"/>
        <v>1.4818086105109716</v>
      </c>
    </row>
    <row r="210" spans="1:16">
      <c r="A210" s="809">
        <f t="shared" si="26"/>
        <v>41214</v>
      </c>
      <c r="B210" s="1110">
        <f ca="1">'[1]Monthly Curve Calc.'!B213</f>
        <v>466.97898744024093</v>
      </c>
      <c r="C210" s="1111">
        <f ca="1">'[1]Monthly Curve Calc.'!C213</f>
        <v>240.84106845754533</v>
      </c>
      <c r="D210" s="1111">
        <f ca="1">'[1]Monthly Curve Calc.'!D213</f>
        <v>185.64061822428846</v>
      </c>
      <c r="E210" s="1111">
        <f ca="1">'[1]Monthly Curve Calc.'!E213</f>
        <v>22.855000000000004</v>
      </c>
      <c r="F210" s="1112">
        <f ca="1">'[1]Monthly Curve Calc.'!F213</f>
        <v>2.7557915438315672</v>
      </c>
      <c r="G210" s="810">
        <f t="shared" ca="1" si="27"/>
        <v>1.0720000000000003</v>
      </c>
      <c r="H210" s="808">
        <f t="shared" ca="1" si="28"/>
        <v>1.0252155908249365</v>
      </c>
      <c r="I210" s="808">
        <f t="shared" ca="1" si="29"/>
        <v>1.0227155908249366</v>
      </c>
      <c r="J210" s="808">
        <f t="shared" ca="1" si="34"/>
        <v>1.0174041174565722</v>
      </c>
      <c r="K210" s="808">
        <f t="shared" ca="1" si="30"/>
        <v>22.03</v>
      </c>
      <c r="L210" s="811">
        <f t="shared" ca="1" si="33"/>
        <v>2.6806160002247092</v>
      </c>
      <c r="M210" s="773">
        <f t="shared" si="35"/>
        <v>198</v>
      </c>
      <c r="N210" s="807">
        <f t="shared" ca="1" si="36"/>
        <v>1.0252155908249365</v>
      </c>
      <c r="O210" s="808">
        <f t="shared" si="31"/>
        <v>1.0049999999999999</v>
      </c>
      <c r="P210" s="811">
        <f t="shared" ca="1" si="32"/>
        <v>1.4818086105109716</v>
      </c>
    </row>
    <row r="211" spans="1:16">
      <c r="A211" s="809">
        <f t="shared" si="26"/>
        <v>41244</v>
      </c>
      <c r="B211" s="1110">
        <f ca="1">'[1]Monthly Curve Calc.'!B214</f>
        <v>469.69244136803593</v>
      </c>
      <c r="C211" s="1111">
        <f ca="1">'[1]Monthly Curve Calc.'!C214</f>
        <v>241.33877564193398</v>
      </c>
      <c r="D211" s="1111">
        <f ca="1">'[1]Monthly Curve Calc.'!D214</f>
        <v>185.89262977995355</v>
      </c>
      <c r="E211" s="1111">
        <f ca="1">'[1]Monthly Curve Calc.'!E214</f>
        <v>22.905000000000001</v>
      </c>
      <c r="F211" s="1112">
        <f ca="1">'[1]Monthly Curve Calc.'!F214</f>
        <v>2.7603403864026497</v>
      </c>
      <c r="G211" s="810">
        <f t="shared" ca="1" si="27"/>
        <v>1.0720000000000003</v>
      </c>
      <c r="H211" s="808">
        <f t="shared" ca="1" si="28"/>
        <v>1.0252155908249365</v>
      </c>
      <c r="I211" s="808">
        <f t="shared" ca="1" si="29"/>
        <v>1.0227155908249366</v>
      </c>
      <c r="J211" s="808">
        <f t="shared" ca="1" si="34"/>
        <v>1.0174041174565722</v>
      </c>
      <c r="K211" s="808">
        <f t="shared" ca="1" si="30"/>
        <v>22.03</v>
      </c>
      <c r="L211" s="811">
        <f t="shared" ca="1" si="33"/>
        <v>2.6806160002247092</v>
      </c>
      <c r="M211" s="773">
        <f t="shared" si="35"/>
        <v>199</v>
      </c>
      <c r="N211" s="807">
        <f t="shared" ca="1" si="36"/>
        <v>1.0252155908249365</v>
      </c>
      <c r="O211" s="808">
        <f t="shared" si="31"/>
        <v>1.0049999999999999</v>
      </c>
      <c r="P211" s="811">
        <f t="shared" ca="1" si="32"/>
        <v>1.4818086105109716</v>
      </c>
    </row>
    <row r="212" spans="1:16">
      <c r="A212" s="809">
        <f t="shared" ref="A212:A275" si="37">EDATE(A211,1)</f>
        <v>41275</v>
      </c>
      <c r="B212" s="1110">
        <f ca="1">'[1]Monthly Curve Calc.'!B215</f>
        <v>472.34815071889614</v>
      </c>
      <c r="C212" s="1111">
        <f ca="1">'[1]Monthly Curve Calc.'!C215</f>
        <v>241.83890384444527</v>
      </c>
      <c r="D212" s="1111">
        <f ca="1">'[1]Monthly Curve Calc.'!D215</f>
        <v>186.13455181948905</v>
      </c>
      <c r="E212" s="1111">
        <f ca="1">'[1]Monthly Curve Calc.'!E215</f>
        <v>22.955000000000009</v>
      </c>
      <c r="F212" s="1112">
        <f ca="1">'[1]Monthly Curve Calc.'!F215</f>
        <v>2.7649282340797861</v>
      </c>
      <c r="G212" s="810">
        <f t="shared" ca="1" si="27"/>
        <v>1.0720000000000003</v>
      </c>
      <c r="H212" s="808">
        <f t="shared" ca="1" si="28"/>
        <v>1.0252155908249365</v>
      </c>
      <c r="I212" s="808">
        <f t="shared" ca="1" si="29"/>
        <v>1.0227155908249366</v>
      </c>
      <c r="J212" s="808">
        <f t="shared" ca="1" si="34"/>
        <v>1.0164124670255683</v>
      </c>
      <c r="K212" s="808">
        <f t="shared" ca="1" si="30"/>
        <v>22.629999999999995</v>
      </c>
      <c r="L212" s="811">
        <f t="shared" ca="1" si="33"/>
        <v>2.7354586737388158</v>
      </c>
      <c r="M212" s="773">
        <f t="shared" si="35"/>
        <v>200</v>
      </c>
      <c r="N212" s="807">
        <f t="shared" ca="1" si="36"/>
        <v>1.0252155908249365</v>
      </c>
      <c r="O212" s="808">
        <f t="shared" si="31"/>
        <v>1.0049999999999999</v>
      </c>
      <c r="P212" s="811">
        <f t="shared" ca="1" si="32"/>
        <v>1.4818086105109716</v>
      </c>
    </row>
    <row r="213" spans="1:16">
      <c r="A213" s="809">
        <f t="shared" si="37"/>
        <v>41306</v>
      </c>
      <c r="B213" s="1110">
        <f ca="1">'[1]Monthly Curve Calc.'!B216</f>
        <v>475.0188758365328</v>
      </c>
      <c r="C213" s="1111">
        <f ca="1">'[1]Monthly Curve Calc.'!C216</f>
        <v>242.34006846648046</v>
      </c>
      <c r="D213" s="1111">
        <f ca="1">'[1]Monthly Curve Calc.'!D216</f>
        <v>186.37678869815122</v>
      </c>
      <c r="E213" s="1111">
        <f ca="1">'[1]Monthly Curve Calc.'!E216</f>
        <v>23.005000000000017</v>
      </c>
      <c r="F213" s="1112">
        <f ca="1">'[1]Monthly Curve Calc.'!F216</f>
        <v>2.7695237070289402</v>
      </c>
      <c r="G213" s="810">
        <f t="shared" ref="G213:G276" ca="1" si="38">IF(AND($A213&gt;G$16,MONTH($A213)=MONTH(G$16)),B212/B200,G212)</f>
        <v>1.0720000000000003</v>
      </c>
      <c r="H213" s="808">
        <f t="shared" ref="H213:H276" ca="1" si="39">IF(AND($A213&gt;H$16,MONTH($A213)=MONTH(H$16)),C212/C200,H212)</f>
        <v>1.0252155908249365</v>
      </c>
      <c r="I213" s="808">
        <f t="shared" ref="I213:I276" ca="1" si="40">IF(AND($A213&gt;I$16,MONTH($A213)=MONTH(I$16)),C212/C200-I$18,I212)</f>
        <v>1.0227155908249366</v>
      </c>
      <c r="J213" s="808">
        <f t="shared" ca="1" si="34"/>
        <v>1.0164124670255683</v>
      </c>
      <c r="K213" s="808">
        <f t="shared" ref="K213:K276" ca="1" si="41">IF($A213&gt;=K$16,IF(MONTH($A213)=MONTH(K$16),AVERAGE(E201:E212),K212),K212)</f>
        <v>22.629999999999995</v>
      </c>
      <c r="L213" s="811">
        <f t="shared" ca="1" si="33"/>
        <v>2.7354586737388158</v>
      </c>
      <c r="M213" s="773">
        <f t="shared" si="35"/>
        <v>201</v>
      </c>
      <c r="N213" s="807">
        <f t="shared" ca="1" si="36"/>
        <v>1.0252155908249365</v>
      </c>
      <c r="O213" s="808">
        <f t="shared" ref="O213:O276" si="42">O212</f>
        <v>1.0049999999999999</v>
      </c>
      <c r="P213" s="811">
        <f t="shared" ref="P213:P276" ca="1" si="43">IF(AND($A213&gt;=P$16,MONTH($A213)=MONTH(P$16)),MAX(N213,O213)*P212,P212)</f>
        <v>1.4818086105109716</v>
      </c>
    </row>
    <row r="214" spans="1:16">
      <c r="A214" s="809">
        <f t="shared" si="37"/>
        <v>41334</v>
      </c>
      <c r="B214" s="1110">
        <f ca="1">'[1]Monthly Curve Calc.'!B217</f>
        <v>477.70470162227434</v>
      </c>
      <c r="C214" s="1111">
        <f ca="1">'[1]Monthly Curve Calc.'!C217</f>
        <v>242.8422716558197</v>
      </c>
      <c r="D214" s="1111">
        <f ca="1">'[1]Monthly Curve Calc.'!D217</f>
        <v>186.61934082567402</v>
      </c>
      <c r="E214" s="1111">
        <f ca="1">'[1]Monthly Curve Calc.'!E217</f>
        <v>23.055000000000025</v>
      </c>
      <c r="F214" s="1112">
        <f ca="1">'[1]Monthly Curve Calc.'!F217</f>
        <v>2.7741268179237619</v>
      </c>
      <c r="G214" s="810">
        <f t="shared" ca="1" si="38"/>
        <v>1.0720000000000003</v>
      </c>
      <c r="H214" s="808">
        <f t="shared" ca="1" si="39"/>
        <v>1.0252155908249365</v>
      </c>
      <c r="I214" s="808">
        <f t="shared" ca="1" si="40"/>
        <v>1.0227155908249366</v>
      </c>
      <c r="J214" s="808">
        <f t="shared" ca="1" si="34"/>
        <v>1.0164124670255683</v>
      </c>
      <c r="K214" s="808">
        <f t="shared" ca="1" si="41"/>
        <v>22.629999999999995</v>
      </c>
      <c r="L214" s="811">
        <f t="shared" ca="1" si="33"/>
        <v>2.7354586737388158</v>
      </c>
      <c r="M214" s="773">
        <f t="shared" si="35"/>
        <v>202</v>
      </c>
      <c r="N214" s="807">
        <f t="shared" ca="1" si="36"/>
        <v>1.0252155908249365</v>
      </c>
      <c r="O214" s="808">
        <f t="shared" si="42"/>
        <v>1.0049999999999999</v>
      </c>
      <c r="P214" s="811">
        <f t="shared" ca="1" si="43"/>
        <v>1.4818086105109716</v>
      </c>
    </row>
    <row r="215" spans="1:16">
      <c r="A215" s="809">
        <f t="shared" si="37"/>
        <v>41365</v>
      </c>
      <c r="B215" s="1110">
        <f ca="1">'[1]Monthly Curve Calc.'!B218</f>
        <v>480.40571345749373</v>
      </c>
      <c r="C215" s="1111">
        <f ca="1">'[1]Monthly Curve Calc.'!C218</f>
        <v>243.34551556469401</v>
      </c>
      <c r="D215" s="1111">
        <f ca="1">'[1]Monthly Curve Calc.'!D218</f>
        <v>186.86220861232462</v>
      </c>
      <c r="E215" s="1111">
        <f ca="1">'[1]Monthly Curve Calc.'!E218</f>
        <v>23.105000000000032</v>
      </c>
      <c r="F215" s="1112">
        <f ca="1">'[1]Monthly Curve Calc.'!F218</f>
        <v>2.7787375794589648</v>
      </c>
      <c r="G215" s="810">
        <f t="shared" ca="1" si="38"/>
        <v>1.0720000000000003</v>
      </c>
      <c r="H215" s="808">
        <f t="shared" ca="1" si="39"/>
        <v>1.0252155908249365</v>
      </c>
      <c r="I215" s="808">
        <f t="shared" ca="1" si="40"/>
        <v>1.0227155908249366</v>
      </c>
      <c r="J215" s="808">
        <f t="shared" ca="1" si="34"/>
        <v>1.0164124670255683</v>
      </c>
      <c r="K215" s="808">
        <f t="shared" ca="1" si="41"/>
        <v>22.629999999999995</v>
      </c>
      <c r="L215" s="811">
        <f t="shared" ca="1" si="33"/>
        <v>2.7354586737388158</v>
      </c>
      <c r="M215" s="773">
        <f t="shared" si="35"/>
        <v>203</v>
      </c>
      <c r="N215" s="807">
        <f t="shared" ca="1" si="36"/>
        <v>1.0252155908249365</v>
      </c>
      <c r="O215" s="808">
        <f t="shared" si="42"/>
        <v>1.0049999999999999</v>
      </c>
      <c r="P215" s="811">
        <f t="shared" ca="1" si="43"/>
        <v>1.4818086105109716</v>
      </c>
    </row>
    <row r="216" spans="1:16">
      <c r="A216" s="809">
        <f t="shared" si="37"/>
        <v>41395</v>
      </c>
      <c r="B216" s="1110">
        <f ca="1">'[1]Monthly Curve Calc.'!B219</f>
        <v>483.12199720632253</v>
      </c>
      <c r="C216" s="1111">
        <f ca="1">'[1]Monthly Curve Calc.'!C219</f>
        <v>243.84980234979449</v>
      </c>
      <c r="D216" s="1111">
        <f ca="1">'[1]Monthly Curve Calc.'!D219</f>
        <v>187.10539246890417</v>
      </c>
      <c r="E216" s="1111">
        <f ca="1">'[1]Monthly Curve Calc.'!E219</f>
        <v>23.15500000000004</v>
      </c>
      <c r="F216" s="1112">
        <f ca="1">'[1]Monthly Curve Calc.'!F219</f>
        <v>2.7833560043503622</v>
      </c>
      <c r="G216" s="810">
        <f t="shared" ca="1" si="38"/>
        <v>1.0713329183093803</v>
      </c>
      <c r="H216" s="808">
        <f t="shared" ca="1" si="39"/>
        <v>1.0251058727276681</v>
      </c>
      <c r="I216" s="808">
        <f t="shared" ca="1" si="40"/>
        <v>1.0226058727276681</v>
      </c>
      <c r="J216" s="808">
        <f t="shared" ca="1" si="34"/>
        <v>1.0164124670255683</v>
      </c>
      <c r="K216" s="808">
        <f t="shared" ca="1" si="41"/>
        <v>22.629999999999995</v>
      </c>
      <c r="L216" s="811">
        <f t="shared" ca="1" si="33"/>
        <v>2.7354586737388158</v>
      </c>
      <c r="M216" s="773">
        <f t="shared" si="35"/>
        <v>204</v>
      </c>
      <c r="N216" s="807">
        <f t="shared" ca="1" si="36"/>
        <v>1.0251058727276681</v>
      </c>
      <c r="O216" s="808">
        <f t="shared" si="42"/>
        <v>1.0049999999999999</v>
      </c>
      <c r="P216" s="811">
        <f t="shared" ca="1" si="43"/>
        <v>1.5190107088932228</v>
      </c>
    </row>
    <row r="217" spans="1:16">
      <c r="A217" s="809">
        <f t="shared" si="37"/>
        <v>41426</v>
      </c>
      <c r="B217" s="1110">
        <f ca="1">'[1]Monthly Curve Calc.'!B220</f>
        <v>485.85363921838069</v>
      </c>
      <c r="C217" s="1111">
        <f ca="1">'[1]Monthly Curve Calc.'!C220</f>
        <v>244.35513417228157</v>
      </c>
      <c r="D217" s="1111">
        <f ca="1">'[1]Monthly Curve Calc.'!D220</f>
        <v>187.34889280674838</v>
      </c>
      <c r="E217" s="1111">
        <f ca="1">'[1]Monthly Curve Calc.'!E220</f>
        <v>23.205000000000048</v>
      </c>
      <c r="F217" s="1112">
        <f ca="1">'[1]Monthly Curve Calc.'!F220</f>
        <v>2.7879821053349021</v>
      </c>
      <c r="G217" s="810">
        <f t="shared" ca="1" si="38"/>
        <v>1.0713329183093803</v>
      </c>
      <c r="H217" s="808">
        <f t="shared" ca="1" si="39"/>
        <v>1.0251058727276681</v>
      </c>
      <c r="I217" s="808">
        <f t="shared" ca="1" si="40"/>
        <v>1.0226058727276681</v>
      </c>
      <c r="J217" s="808">
        <f t="shared" ca="1" si="34"/>
        <v>1.0164124670255683</v>
      </c>
      <c r="K217" s="808">
        <f t="shared" ca="1" si="41"/>
        <v>22.629999999999995</v>
      </c>
      <c r="L217" s="811">
        <f t="shared" ca="1" si="33"/>
        <v>2.7354586737388158</v>
      </c>
      <c r="M217" s="773">
        <f t="shared" si="35"/>
        <v>205</v>
      </c>
      <c r="N217" s="807">
        <f t="shared" ca="1" si="36"/>
        <v>1.0251058727276681</v>
      </c>
      <c r="O217" s="808">
        <f t="shared" si="42"/>
        <v>1.0049999999999999</v>
      </c>
      <c r="P217" s="811">
        <f t="shared" ca="1" si="43"/>
        <v>1.5190107088932228</v>
      </c>
    </row>
    <row r="218" spans="1:16">
      <c r="A218" s="809">
        <f t="shared" si="37"/>
        <v>41456</v>
      </c>
      <c r="B218" s="1110">
        <f ca="1">'[1]Monthly Curve Calc.'!B221</f>
        <v>488.60072633152134</v>
      </c>
      <c r="C218" s="1111">
        <f ca="1">'[1]Monthly Curve Calc.'!C221</f>
        <v>244.86151319779427</v>
      </c>
      <c r="D218" s="1111">
        <f ca="1">'[1]Monthly Curve Calc.'!D221</f>
        <v>187.59271003772832</v>
      </c>
      <c r="E218" s="1111">
        <f ca="1">'[1]Monthly Curve Calc.'!E221</f>
        <v>23.255000000000056</v>
      </c>
      <c r="F218" s="1112">
        <f ca="1">'[1]Monthly Curve Calc.'!F221</f>
        <v>2.7926158951707012</v>
      </c>
      <c r="G218" s="810">
        <f t="shared" ca="1" si="38"/>
        <v>1.0713329183093803</v>
      </c>
      <c r="H218" s="808">
        <f t="shared" ca="1" si="39"/>
        <v>1.0251058727276681</v>
      </c>
      <c r="I218" s="808">
        <f t="shared" ca="1" si="40"/>
        <v>1.0226058727276681</v>
      </c>
      <c r="J218" s="808">
        <f t="shared" ca="1" si="34"/>
        <v>1.0164124670255683</v>
      </c>
      <c r="K218" s="808">
        <f t="shared" ca="1" si="41"/>
        <v>22.629999999999995</v>
      </c>
      <c r="L218" s="811">
        <f t="shared" ca="1" si="33"/>
        <v>2.7354586737388158</v>
      </c>
      <c r="M218" s="773">
        <f t="shared" si="35"/>
        <v>206</v>
      </c>
      <c r="N218" s="807">
        <f t="shared" ca="1" si="36"/>
        <v>1.0251058727276681</v>
      </c>
      <c r="O218" s="808">
        <f t="shared" si="42"/>
        <v>1.0049999999999999</v>
      </c>
      <c r="P218" s="811">
        <f t="shared" ca="1" si="43"/>
        <v>1.5190107088932228</v>
      </c>
    </row>
    <row r="219" spans="1:16">
      <c r="A219" s="809">
        <f t="shared" si="37"/>
        <v>41487</v>
      </c>
      <c r="B219" s="1110">
        <f ca="1">'[1]Monthly Curve Calc.'!B222</f>
        <v>491.36334587459157</v>
      </c>
      <c r="C219" s="1111">
        <f ca="1">'[1]Monthly Curve Calc.'!C222</f>
        <v>245.36894159645948</v>
      </c>
      <c r="D219" s="1111">
        <f ca="1">'[1]Monthly Curve Calc.'!D222</f>
        <v>187.83684457425105</v>
      </c>
      <c r="E219" s="1111">
        <f ca="1">'[1]Monthly Curve Calc.'!E222</f>
        <v>23.305000000000064</v>
      </c>
      <c r="F219" s="1112">
        <f ca="1">'[1]Monthly Curve Calc.'!F222</f>
        <v>2.7972573866370816</v>
      </c>
      <c r="G219" s="810">
        <f t="shared" ca="1" si="38"/>
        <v>1.0713329183093803</v>
      </c>
      <c r="H219" s="808">
        <f t="shared" ca="1" si="39"/>
        <v>1.0251058727276681</v>
      </c>
      <c r="I219" s="808">
        <f t="shared" ca="1" si="40"/>
        <v>1.0226058727276681</v>
      </c>
      <c r="J219" s="808">
        <f t="shared" ca="1" si="34"/>
        <v>1.0164124670255683</v>
      </c>
      <c r="K219" s="808">
        <f t="shared" ca="1" si="41"/>
        <v>22.629999999999995</v>
      </c>
      <c r="L219" s="811">
        <f t="shared" ca="1" si="33"/>
        <v>2.7354586737388158</v>
      </c>
      <c r="M219" s="773">
        <f t="shared" si="35"/>
        <v>207</v>
      </c>
      <c r="N219" s="807">
        <f t="shared" ca="1" si="36"/>
        <v>1.0251058727276681</v>
      </c>
      <c r="O219" s="808">
        <f t="shared" si="42"/>
        <v>1.0049999999999999</v>
      </c>
      <c r="P219" s="811">
        <f t="shared" ca="1" si="43"/>
        <v>1.5190107088932228</v>
      </c>
    </row>
    <row r="220" spans="1:16">
      <c r="A220" s="809">
        <f t="shared" si="37"/>
        <v>41518</v>
      </c>
      <c r="B220" s="1110">
        <f ca="1">'[1]Monthly Curve Calc.'!B223</f>
        <v>494.14158567020843</v>
      </c>
      <c r="C220" s="1111">
        <f ca="1">'[1]Monthly Curve Calc.'!C223</f>
        <v>245.87742154290126</v>
      </c>
      <c r="D220" s="1111">
        <f ca="1">'[1]Monthly Curve Calc.'!D223</f>
        <v>188.08129682926034</v>
      </c>
      <c r="E220" s="1111">
        <f ca="1">'[1]Monthly Curve Calc.'!E223</f>
        <v>23.355000000000071</v>
      </c>
      <c r="F220" s="1112">
        <f ca="1">'[1]Monthly Curve Calc.'!F223</f>
        <v>2.8019065925346047</v>
      </c>
      <c r="G220" s="810">
        <f t="shared" ca="1" si="38"/>
        <v>1.0713329183093803</v>
      </c>
      <c r="H220" s="808">
        <f t="shared" ca="1" si="39"/>
        <v>1.0251058727276681</v>
      </c>
      <c r="I220" s="808">
        <f t="shared" ca="1" si="40"/>
        <v>1.0226058727276681</v>
      </c>
      <c r="J220" s="808">
        <f t="shared" ca="1" si="34"/>
        <v>1.0164124670255683</v>
      </c>
      <c r="K220" s="808">
        <f t="shared" ca="1" si="41"/>
        <v>22.629999999999995</v>
      </c>
      <c r="L220" s="811">
        <f t="shared" ca="1" si="33"/>
        <v>2.7354586737388158</v>
      </c>
      <c r="M220" s="773">
        <f t="shared" si="35"/>
        <v>208</v>
      </c>
      <c r="N220" s="807">
        <f t="shared" ca="1" si="36"/>
        <v>1.0251058727276681</v>
      </c>
      <c r="O220" s="808">
        <f t="shared" si="42"/>
        <v>1.0049999999999999</v>
      </c>
      <c r="P220" s="811">
        <f t="shared" ca="1" si="43"/>
        <v>1.5190107088932228</v>
      </c>
    </row>
    <row r="221" spans="1:16">
      <c r="A221" s="809">
        <f t="shared" si="37"/>
        <v>41548</v>
      </c>
      <c r="B221" s="1110">
        <f ca="1">'[1]Monthly Curve Calc.'!B224</f>
        <v>496.93553403755078</v>
      </c>
      <c r="C221" s="1111">
        <f ca="1">'[1]Monthly Curve Calc.'!C224</f>
        <v>246.38695521625019</v>
      </c>
      <c r="D221" s="1111">
        <f ca="1">'[1]Monthly Curve Calc.'!D224</f>
        <v>188.32606721623736</v>
      </c>
      <c r="E221" s="1111">
        <f ca="1">'[1]Monthly Curve Calc.'!E224</f>
        <v>23.405000000000079</v>
      </c>
      <c r="F221" s="1112">
        <f ca="1">'[1]Monthly Curve Calc.'!F224</f>
        <v>2.8065635256851085</v>
      </c>
      <c r="G221" s="810">
        <f t="shared" ca="1" si="38"/>
        <v>1.0713329183093803</v>
      </c>
      <c r="H221" s="808">
        <f t="shared" ca="1" si="39"/>
        <v>1.0251058727276681</v>
      </c>
      <c r="I221" s="808">
        <f t="shared" ca="1" si="40"/>
        <v>1.0226058727276681</v>
      </c>
      <c r="J221" s="808">
        <f t="shared" ca="1" si="34"/>
        <v>1.0164124670255683</v>
      </c>
      <c r="K221" s="808">
        <f t="shared" ca="1" si="41"/>
        <v>22.629999999999995</v>
      </c>
      <c r="L221" s="811">
        <f t="shared" ca="1" si="33"/>
        <v>2.7354586737388158</v>
      </c>
      <c r="M221" s="773">
        <f t="shared" si="35"/>
        <v>209</v>
      </c>
      <c r="N221" s="807">
        <f t="shared" ca="1" si="36"/>
        <v>1.0251058727276681</v>
      </c>
      <c r="O221" s="808">
        <f t="shared" si="42"/>
        <v>1.0049999999999999</v>
      </c>
      <c r="P221" s="811">
        <f t="shared" ca="1" si="43"/>
        <v>1.5190107088932228</v>
      </c>
    </row>
    <row r="222" spans="1:16">
      <c r="A222" s="809">
        <f t="shared" si="37"/>
        <v>41579</v>
      </c>
      <c r="B222" s="1110">
        <f ca="1">'[1]Monthly Curve Calc.'!B225</f>
        <v>499.74527979516699</v>
      </c>
      <c r="C222" s="1111">
        <f ca="1">'[1]Monthly Curve Calc.'!C225</f>
        <v>246.89754480015262</v>
      </c>
      <c r="D222" s="1111">
        <f ca="1">'[1]Monthly Curve Calc.'!D225</f>
        <v>188.57115614920144</v>
      </c>
      <c r="E222" s="1111">
        <f ca="1">'[1]Monthly Curve Calc.'!E225</f>
        <v>23.455000000000087</v>
      </c>
      <c r="F222" s="1112">
        <f ca="1">'[1]Monthly Curve Calc.'!F225</f>
        <v>2.8112281989317403</v>
      </c>
      <c r="G222" s="810">
        <f t="shared" ca="1" si="38"/>
        <v>1.0713329183093803</v>
      </c>
      <c r="H222" s="808">
        <f t="shared" ca="1" si="39"/>
        <v>1.0251058727276681</v>
      </c>
      <c r="I222" s="808">
        <f t="shared" ca="1" si="40"/>
        <v>1.0226058727276681</v>
      </c>
      <c r="J222" s="808">
        <f t="shared" ca="1" si="34"/>
        <v>1.0164124670255683</v>
      </c>
      <c r="K222" s="808">
        <f t="shared" ca="1" si="41"/>
        <v>22.629999999999995</v>
      </c>
      <c r="L222" s="811">
        <f t="shared" ca="1" si="33"/>
        <v>2.7354586737388158</v>
      </c>
      <c r="M222" s="773">
        <f t="shared" si="35"/>
        <v>210</v>
      </c>
      <c r="N222" s="807">
        <f t="shared" ca="1" si="36"/>
        <v>1.0251058727276681</v>
      </c>
      <c r="O222" s="808">
        <f t="shared" si="42"/>
        <v>1.0049999999999999</v>
      </c>
      <c r="P222" s="811">
        <f t="shared" ca="1" si="43"/>
        <v>1.5190107088932228</v>
      </c>
    </row>
    <row r="223" spans="1:16">
      <c r="A223" s="809">
        <f t="shared" si="37"/>
        <v>41609</v>
      </c>
      <c r="B223" s="1110">
        <f ca="1">'[1]Monthly Curve Calc.'!B226</f>
        <v>502.57091226379839</v>
      </c>
      <c r="C223" s="1111">
        <f ca="1">'[1]Monthly Curve Calc.'!C226</f>
        <v>247.40919248278013</v>
      </c>
      <c r="D223" s="1111">
        <f ca="1">'[1]Monthly Curve Calc.'!D226</f>
        <v>188.81656404271064</v>
      </c>
      <c r="E223" s="1111">
        <f ca="1">'[1]Monthly Curve Calc.'!E226</f>
        <v>23.505000000000098</v>
      </c>
      <c r="F223" s="1112">
        <f ca="1">'[1]Monthly Curve Calc.'!F226</f>
        <v>2.8159006251389909</v>
      </c>
      <c r="G223" s="810">
        <f t="shared" ca="1" si="38"/>
        <v>1.0713329183093803</v>
      </c>
      <c r="H223" s="808">
        <f t="shared" ca="1" si="39"/>
        <v>1.0251058727276681</v>
      </c>
      <c r="I223" s="808">
        <f t="shared" ca="1" si="40"/>
        <v>1.0226058727276681</v>
      </c>
      <c r="J223" s="808">
        <f t="shared" ca="1" si="34"/>
        <v>1.0164124670255683</v>
      </c>
      <c r="K223" s="808">
        <f t="shared" ca="1" si="41"/>
        <v>22.629999999999995</v>
      </c>
      <c r="L223" s="811">
        <f t="shared" ca="1" si="33"/>
        <v>2.7354586737388158</v>
      </c>
      <c r="M223" s="773">
        <f t="shared" si="35"/>
        <v>211</v>
      </c>
      <c r="N223" s="807">
        <f t="shared" ca="1" si="36"/>
        <v>1.0251058727276681</v>
      </c>
      <c r="O223" s="808">
        <f t="shared" si="42"/>
        <v>1.0049999999999999</v>
      </c>
      <c r="P223" s="811">
        <f t="shared" ca="1" si="43"/>
        <v>1.5190107088932228</v>
      </c>
    </row>
    <row r="224" spans="1:16">
      <c r="A224" s="809">
        <f t="shared" si="37"/>
        <v>41640</v>
      </c>
      <c r="B224" s="1110">
        <f ca="1">'[1]Monthly Curve Calc.'!B227</f>
        <v>505.41252126921881</v>
      </c>
      <c r="C224" s="1111">
        <f ca="1">'[1]Monthly Curve Calc.'!C227</f>
        <v>247.92903681111099</v>
      </c>
      <c r="D224" s="1111">
        <f ca="1">'[1]Monthly Curve Calc.'!D227</f>
        <v>189.06041707083759</v>
      </c>
      <c r="E224" s="1111">
        <f ca="1">'[1]Monthly Curve Calc.'!E227</f>
        <v>23.555000000000099</v>
      </c>
      <c r="F224" s="1112">
        <f ca="1">'[1]Monthly Curve Calc.'!F227</f>
        <v>2.8205502274907825</v>
      </c>
      <c r="G224" s="810">
        <f t="shared" ca="1" si="38"/>
        <v>1.0713329183093803</v>
      </c>
      <c r="H224" s="808">
        <f t="shared" ca="1" si="39"/>
        <v>1.0251058727276681</v>
      </c>
      <c r="I224" s="808">
        <f t="shared" ca="1" si="40"/>
        <v>1.0226058727276681</v>
      </c>
      <c r="J224" s="808">
        <f t="shared" ca="1" si="34"/>
        <v>1.0157291564825255</v>
      </c>
      <c r="K224" s="808">
        <f t="shared" ca="1" si="41"/>
        <v>23.23000000000005</v>
      </c>
      <c r="L224" s="811">
        <f t="shared" ca="1" si="33"/>
        <v>2.7903438893562451</v>
      </c>
      <c r="M224" s="773">
        <f t="shared" si="35"/>
        <v>212</v>
      </c>
      <c r="N224" s="807">
        <f t="shared" ca="1" si="36"/>
        <v>1.0251058727276681</v>
      </c>
      <c r="O224" s="808">
        <f t="shared" si="42"/>
        <v>1.0049999999999999</v>
      </c>
      <c r="P224" s="811">
        <f t="shared" ca="1" si="43"/>
        <v>1.5190107088932228</v>
      </c>
    </row>
    <row r="225" spans="1:16">
      <c r="A225" s="809">
        <f t="shared" si="37"/>
        <v>41671</v>
      </c>
      <c r="B225" s="1110">
        <f ca="1">'[1]Monthly Curve Calc.'!B228</f>
        <v>508.27019714509004</v>
      </c>
      <c r="C225" s="1111">
        <f ca="1">'[1]Monthly Curve Calc.'!C228</f>
        <v>248.44997341141035</v>
      </c>
      <c r="D225" s="1111">
        <f ca="1">'[1]Monthly Curve Calc.'!D228</f>
        <v>189.30458503054709</v>
      </c>
      <c r="E225" s="1111">
        <f ca="1">'[1]Monthly Curve Calc.'!E228</f>
        <v>23.6050000000001</v>
      </c>
      <c r="F225" s="1112">
        <f ca="1">'[1]Monthly Curve Calc.'!F228</f>
        <v>2.8252075072449077</v>
      </c>
      <c r="G225" s="810">
        <f t="shared" ca="1" si="38"/>
        <v>1.0713329183093803</v>
      </c>
      <c r="H225" s="808">
        <f t="shared" ca="1" si="39"/>
        <v>1.0251058727276681</v>
      </c>
      <c r="I225" s="808">
        <f t="shared" ca="1" si="40"/>
        <v>1.0226058727276681</v>
      </c>
      <c r="J225" s="808">
        <f t="shared" ca="1" si="34"/>
        <v>1.0157291564825255</v>
      </c>
      <c r="K225" s="808">
        <f t="shared" ca="1" si="41"/>
        <v>23.23000000000005</v>
      </c>
      <c r="L225" s="811">
        <f t="shared" ref="L225:L288" ca="1" si="44">IF($A225&gt;=L$16,IF(MONTH($A225)=MONTH(L$16),AVERAGE(F213:F224),L224),L224)</f>
        <v>2.7903438893562451</v>
      </c>
      <c r="M225" s="773">
        <f t="shared" si="35"/>
        <v>213</v>
      </c>
      <c r="N225" s="807">
        <f t="shared" ca="1" si="36"/>
        <v>1.0251058727276681</v>
      </c>
      <c r="O225" s="808">
        <f t="shared" si="42"/>
        <v>1.0049999999999999</v>
      </c>
      <c r="P225" s="811">
        <f t="shared" ca="1" si="43"/>
        <v>1.5190107088932228</v>
      </c>
    </row>
    <row r="226" spans="1:16">
      <c r="A226" s="809">
        <f t="shared" si="37"/>
        <v>41699</v>
      </c>
      <c r="B226" s="1110">
        <f ca="1">'[1]Monthly Curve Calc.'!B229</f>
        <v>511.1440307358335</v>
      </c>
      <c r="C226" s="1111">
        <f ca="1">'[1]Monthly Curve Calc.'!C229</f>
        <v>248.9720045787077</v>
      </c>
      <c r="D226" s="1111">
        <f ca="1">'[1]Monthly Curve Calc.'!D229</f>
        <v>189.54906832856733</v>
      </c>
      <c r="E226" s="1111">
        <f ca="1">'[1]Monthly Curve Calc.'!E229</f>
        <v>23.655000000000101</v>
      </c>
      <c r="F226" s="1112">
        <f ca="1">'[1]Monthly Curve Calc.'!F229</f>
        <v>2.8298724770782577</v>
      </c>
      <c r="G226" s="810">
        <f t="shared" ca="1" si="38"/>
        <v>1.0713329183093803</v>
      </c>
      <c r="H226" s="808">
        <f t="shared" ca="1" si="39"/>
        <v>1.0251058727276681</v>
      </c>
      <c r="I226" s="808">
        <f t="shared" ca="1" si="40"/>
        <v>1.0226058727276681</v>
      </c>
      <c r="J226" s="808">
        <f t="shared" ca="1" si="34"/>
        <v>1.0157291564825255</v>
      </c>
      <c r="K226" s="808">
        <f t="shared" ca="1" si="41"/>
        <v>23.23000000000005</v>
      </c>
      <c r="L226" s="811">
        <f t="shared" ca="1" si="44"/>
        <v>2.7903438893562451</v>
      </c>
      <c r="M226" s="773">
        <f t="shared" si="35"/>
        <v>214</v>
      </c>
      <c r="N226" s="807">
        <f t="shared" ca="1" si="36"/>
        <v>1.0251058727276681</v>
      </c>
      <c r="O226" s="808">
        <f t="shared" si="42"/>
        <v>1.0049999999999999</v>
      </c>
      <c r="P226" s="811">
        <f t="shared" ca="1" si="43"/>
        <v>1.5190107088932228</v>
      </c>
    </row>
    <row r="227" spans="1:16">
      <c r="A227" s="809">
        <f t="shared" si="37"/>
        <v>41730</v>
      </c>
      <c r="B227" s="1110">
        <f ca="1">'[1]Monthly Curve Calc.'!B230</f>
        <v>514.03411339951822</v>
      </c>
      <c r="C227" s="1111">
        <f ca="1">'[1]Monthly Curve Calc.'!C230</f>
        <v>249.49513261285469</v>
      </c>
      <c r="D227" s="1111">
        <f ca="1">'[1]Monthly Curve Calc.'!D230</f>
        <v>189.79386737215182</v>
      </c>
      <c r="E227" s="1111">
        <f ca="1">'[1]Monthly Curve Calc.'!E230</f>
        <v>23.705000000000101</v>
      </c>
      <c r="F227" s="1112">
        <f ca="1">'[1]Monthly Curve Calc.'!F230</f>
        <v>2.8345451496886573</v>
      </c>
      <c r="G227" s="810">
        <f t="shared" ca="1" si="38"/>
        <v>1.0713329183093803</v>
      </c>
      <c r="H227" s="808">
        <f t="shared" ca="1" si="39"/>
        <v>1.0251058727276681</v>
      </c>
      <c r="I227" s="808">
        <f t="shared" ca="1" si="40"/>
        <v>1.0226058727276681</v>
      </c>
      <c r="J227" s="808">
        <f t="shared" ca="1" si="34"/>
        <v>1.0157291564825255</v>
      </c>
      <c r="K227" s="808">
        <f t="shared" ca="1" si="41"/>
        <v>23.23000000000005</v>
      </c>
      <c r="L227" s="811">
        <f t="shared" ca="1" si="44"/>
        <v>2.7903438893562451</v>
      </c>
      <c r="M227" s="773">
        <f t="shared" si="35"/>
        <v>215</v>
      </c>
      <c r="N227" s="807">
        <f t="shared" ca="1" si="36"/>
        <v>1.0251058727276681</v>
      </c>
      <c r="O227" s="808">
        <f t="shared" si="42"/>
        <v>1.0049999999999999</v>
      </c>
      <c r="P227" s="811">
        <f t="shared" ca="1" si="43"/>
        <v>1.5190107088932228</v>
      </c>
    </row>
    <row r="228" spans="1:16">
      <c r="A228" s="809">
        <f t="shared" si="37"/>
        <v>41760</v>
      </c>
      <c r="B228" s="1110">
        <f ca="1">'[1]Monthly Curve Calc.'!B231</f>
        <v>516.94053701076507</v>
      </c>
      <c r="C228" s="1111">
        <f ca="1">'[1]Monthly Curve Calc.'!C231</f>
        <v>250.01935981853532</v>
      </c>
      <c r="D228" s="1111">
        <f ca="1">'[1]Monthly Curve Calc.'!D231</f>
        <v>190.03898256907996</v>
      </c>
      <c r="E228" s="1111">
        <f ca="1">'[1]Monthly Curve Calc.'!E231</f>
        <v>23.755000000000102</v>
      </c>
      <c r="F228" s="1112">
        <f ca="1">'[1]Monthly Curve Calc.'!F231</f>
        <v>2.8392255377948965</v>
      </c>
      <c r="G228" s="810">
        <f t="shared" ca="1" si="38"/>
        <v>1.0699999999999998</v>
      </c>
      <c r="H228" s="808">
        <f t="shared" ca="1" si="39"/>
        <v>1.0252711336549196</v>
      </c>
      <c r="I228" s="808">
        <f t="shared" ca="1" si="40"/>
        <v>1.0227711336549197</v>
      </c>
      <c r="J228" s="808">
        <f t="shared" ca="1" si="34"/>
        <v>1.0157291564825255</v>
      </c>
      <c r="K228" s="808">
        <f t="shared" ca="1" si="41"/>
        <v>23.23000000000005</v>
      </c>
      <c r="L228" s="811">
        <f t="shared" ca="1" si="44"/>
        <v>2.7903438893562451</v>
      </c>
      <c r="M228" s="773">
        <f t="shared" si="35"/>
        <v>216</v>
      </c>
      <c r="N228" s="807">
        <f t="shared" ca="1" si="36"/>
        <v>1.0252711336549196</v>
      </c>
      <c r="O228" s="808">
        <f t="shared" si="42"/>
        <v>1.0049999999999999</v>
      </c>
      <c r="P228" s="811">
        <f t="shared" ca="1" si="43"/>
        <v>1.5573978315409176</v>
      </c>
    </row>
    <row r="229" spans="1:16">
      <c r="A229" s="809">
        <f t="shared" si="37"/>
        <v>41791</v>
      </c>
      <c r="B229" s="1110">
        <f ca="1">'[1]Monthly Curve Calc.'!B232</f>
        <v>519.86339396366725</v>
      </c>
      <c r="C229" s="1111">
        <f ca="1">'[1]Monthly Curve Calc.'!C232</f>
        <v>250.54468850527613</v>
      </c>
      <c r="D229" s="1111">
        <f ca="1">'[1]Monthly Curve Calc.'!D232</f>
        <v>190.28441432765783</v>
      </c>
      <c r="E229" s="1111">
        <f ca="1">'[1]Monthly Curve Calc.'!E232</f>
        <v>23.805000000000103</v>
      </c>
      <c r="F229" s="1112">
        <f ca="1">'[1]Monthly Curve Calc.'!F232</f>
        <v>2.8439136541367671</v>
      </c>
      <c r="G229" s="810">
        <f t="shared" ca="1" si="38"/>
        <v>1.0699999999999998</v>
      </c>
      <c r="H229" s="808">
        <f t="shared" ca="1" si="39"/>
        <v>1.0252711336549196</v>
      </c>
      <c r="I229" s="808">
        <f t="shared" ca="1" si="40"/>
        <v>1.0227711336549197</v>
      </c>
      <c r="J229" s="808">
        <f t="shared" ca="1" si="34"/>
        <v>1.0157291564825255</v>
      </c>
      <c r="K229" s="808">
        <f t="shared" ca="1" si="41"/>
        <v>23.23000000000005</v>
      </c>
      <c r="L229" s="811">
        <f t="shared" ca="1" si="44"/>
        <v>2.7903438893562451</v>
      </c>
      <c r="M229" s="773">
        <f t="shared" si="35"/>
        <v>217</v>
      </c>
      <c r="N229" s="807">
        <f t="shared" ca="1" si="36"/>
        <v>1.0252711336549196</v>
      </c>
      <c r="O229" s="808">
        <f t="shared" si="42"/>
        <v>1.0049999999999999</v>
      </c>
      <c r="P229" s="811">
        <f t="shared" ca="1" si="43"/>
        <v>1.5573978315409176</v>
      </c>
    </row>
    <row r="230" spans="1:16">
      <c r="A230" s="809">
        <f t="shared" ca="1" si="37"/>
        <v>41821</v>
      </c>
      <c r="B230" s="1110">
        <f ca="1">'[1]Monthly Curve Calc.'!B233</f>
        <v>522.80277717472779</v>
      </c>
      <c r="C230" s="1111">
        <f ca="1">'[1]Monthly Curve Calc.'!C233</f>
        <v>251.07112098745625</v>
      </c>
      <c r="D230" s="1111">
        <f ca="1">'[1]Monthly Curve Calc.'!D233</f>
        <v>190.53016305671883</v>
      </c>
      <c r="E230" s="1111">
        <f ca="1">'[1]Monthly Curve Calc.'!E233</f>
        <v>23.855000000000103</v>
      </c>
      <c r="F230" s="1112">
        <f ca="1">'[1]Monthly Curve Calc.'!F233</f>
        <v>2.8486095114750971</v>
      </c>
      <c r="G230" s="810">
        <f t="shared" ca="1" si="38"/>
        <v>1.0699999999999998</v>
      </c>
      <c r="H230" s="808">
        <f t="shared" ca="1" si="39"/>
        <v>1.0252711336549196</v>
      </c>
      <c r="I230" s="808">
        <f t="shared" ca="1" si="40"/>
        <v>1.0227711336549197</v>
      </c>
      <c r="J230" s="808">
        <f t="shared" ca="1" si="34"/>
        <v>1.0157291564825255</v>
      </c>
      <c r="K230" s="808">
        <f t="shared" ca="1" si="41"/>
        <v>23.23000000000005</v>
      </c>
      <c r="L230" s="811">
        <f t="shared" ca="1" si="44"/>
        <v>2.7903438893562451</v>
      </c>
      <c r="M230" s="773">
        <f t="shared" si="35"/>
        <v>218</v>
      </c>
      <c r="N230" s="807">
        <f t="shared" ca="1" si="36"/>
        <v>1.0252711336549196</v>
      </c>
      <c r="O230" s="808">
        <f t="shared" si="42"/>
        <v>1.0049999999999999</v>
      </c>
      <c r="P230" s="811">
        <f t="shared" ca="1" si="43"/>
        <v>1.5573978315409176</v>
      </c>
    </row>
    <row r="231" spans="1:16">
      <c r="A231" s="809">
        <f t="shared" ca="1" si="37"/>
        <v>41852</v>
      </c>
      <c r="B231" s="1110">
        <f ca="1">'[1]Monthly Curve Calc.'!B234</f>
        <v>525.75878008581299</v>
      </c>
      <c r="C231" s="1111">
        <f ca="1">'[1]Monthly Curve Calc.'!C234</f>
        <v>251.59865958431774</v>
      </c>
      <c r="D231" s="1111">
        <f ca="1">'[1]Monthly Curve Calc.'!D234</f>
        <v>190.77622916562436</v>
      </c>
      <c r="E231" s="1111">
        <f ca="1">'[1]Monthly Curve Calc.'!E234</f>
        <v>23.905000000000104</v>
      </c>
      <c r="F231" s="1112">
        <f ca="1">'[1]Monthly Curve Calc.'!F234</f>
        <v>2.8533131225917847</v>
      </c>
      <c r="G231" s="810">
        <f t="shared" ca="1" si="38"/>
        <v>1.0699999999999998</v>
      </c>
      <c r="H231" s="808">
        <f t="shared" ca="1" si="39"/>
        <v>1.0252711336549196</v>
      </c>
      <c r="I231" s="808">
        <f t="shared" ca="1" si="40"/>
        <v>1.0227711336549197</v>
      </c>
      <c r="J231" s="808">
        <f t="shared" ca="1" si="34"/>
        <v>1.0157291564825255</v>
      </c>
      <c r="K231" s="808">
        <f t="shared" ca="1" si="41"/>
        <v>23.23000000000005</v>
      </c>
      <c r="L231" s="811">
        <f t="shared" ca="1" si="44"/>
        <v>2.7903438893562451</v>
      </c>
      <c r="M231" s="773">
        <f t="shared" si="35"/>
        <v>219</v>
      </c>
      <c r="N231" s="807">
        <f t="shared" ca="1" si="36"/>
        <v>1.0252711336549196</v>
      </c>
      <c r="O231" s="808">
        <f t="shared" si="42"/>
        <v>1.0049999999999999</v>
      </c>
      <c r="P231" s="811">
        <f t="shared" ca="1" si="43"/>
        <v>1.5573978315409176</v>
      </c>
    </row>
    <row r="232" spans="1:16">
      <c r="A232" s="809">
        <f t="shared" ca="1" si="37"/>
        <v>41883</v>
      </c>
      <c r="B232" s="1110">
        <f ca="1">'[1]Monthly Curve Calc.'!B235</f>
        <v>528.731496667123</v>
      </c>
      <c r="C232" s="1111">
        <f ca="1">'[1]Monthly Curve Calc.'!C235</f>
        <v>252.12730661997571</v>
      </c>
      <c r="D232" s="1111">
        <f ca="1">'[1]Monthly Curve Calc.'!D235</f>
        <v>191.0226130642645</v>
      </c>
      <c r="E232" s="1111">
        <f ca="1">'[1]Monthly Curve Calc.'!E235</f>
        <v>23.955000000000105</v>
      </c>
      <c r="F232" s="1112">
        <f ca="1">'[1]Monthly Curve Calc.'!F235</f>
        <v>2.8580245002898335</v>
      </c>
      <c r="G232" s="810">
        <f t="shared" ca="1" si="38"/>
        <v>1.0699999999999998</v>
      </c>
      <c r="H232" s="808">
        <f t="shared" ca="1" si="39"/>
        <v>1.0252711336549196</v>
      </c>
      <c r="I232" s="808">
        <f t="shared" ca="1" si="40"/>
        <v>1.0227711336549197</v>
      </c>
      <c r="J232" s="808">
        <f t="shared" ca="1" si="34"/>
        <v>1.0157291564825255</v>
      </c>
      <c r="K232" s="808">
        <f t="shared" ca="1" si="41"/>
        <v>23.23000000000005</v>
      </c>
      <c r="L232" s="811">
        <f t="shared" ca="1" si="44"/>
        <v>2.7903438893562451</v>
      </c>
      <c r="M232" s="773">
        <f t="shared" si="35"/>
        <v>220</v>
      </c>
      <c r="N232" s="807">
        <f t="shared" ca="1" si="36"/>
        <v>1.0252711336549196</v>
      </c>
      <c r="O232" s="808">
        <f t="shared" si="42"/>
        <v>1.0049999999999999</v>
      </c>
      <c r="P232" s="811">
        <f t="shared" ca="1" si="43"/>
        <v>1.5573978315409176</v>
      </c>
    </row>
    <row r="233" spans="1:16">
      <c r="A233" s="809">
        <f t="shared" ca="1" si="37"/>
        <v>41913</v>
      </c>
      <c r="B233" s="1110">
        <f ca="1">'[1]Monthly Curve Calc.'!B236</f>
        <v>531.72102142017934</v>
      </c>
      <c r="C233" s="1111">
        <f ca="1">'[1]Monthly Curve Calc.'!C236</f>
        <v>252.65706442342861</v>
      </c>
      <c r="D233" s="1111">
        <f ca="1">'[1]Monthly Curve Calc.'!D236</f>
        <v>191.26931516305868</v>
      </c>
      <c r="E233" s="1111">
        <f ca="1">'[1]Monthly Curve Calc.'!E236</f>
        <v>24.005000000000106</v>
      </c>
      <c r="F233" s="1112">
        <f ca="1">'[1]Monthly Curve Calc.'!F236</f>
        <v>2.8627436573933873</v>
      </c>
      <c r="G233" s="810">
        <f t="shared" ca="1" si="38"/>
        <v>1.0699999999999998</v>
      </c>
      <c r="H233" s="808">
        <f t="shared" ca="1" si="39"/>
        <v>1.0252711336549196</v>
      </c>
      <c r="I233" s="808">
        <f t="shared" ca="1" si="40"/>
        <v>1.0227711336549197</v>
      </c>
      <c r="J233" s="808">
        <f t="shared" ca="1" si="34"/>
        <v>1.0157291564825255</v>
      </c>
      <c r="K233" s="808">
        <f t="shared" ca="1" si="41"/>
        <v>23.23000000000005</v>
      </c>
      <c r="L233" s="811">
        <f t="shared" ca="1" si="44"/>
        <v>2.7903438893562451</v>
      </c>
      <c r="M233" s="773">
        <f t="shared" si="35"/>
        <v>221</v>
      </c>
      <c r="N233" s="807">
        <f t="shared" ca="1" si="36"/>
        <v>1.0252711336549196</v>
      </c>
      <c r="O233" s="808">
        <f t="shared" si="42"/>
        <v>1.0049999999999999</v>
      </c>
      <c r="P233" s="811">
        <f t="shared" ca="1" si="43"/>
        <v>1.5573978315409176</v>
      </c>
    </row>
    <row r="234" spans="1:16">
      <c r="A234" s="809">
        <f t="shared" ca="1" si="37"/>
        <v>41944</v>
      </c>
      <c r="B234" s="1110">
        <f ca="1">'[1]Monthly Curve Calc.'!B237</f>
        <v>534.72744938082872</v>
      </c>
      <c r="C234" s="1111">
        <f ca="1">'[1]Monthly Curve Calc.'!C237</f>
        <v>253.18793532856844</v>
      </c>
      <c r="D234" s="1111">
        <f ca="1">'[1]Monthly Curve Calc.'!D237</f>
        <v>191.5163358729564</v>
      </c>
      <c r="E234" s="1111">
        <f ca="1">'[1]Monthly Curve Calc.'!E237</f>
        <v>24.055000000000106</v>
      </c>
      <c r="F234" s="1112">
        <f ca="1">'[1]Monthly Curve Calc.'!F237</f>
        <v>2.8674706067477653</v>
      </c>
      <c r="G234" s="810">
        <f t="shared" ca="1" si="38"/>
        <v>1.0699999999999998</v>
      </c>
      <c r="H234" s="808">
        <f t="shared" ca="1" si="39"/>
        <v>1.0252711336549196</v>
      </c>
      <c r="I234" s="808">
        <f t="shared" ca="1" si="40"/>
        <v>1.0227711336549197</v>
      </c>
      <c r="J234" s="808">
        <f t="shared" ca="1" si="34"/>
        <v>1.0157291564825255</v>
      </c>
      <c r="K234" s="808">
        <f t="shared" ca="1" si="41"/>
        <v>23.23000000000005</v>
      </c>
      <c r="L234" s="811">
        <f t="shared" ca="1" si="44"/>
        <v>2.7903438893562451</v>
      </c>
      <c r="M234" s="773">
        <f t="shared" si="35"/>
        <v>222</v>
      </c>
      <c r="N234" s="807">
        <f t="shared" ca="1" si="36"/>
        <v>1.0252711336549196</v>
      </c>
      <c r="O234" s="808">
        <f t="shared" si="42"/>
        <v>1.0049999999999999</v>
      </c>
      <c r="P234" s="811">
        <f t="shared" ca="1" si="43"/>
        <v>1.5573978315409176</v>
      </c>
    </row>
    <row r="235" spans="1:16">
      <c r="A235" s="809">
        <f t="shared" ca="1" si="37"/>
        <v>41974</v>
      </c>
      <c r="B235" s="1110">
        <f ca="1">'[1]Monthly Curve Calc.'!B238</f>
        <v>537.75087612226434</v>
      </c>
      <c r="C235" s="1111">
        <f ca="1">'[1]Monthly Curve Calc.'!C238</f>
        <v>253.71992167419106</v>
      </c>
      <c r="D235" s="1111">
        <f ca="1">'[1]Monthly Curve Calc.'!D238</f>
        <v>191.7636756054379</v>
      </c>
      <c r="E235" s="1111">
        <f ca="1">'[1]Monthly Curve Calc.'!E238</f>
        <v>24.105000000000103</v>
      </c>
      <c r="F235" s="1112">
        <f ca="1">'[1]Monthly Curve Calc.'!F238</f>
        <v>2.8722053612194949</v>
      </c>
      <c r="G235" s="810">
        <f t="shared" ca="1" si="38"/>
        <v>1.0699999999999998</v>
      </c>
      <c r="H235" s="808">
        <f t="shared" ca="1" si="39"/>
        <v>1.0252711336549196</v>
      </c>
      <c r="I235" s="808">
        <f t="shared" ca="1" si="40"/>
        <v>1.0227711336549197</v>
      </c>
      <c r="J235" s="808">
        <f t="shared" ca="1" si="34"/>
        <v>1.0157291564825255</v>
      </c>
      <c r="K235" s="808">
        <f t="shared" ca="1" si="41"/>
        <v>23.23000000000005</v>
      </c>
      <c r="L235" s="811">
        <f t="shared" ca="1" si="44"/>
        <v>2.7903438893562451</v>
      </c>
      <c r="M235" s="773">
        <f t="shared" si="35"/>
        <v>223</v>
      </c>
      <c r="N235" s="807">
        <f t="shared" ca="1" si="36"/>
        <v>1.0252711336549196</v>
      </c>
      <c r="O235" s="808">
        <f t="shared" si="42"/>
        <v>1.0049999999999999</v>
      </c>
      <c r="P235" s="811">
        <f t="shared" ca="1" si="43"/>
        <v>1.5573978315409176</v>
      </c>
    </row>
    <row r="236" spans="1:16">
      <c r="A236" s="809">
        <f t="shared" ca="1" si="37"/>
        <v>42005</v>
      </c>
      <c r="B236" s="1110">
        <f ca="1">'[1]Monthly Curve Calc.'!B239</f>
        <v>540.74926199610366</v>
      </c>
      <c r="C236" s="1111">
        <f ca="1">'[1]Monthly Curve Calc.'!C239</f>
        <v>254.26128855244508</v>
      </c>
      <c r="D236" s="1111">
        <f ca="1">'[1]Monthly Curve Calc.'!D239</f>
        <v>192.01704490382375</v>
      </c>
      <c r="E236" s="1111">
        <f ca="1">'[1]Monthly Curve Calc.'!E239</f>
        <v>24.155000000000104</v>
      </c>
      <c r="F236" s="1112">
        <f ca="1">'[1]Monthly Curve Calc.'!F239</f>
        <v>2.8769423701861823</v>
      </c>
      <c r="G236" s="810">
        <f t="shared" ca="1" si="38"/>
        <v>1.0699999999999998</v>
      </c>
      <c r="H236" s="808">
        <f t="shared" ca="1" si="39"/>
        <v>1.0252711336549196</v>
      </c>
      <c r="I236" s="808">
        <f t="shared" ca="1" si="40"/>
        <v>1.0227711336549197</v>
      </c>
      <c r="J236" s="808">
        <f t="shared" ca="1" si="34"/>
        <v>1.0156083317036773</v>
      </c>
      <c r="K236" s="808">
        <f t="shared" ca="1" si="41"/>
        <v>23.830000000000098</v>
      </c>
      <c r="L236" s="811">
        <f t="shared" ca="1" si="44"/>
        <v>2.8463067760959695</v>
      </c>
      <c r="M236" s="773">
        <f t="shared" si="35"/>
        <v>224</v>
      </c>
      <c r="N236" s="807">
        <f t="shared" ca="1" si="36"/>
        <v>1.0252711336549196</v>
      </c>
      <c r="O236" s="808">
        <f t="shared" si="42"/>
        <v>1.0049999999999999</v>
      </c>
      <c r="P236" s="811">
        <f t="shared" ca="1" si="43"/>
        <v>1.5573978315409176</v>
      </c>
    </row>
    <row r="237" spans="1:16">
      <c r="A237" s="809">
        <f t="shared" ca="1" si="37"/>
        <v>42036</v>
      </c>
      <c r="B237" s="1110">
        <f ca="1">'[1]Monthly Curve Calc.'!B240</f>
        <v>543.76436623944755</v>
      </c>
      <c r="C237" s="1111">
        <f ca="1">'[1]Monthly Curve Calc.'!C240</f>
        <v>254.80381055519598</v>
      </c>
      <c r="D237" s="1111">
        <f ca="1">'[1]Monthly Curve Calc.'!D240</f>
        <v>192.27074896843246</v>
      </c>
      <c r="E237" s="1111">
        <f ca="1">'[1]Monthly Curve Calc.'!E240</f>
        <v>24.205000000000105</v>
      </c>
      <c r="F237" s="1112">
        <f ca="1">'[1]Monthly Curve Calc.'!F240</f>
        <v>2.8816871917049434</v>
      </c>
      <c r="G237" s="810">
        <f t="shared" ca="1" si="38"/>
        <v>1.0699999999999998</v>
      </c>
      <c r="H237" s="808">
        <f t="shared" ca="1" si="39"/>
        <v>1.0252711336549196</v>
      </c>
      <c r="I237" s="808">
        <f t="shared" ca="1" si="40"/>
        <v>1.0227711336549197</v>
      </c>
      <c r="J237" s="808">
        <f t="shared" ref="J237:J288" ca="1" si="45">IF(AND($A237&gt;J$16,MONTH($A237)=MONTH(J$16)),D236/D224,J236)</f>
        <v>1.0156083317036773</v>
      </c>
      <c r="K237" s="808">
        <f t="shared" ca="1" si="41"/>
        <v>23.830000000000098</v>
      </c>
      <c r="L237" s="811">
        <f t="shared" ca="1" si="44"/>
        <v>2.8463067760959695</v>
      </c>
      <c r="M237" s="773">
        <f t="shared" si="35"/>
        <v>225</v>
      </c>
      <c r="N237" s="807">
        <f t="shared" ca="1" si="36"/>
        <v>1.0252711336549196</v>
      </c>
      <c r="O237" s="808">
        <f t="shared" si="42"/>
        <v>1.0049999999999999</v>
      </c>
      <c r="P237" s="811">
        <f t="shared" ca="1" si="43"/>
        <v>1.5573978315409176</v>
      </c>
    </row>
    <row r="238" spans="1:16">
      <c r="A238" s="809">
        <f t="shared" ca="1" si="37"/>
        <v>42064</v>
      </c>
      <c r="B238" s="1110">
        <f ca="1">'[1]Monthly Curve Calc.'!B241</f>
        <v>546.79628207041094</v>
      </c>
      <c r="C238" s="1111">
        <f ca="1">'[1]Monthly Curve Calc.'!C241</f>
        <v>255.34749014715422</v>
      </c>
      <c r="D238" s="1111">
        <f ca="1">'[1]Monthly Curve Calc.'!D241</f>
        <v>192.5247882415766</v>
      </c>
      <c r="E238" s="1111">
        <f ca="1">'[1]Monthly Curve Calc.'!E241</f>
        <v>24.255000000000106</v>
      </c>
      <c r="F238" s="1112">
        <f ca="1">'[1]Monthly Curve Calc.'!F241</f>
        <v>2.8864398386606953</v>
      </c>
      <c r="G238" s="810">
        <f t="shared" ca="1" si="38"/>
        <v>1.0699999999999998</v>
      </c>
      <c r="H238" s="808">
        <f t="shared" ca="1" si="39"/>
        <v>1.0252711336549196</v>
      </c>
      <c r="I238" s="808">
        <f t="shared" ca="1" si="40"/>
        <v>1.0227711336549197</v>
      </c>
      <c r="J238" s="808">
        <f t="shared" ca="1" si="45"/>
        <v>1.0156083317036773</v>
      </c>
      <c r="K238" s="808">
        <f t="shared" ca="1" si="41"/>
        <v>23.830000000000098</v>
      </c>
      <c r="L238" s="811">
        <f t="shared" ca="1" si="44"/>
        <v>2.8463067760959695</v>
      </c>
      <c r="M238" s="773">
        <f t="shared" si="35"/>
        <v>226</v>
      </c>
      <c r="N238" s="807">
        <f t="shared" ca="1" si="36"/>
        <v>1.0252711336549196</v>
      </c>
      <c r="O238" s="808">
        <f t="shared" si="42"/>
        <v>1.0049999999999999</v>
      </c>
      <c r="P238" s="811">
        <f t="shared" ca="1" si="43"/>
        <v>1.5573978315409176</v>
      </c>
    </row>
    <row r="239" spans="1:16">
      <c r="A239" s="809">
        <f t="shared" ca="1" si="37"/>
        <v>42095</v>
      </c>
      <c r="B239" s="1110">
        <f ca="1">'[1]Monthly Curve Calc.'!B242</f>
        <v>549.84510322687333</v>
      </c>
      <c r="C239" s="1111">
        <f ca="1">'[1]Monthly Curve Calc.'!C242</f>
        <v>255.89232979828924</v>
      </c>
      <c r="D239" s="1111">
        <f ca="1">'[1]Monthly Curve Calc.'!D242</f>
        <v>192.77916316615313</v>
      </c>
      <c r="E239" s="1111">
        <f ca="1">'[1]Monthly Curve Calc.'!E242</f>
        <v>24.305000000000106</v>
      </c>
      <c r="F239" s="1112">
        <f ca="1">'[1]Monthly Curve Calc.'!F242</f>
        <v>2.8912003239596067</v>
      </c>
      <c r="G239" s="810">
        <f t="shared" ca="1" si="38"/>
        <v>1.0699999999999998</v>
      </c>
      <c r="H239" s="808">
        <f t="shared" ca="1" si="39"/>
        <v>1.0252711336549196</v>
      </c>
      <c r="I239" s="808">
        <f t="shared" ca="1" si="40"/>
        <v>1.0227711336549197</v>
      </c>
      <c r="J239" s="808">
        <f t="shared" ca="1" si="45"/>
        <v>1.0156083317036773</v>
      </c>
      <c r="K239" s="808">
        <f t="shared" ca="1" si="41"/>
        <v>23.830000000000098</v>
      </c>
      <c r="L239" s="811">
        <f t="shared" ca="1" si="44"/>
        <v>2.8463067760959695</v>
      </c>
      <c r="M239" s="773">
        <f t="shared" si="35"/>
        <v>227</v>
      </c>
      <c r="N239" s="807">
        <f t="shared" ca="1" si="36"/>
        <v>1.0252711336549196</v>
      </c>
      <c r="O239" s="808">
        <f t="shared" si="42"/>
        <v>1.0049999999999999</v>
      </c>
      <c r="P239" s="811">
        <f t="shared" ca="1" si="43"/>
        <v>1.5573978315409176</v>
      </c>
    </row>
    <row r="240" spans="1:16">
      <c r="A240" s="809">
        <f t="shared" ca="1" si="37"/>
        <v>42125</v>
      </c>
      <c r="B240" s="1110">
        <f ca="1">'[1]Monthly Curve Calc.'!B243</f>
        <v>552.910923969377</v>
      </c>
      <c r="C240" s="1111">
        <f ca="1">'[1]Monthly Curve Calc.'!C243</f>
        <v>256.43833198384067</v>
      </c>
      <c r="D240" s="1111">
        <f ca="1">'[1]Monthly Curve Calc.'!D243</f>
        <v>193.03387418564421</v>
      </c>
      <c r="E240" s="1111">
        <f ca="1">'[1]Monthly Curve Calc.'!E243</f>
        <v>24.355000000000107</v>
      </c>
      <c r="F240" s="1112">
        <f ca="1">'[1]Monthly Curve Calc.'!F243</f>
        <v>2.8959686605291308</v>
      </c>
      <c r="G240" s="810">
        <f t="shared" ca="1" si="38"/>
        <v>1.0696665627705568</v>
      </c>
      <c r="H240" s="808">
        <f t="shared" ca="1" si="39"/>
        <v>1.0256405690902242</v>
      </c>
      <c r="I240" s="808">
        <f t="shared" ca="1" si="40"/>
        <v>1.0231405690902242</v>
      </c>
      <c r="J240" s="808">
        <f t="shared" ca="1" si="45"/>
        <v>1.0156083317036773</v>
      </c>
      <c r="K240" s="808">
        <f t="shared" ca="1" si="41"/>
        <v>23.830000000000098</v>
      </c>
      <c r="L240" s="811">
        <f t="shared" ca="1" si="44"/>
        <v>2.8463067760959695</v>
      </c>
      <c r="M240" s="773">
        <f t="shared" si="35"/>
        <v>228</v>
      </c>
      <c r="N240" s="807">
        <f t="shared" ca="1" si="36"/>
        <v>1.0256405690902242</v>
      </c>
      <c r="O240" s="808">
        <f t="shared" si="42"/>
        <v>1.0049999999999999</v>
      </c>
      <c r="P240" s="811">
        <f t="shared" ca="1" si="43"/>
        <v>1.5973303982415077</v>
      </c>
    </row>
    <row r="241" spans="1:16">
      <c r="A241" s="809">
        <f t="shared" ca="1" si="37"/>
        <v>42156</v>
      </c>
      <c r="B241" s="1110">
        <f ca="1">'[1]Monthly Curve Calc.'!B244</f>
        <v>555.99383908404116</v>
      </c>
      <c r="C241" s="1111">
        <f ca="1">'[1]Monthly Curve Calc.'!C244</f>
        <v>256.98549918432968</v>
      </c>
      <c r="D241" s="1111">
        <f ca="1">'[1]Monthly Curve Calc.'!D244</f>
        <v>193.28892174411794</v>
      </c>
      <c r="E241" s="1111">
        <f ca="1">'[1]Monthly Curve Calc.'!E244</f>
        <v>24.405000000000108</v>
      </c>
      <c r="F241" s="1112">
        <f ca="1">'[1]Monthly Curve Calc.'!F244</f>
        <v>2.9007448613180422</v>
      </c>
      <c r="G241" s="810">
        <f t="shared" ca="1" si="38"/>
        <v>1.0696665627705568</v>
      </c>
      <c r="H241" s="808">
        <f t="shared" ca="1" si="39"/>
        <v>1.0256405690902242</v>
      </c>
      <c r="I241" s="808">
        <f t="shared" ca="1" si="40"/>
        <v>1.0231405690902242</v>
      </c>
      <c r="J241" s="808">
        <f t="shared" ca="1" si="45"/>
        <v>1.0156083317036773</v>
      </c>
      <c r="K241" s="808">
        <f t="shared" ca="1" si="41"/>
        <v>23.830000000000098</v>
      </c>
      <c r="L241" s="811">
        <f t="shared" ca="1" si="44"/>
        <v>2.8463067760959695</v>
      </c>
      <c r="M241" s="773">
        <f t="shared" si="35"/>
        <v>229</v>
      </c>
      <c r="N241" s="807">
        <f t="shared" ca="1" si="36"/>
        <v>1.0256405690902242</v>
      </c>
      <c r="O241" s="808">
        <f t="shared" si="42"/>
        <v>1.0049999999999999</v>
      </c>
      <c r="P241" s="811">
        <f t="shared" ca="1" si="43"/>
        <v>1.5973303982415077</v>
      </c>
    </row>
    <row r="242" spans="1:16">
      <c r="A242" s="809">
        <f t="shared" ca="1" si="37"/>
        <v>42186</v>
      </c>
      <c r="B242" s="1110">
        <f ca="1">'[1]Monthly Curve Calc.'!B245</f>
        <v>559.09394388549242</v>
      </c>
      <c r="C242" s="1111">
        <f ca="1">'[1]Monthly Curve Calc.'!C245</f>
        <v>257.53383388557017</v>
      </c>
      <c r="D242" s="1111">
        <f ca="1">'[1]Monthly Curve Calc.'!D245</f>
        <v>193.54430628622919</v>
      </c>
      <c r="E242" s="1111">
        <f ca="1">'[1]Monthly Curve Calc.'!E245</f>
        <v>24.455000000000108</v>
      </c>
      <c r="F242" s="1112">
        <f ca="1">'[1]Monthly Curve Calc.'!F245</f>
        <v>2.9055289392964712</v>
      </c>
      <c r="G242" s="810">
        <f t="shared" ca="1" si="38"/>
        <v>1.0696665627705568</v>
      </c>
      <c r="H242" s="808">
        <f t="shared" ca="1" si="39"/>
        <v>1.0256405690902242</v>
      </c>
      <c r="I242" s="808">
        <f t="shared" ca="1" si="40"/>
        <v>1.0231405690902242</v>
      </c>
      <c r="J242" s="808">
        <f t="shared" ca="1" si="45"/>
        <v>1.0156083317036773</v>
      </c>
      <c r="K242" s="808">
        <f t="shared" ca="1" si="41"/>
        <v>23.830000000000098</v>
      </c>
      <c r="L242" s="811">
        <f t="shared" ca="1" si="44"/>
        <v>2.8463067760959695</v>
      </c>
      <c r="M242" s="773">
        <f t="shared" si="35"/>
        <v>230</v>
      </c>
      <c r="N242" s="807">
        <f t="shared" ca="1" si="36"/>
        <v>1.0256405690902242</v>
      </c>
      <c r="O242" s="808">
        <f t="shared" si="42"/>
        <v>1.0049999999999999</v>
      </c>
      <c r="P242" s="811">
        <f t="shared" ca="1" si="43"/>
        <v>1.5973303982415077</v>
      </c>
    </row>
    <row r="243" spans="1:16">
      <c r="A243" s="809">
        <f t="shared" ca="1" si="37"/>
        <v>42217</v>
      </c>
      <c r="B243" s="1110">
        <f ca="1">'[1]Monthly Curve Calc.'!B246</f>
        <v>562.21133421981187</v>
      </c>
      <c r="C243" s="1111">
        <f ca="1">'[1]Monthly Curve Calc.'!C246</f>
        <v>258.08333857868001</v>
      </c>
      <c r="D243" s="1111">
        <f ca="1">'[1]Monthly Curve Calc.'!D246</f>
        <v>193.80002825722028</v>
      </c>
      <c r="E243" s="1111">
        <f ca="1">'[1]Monthly Curve Calc.'!E246</f>
        <v>24.505000000000109</v>
      </c>
      <c r="F243" s="1112">
        <f ca="1">'[1]Monthly Curve Calc.'!F246</f>
        <v>2.9103209074559393</v>
      </c>
      <c r="G243" s="810">
        <f t="shared" ca="1" si="38"/>
        <v>1.0696665627705568</v>
      </c>
      <c r="H243" s="808">
        <f t="shared" ca="1" si="39"/>
        <v>1.0256405690902242</v>
      </c>
      <c r="I243" s="808">
        <f t="shared" ca="1" si="40"/>
        <v>1.0231405690902242</v>
      </c>
      <c r="J243" s="808">
        <f t="shared" ca="1" si="45"/>
        <v>1.0156083317036773</v>
      </c>
      <c r="K243" s="808">
        <f t="shared" ca="1" si="41"/>
        <v>23.830000000000098</v>
      </c>
      <c r="L243" s="811">
        <f t="shared" ca="1" si="44"/>
        <v>2.8463067760959695</v>
      </c>
      <c r="M243" s="773">
        <f t="shared" si="35"/>
        <v>231</v>
      </c>
      <c r="N243" s="807">
        <f t="shared" ca="1" si="36"/>
        <v>1.0256405690902242</v>
      </c>
      <c r="O243" s="808">
        <f t="shared" si="42"/>
        <v>1.0049999999999999</v>
      </c>
      <c r="P243" s="811">
        <f t="shared" ca="1" si="43"/>
        <v>1.5973303982415077</v>
      </c>
    </row>
    <row r="244" spans="1:16">
      <c r="A244" s="809">
        <f t="shared" ca="1" si="37"/>
        <v>42248</v>
      </c>
      <c r="B244" s="1110">
        <f ca="1">'[1]Monthly Curve Calc.'!B247</f>
        <v>565.34610646749809</v>
      </c>
      <c r="C244" s="1111">
        <f ca="1">'[1]Monthly Curve Calc.'!C247</f>
        <v>258.63401576009244</v>
      </c>
      <c r="D244" s="1111">
        <f ca="1">'[1]Monthly Curve Calc.'!D247</f>
        <v>194.05608810292182</v>
      </c>
      <c r="E244" s="1111">
        <f ca="1">'[1]Monthly Curve Calc.'!E247</f>
        <v>24.55500000000011</v>
      </c>
      <c r="F244" s="1112">
        <f ca="1">'[1]Monthly Curve Calc.'!F247</f>
        <v>2.9151207788093942</v>
      </c>
      <c r="G244" s="810">
        <f t="shared" ca="1" si="38"/>
        <v>1.0696665627705568</v>
      </c>
      <c r="H244" s="808">
        <f t="shared" ca="1" si="39"/>
        <v>1.0256405690902242</v>
      </c>
      <c r="I244" s="808">
        <f t="shared" ca="1" si="40"/>
        <v>1.0231405690902242</v>
      </c>
      <c r="J244" s="808">
        <f t="shared" ca="1" si="45"/>
        <v>1.0156083317036773</v>
      </c>
      <c r="K244" s="808">
        <f t="shared" ca="1" si="41"/>
        <v>23.830000000000098</v>
      </c>
      <c r="L244" s="811">
        <f t="shared" ca="1" si="44"/>
        <v>2.8463067760959695</v>
      </c>
      <c r="M244" s="773">
        <f t="shared" si="35"/>
        <v>232</v>
      </c>
      <c r="N244" s="807">
        <f t="shared" ca="1" si="36"/>
        <v>1.0256405690902242</v>
      </c>
      <c r="O244" s="808">
        <f t="shared" si="42"/>
        <v>1.0049999999999999</v>
      </c>
      <c r="P244" s="811">
        <f t="shared" ca="1" si="43"/>
        <v>1.5973303982415077</v>
      </c>
    </row>
    <row r="245" spans="1:16">
      <c r="A245" s="809">
        <f t="shared" ca="1" si="37"/>
        <v>42278</v>
      </c>
      <c r="B245" s="1110">
        <f ca="1">'[1]Monthly Curve Calc.'!B248</f>
        <v>568.4983575464471</v>
      </c>
      <c r="C245" s="1111">
        <f ca="1">'[1]Monthly Curve Calc.'!C248</f>
        <v>259.18586793156737</v>
      </c>
      <c r="D245" s="1111">
        <f ca="1">'[1]Monthly Curve Calc.'!D248</f>
        <v>194.31248626975349</v>
      </c>
      <c r="E245" s="1111">
        <f ca="1">'[1]Monthly Curve Calc.'!E248</f>
        <v>24.605000000000111</v>
      </c>
      <c r="F245" s="1112">
        <f ca="1">'[1]Monthly Curve Calc.'!F248</f>
        <v>2.9199285663912451</v>
      </c>
      <c r="G245" s="810">
        <f t="shared" ca="1" si="38"/>
        <v>1.0696665627705568</v>
      </c>
      <c r="H245" s="808">
        <f t="shared" ca="1" si="39"/>
        <v>1.0256405690902242</v>
      </c>
      <c r="I245" s="808">
        <f t="shared" ca="1" si="40"/>
        <v>1.0231405690902242</v>
      </c>
      <c r="J245" s="808">
        <f t="shared" ca="1" si="45"/>
        <v>1.0156083317036773</v>
      </c>
      <c r="K245" s="808">
        <f t="shared" ca="1" si="41"/>
        <v>23.830000000000098</v>
      </c>
      <c r="L245" s="811">
        <f t="shared" ca="1" si="44"/>
        <v>2.8463067760959695</v>
      </c>
      <c r="M245" s="773">
        <f t="shared" si="35"/>
        <v>233</v>
      </c>
      <c r="N245" s="807">
        <f t="shared" ca="1" si="36"/>
        <v>1.0256405690902242</v>
      </c>
      <c r="O245" s="808">
        <f t="shared" si="42"/>
        <v>1.0049999999999999</v>
      </c>
      <c r="P245" s="811">
        <f t="shared" ca="1" si="43"/>
        <v>1.5973303982415077</v>
      </c>
    </row>
    <row r="246" spans="1:16">
      <c r="A246" s="809">
        <f t="shared" ca="1" si="37"/>
        <v>42309</v>
      </c>
      <c r="B246" s="1110">
        <f ca="1">'[1]Monthly Curve Calc.'!B249</f>
        <v>571.66818491494882</v>
      </c>
      <c r="C246" s="1111">
        <f ca="1">'[1]Monthly Curve Calc.'!C249</f>
        <v>259.73889760020279</v>
      </c>
      <c r="D246" s="1111">
        <f ca="1">'[1]Monthly Curve Calc.'!D249</f>
        <v>194.56922320472484</v>
      </c>
      <c r="E246" s="1111">
        <f ca="1">'[1]Monthly Curve Calc.'!E249</f>
        <v>24.655000000000111</v>
      </c>
      <c r="F246" s="1112">
        <f ca="1">'[1]Monthly Curve Calc.'!F249</f>
        <v>2.9247442832573989</v>
      </c>
      <c r="G246" s="810">
        <f t="shared" ca="1" si="38"/>
        <v>1.0696665627705568</v>
      </c>
      <c r="H246" s="808">
        <f t="shared" ca="1" si="39"/>
        <v>1.0256405690902242</v>
      </c>
      <c r="I246" s="808">
        <f t="shared" ca="1" si="40"/>
        <v>1.0231405690902242</v>
      </c>
      <c r="J246" s="808">
        <f t="shared" ca="1" si="45"/>
        <v>1.0156083317036773</v>
      </c>
      <c r="K246" s="808">
        <f t="shared" ca="1" si="41"/>
        <v>23.830000000000098</v>
      </c>
      <c r="L246" s="811">
        <f t="shared" ca="1" si="44"/>
        <v>2.8463067760959695</v>
      </c>
      <c r="M246" s="773">
        <f t="shared" si="35"/>
        <v>234</v>
      </c>
      <c r="N246" s="807">
        <f t="shared" ca="1" si="36"/>
        <v>1.0256405690902242</v>
      </c>
      <c r="O246" s="808">
        <f t="shared" si="42"/>
        <v>1.0049999999999999</v>
      </c>
      <c r="P246" s="811">
        <f t="shared" ca="1" si="43"/>
        <v>1.5973303982415077</v>
      </c>
    </row>
    <row r="247" spans="1:16">
      <c r="A247" s="809">
        <f t="shared" ca="1" si="37"/>
        <v>42339</v>
      </c>
      <c r="B247" s="1110">
        <f ca="1">'[1]Monthly Curve Calc.'!B250</f>
        <v>574.85568657469992</v>
      </c>
      <c r="C247" s="1111">
        <f ca="1">'[1]Monthly Curve Calc.'!C250</f>
        <v>260.29310727844609</v>
      </c>
      <c r="D247" s="1111">
        <f ca="1">'[1]Monthly Curve Calc.'!D250</f>
        <v>194.82629935543594</v>
      </c>
      <c r="E247" s="1111">
        <f ca="1">'[1]Monthly Curve Calc.'!E250</f>
        <v>24.705000000000108</v>
      </c>
      <c r="F247" s="1112">
        <f ca="1">'[1]Monthly Curve Calc.'!F250</f>
        <v>2.9295679424852956</v>
      </c>
      <c r="G247" s="810">
        <f t="shared" ca="1" si="38"/>
        <v>1.0696665627705568</v>
      </c>
      <c r="H247" s="808">
        <f t="shared" ca="1" si="39"/>
        <v>1.0256405690902242</v>
      </c>
      <c r="I247" s="808">
        <f t="shared" ca="1" si="40"/>
        <v>1.0231405690902242</v>
      </c>
      <c r="J247" s="808">
        <f t="shared" ca="1" si="45"/>
        <v>1.0156083317036773</v>
      </c>
      <c r="K247" s="808">
        <f t="shared" ca="1" si="41"/>
        <v>23.830000000000098</v>
      </c>
      <c r="L247" s="811">
        <f t="shared" ca="1" si="44"/>
        <v>2.8463067760959695</v>
      </c>
      <c r="M247" s="773">
        <f t="shared" si="35"/>
        <v>235</v>
      </c>
      <c r="N247" s="807">
        <f t="shared" ca="1" si="36"/>
        <v>1.0256405690902242</v>
      </c>
      <c r="O247" s="808">
        <f t="shared" si="42"/>
        <v>1.0049999999999999</v>
      </c>
      <c r="P247" s="811">
        <f t="shared" ca="1" si="43"/>
        <v>1.5973303982415077</v>
      </c>
    </row>
    <row r="248" spans="1:16">
      <c r="A248" s="809">
        <f t="shared" ca="1" si="37"/>
        <v>42370</v>
      </c>
      <c r="B248" s="1110">
        <f ca="1">'[1]Monthly Curve Calc.'!B251</f>
        <v>578.06096107383416</v>
      </c>
      <c r="C248" s="1111">
        <f ca="1">'[1]Monthly Curve Calc.'!C251</f>
        <v>260.85926756007507</v>
      </c>
      <c r="D248" s="1111">
        <f ca="1">'[1]Monthly Curve Calc.'!D251</f>
        <v>195.09431269035287</v>
      </c>
      <c r="E248" s="1111">
        <f ca="1">'[1]Monthly Curve Calc.'!E251</f>
        <v>24.735902777777884</v>
      </c>
      <c r="F248" s="1112">
        <f ca="1">'[1]Monthly Curve Calc.'!F251</f>
        <v>2.9344084151188023</v>
      </c>
      <c r="G248" s="810">
        <f t="shared" ca="1" si="38"/>
        <v>1.0696665627705568</v>
      </c>
      <c r="H248" s="808">
        <f t="shared" ca="1" si="39"/>
        <v>1.0256405690902242</v>
      </c>
      <c r="I248" s="808">
        <f t="shared" ca="1" si="40"/>
        <v>1.0231405690902242</v>
      </c>
      <c r="J248" s="808">
        <f t="shared" ca="1" si="45"/>
        <v>1.0159708231516147</v>
      </c>
      <c r="K248" s="808">
        <f t="shared" ca="1" si="41"/>
        <v>24.430000000000106</v>
      </c>
      <c r="L248" s="811">
        <f t="shared" ca="1" si="44"/>
        <v>2.9031828886711959</v>
      </c>
      <c r="M248" s="773">
        <f t="shared" si="35"/>
        <v>236</v>
      </c>
      <c r="N248" s="807">
        <f t="shared" ca="1" si="36"/>
        <v>1.0256405690902242</v>
      </c>
      <c r="O248" s="808">
        <f t="shared" si="42"/>
        <v>1.0049999999999999</v>
      </c>
      <c r="P248" s="811">
        <f t="shared" ca="1" si="43"/>
        <v>1.5973303982415077</v>
      </c>
    </row>
    <row r="249" spans="1:16">
      <c r="A249" s="809">
        <f t="shared" ca="1" si="37"/>
        <v>42401</v>
      </c>
      <c r="B249" s="1110">
        <f ca="1">'[1]Monthly Curve Calc.'!B252</f>
        <v>581.28410750996875</v>
      </c>
      <c r="C249" s="1111">
        <f ca="1">'[1]Monthly Curve Calc.'!C252</f>
        <v>261.42665928985053</v>
      </c>
      <c r="D249" s="1111">
        <f ca="1">'[1]Monthly Curve Calc.'!D252</f>
        <v>195.36269471855161</v>
      </c>
      <c r="E249" s="1111">
        <f ca="1">'[1]Monthly Curve Calc.'!E252</f>
        <v>24.76680555555566</v>
      </c>
      <c r="F249" s="1112">
        <f ca="1">'[1]Monthly Curve Calc.'!F252</f>
        <v>2.939256885578533</v>
      </c>
      <c r="G249" s="810">
        <f t="shared" ca="1" si="38"/>
        <v>1.0696665627705568</v>
      </c>
      <c r="H249" s="808">
        <f t="shared" ca="1" si="39"/>
        <v>1.0256405690902242</v>
      </c>
      <c r="I249" s="808">
        <f t="shared" ca="1" si="40"/>
        <v>1.0231405690902242</v>
      </c>
      <c r="J249" s="808">
        <f t="shared" ca="1" si="45"/>
        <v>1.0159708231516147</v>
      </c>
      <c r="K249" s="808">
        <f t="shared" ca="1" si="41"/>
        <v>24.430000000000106</v>
      </c>
      <c r="L249" s="811">
        <f t="shared" ca="1" si="44"/>
        <v>2.9031828886711959</v>
      </c>
      <c r="M249" s="773">
        <f t="shared" si="35"/>
        <v>237</v>
      </c>
      <c r="N249" s="807">
        <f t="shared" ca="1" si="36"/>
        <v>1.0256405690902242</v>
      </c>
      <c r="O249" s="808">
        <f t="shared" si="42"/>
        <v>1.0049999999999999</v>
      </c>
      <c r="P249" s="811">
        <f t="shared" ca="1" si="43"/>
        <v>1.5973303982415077</v>
      </c>
    </row>
    <row r="250" spans="1:16">
      <c r="A250" s="809">
        <f t="shared" ca="1" si="37"/>
        <v>42430</v>
      </c>
      <c r="B250" s="1110">
        <f ca="1">'[1]Monthly Curve Calc.'!B253</f>
        <v>584.52522553326867</v>
      </c>
      <c r="C250" s="1111">
        <f ca="1">'[1]Monthly Curve Calc.'!C253</f>
        <v>261.99528514627991</v>
      </c>
      <c r="D250" s="1111">
        <f ca="1">'[1]Monthly Curve Calc.'!D253</f>
        <v>195.6314459472261</v>
      </c>
      <c r="E250" s="1111">
        <f ca="1">'[1]Monthly Curve Calc.'!E253</f>
        <v>24.797708333333436</v>
      </c>
      <c r="F250" s="1112">
        <f ca="1">'[1]Monthly Curve Calc.'!F253</f>
        <v>2.9441133670791526</v>
      </c>
      <c r="G250" s="810">
        <f t="shared" ca="1" si="38"/>
        <v>1.0696665627705568</v>
      </c>
      <c r="H250" s="808">
        <f t="shared" ca="1" si="39"/>
        <v>1.0256405690902242</v>
      </c>
      <c r="I250" s="808">
        <f t="shared" ca="1" si="40"/>
        <v>1.0231405690902242</v>
      </c>
      <c r="J250" s="808">
        <f t="shared" ca="1" si="45"/>
        <v>1.0159708231516147</v>
      </c>
      <c r="K250" s="808">
        <f t="shared" ca="1" si="41"/>
        <v>24.430000000000106</v>
      </c>
      <c r="L250" s="811">
        <f t="shared" ca="1" si="44"/>
        <v>2.9031828886711959</v>
      </c>
      <c r="M250" s="773">
        <f t="shared" si="35"/>
        <v>238</v>
      </c>
      <c r="N250" s="807">
        <f t="shared" ca="1" si="36"/>
        <v>1.0256405690902242</v>
      </c>
      <c r="O250" s="808">
        <f t="shared" si="42"/>
        <v>1.0049999999999999</v>
      </c>
      <c r="P250" s="811">
        <f t="shared" ca="1" si="43"/>
        <v>1.5973303982415077</v>
      </c>
    </row>
    <row r="251" spans="1:16">
      <c r="A251" s="809">
        <f t="shared" ca="1" si="37"/>
        <v>42461</v>
      </c>
      <c r="B251" s="1110">
        <f ca="1">'[1]Monthly Curve Calc.'!B254</f>
        <v>587.78441534952697</v>
      </c>
      <c r="C251" s="1111">
        <f ca="1">'[1]Monthly Curve Calc.'!C254</f>
        <v>262.56514781369663</v>
      </c>
      <c r="D251" s="1111">
        <f ca="1">'[1]Monthly Curve Calc.'!D254</f>
        <v>195.90056688426799</v>
      </c>
      <c r="E251" s="1111">
        <f ca="1">'[1]Monthly Curve Calc.'!E254</f>
        <v>24.828611111111211</v>
      </c>
      <c r="F251" s="1112">
        <f ca="1">'[1]Monthly Curve Calc.'!F254</f>
        <v>2.948977872857161</v>
      </c>
      <c r="G251" s="810">
        <f t="shared" ca="1" si="38"/>
        <v>1.0696665627705568</v>
      </c>
      <c r="H251" s="808">
        <f t="shared" ca="1" si="39"/>
        <v>1.0256405690902242</v>
      </c>
      <c r="I251" s="808">
        <f t="shared" ca="1" si="40"/>
        <v>1.0231405690902242</v>
      </c>
      <c r="J251" s="808">
        <f t="shared" ca="1" si="45"/>
        <v>1.0159708231516147</v>
      </c>
      <c r="K251" s="808">
        <f t="shared" ca="1" si="41"/>
        <v>24.430000000000106</v>
      </c>
      <c r="L251" s="811">
        <f t="shared" ca="1" si="44"/>
        <v>2.9031828886711959</v>
      </c>
      <c r="M251" s="773">
        <f t="shared" si="35"/>
        <v>239</v>
      </c>
      <c r="N251" s="807">
        <f t="shared" ca="1" si="36"/>
        <v>1.0256405690902242</v>
      </c>
      <c r="O251" s="808">
        <f t="shared" si="42"/>
        <v>1.0049999999999999</v>
      </c>
      <c r="P251" s="811">
        <f t="shared" ca="1" si="43"/>
        <v>1.5973303982415077</v>
      </c>
    </row>
    <row r="252" spans="1:16">
      <c r="A252" s="809">
        <f t="shared" ca="1" si="37"/>
        <v>42491</v>
      </c>
      <c r="B252" s="1110">
        <f ca="1">'[1]Monthly Curve Calc.'!B255</f>
        <v>591.06177772326339</v>
      </c>
      <c r="C252" s="1111">
        <f ca="1">'[1]Monthly Curve Calc.'!C255</f>
        <v>263.13624998227283</v>
      </c>
      <c r="D252" s="1111">
        <f ca="1">'[1]Monthly Curve Calc.'!D255</f>
        <v>196.1700580382676</v>
      </c>
      <c r="E252" s="1111">
        <f ca="1">'[1]Monthly Curve Calc.'!E255</f>
        <v>24.859513888888987</v>
      </c>
      <c r="F252" s="1112">
        <f ca="1">'[1]Monthly Curve Calc.'!F255</f>
        <v>2.9538504161709276</v>
      </c>
      <c r="G252" s="810">
        <f t="shared" ca="1" si="38"/>
        <v>1.0689999999999988</v>
      </c>
      <c r="H252" s="808">
        <f t="shared" ca="1" si="39"/>
        <v>1.0260766628709321</v>
      </c>
      <c r="I252" s="808">
        <f t="shared" ca="1" si="40"/>
        <v>1.0235766628709322</v>
      </c>
      <c r="J252" s="808">
        <f t="shared" ca="1" si="45"/>
        <v>1.0159708231516147</v>
      </c>
      <c r="K252" s="808">
        <f t="shared" ca="1" si="41"/>
        <v>24.430000000000106</v>
      </c>
      <c r="L252" s="811">
        <f t="shared" ca="1" si="44"/>
        <v>2.9031828886711959</v>
      </c>
      <c r="M252" s="773">
        <f t="shared" si="35"/>
        <v>240</v>
      </c>
      <c r="N252" s="807">
        <f t="shared" ca="1" si="36"/>
        <v>1.0260766628709321</v>
      </c>
      <c r="O252" s="808">
        <f t="shared" si="42"/>
        <v>1.0049999999999999</v>
      </c>
      <c r="P252" s="811">
        <f t="shared" ca="1" si="43"/>
        <v>1.6389834445299432</v>
      </c>
    </row>
    <row r="253" spans="1:16">
      <c r="A253" s="809">
        <f t="shared" ca="1" si="37"/>
        <v>42522</v>
      </c>
      <c r="B253" s="1110">
        <f ca="1">'[1]Monthly Curve Calc.'!B256</f>
        <v>594.3574139808394</v>
      </c>
      <c r="C253" s="1111">
        <f ca="1">'[1]Monthly Curve Calc.'!C256</f>
        <v>263.70859434803197</v>
      </c>
      <c r="D253" s="1111">
        <f ca="1">'[1]Monthly Curve Calc.'!D256</f>
        <v>196.43991991851493</v>
      </c>
      <c r="E253" s="1111">
        <f ca="1">'[1]Monthly Curve Calc.'!E256</f>
        <v>24.890416666666763</v>
      </c>
      <c r="F253" s="1112">
        <f ca="1">'[1]Monthly Curve Calc.'!F256</f>
        <v>2.9587310103007285</v>
      </c>
      <c r="G253" s="810">
        <f t="shared" ca="1" si="38"/>
        <v>1.0689999999999988</v>
      </c>
      <c r="H253" s="808">
        <f t="shared" ca="1" si="39"/>
        <v>1.0260766628709321</v>
      </c>
      <c r="I253" s="808">
        <f t="shared" ca="1" si="40"/>
        <v>1.0235766628709322</v>
      </c>
      <c r="J253" s="808">
        <f t="shared" ca="1" si="45"/>
        <v>1.0159708231516147</v>
      </c>
      <c r="K253" s="808">
        <f t="shared" ca="1" si="41"/>
        <v>24.430000000000106</v>
      </c>
      <c r="L253" s="811">
        <f t="shared" ca="1" si="44"/>
        <v>2.9031828886711959</v>
      </c>
      <c r="M253" s="773">
        <f t="shared" si="35"/>
        <v>241</v>
      </c>
      <c r="N253" s="807">
        <f t="shared" ca="1" si="36"/>
        <v>1.0260766628709321</v>
      </c>
      <c r="O253" s="808">
        <f t="shared" si="42"/>
        <v>1.0049999999999999</v>
      </c>
      <c r="P253" s="811">
        <f t="shared" ca="1" si="43"/>
        <v>1.6389834445299432</v>
      </c>
    </row>
    <row r="254" spans="1:16">
      <c r="A254" s="809">
        <f t="shared" ca="1" si="37"/>
        <v>42552</v>
      </c>
      <c r="B254" s="1110">
        <f ca="1">'[1]Monthly Curve Calc.'!B257</f>
        <v>597.6714260135908</v>
      </c>
      <c r="C254" s="1111">
        <f ca="1">'[1]Monthly Curve Calc.'!C257</f>
        <v>264.28218361286162</v>
      </c>
      <c r="D254" s="1111">
        <f ca="1">'[1]Monthly Curve Calc.'!D257</f>
        <v>196.71015303500053</v>
      </c>
      <c r="E254" s="1111">
        <f ca="1">'[1]Monthly Curve Calc.'!E257</f>
        <v>24.921319444444539</v>
      </c>
      <c r="F254" s="1112">
        <f ca="1">'[1]Monthly Curve Calc.'!F257</f>
        <v>2.9636196685487834</v>
      </c>
      <c r="G254" s="810">
        <f t="shared" ca="1" si="38"/>
        <v>1.0689999999999988</v>
      </c>
      <c r="H254" s="808">
        <f t="shared" ca="1" si="39"/>
        <v>1.0260766628709321</v>
      </c>
      <c r="I254" s="808">
        <f t="shared" ca="1" si="40"/>
        <v>1.0235766628709322</v>
      </c>
      <c r="J254" s="808">
        <f t="shared" ca="1" si="45"/>
        <v>1.0159708231516147</v>
      </c>
      <c r="K254" s="808">
        <f t="shared" ca="1" si="41"/>
        <v>24.430000000000106</v>
      </c>
      <c r="L254" s="811">
        <f t="shared" ca="1" si="44"/>
        <v>2.9031828886711959</v>
      </c>
      <c r="M254" s="773">
        <f t="shared" si="35"/>
        <v>242</v>
      </c>
      <c r="N254" s="807">
        <f t="shared" ca="1" si="36"/>
        <v>1.0260766628709321</v>
      </c>
      <c r="O254" s="808">
        <f t="shared" si="42"/>
        <v>1.0049999999999999</v>
      </c>
      <c r="P254" s="811">
        <f t="shared" ca="1" si="43"/>
        <v>1.6389834445299432</v>
      </c>
    </row>
    <row r="255" spans="1:16">
      <c r="A255" s="809">
        <f t="shared" ca="1" si="37"/>
        <v>42583</v>
      </c>
      <c r="B255" s="1110">
        <f ca="1">'[1]Monthly Curve Calc.'!B258</f>
        <v>601.00391628097827</v>
      </c>
      <c r="C255" s="1111">
        <f ca="1">'[1]Monthly Curve Calc.'!C258</f>
        <v>264.85702048452612</v>
      </c>
      <c r="D255" s="1111">
        <f ca="1">'[1]Monthly Curve Calc.'!D258</f>
        <v>196.98075789841658</v>
      </c>
      <c r="E255" s="1111">
        <f ca="1">'[1]Monthly Curve Calc.'!E258</f>
        <v>24.952222222222314</v>
      </c>
      <c r="F255" s="1112">
        <f ca="1">'[1]Monthly Curve Calc.'!F258</f>
        <v>2.9685164042392902</v>
      </c>
      <c r="G255" s="810">
        <f t="shared" ca="1" si="38"/>
        <v>1.0689999999999988</v>
      </c>
      <c r="H255" s="808">
        <f t="shared" ca="1" si="39"/>
        <v>1.0260766628709321</v>
      </c>
      <c r="I255" s="808">
        <f t="shared" ca="1" si="40"/>
        <v>1.0235766628709322</v>
      </c>
      <c r="J255" s="808">
        <f t="shared" ca="1" si="45"/>
        <v>1.0159708231516147</v>
      </c>
      <c r="K255" s="808">
        <f t="shared" ca="1" si="41"/>
        <v>24.430000000000106</v>
      </c>
      <c r="L255" s="811">
        <f t="shared" ca="1" si="44"/>
        <v>2.9031828886711959</v>
      </c>
      <c r="M255" s="773">
        <f t="shared" si="35"/>
        <v>243</v>
      </c>
      <c r="N255" s="807">
        <f t="shared" ca="1" si="36"/>
        <v>1.0260766628709321</v>
      </c>
      <c r="O255" s="808">
        <f t="shared" si="42"/>
        <v>1.0049999999999999</v>
      </c>
      <c r="P255" s="811">
        <f t="shared" ca="1" si="43"/>
        <v>1.6389834445299432</v>
      </c>
    </row>
    <row r="256" spans="1:16">
      <c r="A256" s="809">
        <f t="shared" ca="1" si="37"/>
        <v>42614</v>
      </c>
      <c r="B256" s="1110">
        <f ca="1">'[1]Monthly Curve Calc.'!B259</f>
        <v>604.35498781375486</v>
      </c>
      <c r="C256" s="1111">
        <f ca="1">'[1]Monthly Curve Calc.'!C259</f>
        <v>265.43310767667953</v>
      </c>
      <c r="D256" s="1111">
        <f ca="1">'[1]Monthly Curve Calc.'!D259</f>
        <v>197.25173502015775</v>
      </c>
      <c r="E256" s="1111">
        <f ca="1">'[1]Monthly Curve Calc.'!E259</f>
        <v>24.98312500000009</v>
      </c>
      <c r="F256" s="1112">
        <f ca="1">'[1]Monthly Curve Calc.'!F259</f>
        <v>2.9734212307184622</v>
      </c>
      <c r="G256" s="810">
        <f t="shared" ca="1" si="38"/>
        <v>1.0689999999999988</v>
      </c>
      <c r="H256" s="808">
        <f t="shared" ca="1" si="39"/>
        <v>1.0260766628709321</v>
      </c>
      <c r="I256" s="808">
        <f t="shared" ca="1" si="40"/>
        <v>1.0235766628709322</v>
      </c>
      <c r="J256" s="808">
        <f t="shared" ca="1" si="45"/>
        <v>1.0159708231516147</v>
      </c>
      <c r="K256" s="808">
        <f t="shared" ca="1" si="41"/>
        <v>24.430000000000106</v>
      </c>
      <c r="L256" s="811">
        <f t="shared" ca="1" si="44"/>
        <v>2.9031828886711959</v>
      </c>
      <c r="M256" s="773">
        <f t="shared" si="35"/>
        <v>244</v>
      </c>
      <c r="N256" s="807">
        <f t="shared" ca="1" si="36"/>
        <v>1.0260766628709321</v>
      </c>
      <c r="O256" s="808">
        <f t="shared" si="42"/>
        <v>1.0049999999999999</v>
      </c>
      <c r="P256" s="811">
        <f t="shared" ca="1" si="43"/>
        <v>1.6389834445299432</v>
      </c>
    </row>
    <row r="257" spans="1:16">
      <c r="A257" s="809">
        <f t="shared" ca="1" si="37"/>
        <v>42644</v>
      </c>
      <c r="B257" s="1110">
        <f ca="1">'[1]Monthly Curve Calc.'!B260</f>
        <v>607.7247442171514</v>
      </c>
      <c r="C257" s="1111">
        <f ca="1">'[1]Monthly Curve Calc.'!C260</f>
        <v>266.01044790887835</v>
      </c>
      <c r="D257" s="1111">
        <f ca="1">'[1]Monthly Curve Calc.'!D260</f>
        <v>197.52308491232225</v>
      </c>
      <c r="E257" s="1111">
        <f ca="1">'[1]Monthly Curve Calc.'!E260</f>
        <v>25.014027777777866</v>
      </c>
      <c r="F257" s="1112">
        <f ca="1">'[1]Monthly Curve Calc.'!F260</f>
        <v>2.9783341613545646</v>
      </c>
      <c r="G257" s="810">
        <f t="shared" ca="1" si="38"/>
        <v>1.0689999999999988</v>
      </c>
      <c r="H257" s="808">
        <f t="shared" ca="1" si="39"/>
        <v>1.0260766628709321</v>
      </c>
      <c r="I257" s="808">
        <f t="shared" ca="1" si="40"/>
        <v>1.0235766628709322</v>
      </c>
      <c r="J257" s="808">
        <f t="shared" ca="1" si="45"/>
        <v>1.0159708231516147</v>
      </c>
      <c r="K257" s="808">
        <f t="shared" ca="1" si="41"/>
        <v>24.430000000000106</v>
      </c>
      <c r="L257" s="811">
        <f t="shared" ca="1" si="44"/>
        <v>2.9031828886711959</v>
      </c>
      <c r="M257" s="773">
        <f t="shared" si="35"/>
        <v>245</v>
      </c>
      <c r="N257" s="807">
        <f t="shared" ca="1" si="36"/>
        <v>1.0260766628709321</v>
      </c>
      <c r="O257" s="808">
        <f t="shared" si="42"/>
        <v>1.0049999999999999</v>
      </c>
      <c r="P257" s="811">
        <f t="shared" ca="1" si="43"/>
        <v>1.6389834445299432</v>
      </c>
    </row>
    <row r="258" spans="1:16">
      <c r="A258" s="809">
        <f t="shared" ca="1" si="37"/>
        <v>42675</v>
      </c>
      <c r="B258" s="1110">
        <f ca="1">'[1]Monthly Curve Calc.'!B261</f>
        <v>611.11328967407974</v>
      </c>
      <c r="C258" s="1111">
        <f ca="1">'[1]Monthly Curve Calc.'!C261</f>
        <v>266.58904390659427</v>
      </c>
      <c r="D258" s="1111">
        <f ca="1">'[1]Monthly Curve Calc.'!D261</f>
        <v>197.79480808771271</v>
      </c>
      <c r="E258" s="1111">
        <f ca="1">'[1]Monthly Curve Calc.'!E261</f>
        <v>25.044930555555641</v>
      </c>
      <c r="F258" s="1112">
        <f ca="1">'[1]Monthly Curve Calc.'!F261</f>
        <v>2.9832552095379512</v>
      </c>
      <c r="G258" s="810">
        <f t="shared" ca="1" si="38"/>
        <v>1.0689999999999988</v>
      </c>
      <c r="H258" s="808">
        <f t="shared" ca="1" si="39"/>
        <v>1.0260766628709321</v>
      </c>
      <c r="I258" s="808">
        <f t="shared" ca="1" si="40"/>
        <v>1.0235766628709322</v>
      </c>
      <c r="J258" s="808">
        <f t="shared" ca="1" si="45"/>
        <v>1.0159708231516147</v>
      </c>
      <c r="K258" s="808">
        <f t="shared" ca="1" si="41"/>
        <v>24.430000000000106</v>
      </c>
      <c r="L258" s="811">
        <f t="shared" ca="1" si="44"/>
        <v>2.9031828886711959</v>
      </c>
      <c r="M258" s="773">
        <f t="shared" si="35"/>
        <v>246</v>
      </c>
      <c r="N258" s="807">
        <f t="shared" ca="1" si="36"/>
        <v>1.0260766628709321</v>
      </c>
      <c r="O258" s="808">
        <f t="shared" si="42"/>
        <v>1.0049999999999999</v>
      </c>
      <c r="P258" s="811">
        <f t="shared" ca="1" si="43"/>
        <v>1.6389834445299432</v>
      </c>
    </row>
    <row r="259" spans="1:16">
      <c r="A259" s="809">
        <f t="shared" ca="1" si="37"/>
        <v>42705</v>
      </c>
      <c r="B259" s="1110">
        <f ca="1">'[1]Monthly Curve Calc.'!B262</f>
        <v>614.52072894835374</v>
      </c>
      <c r="C259" s="1111">
        <f ca="1">'[1]Monthly Curve Calc.'!C262</f>
        <v>267.16889840122712</v>
      </c>
      <c r="D259" s="1111">
        <f ca="1">'[1]Monthly Curve Calc.'!D262</f>
        <v>198.06690505983727</v>
      </c>
      <c r="E259" s="1111">
        <f ca="1">'[1]Monthly Curve Calc.'!E262</f>
        <v>25.075833333333435</v>
      </c>
      <c r="F259" s="1112">
        <f ca="1">'[1]Monthly Curve Calc.'!F262</f>
        <v>2.9881843886810961</v>
      </c>
      <c r="G259" s="810">
        <f t="shared" ca="1" si="38"/>
        <v>1.0689999999999988</v>
      </c>
      <c r="H259" s="808">
        <f t="shared" ca="1" si="39"/>
        <v>1.0260766628709321</v>
      </c>
      <c r="I259" s="808">
        <f t="shared" ca="1" si="40"/>
        <v>1.0235766628709322</v>
      </c>
      <c r="J259" s="808">
        <f t="shared" ca="1" si="45"/>
        <v>1.0159708231516147</v>
      </c>
      <c r="K259" s="808">
        <f t="shared" ca="1" si="41"/>
        <v>24.430000000000106</v>
      </c>
      <c r="L259" s="811">
        <f t="shared" ca="1" si="44"/>
        <v>2.9031828886711959</v>
      </c>
      <c r="M259" s="773">
        <f t="shared" si="35"/>
        <v>247</v>
      </c>
      <c r="N259" s="807">
        <f t="shared" ca="1" si="36"/>
        <v>1.0260766628709321</v>
      </c>
      <c r="O259" s="808">
        <f t="shared" si="42"/>
        <v>1.0049999999999999</v>
      </c>
      <c r="P259" s="811">
        <f t="shared" ca="1" si="43"/>
        <v>1.6389834445299432</v>
      </c>
    </row>
    <row r="260" spans="1:16">
      <c r="A260" s="809">
        <f t="shared" ca="1" si="37"/>
        <v>42736</v>
      </c>
      <c r="B260" s="1110">
        <f ca="1">'[1]Monthly Curve Calc.'!B263</f>
        <v>617.89897497520235</v>
      </c>
      <c r="C260" s="1111">
        <f ca="1">'[1]Monthly Curve Calc.'!C263</f>
        <v>267.76069984545796</v>
      </c>
      <c r="D260" s="1111">
        <f ca="1">'[1]Monthly Curve Calc.'!D263</f>
        <v>198.35061804266573</v>
      </c>
      <c r="E260" s="1111">
        <f ca="1">'[1]Monthly Curve Calc.'!E263</f>
        <v>25.076180555555656</v>
      </c>
      <c r="F260" s="1112">
        <f ca="1">'[1]Monthly Curve Calc.'!F263</f>
        <v>2.9931091016997291</v>
      </c>
      <c r="G260" s="810">
        <f t="shared" ca="1" si="38"/>
        <v>1.0689999999999988</v>
      </c>
      <c r="H260" s="808">
        <f t="shared" ca="1" si="39"/>
        <v>1.0260766628709321</v>
      </c>
      <c r="I260" s="808">
        <f t="shared" ca="1" si="40"/>
        <v>1.0235766628709322</v>
      </c>
      <c r="J260" s="808">
        <f t="shared" ca="1" si="45"/>
        <v>1.0166333072851179</v>
      </c>
      <c r="K260" s="808">
        <f t="shared" ca="1" si="41"/>
        <v>24.905868055555654</v>
      </c>
      <c r="L260" s="811">
        <f t="shared" ca="1" si="44"/>
        <v>2.9612224191821213</v>
      </c>
      <c r="M260" s="773">
        <f t="shared" si="35"/>
        <v>248</v>
      </c>
      <c r="N260" s="807">
        <f t="shared" ca="1" si="36"/>
        <v>1.0260766628709321</v>
      </c>
      <c r="O260" s="808">
        <f t="shared" si="42"/>
        <v>1.0049999999999999</v>
      </c>
      <c r="P260" s="811">
        <f t="shared" ca="1" si="43"/>
        <v>1.6389834445299432</v>
      </c>
    </row>
    <row r="261" spans="1:16">
      <c r="A261" s="809">
        <f t="shared" ca="1" si="37"/>
        <v>42767</v>
      </c>
      <c r="B261" s="1110">
        <f ca="1">'[1]Monthly Curve Calc.'!B264</f>
        <v>621.29579246055562</v>
      </c>
      <c r="C261" s="1111">
        <f ca="1">'[1]Monthly Curve Calc.'!C264</f>
        <v>268.35381217936003</v>
      </c>
      <c r="D261" s="1111">
        <f ca="1">'[1]Monthly Curve Calc.'!D264</f>
        <v>198.63473741876115</v>
      </c>
      <c r="E261" s="1111">
        <f ca="1">'[1]Monthly Curve Calc.'!E264</f>
        <v>25.076527777777876</v>
      </c>
      <c r="F261" s="1112">
        <f ca="1">'[1]Monthly Curve Calc.'!F264</f>
        <v>2.9980419309505488</v>
      </c>
      <c r="G261" s="810">
        <f t="shared" ca="1" si="38"/>
        <v>1.0689999999999988</v>
      </c>
      <c r="H261" s="808">
        <f t="shared" ca="1" si="39"/>
        <v>1.0260766628709321</v>
      </c>
      <c r="I261" s="808">
        <f t="shared" ca="1" si="40"/>
        <v>1.0235766628709322</v>
      </c>
      <c r="J261" s="808">
        <f t="shared" ca="1" si="45"/>
        <v>1.0166333072851179</v>
      </c>
      <c r="K261" s="808">
        <f t="shared" ca="1" si="41"/>
        <v>24.905868055555654</v>
      </c>
      <c r="L261" s="811">
        <f t="shared" ca="1" si="44"/>
        <v>2.9612224191821213</v>
      </c>
      <c r="M261" s="773">
        <f t="shared" si="35"/>
        <v>249</v>
      </c>
      <c r="N261" s="807">
        <f t="shared" ca="1" si="36"/>
        <v>1.0260766628709321</v>
      </c>
      <c r="O261" s="808">
        <f t="shared" si="42"/>
        <v>1.0049999999999999</v>
      </c>
      <c r="P261" s="811">
        <f t="shared" ca="1" si="43"/>
        <v>1.6389834445299432</v>
      </c>
    </row>
    <row r="262" spans="1:16">
      <c r="A262" s="809">
        <f t="shared" ca="1" si="37"/>
        <v>42795</v>
      </c>
      <c r="B262" s="1110">
        <f ca="1">'[1]Monthly Curve Calc.'!B265</f>
        <v>624.71128349853825</v>
      </c>
      <c r="C262" s="1111">
        <f ca="1">'[1]Monthly Curve Calc.'!C265</f>
        <v>268.94823830666354</v>
      </c>
      <c r="D262" s="1111">
        <f ca="1">'[1]Monthly Curve Calc.'!D265</f>
        <v>198.91926377024524</v>
      </c>
      <c r="E262" s="1111">
        <f ca="1">'[1]Monthly Curve Calc.'!E265</f>
        <v>25.076875000000097</v>
      </c>
      <c r="F262" s="1112">
        <f ca="1">'[1]Monthly Curve Calc.'!F265</f>
        <v>3.0029828898096089</v>
      </c>
      <c r="G262" s="810">
        <f t="shared" ca="1" si="38"/>
        <v>1.0689999999999988</v>
      </c>
      <c r="H262" s="808">
        <f t="shared" ca="1" si="39"/>
        <v>1.0260766628709321</v>
      </c>
      <c r="I262" s="808">
        <f t="shared" ca="1" si="40"/>
        <v>1.0235766628709322</v>
      </c>
      <c r="J262" s="808">
        <f t="shared" ca="1" si="45"/>
        <v>1.0166333072851179</v>
      </c>
      <c r="K262" s="808">
        <f t="shared" ca="1" si="41"/>
        <v>24.905868055555654</v>
      </c>
      <c r="L262" s="811">
        <f t="shared" ca="1" si="44"/>
        <v>2.9612224191821213</v>
      </c>
      <c r="M262" s="773">
        <f t="shared" si="35"/>
        <v>250</v>
      </c>
      <c r="N262" s="807">
        <f t="shared" ca="1" si="36"/>
        <v>1.0260766628709321</v>
      </c>
      <c r="O262" s="808">
        <f t="shared" si="42"/>
        <v>1.0049999999999999</v>
      </c>
      <c r="P262" s="811">
        <f t="shared" ca="1" si="43"/>
        <v>1.6389834445299432</v>
      </c>
    </row>
    <row r="263" spans="1:16">
      <c r="A263" s="809">
        <f t="shared" ca="1" si="37"/>
        <v>42826</v>
      </c>
      <c r="B263" s="1110">
        <f ca="1">'[1]Monthly Curve Calc.'!B266</f>
        <v>628.1455507445238</v>
      </c>
      <c r="C263" s="1111">
        <f ca="1">'[1]Monthly Curve Calc.'!C266</f>
        <v>269.54398113753075</v>
      </c>
      <c r="D263" s="1111">
        <f ca="1">'[1]Monthly Curve Calc.'!D266</f>
        <v>199.20419768007358</v>
      </c>
      <c r="E263" s="1111">
        <f ca="1">'[1]Monthly Curve Calc.'!E266</f>
        <v>25.077222222222318</v>
      </c>
      <c r="F263" s="1112">
        <f ca="1">'[1]Monthly Curve Calc.'!F266</f>
        <v>3.0079319916750076</v>
      </c>
      <c r="G263" s="810">
        <f t="shared" ca="1" si="38"/>
        <v>1.0689999999999988</v>
      </c>
      <c r="H263" s="808">
        <f t="shared" ca="1" si="39"/>
        <v>1.0260766628709321</v>
      </c>
      <c r="I263" s="808">
        <f t="shared" ca="1" si="40"/>
        <v>1.0235766628709322</v>
      </c>
      <c r="J263" s="808">
        <f t="shared" ca="1" si="45"/>
        <v>1.0166333072851179</v>
      </c>
      <c r="K263" s="808">
        <f t="shared" ca="1" si="41"/>
        <v>24.905868055555654</v>
      </c>
      <c r="L263" s="811">
        <f t="shared" ca="1" si="44"/>
        <v>2.9612224191821213</v>
      </c>
      <c r="M263" s="773">
        <f t="shared" si="35"/>
        <v>251</v>
      </c>
      <c r="N263" s="807">
        <f t="shared" ca="1" si="36"/>
        <v>1.0260766628709321</v>
      </c>
      <c r="O263" s="808">
        <f t="shared" si="42"/>
        <v>1.0049999999999999</v>
      </c>
      <c r="P263" s="811">
        <f t="shared" ca="1" si="43"/>
        <v>1.6389834445299432</v>
      </c>
    </row>
    <row r="264" spans="1:16">
      <c r="A264" s="809">
        <f t="shared" ca="1" si="37"/>
        <v>42856</v>
      </c>
      <c r="B264" s="1110">
        <f ca="1">'[1]Monthly Curve Calc.'!B267</f>
        <v>631.59869741822001</v>
      </c>
      <c r="C264" s="1111">
        <f ca="1">'[1]Monthly Curve Calc.'!C267</f>
        <v>270.14104358857008</v>
      </c>
      <c r="D264" s="1111">
        <f ca="1">'[1]Monthly Curve Calc.'!D267</f>
        <v>199.48953973203672</v>
      </c>
      <c r="E264" s="1111">
        <f ca="1">'[1]Monthly Curve Calc.'!E267</f>
        <v>25.077569444444539</v>
      </c>
      <c r="F264" s="1112">
        <f ca="1">'[1]Monthly Curve Calc.'!F267</f>
        <v>3.012889249966924</v>
      </c>
      <c r="G264" s="810">
        <f t="shared" ca="1" si="38"/>
        <v>1.0686665626733163</v>
      </c>
      <c r="H264" s="808">
        <f t="shared" ca="1" si="39"/>
        <v>1.0265794351685471</v>
      </c>
      <c r="I264" s="808">
        <f t="shared" ca="1" si="40"/>
        <v>1.0240794351685472</v>
      </c>
      <c r="J264" s="808">
        <f t="shared" ca="1" si="45"/>
        <v>1.0166333072851179</v>
      </c>
      <c r="K264" s="808">
        <f t="shared" ca="1" si="41"/>
        <v>24.905868055555654</v>
      </c>
      <c r="L264" s="811">
        <f t="shared" ca="1" si="44"/>
        <v>2.9612224191821213</v>
      </c>
      <c r="M264" s="773">
        <f t="shared" si="35"/>
        <v>252</v>
      </c>
      <c r="N264" s="807">
        <f t="shared" ca="1" si="36"/>
        <v>1.0265794351685471</v>
      </c>
      <c r="O264" s="808">
        <f t="shared" si="42"/>
        <v>1.0049999999999999</v>
      </c>
      <c r="P264" s="811">
        <f t="shared" ca="1" si="43"/>
        <v>1.6825466987361488</v>
      </c>
    </row>
    <row r="265" spans="1:16">
      <c r="A265" s="809">
        <f t="shared" ca="1" si="37"/>
        <v>42887</v>
      </c>
      <c r="B265" s="1110">
        <f ca="1">'[1]Monthly Curve Calc.'!B268</f>
        <v>635.07082730677132</v>
      </c>
      <c r="C265" s="1111">
        <f ca="1">'[1]Monthly Curve Calc.'!C268</f>
        <v>270.73942858285056</v>
      </c>
      <c r="D265" s="1111">
        <f ca="1">'[1]Monthly Curve Calc.'!D268</f>
        <v>199.77529051076147</v>
      </c>
      <c r="E265" s="1111">
        <f ca="1">'[1]Monthly Curve Calc.'!E268</f>
        <v>25.077916666666759</v>
      </c>
      <c r="F265" s="1112">
        <f ca="1">'[1]Monthly Curve Calc.'!F268</f>
        <v>3.0178546781276538</v>
      </c>
      <c r="G265" s="810">
        <f t="shared" ca="1" si="38"/>
        <v>1.0686665626733163</v>
      </c>
      <c r="H265" s="808">
        <f t="shared" ca="1" si="39"/>
        <v>1.0265794351685471</v>
      </c>
      <c r="I265" s="808">
        <f t="shared" ca="1" si="40"/>
        <v>1.0240794351685472</v>
      </c>
      <c r="J265" s="808">
        <f t="shared" ca="1" si="45"/>
        <v>1.0166333072851179</v>
      </c>
      <c r="K265" s="808">
        <f t="shared" ca="1" si="41"/>
        <v>24.905868055555654</v>
      </c>
      <c r="L265" s="811">
        <f t="shared" ca="1" si="44"/>
        <v>2.9612224191821213</v>
      </c>
      <c r="M265" s="773">
        <f t="shared" si="35"/>
        <v>253</v>
      </c>
      <c r="N265" s="807">
        <f t="shared" ca="1" si="36"/>
        <v>1.0265794351685471</v>
      </c>
      <c r="O265" s="808">
        <f t="shared" si="42"/>
        <v>1.0049999999999999</v>
      </c>
      <c r="P265" s="811">
        <f t="shared" ca="1" si="43"/>
        <v>1.6825466987361488</v>
      </c>
    </row>
    <row r="266" spans="1:16">
      <c r="A266" s="809">
        <f t="shared" ca="1" si="37"/>
        <v>42917</v>
      </c>
      <c r="B266" s="1110">
        <f ca="1">'[1]Monthly Curve Calc.'!B269</f>
        <v>638.56204476787821</v>
      </c>
      <c r="C266" s="1111">
        <f ca="1">'[1]Monthly Curve Calc.'!C269</f>
        <v>271.33913904991601</v>
      </c>
      <c r="D266" s="1111">
        <f ca="1">'[1]Monthly Curve Calc.'!D269</f>
        <v>200.06145060171207</v>
      </c>
      <c r="E266" s="1111">
        <f ca="1">'[1]Monthly Curve Calc.'!E269</f>
        <v>25.07826388888898</v>
      </c>
      <c r="F266" s="1112">
        <f ca="1">'[1]Monthly Curve Calc.'!F269</f>
        <v>3.0228282896216476</v>
      </c>
      <c r="G266" s="810">
        <f t="shared" ca="1" si="38"/>
        <v>1.0686665626733163</v>
      </c>
      <c r="H266" s="808">
        <f t="shared" ca="1" si="39"/>
        <v>1.0265794351685471</v>
      </c>
      <c r="I266" s="808">
        <f t="shared" ca="1" si="40"/>
        <v>1.0240794351685472</v>
      </c>
      <c r="J266" s="808">
        <f t="shared" ca="1" si="45"/>
        <v>1.0166333072851179</v>
      </c>
      <c r="K266" s="808">
        <f t="shared" ca="1" si="41"/>
        <v>24.905868055555654</v>
      </c>
      <c r="L266" s="811">
        <f t="shared" ca="1" si="44"/>
        <v>2.9612224191821213</v>
      </c>
      <c r="M266" s="773">
        <f t="shared" si="35"/>
        <v>254</v>
      </c>
      <c r="N266" s="807">
        <f t="shared" ca="1" si="36"/>
        <v>1.0265794351685471</v>
      </c>
      <c r="O266" s="808">
        <f t="shared" si="42"/>
        <v>1.0049999999999999</v>
      </c>
      <c r="P266" s="811">
        <f t="shared" ca="1" si="43"/>
        <v>1.6825466987361488</v>
      </c>
    </row>
    <row r="267" spans="1:16">
      <c r="A267" s="809">
        <f t="shared" ca="1" si="37"/>
        <v>42948</v>
      </c>
      <c r="B267" s="1110">
        <f ca="1">'[1]Monthly Curve Calc.'!B270</f>
        <v>642.07245473293369</v>
      </c>
      <c r="C267" s="1111">
        <f ca="1">'[1]Monthly Curve Calc.'!C270</f>
        <v>271.94017792579945</v>
      </c>
      <c r="D267" s="1111">
        <f ca="1">'[1]Monthly Curve Calc.'!D270</f>
        <v>200.34802059119139</v>
      </c>
      <c r="E267" s="1111">
        <f ca="1">'[1]Monthly Curve Calc.'!E270</f>
        <v>25.078611111111201</v>
      </c>
      <c r="F267" s="1112">
        <f ca="1">'[1]Monthly Curve Calc.'!F270</f>
        <v>3.0278100979355456</v>
      </c>
      <c r="G267" s="810">
        <f t="shared" ca="1" si="38"/>
        <v>1.0686665626733163</v>
      </c>
      <c r="H267" s="808">
        <f t="shared" ca="1" si="39"/>
        <v>1.0265794351685471</v>
      </c>
      <c r="I267" s="808">
        <f t="shared" ca="1" si="40"/>
        <v>1.0240794351685472</v>
      </c>
      <c r="J267" s="808">
        <f t="shared" ca="1" si="45"/>
        <v>1.0166333072851179</v>
      </c>
      <c r="K267" s="808">
        <f t="shared" ca="1" si="41"/>
        <v>24.905868055555654</v>
      </c>
      <c r="L267" s="811">
        <f t="shared" ca="1" si="44"/>
        <v>2.9612224191821213</v>
      </c>
      <c r="M267" s="773">
        <f t="shared" si="35"/>
        <v>255</v>
      </c>
      <c r="N267" s="807">
        <f t="shared" ca="1" si="36"/>
        <v>1.0265794351685471</v>
      </c>
      <c r="O267" s="808">
        <f t="shared" si="42"/>
        <v>1.0049999999999999</v>
      </c>
      <c r="P267" s="811">
        <f t="shared" ca="1" si="43"/>
        <v>1.6825466987361488</v>
      </c>
    </row>
    <row r="268" spans="1:16">
      <c r="A268" s="809">
        <f t="shared" ca="1" si="37"/>
        <v>42979</v>
      </c>
      <c r="B268" s="1110">
        <f ca="1">'[1]Monthly Curve Calc.'!B271</f>
        <v>645.60216271017725</v>
      </c>
      <c r="C268" s="1111">
        <f ca="1">'[1]Monthly Curve Calc.'!C271</f>
        <v>272.54254815303744</v>
      </c>
      <c r="D268" s="1111">
        <f ca="1">'[1]Monthly Curve Calc.'!D271</f>
        <v>200.63500106634208</v>
      </c>
      <c r="E268" s="1111">
        <f ca="1">'[1]Monthly Curve Calc.'!E271</f>
        <v>25.078958333333421</v>
      </c>
      <c r="F268" s="1112">
        <f ca="1">'[1]Monthly Curve Calc.'!F271</f>
        <v>3.0328001165782146</v>
      </c>
      <c r="G268" s="810">
        <f t="shared" ca="1" si="38"/>
        <v>1.0686665626733163</v>
      </c>
      <c r="H268" s="808">
        <f t="shared" ca="1" si="39"/>
        <v>1.0265794351685471</v>
      </c>
      <c r="I268" s="808">
        <f t="shared" ca="1" si="40"/>
        <v>1.0240794351685472</v>
      </c>
      <c r="J268" s="808">
        <f t="shared" ca="1" si="45"/>
        <v>1.0166333072851179</v>
      </c>
      <c r="K268" s="808">
        <f t="shared" ca="1" si="41"/>
        <v>24.905868055555654</v>
      </c>
      <c r="L268" s="811">
        <f t="shared" ca="1" si="44"/>
        <v>2.9612224191821213</v>
      </c>
      <c r="M268" s="773">
        <f t="shared" si="35"/>
        <v>256</v>
      </c>
      <c r="N268" s="807">
        <f t="shared" ca="1" si="36"/>
        <v>1.0265794351685471</v>
      </c>
      <c r="O268" s="808">
        <f t="shared" si="42"/>
        <v>1.0049999999999999</v>
      </c>
      <c r="P268" s="811">
        <f t="shared" ca="1" si="43"/>
        <v>1.6825466987361488</v>
      </c>
    </row>
    <row r="269" spans="1:16">
      <c r="A269" s="809">
        <f t="shared" ca="1" si="37"/>
        <v>43009</v>
      </c>
      <c r="B269" s="1110">
        <f ca="1">'[1]Monthly Curve Calc.'!B272</f>
        <v>649.15127478786576</v>
      </c>
      <c r="C269" s="1111">
        <f ca="1">'[1]Monthly Curve Calc.'!C272</f>
        <v>273.1462526806846</v>
      </c>
      <c r="D269" s="1111">
        <f ca="1">'[1]Monthly Curve Calc.'!D272</f>
        <v>200.92239261514791</v>
      </c>
      <c r="E269" s="1111">
        <f ca="1">'[1]Monthly Curve Calc.'!E272</f>
        <v>25.079305555555642</v>
      </c>
      <c r="F269" s="1112">
        <f ca="1">'[1]Monthly Curve Calc.'!F272</f>
        <v>3.0377983590807851</v>
      </c>
      <c r="G269" s="810">
        <f t="shared" ca="1" si="38"/>
        <v>1.0686665626733163</v>
      </c>
      <c r="H269" s="808">
        <f t="shared" ca="1" si="39"/>
        <v>1.0265794351685471</v>
      </c>
      <c r="I269" s="808">
        <f t="shared" ca="1" si="40"/>
        <v>1.0240794351685472</v>
      </c>
      <c r="J269" s="808">
        <f t="shared" ca="1" si="45"/>
        <v>1.0166333072851179</v>
      </c>
      <c r="K269" s="808">
        <f t="shared" ca="1" si="41"/>
        <v>24.905868055555654</v>
      </c>
      <c r="L269" s="811">
        <f t="shared" ca="1" si="44"/>
        <v>2.9612224191821213</v>
      </c>
      <c r="M269" s="773">
        <f t="shared" ref="M269:M288" si="46">M268+1</f>
        <v>257</v>
      </c>
      <c r="N269" s="807">
        <f t="shared" ca="1" si="36"/>
        <v>1.0265794351685471</v>
      </c>
      <c r="O269" s="808">
        <f t="shared" si="42"/>
        <v>1.0049999999999999</v>
      </c>
      <c r="P269" s="811">
        <f t="shared" ca="1" si="43"/>
        <v>1.6825466987361488</v>
      </c>
    </row>
    <row r="270" spans="1:16">
      <c r="A270" s="809">
        <f t="shared" ca="1" si="37"/>
        <v>43040</v>
      </c>
      <c r="B270" s="1110">
        <f ca="1">'[1]Monthly Curve Calc.'!B273</f>
        <v>652.7198976374624</v>
      </c>
      <c r="C270" s="1111">
        <f ca="1">'[1]Monthly Curve Calc.'!C273</f>
        <v>273.75129446432777</v>
      </c>
      <c r="D270" s="1111">
        <f ca="1">'[1]Monthly Curve Calc.'!D273</f>
        <v>201.21019582643478</v>
      </c>
      <c r="E270" s="1111">
        <f ca="1">'[1]Monthly Curve Calc.'!E273</f>
        <v>25.079652777777863</v>
      </c>
      <c r="F270" s="1112">
        <f ca="1">'[1]Monthly Curve Calc.'!F273</f>
        <v>3.042804838996688</v>
      </c>
      <c r="G270" s="810">
        <f t="shared" ca="1" si="38"/>
        <v>1.0686665626733163</v>
      </c>
      <c r="H270" s="808">
        <f t="shared" ca="1" si="39"/>
        <v>1.0265794351685471</v>
      </c>
      <c r="I270" s="808">
        <f t="shared" ca="1" si="40"/>
        <v>1.0240794351685472</v>
      </c>
      <c r="J270" s="808">
        <f t="shared" ca="1" si="45"/>
        <v>1.0166333072851179</v>
      </c>
      <c r="K270" s="808">
        <f t="shared" ca="1" si="41"/>
        <v>24.905868055555654</v>
      </c>
      <c r="L270" s="811">
        <f t="shared" ca="1" si="44"/>
        <v>2.9612224191821213</v>
      </c>
      <c r="M270" s="773">
        <f t="shared" si="46"/>
        <v>258</v>
      </c>
      <c r="N270" s="807">
        <f t="shared" ca="1" si="36"/>
        <v>1.0265794351685471</v>
      </c>
      <c r="O270" s="808">
        <f t="shared" si="42"/>
        <v>1.0049999999999999</v>
      </c>
      <c r="P270" s="811">
        <f t="shared" ca="1" si="43"/>
        <v>1.6825466987361488</v>
      </c>
    </row>
    <row r="271" spans="1:16">
      <c r="A271" s="809">
        <f t="shared" ca="1" si="37"/>
        <v>43070</v>
      </c>
      <c r="B271" s="1110">
        <f ca="1">'[1]Monthly Curve Calc.'!B274</f>
        <v>656.30813851684229</v>
      </c>
      <c r="C271" s="1111">
        <f ca="1">'[1]Monthly Curve Calc.'!C274</f>
        <v>274.35767646610088</v>
      </c>
      <c r="D271" s="1111">
        <f ca="1">'[1]Monthly Curve Calc.'!D274</f>
        <v>201.49841128987208</v>
      </c>
      <c r="E271" s="1111">
        <f ca="1">'[1]Monthly Curve Calc.'!E274</f>
        <v>25.080000000000101</v>
      </c>
      <c r="F271" s="1112">
        <f ca="1">'[1]Monthly Curve Calc.'!F274</f>
        <v>3.0478195699016921</v>
      </c>
      <c r="G271" s="810">
        <f t="shared" ca="1" si="38"/>
        <v>1.0686665626733163</v>
      </c>
      <c r="H271" s="808">
        <f t="shared" ca="1" si="39"/>
        <v>1.0265794351685471</v>
      </c>
      <c r="I271" s="808">
        <f t="shared" ca="1" si="40"/>
        <v>1.0240794351685472</v>
      </c>
      <c r="J271" s="808">
        <f t="shared" ca="1" si="45"/>
        <v>1.0166333072851179</v>
      </c>
      <c r="K271" s="808">
        <f t="shared" ca="1" si="41"/>
        <v>24.905868055555654</v>
      </c>
      <c r="L271" s="811">
        <f t="shared" ca="1" si="44"/>
        <v>2.9612224191821213</v>
      </c>
      <c r="M271" s="773">
        <f t="shared" si="46"/>
        <v>259</v>
      </c>
      <c r="N271" s="807">
        <f t="shared" ca="1" si="36"/>
        <v>1.0265794351685471</v>
      </c>
      <c r="O271" s="808">
        <f t="shared" si="42"/>
        <v>1.0049999999999999</v>
      </c>
      <c r="P271" s="811">
        <f t="shared" ca="1" si="43"/>
        <v>1.6825466987361488</v>
      </c>
    </row>
    <row r="272" spans="1:16">
      <c r="A272" s="809">
        <f t="shared" ca="1" si="37"/>
        <v>43101</v>
      </c>
      <c r="B272" s="1110">
        <f ca="1">'[1]Monthly Curve Calc.'!B275</f>
        <v>659.91610527351668</v>
      </c>
      <c r="C272" s="1111">
        <f ca="1">'[1]Monthly Curve Calc.'!C275</f>
        <v>274.97311717065253</v>
      </c>
      <c r="D272" s="1111">
        <f ca="1">'[1]Monthly Curve Calc.'!D275</f>
        <v>201.79963849532729</v>
      </c>
      <c r="E272" s="1111">
        <f ca="1">'[1]Monthly Curve Calc.'!E275</f>
        <v>25.080000000000101</v>
      </c>
      <c r="F272" s="1112">
        <f ca="1">'[1]Monthly Curve Calc.'!F275</f>
        <v>3.0528509811596467</v>
      </c>
      <c r="G272" s="810">
        <f t="shared" ca="1" si="38"/>
        <v>1.0686665626733163</v>
      </c>
      <c r="H272" s="808">
        <f t="shared" ca="1" si="39"/>
        <v>1.0265794351685471</v>
      </c>
      <c r="I272" s="808">
        <f t="shared" ca="1" si="40"/>
        <v>1.0240794351685472</v>
      </c>
      <c r="J272" s="808">
        <f t="shared" ca="1" si="45"/>
        <v>1.0173249853578423</v>
      </c>
      <c r="K272" s="808">
        <f t="shared" ca="1" si="41"/>
        <v>25.078090277777871</v>
      </c>
      <c r="L272" s="811">
        <f t="shared" ca="1" si="44"/>
        <v>3.0203892595286703</v>
      </c>
      <c r="M272" s="773">
        <f t="shared" si="46"/>
        <v>260</v>
      </c>
      <c r="N272" s="807">
        <f t="shared" ca="1" si="36"/>
        <v>1.0265794351685471</v>
      </c>
      <c r="O272" s="808">
        <f t="shared" si="42"/>
        <v>1.0049999999999999</v>
      </c>
      <c r="P272" s="811">
        <f t="shared" ca="1" si="43"/>
        <v>1.6825466987361488</v>
      </c>
    </row>
    <row r="273" spans="1:16">
      <c r="A273" s="809">
        <f t="shared" ca="1" si="37"/>
        <v>43132</v>
      </c>
      <c r="B273" s="1110">
        <f ca="1">'[1]Monthly Curve Calc.'!B276</f>
        <v>663.54390634787399</v>
      </c>
      <c r="C273" s="1111">
        <f ca="1">'[1]Monthly Curve Calc.'!C276</f>
        <v>275.58993843530254</v>
      </c>
      <c r="D273" s="1111">
        <f ca="1">'[1]Monthly Curve Calc.'!D276</f>
        <v>202.10131601614094</v>
      </c>
      <c r="E273" s="1111">
        <f ca="1">'[1]Monthly Curve Calc.'!E276</f>
        <v>25.080000000000101</v>
      </c>
      <c r="F273" s="1112">
        <f ca="1">'[1]Monthly Curve Calc.'!F276</f>
        <v>3.057890698388039</v>
      </c>
      <c r="G273" s="810">
        <f t="shared" ca="1" si="38"/>
        <v>1.0686665626733163</v>
      </c>
      <c r="H273" s="808">
        <f t="shared" ca="1" si="39"/>
        <v>1.0265794351685471</v>
      </c>
      <c r="I273" s="808">
        <f t="shared" ca="1" si="40"/>
        <v>1.0240794351685472</v>
      </c>
      <c r="J273" s="808">
        <f t="shared" ca="1" si="45"/>
        <v>1.0173249853578423</v>
      </c>
      <c r="K273" s="808">
        <f t="shared" ca="1" si="41"/>
        <v>25.078090277777871</v>
      </c>
      <c r="L273" s="811">
        <f t="shared" ca="1" si="44"/>
        <v>3.0203892595286703</v>
      </c>
      <c r="M273" s="773">
        <f t="shared" si="46"/>
        <v>261</v>
      </c>
      <c r="N273" s="807">
        <f t="shared" ref="N273:N288" ca="1" si="47">HLOOKUP(N$14,Dec_Change,$M273)</f>
        <v>1.0265794351685471</v>
      </c>
      <c r="O273" s="808">
        <f t="shared" si="42"/>
        <v>1.0049999999999999</v>
      </c>
      <c r="P273" s="811">
        <f t="shared" ca="1" si="43"/>
        <v>1.6825466987361488</v>
      </c>
    </row>
    <row r="274" spans="1:16">
      <c r="A274" s="809">
        <f t="shared" ca="1" si="37"/>
        <v>43160</v>
      </c>
      <c r="B274" s="1110">
        <f ca="1">'[1]Monthly Curve Calc.'!B277</f>
        <v>667.19165077643947</v>
      </c>
      <c r="C274" s="1111">
        <f ca="1">'[1]Monthly Curve Calc.'!C277</f>
        <v>276.20814335693126</v>
      </c>
      <c r="D274" s="1111">
        <f ca="1">'[1]Monthly Curve Calc.'!D277</f>
        <v>202.40344452550562</v>
      </c>
      <c r="E274" s="1111">
        <f ca="1">'[1]Monthly Curve Calc.'!E277</f>
        <v>25.080000000000101</v>
      </c>
      <c r="F274" s="1112">
        <f ca="1">'[1]Monthly Curve Calc.'!F277</f>
        <v>3.0629387352985575</v>
      </c>
      <c r="G274" s="810">
        <f t="shared" ca="1" si="38"/>
        <v>1.0686665626733163</v>
      </c>
      <c r="H274" s="808">
        <f t="shared" ca="1" si="39"/>
        <v>1.0265794351685471</v>
      </c>
      <c r="I274" s="808">
        <f t="shared" ca="1" si="40"/>
        <v>1.0240794351685472</v>
      </c>
      <c r="J274" s="808">
        <f t="shared" ca="1" si="45"/>
        <v>1.0173249853578423</v>
      </c>
      <c r="K274" s="808">
        <f t="shared" ca="1" si="41"/>
        <v>25.078090277777871</v>
      </c>
      <c r="L274" s="811">
        <f t="shared" ca="1" si="44"/>
        <v>3.0203892595286703</v>
      </c>
      <c r="M274" s="773">
        <f t="shared" si="46"/>
        <v>262</v>
      </c>
      <c r="N274" s="807">
        <f t="shared" ca="1" si="47"/>
        <v>1.0265794351685471</v>
      </c>
      <c r="O274" s="808">
        <f t="shared" si="42"/>
        <v>1.0049999999999999</v>
      </c>
      <c r="P274" s="811">
        <f t="shared" ca="1" si="43"/>
        <v>1.6825466987361488</v>
      </c>
    </row>
    <row r="275" spans="1:16">
      <c r="A275" s="809">
        <f t="shared" ca="1" si="37"/>
        <v>43191</v>
      </c>
      <c r="B275" s="1110">
        <f ca="1">'[1]Monthly Curve Calc.'!B278</f>
        <v>670.85944819515203</v>
      </c>
      <c r="C275" s="1111">
        <f ca="1">'[1]Monthly Curve Calc.'!C278</f>
        <v>276.8277350393659</v>
      </c>
      <c r="D275" s="1111">
        <f ca="1">'[1]Monthly Curve Calc.'!D278</f>
        <v>202.70602469762031</v>
      </c>
      <c r="E275" s="1111">
        <f ca="1">'[1]Monthly Curve Calc.'!E278</f>
        <v>25.080000000000101</v>
      </c>
      <c r="F275" s="1112">
        <f ca="1">'[1]Monthly Curve Calc.'!F278</f>
        <v>3.0679951056255268</v>
      </c>
      <c r="G275" s="810">
        <f t="shared" ca="1" si="38"/>
        <v>1.0686665626733163</v>
      </c>
      <c r="H275" s="808">
        <f t="shared" ca="1" si="39"/>
        <v>1.0265794351685471</v>
      </c>
      <c r="I275" s="808">
        <f t="shared" ca="1" si="40"/>
        <v>1.0240794351685472</v>
      </c>
      <c r="J275" s="808">
        <f t="shared" ca="1" si="45"/>
        <v>1.0173249853578423</v>
      </c>
      <c r="K275" s="808">
        <f t="shared" ca="1" si="41"/>
        <v>25.078090277777871</v>
      </c>
      <c r="L275" s="811">
        <f t="shared" ca="1" si="44"/>
        <v>3.0203892595286703</v>
      </c>
      <c r="M275" s="773">
        <f t="shared" si="46"/>
        <v>263</v>
      </c>
      <c r="N275" s="807">
        <f t="shared" ca="1" si="47"/>
        <v>1.0265794351685471</v>
      </c>
      <c r="O275" s="808">
        <f t="shared" si="42"/>
        <v>1.0049999999999999</v>
      </c>
      <c r="P275" s="811">
        <f t="shared" ca="1" si="43"/>
        <v>1.6825466987361488</v>
      </c>
    </row>
    <row r="276" spans="1:16">
      <c r="A276" s="809">
        <f t="shared" ref="A276:A288" ca="1" si="48">EDATE(A275,1)</f>
        <v>43221</v>
      </c>
      <c r="B276" s="1110">
        <f ca="1">'[1]Monthly Curve Calc.'!B279</f>
        <v>674.54740884265959</v>
      </c>
      <c r="C276" s="1111">
        <f ca="1">'[1]Monthly Curve Calc.'!C279</f>
        <v>277.44871659339623</v>
      </c>
      <c r="D276" s="1111">
        <f ca="1">'[1]Monthly Curve Calc.'!D279</f>
        <v>203.00905720769185</v>
      </c>
      <c r="E276" s="1111">
        <f ca="1">'[1]Monthly Curve Calc.'!E279</f>
        <v>25.080000000000101</v>
      </c>
      <c r="F276" s="1112">
        <f ca="1">'[1]Monthly Curve Calc.'!F279</f>
        <v>3.0730598231259436</v>
      </c>
      <c r="G276" s="810">
        <f t="shared" ca="1" si="38"/>
        <v>1.0680000000000009</v>
      </c>
      <c r="H276" s="808">
        <f t="shared" ca="1" si="39"/>
        <v>1.0270225062013858</v>
      </c>
      <c r="I276" s="808">
        <f t="shared" ca="1" si="40"/>
        <v>1.0245225062013859</v>
      </c>
      <c r="J276" s="808">
        <f t="shared" ca="1" si="45"/>
        <v>1.0173249853578423</v>
      </c>
      <c r="K276" s="808">
        <f t="shared" ca="1" si="41"/>
        <v>25.078090277777871</v>
      </c>
      <c r="L276" s="811">
        <f t="shared" ca="1" si="44"/>
        <v>3.0203892595286703</v>
      </c>
      <c r="M276" s="773">
        <f t="shared" si="46"/>
        <v>264</v>
      </c>
      <c r="N276" s="807">
        <f t="shared" ca="1" si="47"/>
        <v>1.0270225062013858</v>
      </c>
      <c r="O276" s="808">
        <f t="shared" si="42"/>
        <v>1.0049999999999999</v>
      </c>
      <c r="P276" s="811">
        <f t="shared" ca="1" si="43"/>
        <v>1.7280133273368676</v>
      </c>
    </row>
    <row r="277" spans="1:16">
      <c r="A277" s="809">
        <f t="shared" ca="1" si="48"/>
        <v>43252</v>
      </c>
      <c r="B277" s="1110">
        <f ca="1">'[1]Monthly Curve Calc.'!B280</f>
        <v>678.25564356363236</v>
      </c>
      <c r="C277" s="1111">
        <f ca="1">'[1]Monthly Curve Calc.'!C280</f>
        <v>278.07109113679007</v>
      </c>
      <c r="D277" s="1111">
        <f ca="1">'[1]Monthly Curve Calc.'!D280</f>
        <v>203.3125427319365</v>
      </c>
      <c r="E277" s="1111">
        <f ca="1">'[1]Monthly Curve Calc.'!E280</f>
        <v>25.080000000000101</v>
      </c>
      <c r="F277" s="1112">
        <f ca="1">'[1]Monthly Curve Calc.'!F280</f>
        <v>3.078132901579516</v>
      </c>
      <c r="G277" s="810">
        <f t="shared" ref="G277:G288" ca="1" si="49">IF(AND($A277&gt;G$16,MONTH($A277)=MONTH(G$16)),B276/B264,G276)</f>
        <v>1.0680000000000009</v>
      </c>
      <c r="H277" s="808">
        <f t="shared" ref="H277:H288" ca="1" si="50">IF(AND($A277&gt;H$16,MONTH($A277)=MONTH(H$16)),C276/C264,H276)</f>
        <v>1.0270225062013858</v>
      </c>
      <c r="I277" s="808">
        <f t="shared" ref="I277:I288" ca="1" si="51">IF(AND($A277&gt;I$16,MONTH($A277)=MONTH(I$16)),C276/C264-I$18,I276)</f>
        <v>1.0245225062013859</v>
      </c>
      <c r="J277" s="808">
        <f t="shared" ca="1" si="45"/>
        <v>1.0173249853578423</v>
      </c>
      <c r="K277" s="808">
        <f t="shared" ref="K277:K288" ca="1" si="52">IF($A277&gt;=K$16,IF(MONTH($A277)=MONTH(K$16),AVERAGE(E265:E276),K276),K276)</f>
        <v>25.078090277777871</v>
      </c>
      <c r="L277" s="811">
        <f t="shared" ca="1" si="44"/>
        <v>3.0203892595286703</v>
      </c>
      <c r="M277" s="773">
        <f t="shared" si="46"/>
        <v>265</v>
      </c>
      <c r="N277" s="807">
        <f t="shared" ca="1" si="47"/>
        <v>1.0270225062013858</v>
      </c>
      <c r="O277" s="808">
        <f t="shared" ref="O277:O288" si="53">O276</f>
        <v>1.0049999999999999</v>
      </c>
      <c r="P277" s="811">
        <f t="shared" ref="P277:P288" ca="1" si="54">IF(AND($A277&gt;=P$16,MONTH($A277)=MONTH(P$16)),MAX(N277,O277)*P276,P276)</f>
        <v>1.7280133273368676</v>
      </c>
    </row>
    <row r="278" spans="1:16">
      <c r="A278" s="809">
        <f t="shared" ca="1" si="48"/>
        <v>43282</v>
      </c>
      <c r="B278" s="1110">
        <f ca="1">'[1]Monthly Curve Calc.'!B281</f>
        <v>681.98426381209447</v>
      </c>
      <c r="C278" s="1111">
        <f ca="1">'[1]Monthly Curve Calc.'!C281</f>
        <v>278.69486179430913</v>
      </c>
      <c r="D278" s="1111">
        <f ca="1">'[1]Monthly Curve Calc.'!D281</f>
        <v>203.61648194758138</v>
      </c>
      <c r="E278" s="1111">
        <f ca="1">'[1]Monthly Curve Calc.'!E281</f>
        <v>25.080000000000101</v>
      </c>
      <c r="F278" s="1112">
        <f ca="1">'[1]Monthly Curve Calc.'!F281</f>
        <v>3.0832143547886992</v>
      </c>
      <c r="G278" s="810">
        <f t="shared" ca="1" si="49"/>
        <v>1.0680000000000009</v>
      </c>
      <c r="H278" s="808">
        <f t="shared" ca="1" si="50"/>
        <v>1.0270225062013858</v>
      </c>
      <c r="I278" s="808">
        <f t="shared" ca="1" si="51"/>
        <v>1.0245225062013859</v>
      </c>
      <c r="J278" s="808">
        <f t="shared" ca="1" si="45"/>
        <v>1.0173249853578423</v>
      </c>
      <c r="K278" s="808">
        <f t="shared" ca="1" si="52"/>
        <v>25.078090277777871</v>
      </c>
      <c r="L278" s="811">
        <f t="shared" ca="1" si="44"/>
        <v>3.0203892595286703</v>
      </c>
      <c r="M278" s="773">
        <f t="shared" si="46"/>
        <v>266</v>
      </c>
      <c r="N278" s="807">
        <f t="shared" ca="1" si="47"/>
        <v>1.0270225062013858</v>
      </c>
      <c r="O278" s="808">
        <f t="shared" si="53"/>
        <v>1.0049999999999999</v>
      </c>
      <c r="P278" s="811">
        <f t="shared" ca="1" si="54"/>
        <v>1.7280133273368676</v>
      </c>
    </row>
    <row r="279" spans="1:16">
      <c r="A279" s="809">
        <f t="shared" ca="1" si="48"/>
        <v>43313</v>
      </c>
      <c r="B279" s="1110">
        <f ca="1">'[1]Monthly Curve Calc.'!B282</f>
        <v>685.73338165477367</v>
      </c>
      <c r="C279" s="1111">
        <f ca="1">'[1]Monthly Curve Calc.'!C282</f>
        <v>279.32003169772463</v>
      </c>
      <c r="D279" s="1111">
        <f ca="1">'[1]Monthly Curve Calc.'!D282</f>
        <v>203.92087553286606</v>
      </c>
      <c r="E279" s="1111">
        <f ca="1">'[1]Monthly Curve Calc.'!E282</f>
        <v>25.080000000000101</v>
      </c>
      <c r="F279" s="1112">
        <f ca="1">'[1]Monthly Curve Calc.'!F282</f>
        <v>3.0883041965787341</v>
      </c>
      <c r="G279" s="810">
        <f t="shared" ca="1" si="49"/>
        <v>1.0680000000000009</v>
      </c>
      <c r="H279" s="808">
        <f t="shared" ca="1" si="50"/>
        <v>1.0270225062013858</v>
      </c>
      <c r="I279" s="808">
        <f t="shared" ca="1" si="51"/>
        <v>1.0245225062013859</v>
      </c>
      <c r="J279" s="808">
        <f t="shared" ca="1" si="45"/>
        <v>1.0173249853578423</v>
      </c>
      <c r="K279" s="808">
        <f t="shared" ca="1" si="52"/>
        <v>25.078090277777871</v>
      </c>
      <c r="L279" s="811">
        <f t="shared" ca="1" si="44"/>
        <v>3.0203892595286703</v>
      </c>
      <c r="M279" s="773">
        <f t="shared" si="46"/>
        <v>267</v>
      </c>
      <c r="N279" s="807">
        <f t="shared" ca="1" si="47"/>
        <v>1.0270225062013858</v>
      </c>
      <c r="O279" s="808">
        <f t="shared" si="53"/>
        <v>1.0049999999999999</v>
      </c>
      <c r="P279" s="811">
        <f t="shared" ca="1" si="54"/>
        <v>1.7280133273368676</v>
      </c>
    </row>
    <row r="280" spans="1:16">
      <c r="A280" s="809">
        <f t="shared" ca="1" si="48"/>
        <v>43344</v>
      </c>
      <c r="B280" s="1110">
        <f ca="1">'[1]Monthly Curve Calc.'!B283</f>
        <v>689.50310977446975</v>
      </c>
      <c r="C280" s="1111">
        <f ca="1">'[1]Monthly Curve Calc.'!C283</f>
        <v>279.94660398583289</v>
      </c>
      <c r="D280" s="1111">
        <f ca="1">'[1]Monthly Curve Calc.'!D283</f>
        <v>204.22572416704401</v>
      </c>
      <c r="E280" s="1111">
        <f ca="1">'[1]Monthly Curve Calc.'!E283</f>
        <v>25.080000000000101</v>
      </c>
      <c r="F280" s="1112">
        <f ca="1">'[1]Monthly Curve Calc.'!F283</f>
        <v>3.0934024407976843</v>
      </c>
      <c r="G280" s="810">
        <f t="shared" ca="1" si="49"/>
        <v>1.0680000000000009</v>
      </c>
      <c r="H280" s="808">
        <f t="shared" ca="1" si="50"/>
        <v>1.0270225062013858</v>
      </c>
      <c r="I280" s="808">
        <f t="shared" ca="1" si="51"/>
        <v>1.0245225062013859</v>
      </c>
      <c r="J280" s="808">
        <f t="shared" ca="1" si="45"/>
        <v>1.0173249853578423</v>
      </c>
      <c r="K280" s="808">
        <f t="shared" ca="1" si="52"/>
        <v>25.078090277777871</v>
      </c>
      <c r="L280" s="811">
        <f t="shared" ca="1" si="44"/>
        <v>3.0203892595286703</v>
      </c>
      <c r="M280" s="773">
        <f t="shared" si="46"/>
        <v>268</v>
      </c>
      <c r="N280" s="807">
        <f t="shared" ca="1" si="47"/>
        <v>1.0270225062013858</v>
      </c>
      <c r="O280" s="808">
        <f t="shared" si="53"/>
        <v>1.0049999999999999</v>
      </c>
      <c r="P280" s="811">
        <f t="shared" ca="1" si="54"/>
        <v>1.7280133273368676</v>
      </c>
    </row>
    <row r="281" spans="1:16">
      <c r="A281" s="809">
        <f t="shared" ca="1" si="48"/>
        <v>43374</v>
      </c>
      <c r="B281" s="1110">
        <f ca="1">'[1]Monthly Curve Calc.'!B284</f>
        <v>693.29356147344106</v>
      </c>
      <c r="C281" s="1111">
        <f ca="1">'[1]Monthly Curve Calc.'!C284</f>
        <v>280.57458180447128</v>
      </c>
      <c r="D281" s="1111">
        <f ca="1">'[1]Monthly Curve Calc.'!D284</f>
        <v>204.53102853038416</v>
      </c>
      <c r="E281" s="1111">
        <f ca="1">'[1]Monthly Curve Calc.'!E284</f>
        <v>25.080000000000101</v>
      </c>
      <c r="F281" s="1112">
        <f ca="1">'[1]Monthly Curve Calc.'!F284</f>
        <v>3.0985091013164747</v>
      </c>
      <c r="G281" s="810">
        <f t="shared" ca="1" si="49"/>
        <v>1.0680000000000009</v>
      </c>
      <c r="H281" s="808">
        <f t="shared" ca="1" si="50"/>
        <v>1.0270225062013858</v>
      </c>
      <c r="I281" s="808">
        <f t="shared" ca="1" si="51"/>
        <v>1.0245225062013859</v>
      </c>
      <c r="J281" s="808">
        <f t="shared" ca="1" si="45"/>
        <v>1.0173249853578423</v>
      </c>
      <c r="K281" s="808">
        <f t="shared" ca="1" si="52"/>
        <v>25.078090277777871</v>
      </c>
      <c r="L281" s="811">
        <f t="shared" ca="1" si="44"/>
        <v>3.0203892595286703</v>
      </c>
      <c r="M281" s="773">
        <f t="shared" si="46"/>
        <v>269</v>
      </c>
      <c r="N281" s="807">
        <f t="shared" ca="1" si="47"/>
        <v>1.0270225062013858</v>
      </c>
      <c r="O281" s="808">
        <f t="shared" si="53"/>
        <v>1.0049999999999999</v>
      </c>
      <c r="P281" s="811">
        <f t="shared" ca="1" si="54"/>
        <v>1.7280133273368676</v>
      </c>
    </row>
    <row r="282" spans="1:16">
      <c r="A282" s="809">
        <f t="shared" ca="1" si="48"/>
        <v>43405</v>
      </c>
      <c r="B282" s="1110">
        <f ca="1">'[1]Monthly Curve Calc.'!B285</f>
        <v>697.1048506768102</v>
      </c>
      <c r="C282" s="1111">
        <f ca="1">'[1]Monthly Curve Calc.'!C285</f>
        <v>281.20396830653391</v>
      </c>
      <c r="D282" s="1111">
        <f ca="1">'[1]Monthly Curve Calc.'!D285</f>
        <v>204.83678930417238</v>
      </c>
      <c r="E282" s="1111">
        <f ca="1">'[1]Monthly Curve Calc.'!E285</f>
        <v>25.080000000000101</v>
      </c>
      <c r="F282" s="1112">
        <f ca="1">'[1]Monthly Curve Calc.'!F285</f>
        <v>3.1036241920289283</v>
      </c>
      <c r="G282" s="810">
        <f t="shared" ca="1" si="49"/>
        <v>1.0680000000000009</v>
      </c>
      <c r="H282" s="808">
        <f t="shared" ca="1" si="50"/>
        <v>1.0270225062013858</v>
      </c>
      <c r="I282" s="808">
        <f t="shared" ca="1" si="51"/>
        <v>1.0245225062013859</v>
      </c>
      <c r="J282" s="808">
        <f t="shared" ca="1" si="45"/>
        <v>1.0173249853578423</v>
      </c>
      <c r="K282" s="808">
        <f t="shared" ca="1" si="52"/>
        <v>25.078090277777871</v>
      </c>
      <c r="L282" s="811">
        <f t="shared" ca="1" si="44"/>
        <v>3.0203892595286703</v>
      </c>
      <c r="M282" s="773">
        <f t="shared" si="46"/>
        <v>270</v>
      </c>
      <c r="N282" s="807">
        <f t="shared" ca="1" si="47"/>
        <v>1.0270225062013858</v>
      </c>
      <c r="O282" s="808">
        <f t="shared" si="53"/>
        <v>1.0049999999999999</v>
      </c>
      <c r="P282" s="811">
        <f t="shared" ca="1" si="54"/>
        <v>1.7280133273368676</v>
      </c>
    </row>
    <row r="283" spans="1:16">
      <c r="A283" s="809">
        <f t="shared" ca="1" si="48"/>
        <v>43435</v>
      </c>
      <c r="B283" s="1110">
        <f ca="1">'[1]Monthly Curve Calc.'!B286</f>
        <v>700.93709193598795</v>
      </c>
      <c r="C283" s="1111">
        <f ca="1">'[1]Monthly Curve Calc.'!C286</f>
        <v>281.83476665198742</v>
      </c>
      <c r="D283" s="1111">
        <f ca="1">'[1]Monthly Curve Calc.'!D286</f>
        <v>205.14300717071302</v>
      </c>
      <c r="E283" s="1111">
        <f ca="1">'[1]Monthly Curve Calc.'!E286</f>
        <v>25.080000000000101</v>
      </c>
      <c r="F283" s="1112">
        <f ca="1">'[1]Monthly Curve Calc.'!F286</f>
        <v>3.1087477268518051</v>
      </c>
      <c r="G283" s="810">
        <f t="shared" ca="1" si="49"/>
        <v>1.0680000000000009</v>
      </c>
      <c r="H283" s="808">
        <f t="shared" ca="1" si="50"/>
        <v>1.0270225062013858</v>
      </c>
      <c r="I283" s="808">
        <f t="shared" ca="1" si="51"/>
        <v>1.0245225062013859</v>
      </c>
      <c r="J283" s="808">
        <f t="shared" ca="1" si="45"/>
        <v>1.0173249853578423</v>
      </c>
      <c r="K283" s="808">
        <f t="shared" ca="1" si="52"/>
        <v>25.078090277777871</v>
      </c>
      <c r="L283" s="811">
        <f t="shared" ca="1" si="44"/>
        <v>3.0203892595286703</v>
      </c>
      <c r="M283" s="773">
        <f t="shared" si="46"/>
        <v>271</v>
      </c>
      <c r="N283" s="807">
        <f t="shared" ca="1" si="47"/>
        <v>1.0270225062013858</v>
      </c>
      <c r="O283" s="808">
        <f t="shared" si="53"/>
        <v>1.0049999999999999</v>
      </c>
      <c r="P283" s="811">
        <f t="shared" ca="1" si="54"/>
        <v>1.7280133273368676</v>
      </c>
    </row>
    <row r="284" spans="1:16">
      <c r="A284" s="809">
        <f t="shared" ca="1" si="48"/>
        <v>43466</v>
      </c>
      <c r="B284" s="1110">
        <f ca="1">'[1]Monthly Curve Calc.'!B287</f>
        <v>704.79040043211614</v>
      </c>
      <c r="C284" s="1111">
        <f ca="1">'[1]Monthly Curve Calc.'!C287</f>
        <v>282.48005636909801</v>
      </c>
      <c r="D284" s="1111">
        <f ca="1">'[1]Monthly Curve Calc.'!D287</f>
        <v>205.46481165790806</v>
      </c>
      <c r="E284" s="1111">
        <f ca="1">'[1]Monthly Curve Calc.'!E287</f>
        <v>25.080000000000101</v>
      </c>
      <c r="F284" s="1112">
        <f ca="1">'[1]Monthly Curve Calc.'!F287</f>
        <v>3.1138921883315391</v>
      </c>
      <c r="G284" s="810">
        <f t="shared" ca="1" si="49"/>
        <v>1.0680000000000009</v>
      </c>
      <c r="H284" s="808">
        <f t="shared" ca="1" si="50"/>
        <v>1.0270225062013858</v>
      </c>
      <c r="I284" s="808">
        <f t="shared" ca="1" si="51"/>
        <v>1.0245225062013859</v>
      </c>
      <c r="J284" s="808">
        <f t="shared" ca="1" si="45"/>
        <v>1.0180874670798168</v>
      </c>
      <c r="K284" s="808">
        <f t="shared" ca="1" si="52"/>
        <v>25.080000000000101</v>
      </c>
      <c r="L284" s="811">
        <f t="shared" ca="1" si="44"/>
        <v>3.0807225214616292</v>
      </c>
      <c r="M284" s="773">
        <f t="shared" si="46"/>
        <v>272</v>
      </c>
      <c r="N284" s="807">
        <f t="shared" ca="1" si="47"/>
        <v>1.0270225062013858</v>
      </c>
      <c r="O284" s="808">
        <f t="shared" si="53"/>
        <v>1.0049999999999999</v>
      </c>
      <c r="P284" s="811">
        <f t="shared" ca="1" si="54"/>
        <v>1.7280133273368676</v>
      </c>
    </row>
    <row r="285" spans="1:16">
      <c r="A285" s="809">
        <f t="shared" ca="1" si="48"/>
        <v>43497</v>
      </c>
      <c r="B285" s="1110">
        <f ca="1">'[1]Monthly Curve Calc.'!B288</f>
        <v>708.66489197952978</v>
      </c>
      <c r="C285" s="1111">
        <f ca="1">'[1]Monthly Curve Calc.'!C288</f>
        <v>283.12682354345759</v>
      </c>
      <c r="D285" s="1111">
        <f ca="1">'[1]Monthly Curve Calc.'!D288</f>
        <v>205.78712095454995</v>
      </c>
      <c r="E285" s="1111">
        <f ca="1">'[1]Monthly Curve Calc.'!E288</f>
        <v>25.080000000000101</v>
      </c>
      <c r="F285" s="1112">
        <f ca="1">'[1]Monthly Curve Calc.'!F288</f>
        <v>3.1190451630411142</v>
      </c>
      <c r="G285" s="810">
        <f t="shared" ca="1" si="49"/>
        <v>1.0680000000000009</v>
      </c>
      <c r="H285" s="808">
        <f t="shared" ca="1" si="50"/>
        <v>1.0270225062013858</v>
      </c>
      <c r="I285" s="808">
        <f t="shared" ca="1" si="51"/>
        <v>1.0245225062013859</v>
      </c>
      <c r="J285" s="808">
        <f t="shared" ca="1" si="45"/>
        <v>1.0180874670798168</v>
      </c>
      <c r="K285" s="808">
        <f t="shared" ca="1" si="52"/>
        <v>25.080000000000101</v>
      </c>
      <c r="L285" s="811">
        <f t="shared" ca="1" si="44"/>
        <v>3.0807225214616292</v>
      </c>
      <c r="M285" s="773">
        <f t="shared" si="46"/>
        <v>273</v>
      </c>
      <c r="N285" s="807">
        <f t="shared" ca="1" si="47"/>
        <v>1.0270225062013858</v>
      </c>
      <c r="O285" s="808">
        <f t="shared" si="53"/>
        <v>1.0049999999999999</v>
      </c>
      <c r="P285" s="811">
        <f t="shared" ca="1" si="54"/>
        <v>1.7280133273368676</v>
      </c>
    </row>
    <row r="286" spans="1:16">
      <c r="A286" s="809">
        <f t="shared" ca="1" si="48"/>
        <v>43525</v>
      </c>
      <c r="B286" s="1110">
        <f ca="1">'[1]Monthly Curve Calc.'!B289</f>
        <v>712.56068302923768</v>
      </c>
      <c r="C286" s="1111">
        <f ca="1">'[1]Monthly Curve Calc.'!C289</f>
        <v>283.77507155785662</v>
      </c>
      <c r="D286" s="1111">
        <f ca="1">'[1]Monthly Curve Calc.'!D289</f>
        <v>206.10993585252507</v>
      </c>
      <c r="E286" s="1111">
        <f ca="1">'[1]Monthly Curve Calc.'!E289</f>
        <v>25.080000000000101</v>
      </c>
      <c r="F286" s="1112">
        <f ca="1">'[1]Monthly Curve Calc.'!F289</f>
        <v>3.1242066650685127</v>
      </c>
      <c r="G286" s="810">
        <f t="shared" ca="1" si="49"/>
        <v>1.0680000000000009</v>
      </c>
      <c r="H286" s="808">
        <f t="shared" ca="1" si="50"/>
        <v>1.0270225062013858</v>
      </c>
      <c r="I286" s="808">
        <f t="shared" ca="1" si="51"/>
        <v>1.0245225062013859</v>
      </c>
      <c r="J286" s="808">
        <f t="shared" ca="1" si="45"/>
        <v>1.0180874670798168</v>
      </c>
      <c r="K286" s="808">
        <f t="shared" ca="1" si="52"/>
        <v>25.080000000000101</v>
      </c>
      <c r="L286" s="811">
        <f t="shared" ca="1" si="44"/>
        <v>3.0807225214616292</v>
      </c>
      <c r="M286" s="773">
        <f t="shared" si="46"/>
        <v>274</v>
      </c>
      <c r="N286" s="807">
        <f t="shared" ca="1" si="47"/>
        <v>1.0270225062013858</v>
      </c>
      <c r="O286" s="808">
        <f t="shared" si="53"/>
        <v>1.0049999999999999</v>
      </c>
      <c r="P286" s="811">
        <f t="shared" ca="1" si="54"/>
        <v>1.7280133273368676</v>
      </c>
    </row>
    <row r="287" spans="1:16">
      <c r="A287" s="809">
        <f t="shared" ca="1" si="48"/>
        <v>43556</v>
      </c>
      <c r="B287" s="1110">
        <f ca="1">'[1]Monthly Curve Calc.'!B290</f>
        <v>716.47789067242263</v>
      </c>
      <c r="C287" s="1111">
        <f ca="1">'[1]Monthly Curve Calc.'!C290</f>
        <v>284.42480380283092</v>
      </c>
      <c r="D287" s="1111">
        <f ca="1">'[1]Monthly Curve Calc.'!D290</f>
        <v>206.43325714496194</v>
      </c>
      <c r="E287" s="1111">
        <f ca="1">'[1]Monthly Curve Calc.'!E290</f>
        <v>25.080000000000101</v>
      </c>
      <c r="F287" s="1112">
        <f ca="1">'[1]Monthly Curve Calc.'!F290</f>
        <v>3.1293767085250299</v>
      </c>
      <c r="G287" s="810">
        <f t="shared" ca="1" si="49"/>
        <v>1.0680000000000009</v>
      </c>
      <c r="H287" s="808">
        <f t="shared" ca="1" si="50"/>
        <v>1.0270225062013858</v>
      </c>
      <c r="I287" s="808">
        <f t="shared" ca="1" si="51"/>
        <v>1.0245225062013859</v>
      </c>
      <c r="J287" s="808">
        <f t="shared" ca="1" si="45"/>
        <v>1.0180874670798168</v>
      </c>
      <c r="K287" s="808">
        <f t="shared" ca="1" si="52"/>
        <v>25.080000000000101</v>
      </c>
      <c r="L287" s="811">
        <f t="shared" ca="1" si="44"/>
        <v>3.0807225214616292</v>
      </c>
      <c r="M287" s="773">
        <f t="shared" si="46"/>
        <v>275</v>
      </c>
      <c r="N287" s="807">
        <f t="shared" ca="1" si="47"/>
        <v>1.0270225062013858</v>
      </c>
      <c r="O287" s="808">
        <f t="shared" si="53"/>
        <v>1.0049999999999999</v>
      </c>
      <c r="P287" s="811">
        <f t="shared" ca="1" si="54"/>
        <v>1.7280133273368676</v>
      </c>
    </row>
    <row r="288" spans="1:16">
      <c r="A288" s="809">
        <f t="shared" ca="1" si="48"/>
        <v>43586</v>
      </c>
      <c r="B288" s="1110">
        <f ca="1">'[1]Monthly Curve Calc.'!B291</f>
        <v>720.41663264396061</v>
      </c>
      <c r="C288" s="1111">
        <f ca="1">'[1]Monthly Curve Calc.'!C291</f>
        <v>285.07602367667914</v>
      </c>
      <c r="D288" s="1111">
        <f ca="1">'[1]Monthly Curve Calc.'!D291</f>
        <v>206.75708562623331</v>
      </c>
      <c r="E288" s="1111">
        <f ca="1">'[1]Monthly Curve Calc.'!E291</f>
        <v>25.080000000000101</v>
      </c>
      <c r="F288" s="1112">
        <f ca="1">'[1]Monthly Curve Calc.'!F291</f>
        <v>3.1345553075453139</v>
      </c>
      <c r="G288" s="810">
        <f t="shared" ca="1" si="49"/>
        <v>1.0680000000000005</v>
      </c>
      <c r="H288" s="808">
        <f t="shared" ca="1" si="50"/>
        <v>1.027443307883817</v>
      </c>
      <c r="I288" s="808">
        <f t="shared" ca="1" si="51"/>
        <v>1.024943307883817</v>
      </c>
      <c r="J288" s="808">
        <f t="shared" ca="1" si="45"/>
        <v>1.0180874670798168</v>
      </c>
      <c r="K288" s="808">
        <f t="shared" ca="1" si="52"/>
        <v>25.080000000000101</v>
      </c>
      <c r="L288" s="811">
        <f t="shared" ca="1" si="44"/>
        <v>3.0807225214616292</v>
      </c>
      <c r="M288" s="773">
        <f t="shared" si="46"/>
        <v>276</v>
      </c>
      <c r="N288" s="807">
        <f t="shared" ca="1" si="47"/>
        <v>1.027443307883817</v>
      </c>
      <c r="O288" s="808">
        <f t="shared" si="53"/>
        <v>1.0049999999999999</v>
      </c>
      <c r="P288" s="811">
        <f t="shared" ca="1" si="54"/>
        <v>1.7754357291063123</v>
      </c>
    </row>
    <row r="289" spans="1:17" ht="13.8" thickBot="1">
      <c r="A289" s="812"/>
      <c r="B289" s="813"/>
      <c r="C289" s="814"/>
      <c r="D289" s="814"/>
      <c r="E289" s="814"/>
      <c r="F289" s="814"/>
      <c r="G289" s="813"/>
      <c r="H289" s="814"/>
      <c r="I289" s="814"/>
      <c r="J289" s="814"/>
      <c r="K289" s="814"/>
      <c r="L289" s="815"/>
      <c r="N289" s="816"/>
      <c r="O289" s="814"/>
      <c r="P289" s="815"/>
    </row>
    <row r="291" spans="1:17">
      <c r="A291" s="817">
        <v>1</v>
      </c>
      <c r="B291" s="817">
        <f>A291+1</f>
        <v>2</v>
      </c>
      <c r="C291" s="817">
        <f t="shared" ref="C291:P291" si="55">B291+1</f>
        <v>3</v>
      </c>
      <c r="D291" s="817">
        <f t="shared" si="55"/>
        <v>4</v>
      </c>
      <c r="E291" s="817">
        <f t="shared" si="55"/>
        <v>5</v>
      </c>
      <c r="F291" s="817">
        <f t="shared" si="55"/>
        <v>6</v>
      </c>
      <c r="G291" s="817">
        <f t="shared" si="55"/>
        <v>7</v>
      </c>
      <c r="H291" s="817">
        <f t="shared" si="55"/>
        <v>8</v>
      </c>
      <c r="I291" s="817">
        <f t="shared" si="55"/>
        <v>9</v>
      </c>
      <c r="J291" s="817">
        <f t="shared" si="55"/>
        <v>10</v>
      </c>
      <c r="K291" s="1041">
        <f t="shared" si="55"/>
        <v>11</v>
      </c>
      <c r="L291" s="1041">
        <f t="shared" si="55"/>
        <v>12</v>
      </c>
      <c r="M291" s="1041">
        <f t="shared" si="55"/>
        <v>13</v>
      </c>
      <c r="N291" s="1041">
        <f t="shared" si="55"/>
        <v>14</v>
      </c>
      <c r="O291" s="1041">
        <f t="shared" si="55"/>
        <v>15</v>
      </c>
      <c r="P291" s="1041">
        <f t="shared" si="55"/>
        <v>16</v>
      </c>
      <c r="Q291" s="761" t="s">
        <v>961</v>
      </c>
    </row>
  </sheetData>
  <printOptions horizontalCentered="1"/>
  <pageMargins left="0.25" right="0.25" top="0.5" bottom="0.5" header="0.25" footer="0.25"/>
  <pageSetup scale="48" fitToHeight="4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B79"/>
  <sheetViews>
    <sheetView showGridLines="0" topLeftCell="A6" zoomScale="80" workbookViewId="0">
      <pane ySplit="2" topLeftCell="A39" activePane="bottomLeft" state="frozen"/>
      <selection activeCell="A6" sqref="A6"/>
      <selection pane="bottomLeft" activeCell="A6" sqref="A1:IV65536"/>
    </sheetView>
  </sheetViews>
  <sheetFormatPr defaultColWidth="9.109375" defaultRowHeight="13.2"/>
  <cols>
    <col min="1" max="1" width="2.6640625" style="8" customWidth="1"/>
    <col min="2" max="2" width="42.6640625" style="8" customWidth="1"/>
    <col min="3" max="3" width="14.6640625" style="5" customWidth="1"/>
    <col min="4" max="4" width="25.6640625" style="5" customWidth="1"/>
    <col min="5" max="25" width="11.6640625" style="5" customWidth="1"/>
    <col min="26" max="26" width="12.6640625" style="8" customWidth="1"/>
    <col min="27" max="16384" width="9.109375" style="5"/>
  </cols>
  <sheetData>
    <row r="1" spans="1:28" ht="15.6">
      <c r="A1" s="997" t="str">
        <f>Assm!A1</f>
        <v>GASOCIDENTE DO MATO GROSSO LTDA (GASMAT) *** DRAFT COPY ***</v>
      </c>
      <c r="B1" s="205"/>
      <c r="C1" s="132"/>
      <c r="D1" s="8"/>
      <c r="H1" s="155"/>
      <c r="K1" s="47"/>
      <c r="S1" s="94"/>
    </row>
    <row r="2" spans="1:28" ht="15.6">
      <c r="A2" s="997" t="str">
        <f>Assm!A2</f>
        <v>257 KM PIPELINE SPUR FOR CUIABA POWER PLANT (BRAZIL)</v>
      </c>
      <c r="B2" s="205"/>
      <c r="C2" s="132"/>
      <c r="D2" s="8"/>
      <c r="H2" s="155"/>
      <c r="K2" s="47"/>
      <c r="S2" s="94"/>
    </row>
    <row r="3" spans="1:28" ht="15">
      <c r="A3" s="206" t="str">
        <f>Assm!A3</f>
        <v>ENRON INTERNATIONAL</v>
      </c>
      <c r="B3" s="206"/>
      <c r="C3" s="132"/>
      <c r="D3" s="8"/>
      <c r="F3" s="30"/>
      <c r="H3" s="155"/>
      <c r="K3" s="47"/>
      <c r="T3" s="70"/>
      <c r="U3" s="70"/>
      <c r="V3" s="70"/>
      <c r="W3" s="70"/>
      <c r="X3" s="70"/>
      <c r="Y3" s="70"/>
    </row>
    <row r="4" spans="1:28" ht="15">
      <c r="A4" s="818" t="s">
        <v>840</v>
      </c>
      <c r="B4" s="818"/>
      <c r="C4" s="132"/>
      <c r="D4" s="8"/>
      <c r="F4" s="30"/>
      <c r="H4" s="155"/>
      <c r="K4" s="47"/>
    </row>
    <row r="5" spans="1:28" ht="13.8" thickBot="1">
      <c r="AB5" s="1043" t="s">
        <v>951</v>
      </c>
    </row>
    <row r="6" spans="1:28" s="8" customFormat="1">
      <c r="A6" s="400" t="s">
        <v>195</v>
      </c>
      <c r="B6" s="74"/>
      <c r="C6" s="74"/>
      <c r="D6" s="74"/>
      <c r="E6" s="862">
        <v>1</v>
      </c>
      <c r="F6" s="74">
        <f t="shared" ref="F6:T7" si="0">E6+1</f>
        <v>2</v>
      </c>
      <c r="G6" s="74">
        <f t="shared" si="0"/>
        <v>3</v>
      </c>
      <c r="H6" s="74">
        <f t="shared" si="0"/>
        <v>4</v>
      </c>
      <c r="I6" s="74">
        <f t="shared" si="0"/>
        <v>5</v>
      </c>
      <c r="J6" s="74">
        <f t="shared" si="0"/>
        <v>6</v>
      </c>
      <c r="K6" s="74">
        <f t="shared" si="0"/>
        <v>7</v>
      </c>
      <c r="L6" s="74">
        <f t="shared" si="0"/>
        <v>8</v>
      </c>
      <c r="M6" s="74">
        <f t="shared" si="0"/>
        <v>9</v>
      </c>
      <c r="N6" s="74">
        <f t="shared" si="0"/>
        <v>10</v>
      </c>
      <c r="O6" s="74">
        <f t="shared" si="0"/>
        <v>11</v>
      </c>
      <c r="P6" s="74">
        <f t="shared" si="0"/>
        <v>12</v>
      </c>
      <c r="Q6" s="74">
        <f t="shared" si="0"/>
        <v>13</v>
      </c>
      <c r="R6" s="74">
        <f t="shared" si="0"/>
        <v>14</v>
      </c>
      <c r="S6" s="74">
        <f t="shared" si="0"/>
        <v>15</v>
      </c>
      <c r="T6" s="74">
        <f t="shared" si="0"/>
        <v>16</v>
      </c>
      <c r="U6" s="74">
        <f>T6+1</f>
        <v>17</v>
      </c>
      <c r="V6" s="74">
        <f>U6+1</f>
        <v>18</v>
      </c>
      <c r="W6" s="74">
        <f t="shared" ref="W6:Y7" si="1">V6+1</f>
        <v>19</v>
      </c>
      <c r="X6" s="74">
        <f t="shared" si="1"/>
        <v>20</v>
      </c>
      <c r="Y6" s="74">
        <f t="shared" si="1"/>
        <v>21</v>
      </c>
      <c r="Z6" s="416"/>
      <c r="AB6" s="45" t="s">
        <v>952</v>
      </c>
    </row>
    <row r="7" spans="1:28" s="8" customFormat="1" ht="13.8" thickBot="1">
      <c r="A7" s="401" t="s">
        <v>185</v>
      </c>
      <c r="B7" s="229"/>
      <c r="C7" s="77"/>
      <c r="D7" s="77"/>
      <c r="E7" s="863">
        <v>1999</v>
      </c>
      <c r="F7" s="230">
        <f>E7+1</f>
        <v>2000</v>
      </c>
      <c r="G7" s="230">
        <f t="shared" si="0"/>
        <v>2001</v>
      </c>
      <c r="H7" s="230">
        <f t="shared" si="0"/>
        <v>2002</v>
      </c>
      <c r="I7" s="230">
        <f t="shared" si="0"/>
        <v>2003</v>
      </c>
      <c r="J7" s="230">
        <f t="shared" si="0"/>
        <v>2004</v>
      </c>
      <c r="K7" s="230">
        <f t="shared" si="0"/>
        <v>2005</v>
      </c>
      <c r="L7" s="230">
        <f t="shared" si="0"/>
        <v>2006</v>
      </c>
      <c r="M7" s="230">
        <f t="shared" si="0"/>
        <v>2007</v>
      </c>
      <c r="N7" s="230">
        <f t="shared" si="0"/>
        <v>2008</v>
      </c>
      <c r="O7" s="230">
        <f t="shared" si="0"/>
        <v>2009</v>
      </c>
      <c r="P7" s="230">
        <f t="shared" si="0"/>
        <v>2010</v>
      </c>
      <c r="Q7" s="230">
        <f t="shared" si="0"/>
        <v>2011</v>
      </c>
      <c r="R7" s="230">
        <f t="shared" si="0"/>
        <v>2012</v>
      </c>
      <c r="S7" s="230">
        <f t="shared" si="0"/>
        <v>2013</v>
      </c>
      <c r="T7" s="230">
        <f t="shared" si="0"/>
        <v>2014</v>
      </c>
      <c r="U7" s="230">
        <f>T7+1</f>
        <v>2015</v>
      </c>
      <c r="V7" s="230">
        <f>U7+1</f>
        <v>2016</v>
      </c>
      <c r="W7" s="230">
        <f t="shared" si="1"/>
        <v>2017</v>
      </c>
      <c r="X7" s="230">
        <f t="shared" si="1"/>
        <v>2018</v>
      </c>
      <c r="Y7" s="230">
        <f t="shared" si="1"/>
        <v>2019</v>
      </c>
      <c r="Z7" s="417" t="s">
        <v>186</v>
      </c>
      <c r="AB7" s="868">
        <v>1</v>
      </c>
    </row>
    <row r="8" spans="1:28" s="8" customFormat="1">
      <c r="A8" s="403"/>
      <c r="B8" s="12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418"/>
      <c r="AB8" s="130">
        <f t="shared" ref="AB8:AB77" si="2">AB7+1</f>
        <v>2</v>
      </c>
    </row>
    <row r="9" spans="1:28" s="8" customFormat="1">
      <c r="A9" s="137" t="s">
        <v>490</v>
      </c>
      <c r="E9" s="8">
        <f>IF(OR(E$7&lt;YEAR(Startops1),E$7&gt;YEAR(Endyr)),0,IF(E$7=YEAR(Startops1),13-MONTH(Startops1),IF(E$7=YEAR(Endyr),MONTH(Endyr),12)))</f>
        <v>0</v>
      </c>
      <c r="F9" s="8">
        <f t="shared" ref="F9:Y9" si="3">IF(OR(F$7&lt;YEAR(Startops1),F$7&gt;YEAR(Endyr)),0,IF(F$7=YEAR(Startops1),13-MONTH(Startops1),IF(F$7=YEAR(Endyr),MONTH(Endyr),12)))</f>
        <v>0</v>
      </c>
      <c r="G9" s="8">
        <f t="shared" si="3"/>
        <v>10</v>
      </c>
      <c r="H9" s="8">
        <f t="shared" si="3"/>
        <v>12</v>
      </c>
      <c r="I9" s="8">
        <f t="shared" si="3"/>
        <v>12</v>
      </c>
      <c r="J9" s="8">
        <f t="shared" si="3"/>
        <v>12</v>
      </c>
      <c r="K9" s="8">
        <f t="shared" si="3"/>
        <v>12</v>
      </c>
      <c r="L9" s="8">
        <f t="shared" si="3"/>
        <v>12</v>
      </c>
      <c r="M9" s="8">
        <f t="shared" si="3"/>
        <v>12</v>
      </c>
      <c r="N9" s="8">
        <f t="shared" si="3"/>
        <v>12</v>
      </c>
      <c r="O9" s="8">
        <f t="shared" si="3"/>
        <v>12</v>
      </c>
      <c r="P9" s="8">
        <f t="shared" si="3"/>
        <v>12</v>
      </c>
      <c r="Q9" s="8">
        <f t="shared" si="3"/>
        <v>12</v>
      </c>
      <c r="R9" s="8">
        <f t="shared" si="3"/>
        <v>12</v>
      </c>
      <c r="S9" s="8">
        <f t="shared" si="3"/>
        <v>12</v>
      </c>
      <c r="T9" s="8">
        <f t="shared" si="3"/>
        <v>12</v>
      </c>
      <c r="U9" s="8">
        <f t="shared" si="3"/>
        <v>12</v>
      </c>
      <c r="V9" s="8">
        <f t="shared" si="3"/>
        <v>12</v>
      </c>
      <c r="W9" s="8">
        <f t="shared" si="3"/>
        <v>12</v>
      </c>
      <c r="X9" s="8">
        <f t="shared" si="3"/>
        <v>12</v>
      </c>
      <c r="Y9" s="8">
        <f t="shared" si="3"/>
        <v>4</v>
      </c>
      <c r="Z9" s="419">
        <f>SUM(E9:Y9)</f>
        <v>218</v>
      </c>
      <c r="AB9" s="130">
        <f t="shared" si="2"/>
        <v>3</v>
      </c>
    </row>
    <row r="10" spans="1:28" s="8" customFormat="1">
      <c r="A10" s="137"/>
      <c r="Z10" s="419"/>
      <c r="AB10" s="130">
        <f t="shared" si="2"/>
        <v>4</v>
      </c>
    </row>
    <row r="11" spans="1:28" s="8" customFormat="1">
      <c r="A11" s="137" t="s">
        <v>320</v>
      </c>
      <c r="C11" s="16" t="str">
        <f>Assm!$F$29</f>
        <v>Greater Of CPI Or 1.005</v>
      </c>
      <c r="E11" s="364">
        <f ca="1">VLOOKUP(DATE(E$7,12,1),Curves_Table,Escalation!$P$291)</f>
        <v>1.0374531835205993</v>
      </c>
      <c r="F11" s="364">
        <f ca="1">VLOOKUP(DATE(F$7,12,1),Curves_Table,Escalation!$P$291)</f>
        <v>1.0620799950339679</v>
      </c>
      <c r="G11" s="364">
        <f ca="1">VLOOKUP(DATE(G$7,12,1),Curves_Table,Escalation!$P$291)</f>
        <v>1.097180617479341</v>
      </c>
      <c r="H11" s="364">
        <f ca="1">VLOOKUP(DATE(H$7,12,1),Curves_Table,Escalation!$P$291)</f>
        <v>1.1321906668383659</v>
      </c>
      <c r="I11" s="364">
        <f ca="1">VLOOKUP(DATE(I$7,12,1),Curves_Table,Escalation!$P$291)</f>
        <v>1.166287045927733</v>
      </c>
      <c r="J11" s="364">
        <f ca="1">VLOOKUP(DATE(J$7,12,1),Curves_Table,Escalation!$P$291)</f>
        <v>1.2003493342906499</v>
      </c>
      <c r="K11" s="364">
        <f ca="1">VLOOKUP(DATE(K$7,12,1),Curves_Table,Escalation!$P$291)</f>
        <v>1.2346229437596627</v>
      </c>
      <c r="L11" s="364">
        <f ca="1">VLOOKUP(DATE(L$7,12,1),Curves_Table,Escalation!$P$291)</f>
        <v>1.2691909562879884</v>
      </c>
      <c r="M11" s="364">
        <f ca="1">VLOOKUP(DATE(M$7,12,1),Curves_Table,Escalation!$P$291)</f>
        <v>1.3038965761068158</v>
      </c>
      <c r="N11" s="364">
        <f ca="1">VLOOKUP(DATE(N$7,12,1),Curves_Table,Escalation!$P$291)</f>
        <v>1.3387797805891259</v>
      </c>
      <c r="O11" s="364">
        <f ca="1">VLOOKUP(DATE(O$7,12,1),Curves_Table,Escalation!$P$291)</f>
        <v>1.3739510144936682</v>
      </c>
      <c r="P11" s="364">
        <f ca="1">VLOOKUP(DATE(P$7,12,1),Curves_Table,Escalation!$P$291)</f>
        <v>1.409454688092179</v>
      </c>
      <c r="Q11" s="364">
        <f ca="1">VLOOKUP(DATE(Q$7,12,1),Curves_Table,Escalation!$P$291)</f>
        <v>1.4453629302678073</v>
      </c>
      <c r="R11" s="364">
        <f ca="1">VLOOKUP(DATE(R$7,12,1),Curves_Table,Escalation!$P$291)</f>
        <v>1.4818086105109716</v>
      </c>
      <c r="S11" s="364">
        <f ca="1">VLOOKUP(DATE(S$7,12,1),Curves_Table,Escalation!$P$291)</f>
        <v>1.5190107088932228</v>
      </c>
      <c r="T11" s="364">
        <f ca="1">VLOOKUP(DATE(T$7,12,1),Curves_Table,Escalation!$P$291)</f>
        <v>1.5573978315409176</v>
      </c>
      <c r="U11" s="364">
        <f ca="1">VLOOKUP(DATE(U$7,12,1),Curves_Table,Escalation!$P$291)</f>
        <v>1.5973303982415077</v>
      </c>
      <c r="V11" s="364">
        <f ca="1">VLOOKUP(DATE(V$7,12,1),Curves_Table,Escalation!$P$291)</f>
        <v>1.6389834445299432</v>
      </c>
      <c r="W11" s="364">
        <f ca="1">VLOOKUP(DATE(W$7,12,1),Curves_Table,Escalation!$P$291)</f>
        <v>1.6825466987361488</v>
      </c>
      <c r="X11" s="364">
        <f ca="1">VLOOKUP(DATE(X$7,12,1),Curves_Table,Escalation!$P$291)</f>
        <v>1.7280133273368676</v>
      </c>
      <c r="Y11" s="364">
        <f ca="1">VLOOKUP(DATE(Y$7,12,1),Curves_Table,Escalation!$P$291)</f>
        <v>1.7754357291063123</v>
      </c>
      <c r="Z11" s="422"/>
      <c r="AB11" s="130">
        <f t="shared" si="2"/>
        <v>5</v>
      </c>
    </row>
    <row r="12" spans="1:28" s="8" customFormat="1">
      <c r="A12" s="137" t="s">
        <v>321</v>
      </c>
      <c r="C12" s="16" t="str">
        <f>CPI</f>
        <v>CPI Annual</v>
      </c>
      <c r="E12" s="364">
        <f ca="1">VLOOKUP(DATE(E$7,12,1),Curves_Table,Escalation!$P$291)</f>
        <v>1.0374531835205993</v>
      </c>
      <c r="F12" s="364">
        <f ca="1">VLOOKUP(DATE(F$7,12,1),Curves_Table,Escalation!$P$291)</f>
        <v>1.0620799950339679</v>
      </c>
      <c r="G12" s="364">
        <f ca="1">VLOOKUP(DATE(G$7,12,1),Curves_Table,Escalation!$P$291)</f>
        <v>1.097180617479341</v>
      </c>
      <c r="H12" s="364">
        <f ca="1">VLOOKUP(DATE(H$7,12,1),Curves_Table,Escalation!$P$291)</f>
        <v>1.1321906668383659</v>
      </c>
      <c r="I12" s="364">
        <f ca="1">VLOOKUP(DATE(I$7,12,1),Curves_Table,Escalation!$P$291)</f>
        <v>1.166287045927733</v>
      </c>
      <c r="J12" s="364">
        <f ca="1">VLOOKUP(DATE(J$7,12,1),Curves_Table,Escalation!$P$291)</f>
        <v>1.2003493342906499</v>
      </c>
      <c r="K12" s="364">
        <f ca="1">VLOOKUP(DATE(K$7,12,1),Curves_Table,Escalation!$P$291)</f>
        <v>1.2346229437596627</v>
      </c>
      <c r="L12" s="364">
        <f ca="1">VLOOKUP(DATE(L$7,12,1),Curves_Table,Escalation!$P$291)</f>
        <v>1.2691909562879884</v>
      </c>
      <c r="M12" s="364">
        <f ca="1">VLOOKUP(DATE(M$7,12,1),Curves_Table,Escalation!$P$291)</f>
        <v>1.3038965761068158</v>
      </c>
      <c r="N12" s="364">
        <f ca="1">VLOOKUP(DATE(N$7,12,1),Curves_Table,Escalation!$P$291)</f>
        <v>1.3387797805891259</v>
      </c>
      <c r="O12" s="364">
        <f ca="1">VLOOKUP(DATE(O$7,12,1),Curves_Table,Escalation!$P$291)</f>
        <v>1.3739510144936682</v>
      </c>
      <c r="P12" s="364">
        <f ca="1">VLOOKUP(DATE(P$7,12,1),Curves_Table,Escalation!$P$291)</f>
        <v>1.409454688092179</v>
      </c>
      <c r="Q12" s="364">
        <f ca="1">VLOOKUP(DATE(Q$7,12,1),Curves_Table,Escalation!$P$291)</f>
        <v>1.4453629302678073</v>
      </c>
      <c r="R12" s="364">
        <f ca="1">VLOOKUP(DATE(R$7,12,1),Curves_Table,Escalation!$P$291)</f>
        <v>1.4818086105109716</v>
      </c>
      <c r="S12" s="364">
        <f ca="1">VLOOKUP(DATE(S$7,12,1),Curves_Table,Escalation!$P$291)</f>
        <v>1.5190107088932228</v>
      </c>
      <c r="T12" s="364">
        <f ca="1">VLOOKUP(DATE(T$7,12,1),Curves_Table,Escalation!$P$291)</f>
        <v>1.5573978315409176</v>
      </c>
      <c r="U12" s="364">
        <f ca="1">VLOOKUP(DATE(U$7,12,1),Curves_Table,Escalation!$P$291)</f>
        <v>1.5973303982415077</v>
      </c>
      <c r="V12" s="364">
        <f ca="1">VLOOKUP(DATE(V$7,12,1),Curves_Table,Escalation!$P$291)</f>
        <v>1.6389834445299432</v>
      </c>
      <c r="W12" s="364">
        <f ca="1">VLOOKUP(DATE(W$7,12,1),Curves_Table,Escalation!$P$291)</f>
        <v>1.6825466987361488</v>
      </c>
      <c r="X12" s="364">
        <f ca="1">VLOOKUP(DATE(X$7,12,1),Curves_Table,Escalation!$P$291)</f>
        <v>1.7280133273368676</v>
      </c>
      <c r="Y12" s="364">
        <f ca="1">VLOOKUP(DATE(Y$7,12,1),Curves_Table,Escalation!$P$291)</f>
        <v>1.7754357291063123</v>
      </c>
      <c r="Z12" s="422"/>
      <c r="AB12" s="130">
        <f t="shared" si="2"/>
        <v>6</v>
      </c>
    </row>
    <row r="13" spans="1:28" s="8" customFormat="1">
      <c r="A13" s="137" t="s">
        <v>946</v>
      </c>
      <c r="E13" s="364">
        <f ca="1">IF(Assm!$L$58=0,Ex,VLOOKUP(DATE(E$7,12,1),Curves_Table,Escalation!$L$291))</f>
        <v>1.0649999999999999</v>
      </c>
      <c r="F13" s="364">
        <f ca="1">IF(Assm!$L$58=0,Ex,VLOOKUP(DATE(F$7,12,1),Curves_Table,Escalation!$L$291))</f>
        <v>1.0649999999999999</v>
      </c>
      <c r="G13" s="364">
        <f ca="1">IF(Assm!$L$58=0,Ex,VLOOKUP(DATE(G$7,12,1),Curves_Table,Escalation!$L$291))</f>
        <v>1.0649999999999999</v>
      </c>
      <c r="H13" s="364">
        <f ca="1">IF(Assm!$L$58=0,Ex,VLOOKUP(DATE(H$7,12,1),Curves_Table,Escalation!$L$291))</f>
        <v>1.0649999999999999</v>
      </c>
      <c r="I13" s="364">
        <f ca="1">IF(Assm!$L$58=0,Ex,VLOOKUP(DATE(I$7,12,1),Curves_Table,Escalation!$L$291))</f>
        <v>1.0649999999999999</v>
      </c>
      <c r="J13" s="364">
        <f ca="1">IF(Assm!$L$58=0,Ex,VLOOKUP(DATE(J$7,12,1),Curves_Table,Escalation!$L$291))</f>
        <v>1.0649999999999999</v>
      </c>
      <c r="K13" s="364">
        <f ca="1">IF(Assm!$L$58=0,Ex,VLOOKUP(DATE(K$7,12,1),Curves_Table,Escalation!$L$291))</f>
        <v>1.0649999999999999</v>
      </c>
      <c r="L13" s="364">
        <f ca="1">IF(Assm!$L$58=0,Ex,VLOOKUP(DATE(L$7,12,1),Curves_Table,Escalation!$L$291))</f>
        <v>1.0649999999999999</v>
      </c>
      <c r="M13" s="364">
        <f ca="1">IF(Assm!$L$58=0,Ex,VLOOKUP(DATE(M$7,12,1),Curves_Table,Escalation!$L$291))</f>
        <v>1.0649999999999999</v>
      </c>
      <c r="N13" s="364">
        <f ca="1">IF(Assm!$L$58=0,Ex,VLOOKUP(DATE(N$7,12,1),Curves_Table,Escalation!$L$291))</f>
        <v>1.0649999999999999</v>
      </c>
      <c r="O13" s="364">
        <f ca="1">IF(Assm!$L$58=0,Ex,VLOOKUP(DATE(O$7,12,1),Curves_Table,Escalation!$L$291))</f>
        <v>1.0649999999999999</v>
      </c>
      <c r="P13" s="364">
        <f ca="1">IF(Assm!$L$58=0,Ex,VLOOKUP(DATE(P$7,12,1),Curves_Table,Escalation!$L$291))</f>
        <v>1.0649999999999999</v>
      </c>
      <c r="Q13" s="364">
        <f ca="1">IF(Assm!$L$58=0,Ex,VLOOKUP(DATE(Q$7,12,1),Curves_Table,Escalation!$L$291))</f>
        <v>1.0649999999999999</v>
      </c>
      <c r="R13" s="364">
        <f ca="1">IF(Assm!$L$58=0,Ex,VLOOKUP(DATE(R$7,12,1),Curves_Table,Escalation!$L$291))</f>
        <v>1.0649999999999999</v>
      </c>
      <c r="S13" s="364">
        <f ca="1">IF(Assm!$L$58=0,Ex,VLOOKUP(DATE(S$7,12,1),Curves_Table,Escalation!$L$291))</f>
        <v>1.0649999999999999</v>
      </c>
      <c r="T13" s="364">
        <f ca="1">IF(Assm!$L$58=0,Ex,VLOOKUP(DATE(T$7,12,1),Curves_Table,Escalation!$L$291))</f>
        <v>1.0649999999999999</v>
      </c>
      <c r="U13" s="364">
        <f ca="1">IF(Assm!$L$58=0,Ex,VLOOKUP(DATE(U$7,12,1),Curves_Table,Escalation!$L$291))</f>
        <v>1.0649999999999999</v>
      </c>
      <c r="V13" s="364">
        <f ca="1">IF(Assm!$L$58=0,Ex,VLOOKUP(DATE(V$7,12,1),Curves_Table,Escalation!$L$291))</f>
        <v>1.0649999999999999</v>
      </c>
      <c r="W13" s="364">
        <f ca="1">IF(Assm!$L$58=0,Ex,VLOOKUP(DATE(W$7,12,1),Curves_Table,Escalation!$L$291))</f>
        <v>1.0649999999999999</v>
      </c>
      <c r="X13" s="364">
        <f ca="1">IF(Assm!$L$58=0,Ex,VLOOKUP(DATE(X$7,12,1),Curves_Table,Escalation!$L$291))</f>
        <v>1.0649999999999999</v>
      </c>
      <c r="Y13" s="364">
        <f ca="1">IF(Assm!$L$58=0,Ex,VLOOKUP(DATE(Y$7,12,1),Curves_Table,Escalation!$L$291))</f>
        <v>1.0649999999999999</v>
      </c>
      <c r="Z13" s="422"/>
      <c r="AB13" s="130">
        <f t="shared" si="2"/>
        <v>7</v>
      </c>
    </row>
    <row r="14" spans="1:28" s="8" customFormat="1">
      <c r="A14" s="13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422"/>
      <c r="AB14" s="130">
        <f t="shared" si="2"/>
        <v>8</v>
      </c>
    </row>
    <row r="15" spans="1:28">
      <c r="A15" s="75" t="s">
        <v>535</v>
      </c>
      <c r="B15" s="32"/>
      <c r="C15" s="8"/>
      <c r="D15" s="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423"/>
      <c r="AB15" s="130">
        <f t="shared" si="2"/>
        <v>9</v>
      </c>
    </row>
    <row r="16" spans="1:28">
      <c r="A16" s="407" t="s">
        <v>903</v>
      </c>
      <c r="B16" s="20"/>
      <c r="C16" s="8"/>
      <c r="D16" s="8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423"/>
      <c r="AB16" s="130">
        <f t="shared" si="2"/>
        <v>10</v>
      </c>
    </row>
    <row r="17" spans="1:28">
      <c r="A17" s="137"/>
      <c r="B17" s="8" t="s">
        <v>904</v>
      </c>
      <c r="C17" s="8"/>
      <c r="D17" s="8"/>
      <c r="E17" s="228">
        <f ca="1">IF(E$7&lt;YEAR(Startops1),0,VLOOKUP(DATE(E$7,12,1),Revenue_Table,Transportation!$M$249))</f>
        <v>0</v>
      </c>
      <c r="F17" s="228">
        <f ca="1">IF(F$7&lt;YEAR(Startops1),0,VLOOKUP(DATE(F$7,12,1),Revenue_Table,Transportation!$M$249))</f>
        <v>0</v>
      </c>
      <c r="G17" s="228">
        <f ca="1">IF(G$7&lt;YEAR(Startops1),0,VLOOKUP(DATE(G$7,12,1),Revenue_Table,Transportation!$M$249))</f>
        <v>8464.0808224549692</v>
      </c>
      <c r="H17" s="228">
        <f ca="1">IF(H$7&lt;YEAR(Startops1),0,VLOOKUP(DATE(H$7,12,1),Revenue_Table,Transportation!$M$249))</f>
        <v>14255.135067986579</v>
      </c>
      <c r="I17" s="228">
        <f ca="1">IF(I$7&lt;YEAR(Startops1),0,VLOOKUP(DATE(I$7,12,1),Revenue_Table,Transportation!$M$249))</f>
        <v>14692.664326697153</v>
      </c>
      <c r="J17" s="228">
        <f ca="1">IF(J$7&lt;YEAR(Startops1),0,VLOOKUP(DATE(J$7,12,1),Revenue_Table,Transportation!$M$249))</f>
        <v>15166.72612902658</v>
      </c>
      <c r="K17" s="228">
        <f ca="1">IF(K$7&lt;YEAR(Startops1),0,VLOOKUP(DATE(K$7,12,1),Revenue_Table,Transportation!$M$249))</f>
        <v>15561.160593346081</v>
      </c>
      <c r="L17" s="228">
        <f ca="1">IF(L$7&lt;YEAR(Startops1),0,VLOOKUP(DATE(L$7,12,1),Revenue_Table,Transportation!$M$249))</f>
        <v>15999.636971276619</v>
      </c>
      <c r="M17" s="228">
        <f ca="1">IF(M$7&lt;YEAR(Startops1),0,VLOOKUP(DATE(M$7,12,1),Revenue_Table,Transportation!$M$249))</f>
        <v>16440.519434283349</v>
      </c>
      <c r="N17" s="228">
        <f ca="1">IF(N$7&lt;YEAR(Startops1),0,VLOOKUP(DATE(N$7,12,1),Revenue_Table,Transportation!$M$249))</f>
        <v>16928.933757916311</v>
      </c>
      <c r="O17" s="228">
        <f ca="1">IF(O$7&lt;YEAR(Startops1),0,VLOOKUP(DATE(O$7,12,1),Revenue_Table,Transportation!$M$249))</f>
        <v>17329.669654201614</v>
      </c>
      <c r="P17" s="228">
        <f ca="1">IF(P$7&lt;YEAR(Startops1),0,VLOOKUP(DATE(P$7,12,1),Revenue_Table,Transportation!$M$249))</f>
        <v>17779.888639887187</v>
      </c>
      <c r="Q17" s="228">
        <f ca="1">IF(Q$7&lt;YEAR(Startops1),0,VLOOKUP(DATE(Q$7,12,1),Revenue_Table,Transportation!$M$249))</f>
        <v>18234.952127638138</v>
      </c>
      <c r="R17" s="228">
        <f ca="1">IF(R$7&lt;YEAR(Startops1),0,VLOOKUP(DATE(R$7,12,1),Revenue_Table,Transportation!$M$249))</f>
        <v>18746.666400156511</v>
      </c>
      <c r="S17" s="228">
        <f ca="1">IF(S$7&lt;YEAR(Startops1),0,VLOOKUP(DATE(S$7,12,1),Revenue_Table,Transportation!$M$249))</f>
        <v>19166.346228832212</v>
      </c>
      <c r="T17" s="228">
        <f ca="1">IF(T$7&lt;YEAR(Startops1),0,VLOOKUP(DATE(T$7,12,1),Revenue_Table,Transportation!$M$249))</f>
        <v>19649.677431172586</v>
      </c>
      <c r="U17" s="228">
        <f ca="1">IF(U$7&lt;YEAR(Startops1),0,VLOOKUP(DATE(U$7,12,1),Revenue_Table,Transportation!$M$249))</f>
        <v>20151.15953644484</v>
      </c>
      <c r="V17" s="228">
        <f ca="1">IF(V$7&lt;YEAR(Startops1),0,VLOOKUP(DATE(V$7,12,1),Revenue_Table,Transportation!$M$249))</f>
        <v>20729.460453537933</v>
      </c>
      <c r="W17" s="228">
        <f ca="1">IF(W$7&lt;YEAR(Startops1),0,VLOOKUP(DATE(W$7,12,1),Revenue_Table,Transportation!$M$249))</f>
        <v>21219.933560102592</v>
      </c>
      <c r="X17" s="228">
        <f ca="1">IF(X$7&lt;YEAR(Startops1),0,VLOOKUP(DATE(X$7,12,1),Revenue_Table,Transportation!$M$249))</f>
        <v>21790.312478975764</v>
      </c>
      <c r="Y17" s="228">
        <f ca="1">IF(Y$7&lt;YEAR(Startops1),0,VLOOKUP(DATE(Y$7,12,1),Revenue_Table,Transportation!$M$249))</f>
        <v>7226.4497213103987</v>
      </c>
      <c r="Z17" s="424">
        <f ca="1">SUM(E17:Y17)</f>
        <v>319533.37333524739</v>
      </c>
      <c r="AB17" s="130">
        <f t="shared" si="2"/>
        <v>11</v>
      </c>
    </row>
    <row r="18" spans="1:28">
      <c r="A18" s="137"/>
      <c r="B18" s="32" t="s">
        <v>683</v>
      </c>
      <c r="C18" s="8"/>
      <c r="D18" s="86"/>
      <c r="E18" s="234">
        <f t="shared" ref="E18:Y18" ca="1" si="4">SUM(E17:E17)</f>
        <v>0</v>
      </c>
      <c r="F18" s="234">
        <f t="shared" ca="1" si="4"/>
        <v>0</v>
      </c>
      <c r="G18" s="234">
        <f t="shared" ca="1" si="4"/>
        <v>8464.0808224549692</v>
      </c>
      <c r="H18" s="234">
        <f t="shared" ca="1" si="4"/>
        <v>14255.135067986579</v>
      </c>
      <c r="I18" s="234">
        <f t="shared" ca="1" si="4"/>
        <v>14692.664326697153</v>
      </c>
      <c r="J18" s="234">
        <f t="shared" ca="1" si="4"/>
        <v>15166.72612902658</v>
      </c>
      <c r="K18" s="234">
        <f t="shared" ca="1" si="4"/>
        <v>15561.160593346081</v>
      </c>
      <c r="L18" s="234">
        <f t="shared" ca="1" si="4"/>
        <v>15999.636971276619</v>
      </c>
      <c r="M18" s="234">
        <f t="shared" ca="1" si="4"/>
        <v>16440.519434283349</v>
      </c>
      <c r="N18" s="234">
        <f t="shared" ca="1" si="4"/>
        <v>16928.933757916311</v>
      </c>
      <c r="O18" s="234">
        <f t="shared" ca="1" si="4"/>
        <v>17329.669654201614</v>
      </c>
      <c r="P18" s="234">
        <f t="shared" ca="1" si="4"/>
        <v>17779.888639887187</v>
      </c>
      <c r="Q18" s="234">
        <f t="shared" ca="1" si="4"/>
        <v>18234.952127638138</v>
      </c>
      <c r="R18" s="234">
        <f t="shared" ca="1" si="4"/>
        <v>18746.666400156511</v>
      </c>
      <c r="S18" s="234">
        <f t="shared" ca="1" si="4"/>
        <v>19166.346228832212</v>
      </c>
      <c r="T18" s="234">
        <f t="shared" ca="1" si="4"/>
        <v>19649.677431172586</v>
      </c>
      <c r="U18" s="234">
        <f t="shared" ca="1" si="4"/>
        <v>20151.15953644484</v>
      </c>
      <c r="V18" s="234">
        <f t="shared" ca="1" si="4"/>
        <v>20729.460453537933</v>
      </c>
      <c r="W18" s="234">
        <f t="shared" ca="1" si="4"/>
        <v>21219.933560102592</v>
      </c>
      <c r="X18" s="234">
        <f t="shared" ca="1" si="4"/>
        <v>21790.312478975764</v>
      </c>
      <c r="Y18" s="234">
        <f t="shared" ca="1" si="4"/>
        <v>7226.4497213103987</v>
      </c>
      <c r="Z18" s="425">
        <f ca="1">SUM(E18:Y18)</f>
        <v>319533.37333524739</v>
      </c>
      <c r="AB18" s="130">
        <f t="shared" si="2"/>
        <v>12</v>
      </c>
    </row>
    <row r="19" spans="1:28">
      <c r="A19" s="75"/>
      <c r="B19" s="32"/>
      <c r="C19" s="8"/>
      <c r="D19" s="86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425"/>
      <c r="AB19" s="130">
        <f t="shared" si="2"/>
        <v>13</v>
      </c>
    </row>
    <row r="20" spans="1:28">
      <c r="A20" s="75" t="s">
        <v>841</v>
      </c>
      <c r="B20" s="32"/>
      <c r="C20" s="8"/>
      <c r="D20" s="21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423"/>
      <c r="AB20" s="130">
        <f t="shared" si="2"/>
        <v>14</v>
      </c>
    </row>
    <row r="21" spans="1:28">
      <c r="A21" s="407" t="s">
        <v>322</v>
      </c>
      <c r="B21" s="20"/>
      <c r="C21" s="8"/>
      <c r="D21" s="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423"/>
      <c r="AB21" s="130">
        <f t="shared" si="2"/>
        <v>15</v>
      </c>
    </row>
    <row r="22" spans="1:28">
      <c r="A22" s="137"/>
      <c r="B22" s="8" t="str">
        <f>Assm!A40</f>
        <v>Salaries &amp; Benefits</v>
      </c>
      <c r="C22" s="8"/>
      <c r="D22" s="8"/>
      <c r="E22" s="53">
        <f ca="1">Assm!$E40*E$9/12*E$12</f>
        <v>0</v>
      </c>
      <c r="F22" s="53">
        <f ca="1">Assm!$E40*F$9/12*F$12</f>
        <v>0</v>
      </c>
      <c r="G22" s="53">
        <f ca="1">Assm!$E40*G$9/12*G$12</f>
        <v>159.59223534982002</v>
      </c>
      <c r="H22" s="53">
        <f ca="1">Assm!$E40*H$9/12*H$12</f>
        <v>197.62161651530309</v>
      </c>
      <c r="I22" s="53">
        <f ca="1">Assm!$E40*I$9/12*I$12</f>
        <v>203.57307129259394</v>
      </c>
      <c r="J22" s="53">
        <f ca="1">Assm!$E40*J$9/12*J$12</f>
        <v>209.51857560176435</v>
      </c>
      <c r="K22" s="53">
        <f ca="1">Assm!$E40*K$9/12*K$12</f>
        <v>215.50096558736161</v>
      </c>
      <c r="L22" s="53">
        <f ca="1">Assm!$E40*L$9/12*L$12</f>
        <v>221.5347430381558</v>
      </c>
      <c r="M22" s="53">
        <f ca="1">Assm!$E40*M$9/12*M$12</f>
        <v>227.59253956629249</v>
      </c>
      <c r="N22" s="53">
        <f ca="1">Assm!$E40*N$9/12*N$12</f>
        <v>233.68133314227074</v>
      </c>
      <c r="O22" s="53">
        <f ca="1">Assm!$E40*O$9/12*O$12</f>
        <v>239.82040167784081</v>
      </c>
      <c r="P22" s="53">
        <f ca="1">Assm!$E40*P$9/12*P$12</f>
        <v>246.01749689711366</v>
      </c>
      <c r="Q22" s="53">
        <f ca="1">Assm!$E40*Q$9/12*Q$12</f>
        <v>252.28520875238522</v>
      </c>
      <c r="R22" s="53">
        <f ca="1">Assm!$E40*R$9/12*R$12</f>
        <v>258.64672934746909</v>
      </c>
      <c r="S22" s="53">
        <f ca="1">Assm!$E40*S$9/12*S$12</f>
        <v>265.14028121589428</v>
      </c>
      <c r="T22" s="53">
        <f ca="1">Assm!$E40*T$9/12*T$12</f>
        <v>271.84067669980408</v>
      </c>
      <c r="U22" s="53">
        <f ca="1">Assm!$E40*U$9/12*U$12</f>
        <v>278.81082635225869</v>
      </c>
      <c r="V22" s="53">
        <f ca="1">Assm!$E40*V$9/12*V$12</f>
        <v>286.0812822758125</v>
      </c>
      <c r="W22" s="53">
        <f ca="1">Assm!$E40*W$9/12*W$12</f>
        <v>293.68516117099733</v>
      </c>
      <c r="X22" s="53">
        <f ca="1">Assm!$E40*X$9/12*X$12</f>
        <v>301.62127025999558</v>
      </c>
      <c r="Y22" s="53">
        <f ca="1">Assm!$E40*Y$9/12*Y$12</f>
        <v>103.29958521468288</v>
      </c>
      <c r="Z22" s="423">
        <f t="shared" ref="Z22:Z34" ca="1" si="5">SUM(E22:Y22)</f>
        <v>4465.8639999578172</v>
      </c>
      <c r="AB22" s="130">
        <f t="shared" si="2"/>
        <v>16</v>
      </c>
    </row>
    <row r="23" spans="1:28">
      <c r="A23" s="137"/>
      <c r="B23" s="8" t="str">
        <f>Assm!A41</f>
        <v>Administrative Expenses - General</v>
      </c>
      <c r="C23" s="8"/>
      <c r="D23" s="8"/>
      <c r="E23" s="53">
        <f ca="1">Assm!$E41*E$9/12*E$12</f>
        <v>0</v>
      </c>
      <c r="F23" s="53">
        <f ca="1">Assm!$E41*F$9/12*F$12</f>
        <v>0</v>
      </c>
      <c r="G23" s="53">
        <f ca="1">Assm!$E41*G$9/12*G$12</f>
        <v>49.373127786570343</v>
      </c>
      <c r="H23" s="53">
        <f ca="1">Assm!$E41*H$9/12*H$12</f>
        <v>61.138296009271755</v>
      </c>
      <c r="I23" s="53">
        <f ca="1">Assm!$E41*I$9/12*I$12</f>
        <v>62.979500480097585</v>
      </c>
      <c r="J23" s="53">
        <f ca="1">Assm!$E41*J$9/12*J$12</f>
        <v>64.818864051695101</v>
      </c>
      <c r="K23" s="53">
        <f ca="1">Assm!$E41*K$9/12*K$12</f>
        <v>66.669638963021782</v>
      </c>
      <c r="L23" s="53">
        <f ca="1">Assm!$E41*L$9/12*L$12</f>
        <v>68.536311639551371</v>
      </c>
      <c r="M23" s="53">
        <f ca="1">Assm!$E41*M$9/12*M$12</f>
        <v>70.410415109768053</v>
      </c>
      <c r="N23" s="53">
        <f ca="1">Assm!$E41*N$9/12*N$12</f>
        <v>72.294108151812807</v>
      </c>
      <c r="O23" s="53">
        <f ca="1">Assm!$E41*O$9/12*O$12</f>
        <v>74.193354782658076</v>
      </c>
      <c r="P23" s="53">
        <f ca="1">Assm!$E41*P$9/12*P$12</f>
        <v>76.110553156977659</v>
      </c>
      <c r="Q23" s="53">
        <f ca="1">Assm!$E41*Q$9/12*Q$12</f>
        <v>78.049598234461598</v>
      </c>
      <c r="R23" s="53">
        <f ca="1">Assm!$E41*R$9/12*R$12</f>
        <v>80.017664967592466</v>
      </c>
      <c r="S23" s="53">
        <f ca="1">Assm!$E41*S$9/12*S$12</f>
        <v>82.026578280234034</v>
      </c>
      <c r="T23" s="53">
        <f ca="1">Assm!$E41*T$9/12*T$12</f>
        <v>84.099482903209548</v>
      </c>
      <c r="U23" s="53">
        <f ca="1">Assm!$E41*U$9/12*U$12</f>
        <v>86.255841505041417</v>
      </c>
      <c r="V23" s="53">
        <f ca="1">Assm!$E41*V$9/12*V$12</f>
        <v>88.505106004616934</v>
      </c>
      <c r="W23" s="53">
        <f ca="1">Assm!$E41*W$9/12*W$12</f>
        <v>90.85752173175203</v>
      </c>
      <c r="X23" s="53">
        <f ca="1">Assm!$E41*X$9/12*X$12</f>
        <v>93.312719676190852</v>
      </c>
      <c r="Y23" s="53">
        <f ca="1">Assm!$E41*Y$9/12*Y$12</f>
        <v>31.957843123913623</v>
      </c>
      <c r="Z23" s="423">
        <f t="shared" ca="1" si="5"/>
        <v>1381.6065265584371</v>
      </c>
      <c r="AB23" s="130">
        <f t="shared" si="2"/>
        <v>17</v>
      </c>
    </row>
    <row r="24" spans="1:28">
      <c r="A24" s="137"/>
      <c r="B24" s="8" t="str">
        <f>Assm!A42</f>
        <v>Administrative Expenses - Transredes</v>
      </c>
      <c r="C24" s="8"/>
      <c r="D24" s="8"/>
      <c r="E24" s="53">
        <f ca="1">Assm!$E42*E$9/12*E$12</f>
        <v>0</v>
      </c>
      <c r="F24" s="53">
        <f ca="1">Assm!$E42*F$9/12*F$12</f>
        <v>0</v>
      </c>
      <c r="G24" s="53">
        <f ca="1">Assm!$E42*G$9/12*G$12</f>
        <v>228.57929530819607</v>
      </c>
      <c r="H24" s="53">
        <f ca="1">Assm!$E42*H$9/12*H$12</f>
        <v>283.04766670959145</v>
      </c>
      <c r="I24" s="53">
        <f ca="1">Assm!$E42*I$9/12*I$12</f>
        <v>291.57176148193327</v>
      </c>
      <c r="J24" s="53">
        <f ca="1">Assm!$E42*J$9/12*J$12</f>
        <v>300.08733357266249</v>
      </c>
      <c r="K24" s="53">
        <f ca="1">Assm!$E42*K$9/12*K$12</f>
        <v>308.6557359399157</v>
      </c>
      <c r="L24" s="53">
        <f ca="1">Assm!$E42*L$9/12*L$12</f>
        <v>317.29773907199711</v>
      </c>
      <c r="M24" s="53">
        <f ca="1">Assm!$E42*M$9/12*M$12</f>
        <v>325.97414402670393</v>
      </c>
      <c r="N24" s="53">
        <f ca="1">Assm!$E42*N$9/12*N$12</f>
        <v>334.69494514728149</v>
      </c>
      <c r="O24" s="53">
        <f ca="1">Assm!$E42*O$9/12*O$12</f>
        <v>343.48775362341706</v>
      </c>
      <c r="P24" s="53">
        <f ca="1">Assm!$E42*P$9/12*P$12</f>
        <v>352.36367202304473</v>
      </c>
      <c r="Q24" s="53">
        <f ca="1">Assm!$E42*Q$9/12*Q$12</f>
        <v>361.34073256695183</v>
      </c>
      <c r="R24" s="53">
        <f ca="1">Assm!$E42*R$9/12*R$12</f>
        <v>370.45215262774292</v>
      </c>
      <c r="S24" s="53">
        <f ca="1">Assm!$E42*S$9/12*S$12</f>
        <v>379.75267722330568</v>
      </c>
      <c r="T24" s="53">
        <f ca="1">Assm!$E42*T$9/12*T$12</f>
        <v>389.34945788522941</v>
      </c>
      <c r="U24" s="53">
        <f ca="1">Assm!$E42*U$9/12*U$12</f>
        <v>399.33259956037693</v>
      </c>
      <c r="V24" s="53">
        <f ca="1">Assm!$E42*V$9/12*V$12</f>
        <v>409.7458611324858</v>
      </c>
      <c r="W24" s="53">
        <f ca="1">Assm!$E42*W$9/12*W$12</f>
        <v>420.63667468403719</v>
      </c>
      <c r="X24" s="53">
        <f ca="1">Assm!$E42*X$9/12*X$12</f>
        <v>432.00333183421691</v>
      </c>
      <c r="Y24" s="53">
        <f ca="1">Assm!$E42*Y$9/12*Y$12</f>
        <v>147.95297742552603</v>
      </c>
      <c r="Z24" s="423">
        <f ca="1">SUM(E24:Y24)</f>
        <v>6396.326511844617</v>
      </c>
      <c r="AB24" s="130">
        <f t="shared" si="2"/>
        <v>18</v>
      </c>
    </row>
    <row r="25" spans="1:28">
      <c r="A25" s="137"/>
      <c r="B25" s="8" t="str">
        <f>Assm!A43</f>
        <v>Equipment Rental</v>
      </c>
      <c r="C25" s="8"/>
      <c r="D25" s="8"/>
      <c r="E25" s="53">
        <f ca="1">Trapped!F64</f>
        <v>0</v>
      </c>
      <c r="F25" s="53">
        <f ca="1">Trapped!G64</f>
        <v>0</v>
      </c>
      <c r="G25" s="53">
        <f ca="1">Trapped!H64</f>
        <v>601.68287881949584</v>
      </c>
      <c r="H25" s="53">
        <f ca="1">Trapped!I64</f>
        <v>745.05844774498973</v>
      </c>
      <c r="I25" s="53">
        <f ca="1">Trapped!J64</f>
        <v>1467.2684112962113</v>
      </c>
      <c r="J25" s="53">
        <f ca="1">Trapped!K64</f>
        <v>789.91148571797942</v>
      </c>
      <c r="K25" s="53">
        <f ca="1">Trapped!L64</f>
        <v>812.4658513540337</v>
      </c>
      <c r="L25" s="53">
        <f ca="1">Trapped!M64</f>
        <v>835.21395422252397</v>
      </c>
      <c r="M25" s="53">
        <f ca="1">Trapped!N64</f>
        <v>858.05261204546002</v>
      </c>
      <c r="N25" s="53">
        <f ca="1">Trapped!O64</f>
        <v>881.00813265272495</v>
      </c>
      <c r="O25" s="53">
        <f ca="1">Trapped!P64</f>
        <v>904.1531962058192</v>
      </c>
      <c r="P25" s="53">
        <f ca="1">Trapped!Q64</f>
        <v>927.51702768344398</v>
      </c>
      <c r="Q25" s="53">
        <f ca="1">Trapped!R64</f>
        <v>951.14709279547537</v>
      </c>
      <c r="R25" s="53">
        <f ca="1">Trapped!S64</f>
        <v>975.130828701734</v>
      </c>
      <c r="S25" s="53">
        <f ca="1">Trapped!T64</f>
        <v>1911.018764515879</v>
      </c>
      <c r="T25" s="53">
        <f ca="1">Trapped!U64</f>
        <v>1024.8736762064686</v>
      </c>
      <c r="U25" s="53">
        <f ca="1">Trapped!V64</f>
        <v>1051.1520205099926</v>
      </c>
      <c r="V25" s="53">
        <f ca="1">Trapped!W64</f>
        <v>1078.5625573749305</v>
      </c>
      <c r="W25" s="53">
        <f ca="1">Trapped!X64</f>
        <v>1107.2301409438999</v>
      </c>
      <c r="X25" s="53">
        <f ca="1">Trapped!Y64</f>
        <v>1137.1502742939178</v>
      </c>
      <c r="Y25" s="53">
        <f ca="1">Trapped!Z64</f>
        <v>389.45247979384425</v>
      </c>
      <c r="Z25" s="423">
        <f t="shared" ca="1" si="5"/>
        <v>18448.049832878827</v>
      </c>
      <c r="AB25" s="130">
        <f t="shared" si="2"/>
        <v>19</v>
      </c>
    </row>
    <row r="26" spans="1:28">
      <c r="A26" s="137"/>
      <c r="B26" s="8" t="str">
        <f>Assm!A44</f>
        <v>Other O&amp;M Expenses</v>
      </c>
      <c r="C26" s="8"/>
      <c r="D26" s="8"/>
      <c r="E26" s="53">
        <f ca="1">((Assm!$E44*E$9/12)+IF(OR(E$6=3,E$6=6,E$6=9,E$6=12,E$6=15,E$6=18),Assm!$B$44,0))*E$12</f>
        <v>0</v>
      </c>
      <c r="F26" s="53">
        <f ca="1">((Assm!$E44*F$9/12)+IF(OR(F$6=3,F$6=6,F$6=9,F$6=12,F$6=15,F$6=18),Assm!$B$44,0))*F$12</f>
        <v>0</v>
      </c>
      <c r="G26" s="53">
        <f ca="1">((Assm!$E44*G$9/12)+IF(OR(G$6=3,G$6=6,G$6=9,G$6=12,G$6=15,G$6=18),Assm!$B$44,0))*G$12</f>
        <v>28.526696054462867</v>
      </c>
      <c r="H26" s="53">
        <f ca="1">((Assm!$E44*H$9/12)+IF(OR(H$6=3,H$6=6,H$6=9,H$6=12,H$6=15,H$6=18),Assm!$B$44,0))*H$12</f>
        <v>8.151772801236234</v>
      </c>
      <c r="I26" s="53">
        <f ca="1">((Assm!$E44*I$9/12)+IF(OR(I$6=3,I$6=6,I$6=9,I$6=12,I$6=15,I$6=18),Assm!$B$44,0))*I$12</f>
        <v>8.3972667306796787</v>
      </c>
      <c r="J26" s="53">
        <f ca="1">((Assm!$E44*J$9/12)+IF(OR(J$6=3,J$6=6,J$6=9,J$6=12,J$6=15,J$6=18),Assm!$B$44,0))*J$12</f>
        <v>32.649501892705679</v>
      </c>
      <c r="K26" s="53">
        <f ca="1">((Assm!$E44*K$9/12)+IF(OR(K$6=3,K$6=6,K$6=9,K$6=12,K$6=15,K$6=18),Assm!$B$44,0))*K$12</f>
        <v>8.8892851950695722</v>
      </c>
      <c r="L26" s="53">
        <f ca="1">((Assm!$E44*L$9/12)+IF(OR(L$6=3,L$6=6,L$6=9,L$6=12,L$6=15,L$6=18),Assm!$B$44,0))*L$12</f>
        <v>9.1381748852735161</v>
      </c>
      <c r="M26" s="53">
        <f ca="1">((Assm!$E44*M$9/12)+IF(OR(M$6=3,M$6=6,M$6=9,M$6=12,M$6=15,M$6=18),Assm!$B$44,0))*M$12</f>
        <v>35.46598687010539</v>
      </c>
      <c r="N26" s="53">
        <f ca="1">((Assm!$E44*N$9/12)+IF(OR(N$6=3,N$6=6,N$6=9,N$6=12,N$6=15,N$6=18),Assm!$B$44,0))*N$12</f>
        <v>9.6392144202417072</v>
      </c>
      <c r="O26" s="53">
        <f ca="1">((Assm!$E44*O$9/12)+IF(OR(O$6=3,O$6=6,O$6=9,O$6=12,O$6=15,O$6=18),Assm!$B$44,0))*O$12</f>
        <v>9.8924473043544108</v>
      </c>
      <c r="P26" s="53">
        <f ca="1">((Assm!$E44*P$9/12)+IF(OR(P$6=3,P$6=6,P$6=9,P$6=12,P$6=15,P$6=18),Assm!$B$44,0))*P$12</f>
        <v>38.337167516107264</v>
      </c>
      <c r="Q26" s="53">
        <f ca="1">((Assm!$E44*Q$9/12)+IF(OR(Q$6=3,Q$6=6,Q$6=9,Q$6=12,Q$6=15,Q$6=18),Assm!$B$44,0))*Q$12</f>
        <v>10.406613097928213</v>
      </c>
      <c r="R26" s="53">
        <f ca="1">((Assm!$E44*R$9/12)+IF(OR(R$6=3,R$6=6,R$6=9,R$6=12,R$6=15,R$6=18),Assm!$B$44,0))*R$12</f>
        <v>10.669021995678996</v>
      </c>
      <c r="S26" s="53">
        <f ca="1">((Assm!$E44*S$9/12)+IF(OR(S$6=3,S$6=6,S$6=9,S$6=12,S$6=15,S$6=18),Assm!$B$44,0))*S$12</f>
        <v>41.317091281895657</v>
      </c>
      <c r="T26" s="53">
        <f ca="1">((Assm!$E44*T$9/12)+IF(OR(T$6=3,T$6=6,T$6=9,T$6=12,T$6=15,T$6=18),Assm!$B$44,0))*T$12</f>
        <v>11.213264387094608</v>
      </c>
      <c r="U26" s="53">
        <f ca="1">((Assm!$E44*U$9/12)+IF(OR(U$6=3,U$6=6,U$6=9,U$6=12,U$6=15,U$6=18),Assm!$B$44,0))*U$12</f>
        <v>11.500778867338855</v>
      </c>
      <c r="V26" s="53">
        <f ca="1">((Assm!$E44*V$9/12)+IF(OR(V$6=3,V$6=6,V$6=9,V$6=12,V$6=15,V$6=18),Assm!$B$44,0))*V$12</f>
        <v>44.580349691214451</v>
      </c>
      <c r="W26" s="53">
        <f ca="1">((Assm!$E44*W$9/12)+IF(OR(W$6=3,W$6=6,W$6=9,W$6=12,W$6=15,W$6=18),Assm!$B$44,0))*W$12</f>
        <v>12.114336230900271</v>
      </c>
      <c r="X26" s="53">
        <f ca="1">((Assm!$E44*X$9/12)+IF(OR(X$6=3,X$6=6,X$6=9,X$6=12,X$6=15,X$6=18),Assm!$B$44,0))*X$12</f>
        <v>12.441695956825447</v>
      </c>
      <c r="Y26" s="53">
        <f ca="1">((Assm!$E44*Y$9/12)+IF(OR(Y$6=3,Y$6=6,Y$6=9,Y$6=12,Y$6=15,Y$6=18),Assm!$B$44,0))*Y$12</f>
        <v>4.2610457498551497</v>
      </c>
      <c r="Z26" s="423">
        <f t="shared" ca="1" si="5"/>
        <v>347.59171092896804</v>
      </c>
      <c r="AB26" s="130">
        <f t="shared" si="2"/>
        <v>20</v>
      </c>
    </row>
    <row r="27" spans="1:28">
      <c r="A27" s="137"/>
      <c r="B27" s="8" t="str">
        <f>Assm!A45</f>
        <v>Gas Loss</v>
      </c>
      <c r="C27" s="8"/>
      <c r="D27" s="8"/>
      <c r="E27" s="53">
        <f ca="1">Assm!$E45*E$9/12*E$12</f>
        <v>0</v>
      </c>
      <c r="F27" s="53">
        <f ca="1">Assm!$E45*F$9/12*F$12</f>
        <v>0</v>
      </c>
      <c r="G27" s="53">
        <f ca="1">Assm!$E45*G$9/12*G$12</f>
        <v>0</v>
      </c>
      <c r="H27" s="53">
        <f ca="1">Assm!$E45*H$9/12*H$12</f>
        <v>0</v>
      </c>
      <c r="I27" s="53">
        <f ca="1">Assm!$E45*I$9/12*I$12</f>
        <v>0</v>
      </c>
      <c r="J27" s="53">
        <f ca="1">Assm!$E45*J$9/12*J$12</f>
        <v>0</v>
      </c>
      <c r="K27" s="53">
        <f ca="1">Assm!$E45*K$9/12*K$12</f>
        <v>0</v>
      </c>
      <c r="L27" s="53">
        <f ca="1">Assm!$E45*L$9/12*L$12</f>
        <v>0</v>
      </c>
      <c r="M27" s="53">
        <f ca="1">Assm!$E45*M$9/12*M$12</f>
        <v>0</v>
      </c>
      <c r="N27" s="53">
        <f ca="1">Assm!$E45*N$9/12*N$12</f>
        <v>0</v>
      </c>
      <c r="O27" s="53">
        <f ca="1">Assm!$E45*O$9/12*O$12</f>
        <v>0</v>
      </c>
      <c r="P27" s="53">
        <f ca="1">Assm!$E45*P$9/12*P$12</f>
        <v>0</v>
      </c>
      <c r="Q27" s="53">
        <f ca="1">Assm!$E45*Q$9/12*Q$12</f>
        <v>0</v>
      </c>
      <c r="R27" s="53">
        <f ca="1">Assm!$E45*R$9/12*R$12</f>
        <v>0</v>
      </c>
      <c r="S27" s="53">
        <f ca="1">Assm!$E45*S$9/12*S$12</f>
        <v>0</v>
      </c>
      <c r="T27" s="53">
        <f ca="1">Assm!$E45*T$9/12*T$12</f>
        <v>0</v>
      </c>
      <c r="U27" s="53">
        <f ca="1">Assm!$E45*U$9/12*U$12</f>
        <v>0</v>
      </c>
      <c r="V27" s="53">
        <f ca="1">Assm!$E45*V$9/12*V$12</f>
        <v>0</v>
      </c>
      <c r="W27" s="53">
        <f ca="1">Assm!$E45*W$9/12*W$12</f>
        <v>0</v>
      </c>
      <c r="X27" s="53">
        <f ca="1">Assm!$E45*X$9/12*X$12</f>
        <v>0</v>
      </c>
      <c r="Y27" s="53">
        <f ca="1">Assm!$E45*Y$9/12*Y$12</f>
        <v>0</v>
      </c>
      <c r="Z27" s="423">
        <f t="shared" ca="1" si="5"/>
        <v>0</v>
      </c>
      <c r="AB27" s="130">
        <f t="shared" si="2"/>
        <v>21</v>
      </c>
    </row>
    <row r="28" spans="1:28">
      <c r="A28" s="137"/>
      <c r="B28" s="8" t="str">
        <f>Assm!A46</f>
        <v>Technical Services Fee</v>
      </c>
      <c r="C28" s="278" t="s">
        <v>211</v>
      </c>
      <c r="D28" s="8"/>
      <c r="E28" s="53">
        <f ca="1">Assm!$E46*E$9/12*E$12</f>
        <v>0</v>
      </c>
      <c r="F28" s="53">
        <f ca="1">Assm!$E46*F$9/12*F$12</f>
        <v>0</v>
      </c>
      <c r="G28" s="53">
        <f ca="1">Assm!$E46*G$9/12*G$12</f>
        <v>154.80487058888517</v>
      </c>
      <c r="H28" s="53">
        <f ca="1">Assm!$E46*H$9/12*H$12</f>
        <v>191.69346618373743</v>
      </c>
      <c r="I28" s="53">
        <f ca="1">Assm!$E46*I$9/12*I$12</f>
        <v>197.46639232011634</v>
      </c>
      <c r="J28" s="53">
        <f ca="1">Assm!$E46*J$9/12*J$12</f>
        <v>203.23354648741855</v>
      </c>
      <c r="K28" s="53">
        <f ca="1">Assm!$E46*K$9/12*K$12</f>
        <v>209.03647985383603</v>
      </c>
      <c r="L28" s="53">
        <f ca="1">Assm!$E46*L$9/12*L$12</f>
        <v>214.8892591910319</v>
      </c>
      <c r="M28" s="53">
        <f ca="1">Assm!$E46*M$9/12*M$12</f>
        <v>220.7653370937972</v>
      </c>
      <c r="N28" s="53">
        <f ca="1">Assm!$E46*N$9/12*N$12</f>
        <v>226.67148221110611</v>
      </c>
      <c r="O28" s="53">
        <f ca="1">Assm!$E46*O$9/12*O$12</f>
        <v>232.62639416595195</v>
      </c>
      <c r="P28" s="53">
        <f ca="1">Assm!$E46*P$9/12*P$12</f>
        <v>238.63759215026303</v>
      </c>
      <c r="Q28" s="53">
        <f ca="1">Assm!$E46*Q$9/12*Q$12</f>
        <v>244.717288449503</v>
      </c>
      <c r="R28" s="53">
        <f ca="1">Assm!$E46*R$9/12*R$12</f>
        <v>250.88797946283364</v>
      </c>
      <c r="S28" s="53">
        <f ca="1">Assm!$E46*S$9/12*S$12</f>
        <v>257.18674114412937</v>
      </c>
      <c r="T28" s="53">
        <f ca="1">Assm!$E46*T$9/12*T$12</f>
        <v>263.68614165385588</v>
      </c>
      <c r="U28" s="53">
        <f ca="1">Assm!$E46*U$9/12*U$12</f>
        <v>270.44720438706617</v>
      </c>
      <c r="V28" s="53">
        <f ca="1">Assm!$E46*V$9/12*V$12</f>
        <v>277.49956496025374</v>
      </c>
      <c r="W28" s="53">
        <f ca="1">Assm!$E46*W$9/12*W$12</f>
        <v>284.87534665641482</v>
      </c>
      <c r="X28" s="53">
        <f ca="1">Assm!$E46*X$9/12*X$12</f>
        <v>292.57339247805976</v>
      </c>
      <c r="Y28" s="53">
        <f ca="1">Assm!$E46*Y$9/12*Y$12</f>
        <v>100.20085805548266</v>
      </c>
      <c r="Z28" s="423">
        <f ca="1">SUM(E28:Y28)</f>
        <v>4331.8993374937436</v>
      </c>
      <c r="AB28" s="130">
        <f t="shared" si="2"/>
        <v>22</v>
      </c>
    </row>
    <row r="29" spans="1:28">
      <c r="A29" s="137"/>
      <c r="B29" s="8" t="str">
        <f>Assm!A47</f>
        <v>Capital Budget Expenses (See Trapped Cash Sheet)</v>
      </c>
      <c r="C29" s="97"/>
      <c r="D29" s="8"/>
      <c r="E29" s="53">
        <f ca="1">IF(E$7&lt;YEAR(Startops1),0,Trapped!F43*E$12)</f>
        <v>0</v>
      </c>
      <c r="F29" s="53">
        <f ca="1">IF(F$7&lt;YEAR(Startops1),0,Trapped!G43*F$12)</f>
        <v>0</v>
      </c>
      <c r="G29" s="53">
        <f ca="1">IF(G$7&lt;YEAR(Startops1),0,Trapped!H43*G$12)</f>
        <v>14.263348027231434</v>
      </c>
      <c r="H29" s="53">
        <f ca="1">IF(H$7&lt;YEAR(Startops1),0,Trapped!I43*H$12)</f>
        <v>59.440010009014209</v>
      </c>
      <c r="I29" s="53">
        <f ca="1">IF(I$7&lt;YEAR(Startops1),0,Trapped!J43*I$12)</f>
        <v>227.42597395590795</v>
      </c>
      <c r="J29" s="53">
        <f ca="1">IF(J$7&lt;YEAR(Startops1),0,Trapped!K43*J$12)</f>
        <v>15.604541345778449</v>
      </c>
      <c r="K29" s="53">
        <f ca="1">IF(K$7&lt;YEAR(Startops1),0,Trapped!L43*K$12)</f>
        <v>16.050098268875615</v>
      </c>
      <c r="L29" s="53">
        <f ca="1">IF(L$7&lt;YEAR(Startops1),0,Trapped!M43*L$12)</f>
        <v>108.51582676262301</v>
      </c>
      <c r="M29" s="53">
        <f ca="1">IF(M$7&lt;YEAR(Startops1),0,Trapped!N43*M$12)</f>
        <v>16.950655489388605</v>
      </c>
      <c r="N29" s="53">
        <f ca="1">IF(N$7&lt;YEAR(Startops1),0,Trapped!O43*N$12)</f>
        <v>261.06205721487959</v>
      </c>
      <c r="O29" s="53">
        <f ca="1">IF(O$7&lt;YEAR(Startops1),0,Trapped!P43*O$12)</f>
        <v>17.861363188417688</v>
      </c>
      <c r="P29" s="53">
        <f ca="1">IF(P$7&lt;YEAR(Startops1),0,Trapped!Q43*P$12)</f>
        <v>73.996371124839399</v>
      </c>
      <c r="Q29" s="53">
        <f ca="1">IF(Q$7&lt;YEAR(Startops1),0,Trapped!R43*Q$12)</f>
        <v>18.789718093481493</v>
      </c>
      <c r="R29" s="53">
        <f ca="1">IF(R$7&lt;YEAR(Startops1),0,Trapped!S43*R$12)</f>
        <v>19.26351193664263</v>
      </c>
      <c r="S29" s="53">
        <f ca="1">IF(S$7&lt;YEAR(Startops1),0,Trapped!T43*S$12)</f>
        <v>296.20708823417846</v>
      </c>
      <c r="T29" s="53">
        <f ca="1">IF(T$7&lt;YEAR(Startops1),0,Trapped!U43*T$12)</f>
        <v>133.15751459674846</v>
      </c>
      <c r="U29" s="53">
        <f ca="1">IF(U$7&lt;YEAR(Startops1),0,Trapped!V43*U$12)</f>
        <v>20.765295177139599</v>
      </c>
      <c r="V29" s="53">
        <f ca="1">IF(V$7&lt;YEAR(Startops1),0,Trapped!W43*V$12)</f>
        <v>21.306784778889259</v>
      </c>
      <c r="W29" s="53">
        <f ca="1">IF(W$7&lt;YEAR(Startops1),0,Trapped!X43*W$12)</f>
        <v>21.873107083569934</v>
      </c>
      <c r="X29" s="53">
        <f ca="1">IF(X$7&lt;YEAR(Startops1),0,Trapped!Y43*X$12)</f>
        <v>0</v>
      </c>
      <c r="Y29" s="53">
        <f ca="1">IF(Y$7&lt;YEAR(Startops1),0,Trapped!Z43*Y$12)</f>
        <v>0</v>
      </c>
      <c r="Z29" s="423">
        <f ca="1">SUM(E29:Y29)</f>
        <v>1342.5332652876061</v>
      </c>
      <c r="AB29" s="130">
        <f t="shared" si="2"/>
        <v>23</v>
      </c>
    </row>
    <row r="30" spans="1:28">
      <c r="A30" s="137"/>
      <c r="B30" s="8" t="str">
        <f>Assm!A48</f>
        <v>Operating Insurance</v>
      </c>
      <c r="C30" s="278" t="s">
        <v>211</v>
      </c>
      <c r="D30" s="8"/>
      <c r="E30" s="228">
        <f ca="1">Assm!$E48*E$9/12*E$12</f>
        <v>0</v>
      </c>
      <c r="F30" s="228">
        <f ca="1">Assm!$E48*F$9/12*F$12</f>
        <v>0</v>
      </c>
      <c r="G30" s="228">
        <f ca="1">Assm!$E48*G$9/12*G$12</f>
        <v>339.06172621964078</v>
      </c>
      <c r="H30" s="228">
        <f ca="1">Assm!$E48*H$9/12*H$12</f>
        <v>419.85705812767225</v>
      </c>
      <c r="I30" s="228">
        <f ca="1">Assm!$E48*I$9/12*I$12</f>
        <v>432.5012229636568</v>
      </c>
      <c r="J30" s="228">
        <f ca="1">Assm!$E48*J$9/12*J$12</f>
        <v>445.1327457310075</v>
      </c>
      <c r="K30" s="228">
        <f ca="1">Assm!$E48*K$9/12*K$12</f>
        <v>457.84263397205831</v>
      </c>
      <c r="L30" s="228">
        <f ca="1">Assm!$E48*L$9/12*L$12</f>
        <v>470.66169746601247</v>
      </c>
      <c r="M30" s="228">
        <f ca="1">Assm!$E48*M$9/12*M$12</f>
        <v>483.53179069714713</v>
      </c>
      <c r="N30" s="228">
        <f ca="1">Assm!$E48*N$9/12*N$12</f>
        <v>496.46773871454911</v>
      </c>
      <c r="O30" s="228">
        <f ca="1">Assm!$E48*O$9/12*O$12</f>
        <v>509.51049841077395</v>
      </c>
      <c r="P30" s="228">
        <f ca="1">Assm!$E48*P$9/12*P$12</f>
        <v>522.67653871335131</v>
      </c>
      <c r="Q30" s="228">
        <f ca="1">Assm!$E48*Q$9/12*Q$12</f>
        <v>535.99260760879258</v>
      </c>
      <c r="R30" s="228">
        <f ca="1">Assm!$E48*R$9/12*R$12</f>
        <v>549.50797788744671</v>
      </c>
      <c r="S30" s="228">
        <f ca="1">Assm!$E48*S$9/12*S$12</f>
        <v>563.30385524312715</v>
      </c>
      <c r="T30" s="228">
        <f ca="1">Assm!$E48*T$9/12*T$12</f>
        <v>577.53918225730774</v>
      </c>
      <c r="U30" s="228">
        <f ca="1">Assm!$E48*U$9/12*U$12</f>
        <v>592.34761556228773</v>
      </c>
      <c r="V30" s="228">
        <f ca="1">Assm!$E48*V$9/12*V$12</f>
        <v>607.79406463570604</v>
      </c>
      <c r="W30" s="228">
        <f ca="1">Assm!$E48*W$9/12*W$12</f>
        <v>623.94888757251852</v>
      </c>
      <c r="X30" s="228">
        <f ca="1">Assm!$E48*X$9/12*X$12</f>
        <v>640.80955025629464</v>
      </c>
      <c r="Y30" s="228">
        <f ca="1">Assm!$E48*Y$9/12*Y$12</f>
        <v>219.46516134628951</v>
      </c>
      <c r="Z30" s="424">
        <f t="shared" ca="1" si="5"/>
        <v>9487.9525533856377</v>
      </c>
      <c r="AB30" s="130">
        <f t="shared" si="2"/>
        <v>24</v>
      </c>
    </row>
    <row r="31" spans="1:28">
      <c r="A31" s="137"/>
      <c r="B31" s="32" t="s">
        <v>188</v>
      </c>
      <c r="C31" s="97"/>
      <c r="D31" s="8"/>
      <c r="E31" s="234">
        <f ca="1">SUM(E22:E30)*[4]RAROC!D83</f>
        <v>0</v>
      </c>
      <c r="F31" s="234">
        <f ca="1">SUM(F22:F30)*[4]RAROC!E83</f>
        <v>0</v>
      </c>
      <c r="G31" s="234">
        <f ca="1">SUM(G22:G30)*[4]RAROC!F83</f>
        <v>1575.8841781543026</v>
      </c>
      <c r="H31" s="234">
        <f ca="1">SUM(H22:H30)*[4]RAROC!G83</f>
        <v>1966.008334100816</v>
      </c>
      <c r="I31" s="234">
        <f ca="1">SUM(I22:I30)*[4]RAROC!H83</f>
        <v>2891.1836005211967</v>
      </c>
      <c r="J31" s="234">
        <f ca="1">SUM(J22:J30)*[4]RAROC!I83</f>
        <v>2473.1479132812137</v>
      </c>
      <c r="K31" s="234">
        <f ca="1">SUM(K22:K30)*[4]RAROC!J83</f>
        <v>2095.1106891341724</v>
      </c>
      <c r="L31" s="234">
        <f ca="1">SUM(L22:L30)*[4]RAROC!K83</f>
        <v>2245.787706277169</v>
      </c>
      <c r="M31" s="234">
        <f ca="1">SUM(M22:M30)*[4]RAROC!L83</f>
        <v>2238.7434808986627</v>
      </c>
      <c r="N31" s="234">
        <f ca="1">SUM(N22:N30)*[4]RAROC!M83</f>
        <v>2515.5190116548665</v>
      </c>
      <c r="O31" s="234">
        <f ca="1">SUM(O22:O30)*[4]RAROC!N83</f>
        <v>2331.5454093592334</v>
      </c>
      <c r="P31" s="234">
        <f ca="1">SUM(P22:P30)*[4]RAROC!O83</f>
        <v>2475.6564192651413</v>
      </c>
      <c r="Q31" s="234">
        <f ca="1">SUM(Q22:Q30)*[4]RAROC!P83</f>
        <v>2452.7288595989794</v>
      </c>
      <c r="R31" s="234">
        <f ca="1">SUM(R22:R30)*[4]RAROC!Q83</f>
        <v>2514.5758669271404</v>
      </c>
      <c r="S31" s="234">
        <f ca="1">SUM(S22:S30)*[4]RAROC!R83</f>
        <v>3795.9530771386435</v>
      </c>
      <c r="T31" s="234">
        <f ca="1">SUM(T22:T30)*[4]RAROC!S83</f>
        <v>2755.7593965897186</v>
      </c>
      <c r="U31" s="234">
        <f ca="1">SUM(U22:U30)*[4]RAROC!T83</f>
        <v>2710.6121819215023</v>
      </c>
      <c r="V31" s="234">
        <f ca="1">SUM(V22:V30)*[4]RAROC!U83</f>
        <v>2814.0755708539091</v>
      </c>
      <c r="W31" s="234">
        <f ca="1">SUM(W22:W30)*[4]RAROC!V83</f>
        <v>2855.2211760740902</v>
      </c>
      <c r="X31" s="234">
        <f ca="1">SUM(X22:X30)*[4]RAROC!W83</f>
        <v>2909.9122347555012</v>
      </c>
      <c r="Y31" s="234">
        <f ca="1">SUM(Y22:Y30)*[4]RAROC!X83</f>
        <v>996.58995070959406</v>
      </c>
      <c r="Z31" s="425">
        <f t="shared" ca="1" si="5"/>
        <v>46614.01505721586</v>
      </c>
      <c r="AB31" s="130">
        <f t="shared" si="2"/>
        <v>25</v>
      </c>
    </row>
    <row r="32" spans="1:28">
      <c r="A32" s="137"/>
      <c r="B32" s="8" t="s">
        <v>720</v>
      </c>
      <c r="C32" s="16">
        <f>Wh_Serv/(1-Wh_Serv)</f>
        <v>0.17647058823529413</v>
      </c>
      <c r="D32" s="8"/>
      <c r="E32" s="53">
        <f ca="1">SUM(E28,E30)*$C32</f>
        <v>0</v>
      </c>
      <c r="F32" s="53">
        <f t="shared" ref="F32:Y32" ca="1" si="6">SUM(F28,F30)*$C32</f>
        <v>0</v>
      </c>
      <c r="G32" s="53">
        <f t="shared" ca="1" si="6"/>
        <v>87.152928848563405</v>
      </c>
      <c r="H32" s="53">
        <f t="shared" ca="1" si="6"/>
        <v>107.920680760837</v>
      </c>
      <c r="I32" s="53">
        <f t="shared" ca="1" si="6"/>
        <v>111.17075563831293</v>
      </c>
      <c r="J32" s="53">
        <f t="shared" ca="1" si="6"/>
        <v>114.41758097972225</v>
      </c>
      <c r="K32" s="53">
        <f t="shared" ca="1" si="6"/>
        <v>117.68454949868725</v>
      </c>
      <c r="L32" s="53">
        <f t="shared" ca="1" si="6"/>
        <v>120.97958058653725</v>
      </c>
      <c r="M32" s="53">
        <f t="shared" ca="1" si="6"/>
        <v>124.28772843369607</v>
      </c>
      <c r="N32" s="53">
        <f t="shared" ca="1" si="6"/>
        <v>127.6128036927627</v>
      </c>
      <c r="O32" s="53">
        <f t="shared" ca="1" si="6"/>
        <v>130.96533398412811</v>
      </c>
      <c r="P32" s="53">
        <f t="shared" ca="1" si="6"/>
        <v>134.34955250534372</v>
      </c>
      <c r="Q32" s="53">
        <f t="shared" ca="1" si="6"/>
        <v>137.77233459852278</v>
      </c>
      <c r="R32" s="53">
        <f t="shared" ca="1" si="6"/>
        <v>141.24634541475535</v>
      </c>
      <c r="S32" s="53">
        <f t="shared" ca="1" si="6"/>
        <v>144.79245818598648</v>
      </c>
      <c r="T32" s="53">
        <f t="shared" ca="1" si="6"/>
        <v>148.45152774902888</v>
      </c>
      <c r="U32" s="53">
        <f t="shared" ca="1" si="6"/>
        <v>152.25790940282718</v>
      </c>
      <c r="V32" s="53">
        <f t="shared" ca="1" si="6"/>
        <v>156.22828757575763</v>
      </c>
      <c r="W32" s="53">
        <f t="shared" ca="1" si="6"/>
        <v>160.38074721687062</v>
      </c>
      <c r="X32" s="53">
        <f t="shared" ca="1" si="6"/>
        <v>164.71463695312138</v>
      </c>
      <c r="Y32" s="53">
        <f t="shared" ca="1" si="6"/>
        <v>56.411650482665671</v>
      </c>
      <c r="Z32" s="423">
        <f t="shared" ca="1" si="5"/>
        <v>2438.7973925081269</v>
      </c>
      <c r="AB32" s="130">
        <f t="shared" si="2"/>
        <v>26</v>
      </c>
    </row>
    <row r="33" spans="1:28">
      <c r="A33" s="137"/>
      <c r="B33" s="8" t="s">
        <v>719</v>
      </c>
      <c r="C33" s="16">
        <f>(Pis+Cofins)/(1-(Pis+Cofins))</f>
        <v>3.7882719252724441E-2</v>
      </c>
      <c r="D33" s="8"/>
      <c r="E33" s="228">
        <f t="shared" ref="E33:Y33" ca="1" si="7">SUM(E31:E32)*$C33</f>
        <v>0</v>
      </c>
      <c r="F33" s="228">
        <f t="shared" ca="1" si="7"/>
        <v>0</v>
      </c>
      <c r="G33" s="228">
        <f t="shared" ca="1" si="7"/>
        <v>63.000367831452628</v>
      </c>
      <c r="H33" s="228">
        <f t="shared" ca="1" si="7"/>
        <v>78.566070620083366</v>
      </c>
      <c r="I33" s="228">
        <f t="shared" ca="1" si="7"/>
        <v>113.73734717158496</v>
      </c>
      <c r="J33" s="228">
        <f t="shared" ca="1" si="7"/>
        <v>98.024017167124185</v>
      </c>
      <c r="K33" s="228">
        <f t="shared" ca="1" si="7"/>
        <v>83.826700788894016</v>
      </c>
      <c r="L33" s="228">
        <f t="shared" ca="1" si="7"/>
        <v>89.659580664790127</v>
      </c>
      <c r="M33" s="228">
        <f t="shared" ca="1" si="7"/>
        <v>89.518047888563657</v>
      </c>
      <c r="N33" s="228">
        <f t="shared" ca="1" si="7"/>
        <v>100.12902050875813</v>
      </c>
      <c r="O33" s="228">
        <f t="shared" ca="1" si="7"/>
        <v>93.286603146894336</v>
      </c>
      <c r="P33" s="228">
        <f t="shared" ca="1" si="7"/>
        <v>98.874123476515507</v>
      </c>
      <c r="Q33" s="228">
        <f t="shared" ca="1" si="7"/>
        <v>98.135229463631376</v>
      </c>
      <c r="R33" s="228">
        <f t="shared" ca="1" si="7"/>
        <v>100.60976725529756</v>
      </c>
      <c r="S33" s="228">
        <f t="shared" ca="1" si="7"/>
        <v>149.28615676113026</v>
      </c>
      <c r="T33" s="228">
        <f t="shared" ca="1" si="7"/>
        <v>110.01940709742011</v>
      </c>
      <c r="U33" s="228">
        <f t="shared" ca="1" si="7"/>
        <v>108.45330392666115</v>
      </c>
      <c r="V33" s="228">
        <f t="shared" ca="1" si="7"/>
        <v>112.52318716417524</v>
      </c>
      <c r="W33" s="228">
        <f t="shared" ca="1" si="7"/>
        <v>114.23920103800732</v>
      </c>
      <c r="X33" s="228">
        <f t="shared" ca="1" si="7"/>
        <v>116.47522658782016</v>
      </c>
      <c r="Y33" s="228">
        <f t="shared" ca="1" si="7"/>
        <v>39.890564030635687</v>
      </c>
      <c r="Z33" s="424">
        <f t="shared" ca="1" si="5"/>
        <v>1858.2539225894398</v>
      </c>
      <c r="AB33" s="130">
        <f t="shared" si="2"/>
        <v>27</v>
      </c>
    </row>
    <row r="34" spans="1:28">
      <c r="A34" s="137"/>
      <c r="B34" s="32" t="s">
        <v>323</v>
      </c>
      <c r="C34" s="32"/>
      <c r="D34" s="8"/>
      <c r="E34" s="234">
        <f ca="1">SUM(E31:E33)</f>
        <v>0</v>
      </c>
      <c r="F34" s="234">
        <f t="shared" ref="F34:Y34" ca="1" si="8">SUM(F31:F33)</f>
        <v>0</v>
      </c>
      <c r="G34" s="234">
        <f t="shared" ca="1" si="8"/>
        <v>1726.0374748343186</v>
      </c>
      <c r="H34" s="234">
        <f t="shared" ca="1" si="8"/>
        <v>2152.4950854817362</v>
      </c>
      <c r="I34" s="234">
        <f t="shared" ca="1" si="8"/>
        <v>3116.0917033310948</v>
      </c>
      <c r="J34" s="234">
        <f t="shared" ca="1" si="8"/>
        <v>2685.5895114280602</v>
      </c>
      <c r="K34" s="234">
        <f t="shared" ca="1" si="8"/>
        <v>2296.6219394217537</v>
      </c>
      <c r="L34" s="234">
        <f t="shared" ca="1" si="8"/>
        <v>2456.4268675284966</v>
      </c>
      <c r="M34" s="234">
        <f t="shared" ca="1" si="8"/>
        <v>2452.5492572209223</v>
      </c>
      <c r="N34" s="234">
        <f t="shared" ca="1" si="8"/>
        <v>2743.2608358563871</v>
      </c>
      <c r="O34" s="234">
        <f t="shared" ca="1" si="8"/>
        <v>2555.7973464902557</v>
      </c>
      <c r="P34" s="234">
        <f t="shared" ca="1" si="8"/>
        <v>2708.8800952470006</v>
      </c>
      <c r="Q34" s="234">
        <f t="shared" ca="1" si="8"/>
        <v>2688.6364236611334</v>
      </c>
      <c r="R34" s="234">
        <f t="shared" ca="1" si="8"/>
        <v>2756.4319795971933</v>
      </c>
      <c r="S34" s="234">
        <f t="shared" ca="1" si="8"/>
        <v>4090.0316920857604</v>
      </c>
      <c r="T34" s="234">
        <f t="shared" ca="1" si="8"/>
        <v>3014.2303314361679</v>
      </c>
      <c r="U34" s="234">
        <f t="shared" ca="1" si="8"/>
        <v>2971.3233952509904</v>
      </c>
      <c r="V34" s="234">
        <f t="shared" ca="1" si="8"/>
        <v>3082.8270455938423</v>
      </c>
      <c r="W34" s="234">
        <f t="shared" ca="1" si="8"/>
        <v>3129.8411243289679</v>
      </c>
      <c r="X34" s="234">
        <f t="shared" ca="1" si="8"/>
        <v>3191.1020982964428</v>
      </c>
      <c r="Y34" s="234">
        <f t="shared" ca="1" si="8"/>
        <v>1092.8921652228955</v>
      </c>
      <c r="Z34" s="425">
        <f t="shared" ca="1" si="5"/>
        <v>50911.06637231342</v>
      </c>
      <c r="AB34" s="130">
        <f t="shared" si="2"/>
        <v>28</v>
      </c>
    </row>
    <row r="35" spans="1:28" s="6" customFormat="1">
      <c r="A35" s="75"/>
      <c r="B35" s="32"/>
      <c r="C35" s="8"/>
      <c r="D35" s="8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423"/>
      <c r="AB35" s="130">
        <f t="shared" si="2"/>
        <v>29</v>
      </c>
    </row>
    <row r="36" spans="1:28" s="6" customFormat="1">
      <c r="A36" s="75" t="s">
        <v>189</v>
      </c>
      <c r="B36" s="32"/>
      <c r="C36" s="32"/>
      <c r="D36" s="8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423"/>
      <c r="AB36" s="130">
        <f t="shared" si="2"/>
        <v>30</v>
      </c>
    </row>
    <row r="37" spans="1:28">
      <c r="A37" s="408"/>
      <c r="B37" s="87" t="s">
        <v>324</v>
      </c>
      <c r="C37" s="28"/>
      <c r="D37" s="87"/>
      <c r="E37" s="235">
        <f>Trapped!F39</f>
        <v>0</v>
      </c>
      <c r="F37" s="235">
        <f ca="1">Trapped!G39</f>
        <v>0</v>
      </c>
      <c r="G37" s="235">
        <f ca="1">Trapped!H39</f>
        <v>0</v>
      </c>
      <c r="H37" s="235">
        <f ca="1">Trapped!I39</f>
        <v>20.860533935559854</v>
      </c>
      <c r="I37" s="235">
        <f ca="1">Trapped!J39</f>
        <v>20.860533935559854</v>
      </c>
      <c r="J37" s="235">
        <f ca="1">Trapped!K39</f>
        <v>-233.80470755396323</v>
      </c>
      <c r="K37" s="235">
        <f ca="1">Trapped!L39</f>
        <v>-543.21167643212937</v>
      </c>
      <c r="L37" s="235">
        <f ca="1">Trapped!M39</f>
        <v>-790.67170649559432</v>
      </c>
      <c r="M37" s="235">
        <f ca="1">Trapped!N39</f>
        <v>-1056.64185128227</v>
      </c>
      <c r="N37" s="235">
        <f ca="1">Trapped!O39</f>
        <v>-1328.0224311569773</v>
      </c>
      <c r="O37" s="235">
        <f ca="1">Trapped!P39</f>
        <v>-1580.5368434716613</v>
      </c>
      <c r="P37" s="235">
        <f ca="1">Trapped!Q39</f>
        <v>-1625.1390053085852</v>
      </c>
      <c r="Q37" s="235">
        <f ca="1">Trapped!R39</f>
        <v>-1555.197010367031</v>
      </c>
      <c r="R37" s="235">
        <f ca="1">Trapped!S39</f>
        <v>-1503.2780519434066</v>
      </c>
      <c r="S37" s="235">
        <f ca="1">Trapped!T39</f>
        <v>-1468.1924691321917</v>
      </c>
      <c r="T37" s="235">
        <f ca="1">Trapped!U39</f>
        <v>-1269.9886038156772</v>
      </c>
      <c r="U37" s="235">
        <f ca="1">Trapped!V39</f>
        <v>-1010.9388377863579</v>
      </c>
      <c r="V37" s="235">
        <f ca="1">Trapped!W39</f>
        <v>-620.68351478129057</v>
      </c>
      <c r="W37" s="235">
        <f ca="1">Trapped!X39</f>
        <v>31.354530024814363</v>
      </c>
      <c r="X37" s="235">
        <f ca="1">Trapped!Y39</f>
        <v>492.21081604615796</v>
      </c>
      <c r="Y37" s="235">
        <f ca="1">Trapped!Z39</f>
        <v>269.41360921846302</v>
      </c>
      <c r="Z37" s="426">
        <f ca="1">SUM(E37:Y37)</f>
        <v>-13751.60668636658</v>
      </c>
      <c r="AB37" s="130">
        <f t="shared" si="2"/>
        <v>31</v>
      </c>
    </row>
    <row r="38" spans="1:28">
      <c r="A38" s="408"/>
      <c r="B38" s="87" t="s">
        <v>721</v>
      </c>
      <c r="C38" s="28"/>
      <c r="D38" s="87"/>
      <c r="E38" s="235">
        <f>IF(E$7=Assm!$F$54,Assm!$F$55*Assm!$C$54,0)</f>
        <v>0</v>
      </c>
      <c r="F38" s="235">
        <f>IF(F$7=Assm!$F$54,Assm!$F$55*Assm!$C$54,0)</f>
        <v>0</v>
      </c>
      <c r="G38" s="235">
        <f>IF(G$7=Assm!$F$54,Assm!$F$55*Assm!$C$54,0)</f>
        <v>0</v>
      </c>
      <c r="H38" s="235">
        <f>IF(H$7=Assm!$F$54,Assm!$F$55*Assm!$C$54,0)</f>
        <v>0</v>
      </c>
      <c r="I38" s="235">
        <f>IF(I$7=Assm!$F$54,Assm!$F$55*Assm!$C$54,0)</f>
        <v>0</v>
      </c>
      <c r="J38" s="235">
        <f>IF(J$7=Assm!$F$54,Assm!$F$55*Assm!$C$54,0)</f>
        <v>0</v>
      </c>
      <c r="K38" s="235">
        <f>IF(K$7=Assm!$F$54,Assm!$F$55*Assm!$C$54,0)</f>
        <v>0</v>
      </c>
      <c r="L38" s="235">
        <f>IF(L$7=Assm!$F$54,Assm!$F$55*Assm!$C$54,0)</f>
        <v>0</v>
      </c>
      <c r="M38" s="235">
        <f>IF(M$7=Assm!$F$54,Assm!$F$55*Assm!$C$54,0)</f>
        <v>0</v>
      </c>
      <c r="N38" s="235">
        <f>IF(N$7=Assm!$F$54,Assm!$F$55*Assm!$C$54,0)</f>
        <v>0</v>
      </c>
      <c r="O38" s="235">
        <f>IF(O$7=Assm!$F$54,Assm!$F$55*Assm!$C$54,0)</f>
        <v>0</v>
      </c>
      <c r="P38" s="235">
        <f>IF(P$7=Assm!$F$54,Assm!$F$55*Assm!$C$54,0)</f>
        <v>0</v>
      </c>
      <c r="Q38" s="235">
        <f>IF(Q$7=Assm!$F$54,Assm!$F$55*Assm!$C$54,0)</f>
        <v>0</v>
      </c>
      <c r="R38" s="235">
        <f>IF(R$7=Assm!$F$54,Assm!$F$55*Assm!$C$54,0)</f>
        <v>0</v>
      </c>
      <c r="S38" s="235">
        <f>IF(S$7=Assm!$F$54,Assm!$F$55*Assm!$C$54,0)</f>
        <v>0</v>
      </c>
      <c r="T38" s="235">
        <f>IF(T$7=Assm!$F$54,Assm!$F$55*Assm!$C$54,0)</f>
        <v>0</v>
      </c>
      <c r="U38" s="235">
        <f>IF(U$7=Assm!$F$54,Assm!$F$55*Assm!$C$54,0)</f>
        <v>0</v>
      </c>
      <c r="V38" s="235">
        <f>IF(V$7=Assm!$F$54,Assm!$F$55*Assm!$C$54,0)</f>
        <v>0</v>
      </c>
      <c r="W38" s="235">
        <f>IF(W$7=Assm!$F$54,Assm!$F$55*Assm!$C$54,0)</f>
        <v>0</v>
      </c>
      <c r="X38" s="235">
        <f>IF(X$7=Assm!$F$54,Assm!$F$55*Assm!$C$54,0)</f>
        <v>0</v>
      </c>
      <c r="Y38" s="235">
        <f>IF(Y$7=Assm!$F$54,Assm!$F$55*Assm!$C$54,0)</f>
        <v>0</v>
      </c>
      <c r="Z38" s="426">
        <f>SUM(E38:Y38)</f>
        <v>0</v>
      </c>
      <c r="AB38" s="130">
        <f t="shared" si="2"/>
        <v>32</v>
      </c>
    </row>
    <row r="39" spans="1:28" s="1191" customFormat="1">
      <c r="A39" s="1187"/>
      <c r="B39" s="1193" t="s">
        <v>43</v>
      </c>
      <c r="C39" s="1188"/>
      <c r="D39" s="1188"/>
      <c r="E39" s="1189">
        <f ca="1">(IF(AND(E$7&gt;YEAR(Fin_Close),E$7&lt;=Assm!$W$65),-Assm!$X$64,0))+(-'Debt Amort'!E24)</f>
        <v>0</v>
      </c>
      <c r="F39" s="1189">
        <f ca="1">(IF(AND(F$7&gt;YEAR(Fin_Close),F$7&lt;=Assm!$W$65),-Assm!$X$64,0))+(-'Debt Amort'!F24)</f>
        <v>0</v>
      </c>
      <c r="G39" s="1189">
        <f ca="1">(IF(AND(G$7&gt;YEAR(Fin_Close),G$7&lt;=Assm!$W$65),-Assm!$X$64,0))+(-'Debt Amort'!G24)</f>
        <v>-1628.7915302743452</v>
      </c>
      <c r="H39" s="1189">
        <f ca="1">(IF(AND(H$7&gt;YEAR(Fin_Close),H$7&lt;=Assm!$W$65),-Assm!$X$64,0))+(-'Debt Amort'!H24)</f>
        <v>-3902.0996726584285</v>
      </c>
      <c r="I39" s="1189">
        <f ca="1">(IF(AND(I$7&gt;YEAR(Fin_Close),I$7&lt;=Assm!$W$65),-Assm!$X$64,0))+(-'Debt Amort'!I24)</f>
        <v>-3818.0348193836689</v>
      </c>
      <c r="J39" s="1189">
        <f ca="1">(IF(AND(J$7&gt;YEAR(Fin_Close),J$7&lt;=Assm!$W$65),-Assm!$X$64,0))+(-'Debt Amort'!J24)</f>
        <v>-5</v>
      </c>
      <c r="K39" s="1189">
        <f ca="1">(IF(AND(K$7&gt;YEAR(Fin_Close),K$7&lt;=Assm!$W$65),-Assm!$X$64,0))+(-'Debt Amort'!K24)</f>
        <v>-5</v>
      </c>
      <c r="L39" s="1189">
        <f ca="1">(IF(AND(L$7&gt;YEAR(Fin_Close),L$7&lt;=Assm!$W$65),-Assm!$X$64,0))+(-'Debt Amort'!L24)</f>
        <v>-5</v>
      </c>
      <c r="M39" s="1189">
        <f ca="1">(IF(AND(M$7&gt;YEAR(Fin_Close),M$7&lt;=Assm!$W$65),-Assm!$X$64,0))+(-'Debt Amort'!M24)</f>
        <v>-5</v>
      </c>
      <c r="N39" s="1189">
        <f ca="1">(IF(AND(N$7&gt;YEAR(Fin_Close),N$7&lt;=Assm!$W$65),-Assm!$X$64,0))+(-'Debt Amort'!N24)</f>
        <v>-5</v>
      </c>
      <c r="O39" s="1189">
        <f ca="1">(IF(AND(O$7&gt;YEAR(Fin_Close),O$7&lt;=Assm!$W$65),-Assm!$X$64,0))+(-'Debt Amort'!O24)</f>
        <v>-5</v>
      </c>
      <c r="P39" s="1189">
        <f ca="1">(IF(AND(P$7&gt;YEAR(Fin_Close),P$7&lt;=Assm!$W$65),-Assm!$X$64,0))+(-'Debt Amort'!P24)</f>
        <v>-5</v>
      </c>
      <c r="Q39" s="1189">
        <f ca="1">(IF(AND(Q$7&gt;YEAR(Fin_Close),Q$7&lt;=Assm!$W$65),-Assm!$X$64,0))+(-'Debt Amort'!Q24)</f>
        <v>-5</v>
      </c>
      <c r="R39" s="1189">
        <f ca="1">(IF(AND(R$7&gt;YEAR(Fin_Close),R$7&lt;=Assm!$W$65),-Assm!$X$64,0))+(-'Debt Amort'!R24)</f>
        <v>-5</v>
      </c>
      <c r="S39" s="1189">
        <f ca="1">(IF(AND(S$7&gt;YEAR(Fin_Close),S$7&lt;=Assm!$W$65),-Assm!$X$64,0))+(-'Debt Amort'!S24)</f>
        <v>-5</v>
      </c>
      <c r="T39" s="1189">
        <f ca="1">(IF(AND(T$7&gt;YEAR(Fin_Close),T$7&lt;=Assm!$W$65),-Assm!$X$64,0))+(-'Debt Amort'!T24)</f>
        <v>-5</v>
      </c>
      <c r="U39" s="1189">
        <f ca="1">(IF(AND(U$7&gt;YEAR(Fin_Close),U$7&lt;=Assm!$W$65),-Assm!$X$64,0))+(-'Debt Amort'!U24)</f>
        <v>-5</v>
      </c>
      <c r="V39" s="1189">
        <f ca="1">(IF(AND(V$7&gt;YEAR(Fin_Close),V$7&lt;=Assm!$W$65),-Assm!$X$64,0))+(-'Debt Amort'!V24)</f>
        <v>0</v>
      </c>
      <c r="W39" s="1189">
        <f ca="1">(IF(AND(W$7&gt;YEAR(Fin_Close),W$7&lt;=Assm!$W$65),-Assm!$X$64,0))+(-'Debt Amort'!W24)</f>
        <v>0</v>
      </c>
      <c r="X39" s="1189">
        <f ca="1">(IF(AND(X$7&gt;YEAR(Fin_Close),X$7&lt;=Assm!$W$65),-Assm!$X$64,0))+(-'Debt Amort'!X24)</f>
        <v>0</v>
      </c>
      <c r="Y39" s="1189">
        <f ca="1">(IF(AND(Y$7&gt;YEAR(Fin_Close),Y$7&lt;=Assm!$W$65),-Assm!$X$64,0))+(-'Debt Amort'!Y24)</f>
        <v>0</v>
      </c>
      <c r="Z39" s="1190">
        <f ca="1">SUM(E39:Y39)</f>
        <v>-9408.926022316442</v>
      </c>
      <c r="AB39" s="1192">
        <f t="shared" si="2"/>
        <v>33</v>
      </c>
    </row>
    <row r="40" spans="1:28" s="88" customFormat="1">
      <c r="A40" s="408"/>
      <c r="B40" s="87" t="s">
        <v>1083</v>
      </c>
      <c r="C40" s="87"/>
      <c r="D40" s="87"/>
      <c r="E40" s="236">
        <f ca="1">IF(E$6&gt;Assm!$X$72+1,0,-'Debt Amort'!E17*Assm!$U$83)</f>
        <v>0</v>
      </c>
      <c r="F40" s="236">
        <f ca="1">IF(F$6&gt;Assm!$X$72+1,0,-'Debt Amort'!F17*Assm!$U$83)</f>
        <v>0</v>
      </c>
      <c r="G40" s="236">
        <f ca="1">IF(G$6&gt;Assm!$X$72+1,0,-'Debt Amort'!G17*Assm!$U$83)</f>
        <v>-43.553750816833215</v>
      </c>
      <c r="H40" s="236">
        <f ca="1">IF(H$6&gt;Assm!$X$72+1,0,-'Debt Amort'!H17*Assm!$U$83)</f>
        <v>-118.37347507862886</v>
      </c>
      <c r="I40" s="236">
        <f ca="1">IF(I$6&gt;Assm!$X$72+1,0,-'Debt Amort'!I17*Assm!$U$83)</f>
        <v>-126.43312991700955</v>
      </c>
      <c r="J40" s="236">
        <f ca="1">IF(J$6&gt;Assm!$X$72+1,0,-'Debt Amort'!J17*Assm!$U$83)</f>
        <v>-166.23553480383157</v>
      </c>
      <c r="K40" s="236">
        <f ca="1">IF(K$6&gt;Assm!$X$72+1,0,-'Debt Amort'!K17*Assm!$U$83)</f>
        <v>-176.65772445706435</v>
      </c>
      <c r="L40" s="236">
        <f ca="1">IF(L$6&gt;Assm!$X$72+1,0,-'Debt Amort'!L17*Assm!$U$83)</f>
        <v>-178.37896052522433</v>
      </c>
      <c r="M40" s="236">
        <f ca="1">IF(M$6&gt;Assm!$X$72+1,0,-'Debt Amort'!M17*Assm!$U$83)</f>
        <v>-174.3676499334039</v>
      </c>
      <c r="N40" s="236">
        <f ca="1">IF(N$6&gt;Assm!$X$72+1,0,-'Debt Amort'!N17*Assm!$U$83)</f>
        <v>-137.59714589660763</v>
      </c>
      <c r="O40" s="236">
        <f ca="1">IF(O$6&gt;Assm!$X$72+1,0,-'Debt Amort'!O17*Assm!$U$83)</f>
        <v>-104.99734903803129</v>
      </c>
      <c r="P40" s="236">
        <f ca="1">IF(P$6&gt;Assm!$X$72+1,0,-'Debt Amort'!P17*Assm!$U$83)</f>
        <v>-99.036109831944913</v>
      </c>
      <c r="Q40" s="236">
        <f ca="1">IF(Q$6&gt;Assm!$X$72+1,0,-'Debt Amort'!Q17*Assm!$U$83)</f>
        <v>-105.69903158906686</v>
      </c>
      <c r="R40" s="236">
        <f ca="1">IF(R$6&gt;Assm!$X$72+1,0,-'Debt Amort'!R17*Assm!$U$83)</f>
        <v>-110.27659975707884</v>
      </c>
      <c r="S40" s="236">
        <f ca="1">IF(S$6&gt;Assm!$X$72+1,0,-'Debt Amort'!S17*Assm!$U$83)</f>
        <v>-101.53488909884584</v>
      </c>
      <c r="T40" s="236">
        <f ca="1">IF(T$6&gt;Assm!$X$72+1,0,-'Debt Amort'!T17*Assm!$U$83)</f>
        <v>-95.640733545095898</v>
      </c>
      <c r="U40" s="236">
        <f ca="1">IF(U$6&gt;Assm!$X$72+1,0,-'Debt Amort'!U17*Assm!$U$83)</f>
        <v>-63.501678871052732</v>
      </c>
      <c r="V40" s="236">
        <f ca="1">IF(V$6&gt;Assm!$X$72+1,0,-'Debt Amort'!V17*Assm!$U$83)</f>
        <v>0</v>
      </c>
      <c r="W40" s="236">
        <f ca="1">IF(W$6&gt;Assm!$X$72+1,0,-'Debt Amort'!W17*Assm!$U$83)</f>
        <v>0</v>
      </c>
      <c r="X40" s="236">
        <f ca="1">IF(X$6&gt;Assm!$X$72+1,0,-'Debt Amort'!X17*Assm!$U$83)</f>
        <v>0</v>
      </c>
      <c r="Y40" s="236">
        <f ca="1">IF(Y$6&gt;Assm!$X$72+1,0,-'Debt Amort'!Y17*Assm!$U$83)</f>
        <v>0</v>
      </c>
      <c r="Z40" s="427">
        <f ca="1">SUM(E40:Y40)</f>
        <v>-1802.2837631597195</v>
      </c>
      <c r="AB40" s="130">
        <f t="shared" si="2"/>
        <v>34</v>
      </c>
    </row>
    <row r="41" spans="1:28" s="88" customFormat="1">
      <c r="A41" s="408"/>
      <c r="B41" s="89" t="s">
        <v>325</v>
      </c>
      <c r="C41" s="87"/>
      <c r="D41" s="87"/>
      <c r="E41" s="237">
        <f ca="1">SUM(E37:E40)</f>
        <v>0</v>
      </c>
      <c r="F41" s="237">
        <f t="shared" ref="F41:Y41" ca="1" si="9">SUM(F37:F40)</f>
        <v>0</v>
      </c>
      <c r="G41" s="237">
        <f t="shared" ca="1" si="9"/>
        <v>-1672.3452810911783</v>
      </c>
      <c r="H41" s="237">
        <f t="shared" ca="1" si="9"/>
        <v>-3999.6126138014974</v>
      </c>
      <c r="I41" s="237">
        <f t="shared" ca="1" si="9"/>
        <v>-3923.6074153651184</v>
      </c>
      <c r="J41" s="237">
        <f t="shared" ca="1" si="9"/>
        <v>-405.0402423577948</v>
      </c>
      <c r="K41" s="237">
        <f t="shared" ca="1" si="9"/>
        <v>-724.86940088919368</v>
      </c>
      <c r="L41" s="237">
        <f t="shared" ca="1" si="9"/>
        <v>-974.05066702081865</v>
      </c>
      <c r="M41" s="237">
        <f t="shared" ca="1" si="9"/>
        <v>-1236.0095012156739</v>
      </c>
      <c r="N41" s="237">
        <f t="shared" ca="1" si="9"/>
        <v>-1470.6195770535849</v>
      </c>
      <c r="O41" s="237">
        <f t="shared" ca="1" si="9"/>
        <v>-1690.5341925096925</v>
      </c>
      <c r="P41" s="237">
        <f t="shared" ca="1" si="9"/>
        <v>-1729.1751151405301</v>
      </c>
      <c r="Q41" s="237">
        <f t="shared" ca="1" si="9"/>
        <v>-1665.8960419560979</v>
      </c>
      <c r="R41" s="237">
        <f t="shared" ca="1" si="9"/>
        <v>-1618.5546517004855</v>
      </c>
      <c r="S41" s="237">
        <f t="shared" ca="1" si="9"/>
        <v>-1574.7273582310377</v>
      </c>
      <c r="T41" s="237">
        <f t="shared" ca="1" si="9"/>
        <v>-1370.629337360773</v>
      </c>
      <c r="U41" s="237">
        <f t="shared" ca="1" si="9"/>
        <v>-1079.4405166574106</v>
      </c>
      <c r="V41" s="237">
        <f t="shared" ca="1" si="9"/>
        <v>-620.68351478129057</v>
      </c>
      <c r="W41" s="237">
        <f t="shared" ca="1" si="9"/>
        <v>31.354530024814363</v>
      </c>
      <c r="X41" s="237">
        <f t="shared" ca="1" si="9"/>
        <v>492.21081604615796</v>
      </c>
      <c r="Y41" s="237">
        <f t="shared" ca="1" si="9"/>
        <v>269.41360921846302</v>
      </c>
      <c r="Z41" s="428">
        <f ca="1">SUM(E41:Y41)</f>
        <v>-24962.81647184274</v>
      </c>
      <c r="AB41" s="130">
        <f t="shared" si="2"/>
        <v>35</v>
      </c>
    </row>
    <row r="42" spans="1:28" s="88" customFormat="1">
      <c r="A42" s="408"/>
      <c r="B42" s="87"/>
      <c r="C42" s="87"/>
      <c r="D42" s="87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426"/>
      <c r="AB42" s="130">
        <f t="shared" si="2"/>
        <v>36</v>
      </c>
    </row>
    <row r="43" spans="1:28" s="88" customFormat="1">
      <c r="A43" s="409" t="s">
        <v>190</v>
      </c>
      <c r="B43" s="89"/>
      <c r="C43" s="87"/>
      <c r="D43" s="89"/>
      <c r="E43" s="237">
        <f t="shared" ref="E43:Y43" ca="1" si="10">SUM(E18,-E34,E41)</f>
        <v>0</v>
      </c>
      <c r="F43" s="237">
        <f t="shared" ca="1" si="10"/>
        <v>0</v>
      </c>
      <c r="G43" s="237">
        <f t="shared" ca="1" si="10"/>
        <v>5065.6980665294723</v>
      </c>
      <c r="H43" s="237">
        <f t="shared" ca="1" si="10"/>
        <v>8103.0273687033459</v>
      </c>
      <c r="I43" s="237">
        <f t="shared" ca="1" si="10"/>
        <v>7652.96520800094</v>
      </c>
      <c r="J43" s="237">
        <f t="shared" ca="1" si="10"/>
        <v>12076.096375240726</v>
      </c>
      <c r="K43" s="237">
        <f t="shared" ca="1" si="10"/>
        <v>12539.669253035134</v>
      </c>
      <c r="L43" s="237">
        <f t="shared" ca="1" si="10"/>
        <v>12569.159436727305</v>
      </c>
      <c r="M43" s="237">
        <f t="shared" ca="1" si="10"/>
        <v>12751.960675846753</v>
      </c>
      <c r="N43" s="237">
        <f t="shared" ca="1" si="10"/>
        <v>12715.053345006339</v>
      </c>
      <c r="O43" s="237">
        <f t="shared" ca="1" si="10"/>
        <v>13083.338115201666</v>
      </c>
      <c r="P43" s="237">
        <f t="shared" ca="1" si="10"/>
        <v>13341.833429499657</v>
      </c>
      <c r="Q43" s="237">
        <f t="shared" ca="1" si="10"/>
        <v>13880.419662020908</v>
      </c>
      <c r="R43" s="237">
        <f t="shared" ca="1" si="10"/>
        <v>14371.679768858832</v>
      </c>
      <c r="S43" s="237">
        <f t="shared" ca="1" si="10"/>
        <v>13501.587178515414</v>
      </c>
      <c r="T43" s="237">
        <f t="shared" ca="1" si="10"/>
        <v>15264.817762375646</v>
      </c>
      <c r="U43" s="237">
        <f t="shared" ca="1" si="10"/>
        <v>16100.395624536439</v>
      </c>
      <c r="V43" s="237">
        <f t="shared" ca="1" si="10"/>
        <v>17025.9498931628</v>
      </c>
      <c r="W43" s="237">
        <f t="shared" ca="1" si="10"/>
        <v>18121.446965798441</v>
      </c>
      <c r="X43" s="237">
        <f t="shared" ca="1" si="10"/>
        <v>19091.421196725478</v>
      </c>
      <c r="Y43" s="237">
        <f t="shared" ca="1" si="10"/>
        <v>6402.9711653059658</v>
      </c>
      <c r="Z43" s="428">
        <f ca="1">SUM(E43:Y43)</f>
        <v>243659.49049109124</v>
      </c>
      <c r="AB43" s="130">
        <f t="shared" si="2"/>
        <v>37</v>
      </c>
    </row>
    <row r="44" spans="1:28" s="90" customFormat="1">
      <c r="A44" s="408"/>
      <c r="B44" s="87" t="s">
        <v>326</v>
      </c>
      <c r="C44" s="89"/>
      <c r="D44" s="87"/>
      <c r="E44" s="236">
        <f ca="1">-Depr!H31</f>
        <v>0</v>
      </c>
      <c r="F44" s="236">
        <f ca="1">-Depr!I31</f>
        <v>0</v>
      </c>
      <c r="G44" s="236">
        <f ca="1">-Depr!J31</f>
        <v>-5267.1668601538513</v>
      </c>
      <c r="H44" s="236">
        <f ca="1">-Depr!K31</f>
        <v>-6320.6002321846217</v>
      </c>
      <c r="I44" s="236">
        <f ca="1">-Depr!L31</f>
        <v>-6320.6002321846217</v>
      </c>
      <c r="J44" s="236">
        <f ca="1">-Depr!M31</f>
        <v>-6320.6002321846217</v>
      </c>
      <c r="K44" s="236">
        <f ca="1">-Depr!N31</f>
        <v>-6320.6002321846217</v>
      </c>
      <c r="L44" s="236">
        <f ca="1">-Depr!O31</f>
        <v>-6320.6002321846217</v>
      </c>
      <c r="M44" s="236">
        <f ca="1">-Depr!P31</f>
        <v>-6320.6002321846217</v>
      </c>
      <c r="N44" s="236">
        <f ca="1">-Depr!Q31</f>
        <v>-6320.6002321846217</v>
      </c>
      <c r="O44" s="236">
        <f ca="1">-Depr!R31</f>
        <v>-6320.6002321846217</v>
      </c>
      <c r="P44" s="236">
        <f ca="1">-Depr!S31</f>
        <v>-6320.6002321846217</v>
      </c>
      <c r="Q44" s="236">
        <f ca="1">-Depr!T31</f>
        <v>-6320.6002321846217</v>
      </c>
      <c r="R44" s="236">
        <f ca="1">-Depr!U31</f>
        <v>-6320.6002321846217</v>
      </c>
      <c r="S44" s="236">
        <f ca="1">-Depr!V31</f>
        <v>-6320.6002321846217</v>
      </c>
      <c r="T44" s="236">
        <f ca="1">-Depr!W31</f>
        <v>-6320.6002321846217</v>
      </c>
      <c r="U44" s="236">
        <f ca="1">-Depr!X31</f>
        <v>-6320.6002321846217</v>
      </c>
      <c r="V44" s="236">
        <f ca="1">-Depr!Y31</f>
        <v>-6320.6002321846217</v>
      </c>
      <c r="W44" s="236">
        <f ca="1">-Depr!Z31</f>
        <v>-6320.6002321846217</v>
      </c>
      <c r="X44" s="236">
        <f ca="1">-Depr!AA31</f>
        <v>-6320.6002321846217</v>
      </c>
      <c r="Y44" s="236">
        <f ca="1">-Depr!AB31</f>
        <v>-2106.8667440615404</v>
      </c>
      <c r="Z44" s="427">
        <f ca="1">SUM(E44:Y44)</f>
        <v>-114824.23755135393</v>
      </c>
      <c r="AB44" s="130">
        <f t="shared" si="2"/>
        <v>38</v>
      </c>
    </row>
    <row r="45" spans="1:28" s="90" customFormat="1">
      <c r="A45" s="408"/>
      <c r="B45" s="87"/>
      <c r="C45" s="89"/>
      <c r="D45" s="87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427"/>
      <c r="AB45" s="130">
        <f t="shared" si="2"/>
        <v>39</v>
      </c>
    </row>
    <row r="46" spans="1:28" s="88" customFormat="1">
      <c r="A46" s="409" t="s">
        <v>191</v>
      </c>
      <c r="B46" s="89"/>
      <c r="C46" s="87"/>
      <c r="D46" s="89"/>
      <c r="E46" s="237">
        <f ca="1">SUM(E43:E44)</f>
        <v>0</v>
      </c>
      <c r="F46" s="237">
        <f t="shared" ref="F46:Y46" ca="1" si="11">SUM(F43:F44)</f>
        <v>0</v>
      </c>
      <c r="G46" s="237">
        <f t="shared" ca="1" si="11"/>
        <v>-201.46879362437903</v>
      </c>
      <c r="H46" s="237">
        <f t="shared" ca="1" si="11"/>
        <v>1782.4271365187242</v>
      </c>
      <c r="I46" s="237">
        <f t="shared" ca="1" si="11"/>
        <v>1332.3649758163183</v>
      </c>
      <c r="J46" s="237">
        <f t="shared" ca="1" si="11"/>
        <v>5755.4961430561043</v>
      </c>
      <c r="K46" s="237">
        <f t="shared" ca="1" si="11"/>
        <v>6219.0690208505121</v>
      </c>
      <c r="L46" s="237">
        <f t="shared" ca="1" si="11"/>
        <v>6248.5592045426829</v>
      </c>
      <c r="M46" s="237">
        <f t="shared" ca="1" si="11"/>
        <v>6431.3604436621308</v>
      </c>
      <c r="N46" s="237">
        <f t="shared" ca="1" si="11"/>
        <v>6394.4531128217177</v>
      </c>
      <c r="O46" s="237">
        <f t="shared" ca="1" si="11"/>
        <v>6762.7378830170446</v>
      </c>
      <c r="P46" s="237">
        <f t="shared" ca="1" si="11"/>
        <v>7021.2331973150349</v>
      </c>
      <c r="Q46" s="237">
        <f t="shared" ca="1" si="11"/>
        <v>7559.819429836286</v>
      </c>
      <c r="R46" s="237">
        <f t="shared" ca="1" si="11"/>
        <v>8051.0795366742104</v>
      </c>
      <c r="S46" s="237">
        <f t="shared" ca="1" si="11"/>
        <v>7180.9869463307923</v>
      </c>
      <c r="T46" s="237">
        <f t="shared" ca="1" si="11"/>
        <v>8944.2175301910247</v>
      </c>
      <c r="U46" s="237">
        <f t="shared" ca="1" si="11"/>
        <v>9779.795392351818</v>
      </c>
      <c r="V46" s="237">
        <f t="shared" ca="1" si="11"/>
        <v>10705.34966097818</v>
      </c>
      <c r="W46" s="237">
        <f t="shared" ca="1" si="11"/>
        <v>11800.84673361382</v>
      </c>
      <c r="X46" s="237">
        <f t="shared" ca="1" si="11"/>
        <v>12770.820964540857</v>
      </c>
      <c r="Y46" s="237">
        <f t="shared" ca="1" si="11"/>
        <v>4296.1044212444249</v>
      </c>
      <c r="Z46" s="428">
        <f ca="1">SUM(E46:Y46)</f>
        <v>128835.2529397373</v>
      </c>
      <c r="AB46" s="130">
        <f t="shared" si="2"/>
        <v>40</v>
      </c>
    </row>
    <row r="47" spans="1:28" s="90" customFormat="1">
      <c r="A47" s="408"/>
      <c r="B47" s="87" t="s">
        <v>37</v>
      </c>
      <c r="C47" s="89"/>
      <c r="D47" s="87"/>
      <c r="E47" s="235">
        <f ca="1">-'Debt Amort'!E12</f>
        <v>0</v>
      </c>
      <c r="F47" s="235">
        <f ca="1">-'Debt Amort'!F12</f>
        <v>0</v>
      </c>
      <c r="G47" s="235">
        <f ca="1">-'Debt Amort'!G12</f>
        <v>-3484.300065346657</v>
      </c>
      <c r="H47" s="235">
        <f ca="1">-'Debt Amort'!H12</f>
        <v>-8330.9644427867697</v>
      </c>
      <c r="I47" s="235">
        <f ca="1">-'Debt Amort'!I12</f>
        <v>-8183.736836797003</v>
      </c>
      <c r="J47" s="235">
        <f ca="1">-'Debt Amort'!J12</f>
        <v>-7874.9282995768517</v>
      </c>
      <c r="K47" s="235">
        <f ca="1">-'Debt Amort'!K12</f>
        <v>-7246.8861993410301</v>
      </c>
      <c r="L47" s="235">
        <f ca="1">-'Debt Amort'!L12</f>
        <v>-6469.5707112199325</v>
      </c>
      <c r="M47" s="235">
        <f ca="1">-'Debt Amort'!M12</f>
        <v>-5579.1548429776813</v>
      </c>
      <c r="N47" s="235">
        <f ca="1">-'Debt Amort'!N12</f>
        <v>-4657.3802741473091</v>
      </c>
      <c r="O47" s="235">
        <f ca="1">-'Debt Amort'!O12</f>
        <v>-4069.2622795745342</v>
      </c>
      <c r="P47" s="235">
        <f ca="1">-'Debt Amort'!P12</f>
        <v>-3592.3631430876248</v>
      </c>
      <c r="Q47" s="235">
        <f ca="1">-'Debt Amort'!Q12</f>
        <v>-3115.464006600715</v>
      </c>
      <c r="R47" s="235">
        <f ca="1">-'Debt Amort'!R12</f>
        <v>-2471.7365829850069</v>
      </c>
      <c r="S47" s="235">
        <f ca="1">-'Debt Amort'!S12</f>
        <v>-1772.3997303263664</v>
      </c>
      <c r="T47" s="235">
        <f ca="1">-'Debt Amort'!T12</f>
        <v>-1073.0628776677256</v>
      </c>
      <c r="U47" s="235">
        <f ca="1">-'Debt Amort'!U12</f>
        <v>-326.68797412690321</v>
      </c>
      <c r="V47" s="235">
        <f ca="1">-'Debt Amort'!V12</f>
        <v>0</v>
      </c>
      <c r="W47" s="235">
        <f ca="1">-'Debt Amort'!W12</f>
        <v>0</v>
      </c>
      <c r="X47" s="235">
        <f ca="1">-'Debt Amort'!X12</f>
        <v>0</v>
      </c>
      <c r="Y47" s="235">
        <f ca="1">-'Debt Amort'!Y12</f>
        <v>0</v>
      </c>
      <c r="Z47" s="426">
        <f ca="1">SUM(E47:Y47)</f>
        <v>-68247.898266562115</v>
      </c>
      <c r="AB47" s="130">
        <f t="shared" si="2"/>
        <v>41</v>
      </c>
    </row>
    <row r="48" spans="1:28" s="90" customFormat="1">
      <c r="A48" s="408"/>
      <c r="B48" s="87" t="s">
        <v>38</v>
      </c>
      <c r="C48" s="89"/>
      <c r="D48" s="87"/>
      <c r="E48" s="235">
        <f ca="1">-'Debt Amort'!E20</f>
        <v>0</v>
      </c>
      <c r="F48" s="235">
        <f ca="1">-'Debt Amort'!F20</f>
        <v>0</v>
      </c>
      <c r="G48" s="235">
        <f ca="1">-'Debt Amort'!G20</f>
        <v>-1164.1873224716187</v>
      </c>
      <c r="H48" s="235">
        <f ca="1">-'Debt Amort'!H20</f>
        <v>-2763.7464238380571</v>
      </c>
      <c r="I48" s="235">
        <f ca="1">-'Debt Amort'!I20</f>
        <v>-2634.5269736292057</v>
      </c>
      <c r="J48" s="235">
        <f ca="1">-'Debt Amort'!J20</f>
        <v>-2487.963042716071</v>
      </c>
      <c r="K48" s="235">
        <f ca="1">-'Debt Amort'!K20</f>
        <v>-2321.7265681761205</v>
      </c>
      <c r="L48" s="235">
        <f ca="1">-'Debt Amort'!L20</f>
        <v>-2133.1770028410456</v>
      </c>
      <c r="M48" s="235">
        <f ca="1">-'Debt Amort'!M20</f>
        <v>-1919.3193720988706</v>
      </c>
      <c r="N48" s="235">
        <f ca="1">-'Debt Amort'!N20</f>
        <v>-1676.756700870327</v>
      </c>
      <c r="O48" s="235">
        <f ca="1">-'Debt Amort'!O20</f>
        <v>-1401.6360550961322</v>
      </c>
      <c r="P48" s="235">
        <f ca="1">-'Debt Amort'!P20</f>
        <v>-1089.5873406428959</v>
      </c>
      <c r="Q48" s="235">
        <f ca="1">-'Debt Amort'!Q20</f>
        <v>-735.65388749217459</v>
      </c>
      <c r="R48" s="235">
        <f ca="1">-'Debt Amort'!R20</f>
        <v>-334.21371659229811</v>
      </c>
      <c r="S48" s="235">
        <f ca="1">-'Debt Amort'!S20</f>
        <v>0</v>
      </c>
      <c r="T48" s="235">
        <f ca="1">-'Debt Amort'!T20</f>
        <v>0</v>
      </c>
      <c r="U48" s="235">
        <f ca="1">-'Debt Amort'!U20</f>
        <v>0</v>
      </c>
      <c r="V48" s="235">
        <f ca="1">-'Debt Amort'!V20</f>
        <v>0</v>
      </c>
      <c r="W48" s="235">
        <f ca="1">-'Debt Amort'!W20</f>
        <v>0</v>
      </c>
      <c r="X48" s="235">
        <f ca="1">-'Debt Amort'!X20</f>
        <v>0</v>
      </c>
      <c r="Y48" s="235">
        <f ca="1">-'Debt Amort'!Y20</f>
        <v>0</v>
      </c>
      <c r="Z48" s="426">
        <f ca="1">SUM(E48:Y48)</f>
        <v>-20662.494406464815</v>
      </c>
      <c r="AB48" s="130">
        <f t="shared" si="2"/>
        <v>42</v>
      </c>
    </row>
    <row r="49" spans="1:28" s="90" customFormat="1">
      <c r="A49" s="408"/>
      <c r="B49" s="87" t="s">
        <v>328</v>
      </c>
      <c r="C49" s="89"/>
      <c r="D49" s="87"/>
      <c r="E49" s="236">
        <f ca="1">-HLOOKUP(DATE(E$7,12,31),Idc_Table,IDC!$AP$57)-SUM($D49:D49)</f>
        <v>0</v>
      </c>
      <c r="F49" s="236">
        <f ca="1">-HLOOKUP(DATE(F$7,12,31),Idc_Table,IDC!$AP$57)-SUM($D49:E49)</f>
        <v>0</v>
      </c>
      <c r="G49" s="236">
        <f ca="1">-HLOOKUP(DATE(G$7,12,31),Idc_Table,IDC!$AP$57)-SUM($D49:F49)</f>
        <v>0</v>
      </c>
      <c r="H49" s="236">
        <f ca="1">-HLOOKUP(DATE(H$7,12,31),Idc_Table,IDC!$AP$57)-SUM($D49:G49)</f>
        <v>0</v>
      </c>
      <c r="I49" s="236">
        <f ca="1">-HLOOKUP(DATE(I$7,12,31),Idc_Table,IDC!$AP$57)-SUM($D49:H49)</f>
        <v>0</v>
      </c>
      <c r="J49" s="236">
        <f ca="1">-HLOOKUP(DATE(J$7,12,31),Idc_Table,IDC!$AP$57)-SUM($D49:I49)</f>
        <v>0</v>
      </c>
      <c r="K49" s="236">
        <f ca="1">-HLOOKUP(DATE(K$7,12,31),Idc_Table,IDC!$AP$57)-SUM($D49:J49)</f>
        <v>0</v>
      </c>
      <c r="L49" s="236">
        <f ca="1">-HLOOKUP(DATE(L$7,12,31),Idc_Table,IDC!$AP$57)-SUM($D49:K49)</f>
        <v>0</v>
      </c>
      <c r="M49" s="236">
        <f ca="1">-HLOOKUP(DATE(M$7,12,31),Idc_Table,IDC!$AP$57)-SUM($D49:L49)</f>
        <v>0</v>
      </c>
      <c r="N49" s="236">
        <f ca="1">-HLOOKUP(DATE(N$7,12,31),Idc_Table,IDC!$AP$57)-SUM($D49:M49)</f>
        <v>0</v>
      </c>
      <c r="O49" s="236">
        <f ca="1">-HLOOKUP(DATE(O$7,12,31),Idc_Table,IDC!$AP$57)-SUM($D49:N49)</f>
        <v>0</v>
      </c>
      <c r="P49" s="236">
        <f ca="1">-HLOOKUP(DATE(P$7,12,31),Idc_Table,IDC!$AP$57)-SUM($D49:O49)</f>
        <v>0</v>
      </c>
      <c r="Q49" s="236">
        <f ca="1">-HLOOKUP(DATE(Q$7,12,31),Idc_Table,IDC!$AP$57)-SUM($D49:P49)</f>
        <v>0</v>
      </c>
      <c r="R49" s="236">
        <f ca="1">-HLOOKUP(DATE(R$7,12,31),Idc_Table,IDC!$AP$57)-SUM($D49:Q49)</f>
        <v>0</v>
      </c>
      <c r="S49" s="236">
        <f ca="1">-HLOOKUP(DATE(S$7,12,31),Idc_Table,IDC!$AP$57)-SUM($D49:R49)</f>
        <v>0</v>
      </c>
      <c r="T49" s="236">
        <f ca="1">-HLOOKUP(DATE(T$7,12,31),Idc_Table,IDC!$AP$57)-SUM($D49:S49)</f>
        <v>0</v>
      </c>
      <c r="U49" s="236">
        <f ca="1">-HLOOKUP(DATE(U$7,12,31),Idc_Table,IDC!$AP$57)-SUM($D49:T49)</f>
        <v>0</v>
      </c>
      <c r="V49" s="236">
        <f ca="1">-HLOOKUP(DATE(V$7,12,31),Idc_Table,IDC!$AP$57)-SUM($D49:U49)</f>
        <v>0</v>
      </c>
      <c r="W49" s="236">
        <f ca="1">-HLOOKUP(DATE(W$7,12,31),Idc_Table,IDC!$AP$57)-SUM($D49:V49)</f>
        <v>0</v>
      </c>
      <c r="X49" s="236">
        <f ca="1">-HLOOKUP(DATE(X$7,12,31),Idc_Table,IDC!$AP$57)-SUM($D49:W49)</f>
        <v>0</v>
      </c>
      <c r="Y49" s="236">
        <f ca="1">-HLOOKUP(DATE(Y$7,12,31),Idc_Table,IDC!$AP$57)-SUM($D49:X49)</f>
        <v>0</v>
      </c>
      <c r="Z49" s="427">
        <f ca="1">SUM(E49:Y49)</f>
        <v>0</v>
      </c>
      <c r="AB49" s="130">
        <f t="shared" si="2"/>
        <v>43</v>
      </c>
    </row>
    <row r="50" spans="1:28" s="90" customFormat="1">
      <c r="A50" s="408"/>
      <c r="B50" s="87"/>
      <c r="C50" s="89"/>
      <c r="D50" s="87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426"/>
      <c r="AB50" s="130">
        <f t="shared" si="2"/>
        <v>44</v>
      </c>
    </row>
    <row r="51" spans="1:28" s="88" customFormat="1">
      <c r="A51" s="409" t="s">
        <v>741</v>
      </c>
      <c r="B51" s="89"/>
      <c r="C51" s="87"/>
      <c r="D51" s="89"/>
      <c r="E51" s="237">
        <f ca="1">SUM(E46:E49)</f>
        <v>0</v>
      </c>
      <c r="F51" s="237">
        <f t="shared" ref="F51:Y51" ca="1" si="12">SUM(F46:F49)</f>
        <v>0</v>
      </c>
      <c r="G51" s="237">
        <f t="shared" ca="1" si="12"/>
        <v>-4849.9561814426543</v>
      </c>
      <c r="H51" s="237">
        <f t="shared" ca="1" si="12"/>
        <v>-9312.2837301061027</v>
      </c>
      <c r="I51" s="237">
        <f t="shared" ca="1" si="12"/>
        <v>-9485.8988346098904</v>
      </c>
      <c r="J51" s="237">
        <f t="shared" ca="1" si="12"/>
        <v>-4607.3951992368184</v>
      </c>
      <c r="K51" s="237">
        <f t="shared" ca="1" si="12"/>
        <v>-3349.5437466666385</v>
      </c>
      <c r="L51" s="237">
        <f t="shared" ca="1" si="12"/>
        <v>-2354.1885095182952</v>
      </c>
      <c r="M51" s="237">
        <f t="shared" ca="1" si="12"/>
        <v>-1067.1137714144211</v>
      </c>
      <c r="N51" s="237">
        <f t="shared" ca="1" si="12"/>
        <v>60.316137804081563</v>
      </c>
      <c r="O51" s="237">
        <f t="shared" ca="1" si="12"/>
        <v>1291.8395483463783</v>
      </c>
      <c r="P51" s="237">
        <f t="shared" ca="1" si="12"/>
        <v>2339.2827135845141</v>
      </c>
      <c r="Q51" s="237">
        <f t="shared" ca="1" si="12"/>
        <v>3708.7015357433966</v>
      </c>
      <c r="R51" s="237">
        <f t="shared" ca="1" si="12"/>
        <v>5245.1292370969059</v>
      </c>
      <c r="S51" s="237">
        <f t="shared" ca="1" si="12"/>
        <v>5408.5872160044255</v>
      </c>
      <c r="T51" s="237">
        <f t="shared" ca="1" si="12"/>
        <v>7871.1546525232989</v>
      </c>
      <c r="U51" s="237">
        <f t="shared" ca="1" si="12"/>
        <v>9453.107418224914</v>
      </c>
      <c r="V51" s="237">
        <f t="shared" ca="1" si="12"/>
        <v>10705.34966097818</v>
      </c>
      <c r="W51" s="237">
        <f t="shared" ca="1" si="12"/>
        <v>11800.84673361382</v>
      </c>
      <c r="X51" s="237">
        <f t="shared" ca="1" si="12"/>
        <v>12770.820964540857</v>
      </c>
      <c r="Y51" s="237">
        <f t="shared" ca="1" si="12"/>
        <v>4296.1044212444249</v>
      </c>
      <c r="Z51" s="428">
        <f ca="1">SUM(E51:Y51)</f>
        <v>39924.860266710377</v>
      </c>
      <c r="AB51" s="130">
        <f t="shared" si="2"/>
        <v>45</v>
      </c>
    </row>
    <row r="52" spans="1:28" s="90" customFormat="1">
      <c r="A52" s="408"/>
      <c r="B52" s="87" t="s">
        <v>738</v>
      </c>
      <c r="C52" s="89"/>
      <c r="D52" s="87"/>
      <c r="E52" s="235">
        <f ca="1">-Sudam!D63</f>
        <v>0</v>
      </c>
      <c r="F52" s="235">
        <f ca="1">-Sudam!E63</f>
        <v>0</v>
      </c>
      <c r="G52" s="235">
        <f ca="1">-Sudam!F63</f>
        <v>0</v>
      </c>
      <c r="H52" s="235">
        <f ca="1">-Sudam!G63</f>
        <v>0</v>
      </c>
      <c r="I52" s="235">
        <f ca="1">-Sudam!H63</f>
        <v>0</v>
      </c>
      <c r="J52" s="235">
        <f ca="1">-Sudam!I63</f>
        <v>0</v>
      </c>
      <c r="K52" s="235">
        <f ca="1">-Sudam!J63</f>
        <v>0</v>
      </c>
      <c r="L52" s="235">
        <f ca="1">-Sudam!K63</f>
        <v>0</v>
      </c>
      <c r="M52" s="235">
        <f ca="1">-Sudam!L63</f>
        <v>0</v>
      </c>
      <c r="N52" s="235">
        <f ca="1">-Sudam!M63</f>
        <v>602.22498810277398</v>
      </c>
      <c r="O52" s="235">
        <f ca="1">-Sudam!N63</f>
        <v>578.46080777080135</v>
      </c>
      <c r="P52" s="235">
        <f ca="1">-Sudam!O63</f>
        <v>464.09457240023346</v>
      </c>
      <c r="Q52" s="235">
        <f ca="1">-Sudam!P63</f>
        <v>260.19576596384729</v>
      </c>
      <c r="R52" s="235">
        <f ca="1">-Sudam!Q63</f>
        <v>-33.472970602284704</v>
      </c>
      <c r="S52" s="235">
        <f ca="1">-Sudam!R63</f>
        <v>-442.64668258634765</v>
      </c>
      <c r="T52" s="235">
        <f ca="1">-Sudam!S63</f>
        <v>-828.16936894189689</v>
      </c>
      <c r="U52" s="235">
        <f ca="1">-Sudam!T63</f>
        <v>-1370.6401201671288</v>
      </c>
      <c r="V52" s="235">
        <f ca="1">-Sudam!U63</f>
        <v>-1995.8237147234718</v>
      </c>
      <c r="W52" s="235">
        <f ca="1">-Sudam!V63</f>
        <v>-2666.4514429082806</v>
      </c>
      <c r="X52" s="235">
        <f ca="1">-Sudam!W63</f>
        <v>-2913.0512827231705</v>
      </c>
      <c r="Y52" s="235">
        <f ca="1">-Sudam!X63</f>
        <v>-971.01709424105672</v>
      </c>
      <c r="Z52" s="426">
        <f ca="1">SUM(E52:Y52)</f>
        <v>-9316.2965426559804</v>
      </c>
      <c r="AB52" s="130">
        <f t="shared" si="2"/>
        <v>46</v>
      </c>
    </row>
    <row r="53" spans="1:28" s="90" customFormat="1">
      <c r="A53" s="408"/>
      <c r="B53" s="87"/>
      <c r="C53" s="89"/>
      <c r="D53" s="87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426"/>
      <c r="AB53" s="130">
        <f t="shared" si="2"/>
        <v>47</v>
      </c>
    </row>
    <row r="54" spans="1:28" s="88" customFormat="1">
      <c r="A54" s="409" t="s">
        <v>192</v>
      </c>
      <c r="B54" s="89"/>
      <c r="C54" s="87"/>
      <c r="D54" s="89"/>
      <c r="E54" s="237">
        <f ca="1">SUM(E51:E52)</f>
        <v>0</v>
      </c>
      <c r="F54" s="237">
        <f t="shared" ref="F54:Y54" ca="1" si="13">SUM(F51:F52)</f>
        <v>0</v>
      </c>
      <c r="G54" s="237">
        <f t="shared" ca="1" si="13"/>
        <v>-4849.9561814426543</v>
      </c>
      <c r="H54" s="237">
        <f t="shared" ca="1" si="13"/>
        <v>-9312.2837301061027</v>
      </c>
      <c r="I54" s="237">
        <f t="shared" ca="1" si="13"/>
        <v>-9485.8988346098904</v>
      </c>
      <c r="J54" s="237">
        <f t="shared" ca="1" si="13"/>
        <v>-4607.3951992368184</v>
      </c>
      <c r="K54" s="237">
        <f t="shared" ca="1" si="13"/>
        <v>-3349.5437466666385</v>
      </c>
      <c r="L54" s="237">
        <f t="shared" ca="1" si="13"/>
        <v>-2354.1885095182952</v>
      </c>
      <c r="M54" s="237">
        <f t="shared" ca="1" si="13"/>
        <v>-1067.1137714144211</v>
      </c>
      <c r="N54" s="237">
        <f t="shared" ca="1" si="13"/>
        <v>662.54112590685554</v>
      </c>
      <c r="O54" s="237">
        <f t="shared" ca="1" si="13"/>
        <v>1870.3003561171795</v>
      </c>
      <c r="P54" s="237">
        <f t="shared" ca="1" si="13"/>
        <v>2803.3772859847477</v>
      </c>
      <c r="Q54" s="237">
        <f t="shared" ca="1" si="13"/>
        <v>3968.897301707244</v>
      </c>
      <c r="R54" s="237">
        <f t="shared" ca="1" si="13"/>
        <v>5211.6562664946214</v>
      </c>
      <c r="S54" s="237">
        <f t="shared" ca="1" si="13"/>
        <v>4965.9405334180774</v>
      </c>
      <c r="T54" s="237">
        <f t="shared" ca="1" si="13"/>
        <v>7042.9852835814017</v>
      </c>
      <c r="U54" s="237">
        <f t="shared" ca="1" si="13"/>
        <v>8082.4672980577852</v>
      </c>
      <c r="V54" s="237">
        <f t="shared" ca="1" si="13"/>
        <v>8709.5259462547074</v>
      </c>
      <c r="W54" s="237">
        <f t="shared" ca="1" si="13"/>
        <v>9134.3952907055391</v>
      </c>
      <c r="X54" s="237">
        <f t="shared" ca="1" si="13"/>
        <v>9857.7696818176864</v>
      </c>
      <c r="Y54" s="237">
        <f t="shared" ca="1" si="13"/>
        <v>3325.087327003368</v>
      </c>
      <c r="Z54" s="428">
        <f ca="1">SUM(E54:Y54)</f>
        <v>30608.563724054402</v>
      </c>
      <c r="AB54" s="130">
        <f t="shared" si="2"/>
        <v>48</v>
      </c>
    </row>
    <row r="55" spans="1:28" s="89" customFormat="1">
      <c r="A55" s="408"/>
      <c r="B55" s="87" t="s">
        <v>329</v>
      </c>
      <c r="C55" s="87"/>
      <c r="D55" s="87"/>
      <c r="E55" s="236">
        <f ca="1">-Taxes!D84</f>
        <v>0</v>
      </c>
      <c r="F55" s="236">
        <f ca="1">-Taxes!E84</f>
        <v>0</v>
      </c>
      <c r="G55" s="236">
        <f ca="1">-Taxes!F84</f>
        <v>0</v>
      </c>
      <c r="H55" s="236">
        <f ca="1">-Taxes!G84</f>
        <v>0</v>
      </c>
      <c r="I55" s="236">
        <f ca="1">-Taxes!H84</f>
        <v>0</v>
      </c>
      <c r="J55" s="236">
        <f ca="1">-Taxes!I84</f>
        <v>0</v>
      </c>
      <c r="K55" s="236">
        <f ca="1">-Taxes!J84</f>
        <v>0</v>
      </c>
      <c r="L55" s="236">
        <f ca="1">-Taxes!K84</f>
        <v>0</v>
      </c>
      <c r="M55" s="236">
        <f ca="1">-Taxes!L84</f>
        <v>-174.32428249050224</v>
      </c>
      <c r="N55" s="236">
        <f ca="1">-Taxes!M84</f>
        <v>-517.8425867179235</v>
      </c>
      <c r="O55" s="236">
        <f ca="1">-Taxes!N84</f>
        <v>-733.28209972266939</v>
      </c>
      <c r="P55" s="236">
        <f ca="1">-Taxes!O84</f>
        <v>-876.73961748338002</v>
      </c>
      <c r="Q55" s="236">
        <f ca="1">-Taxes!P84</f>
        <v>-1064.2161134374599</v>
      </c>
      <c r="R55" s="236">
        <f ca="1">-Taxes!Q84</f>
        <v>-1258.5607548254725</v>
      </c>
      <c r="S55" s="236">
        <f ca="1">-Taxes!R84</f>
        <v>-1124.5970519519703</v>
      </c>
      <c r="T55" s="236">
        <f ca="1">-Taxes!S84</f>
        <v>-1604.3943892396983</v>
      </c>
      <c r="U55" s="236">
        <f ca="1">-Taxes!T84</f>
        <v>-1844.5147345837427</v>
      </c>
      <c r="V55" s="236">
        <f ca="1">-Taxes!U84</f>
        <v>-1989.365282317232</v>
      </c>
      <c r="W55" s="236">
        <f ca="1">-Taxes!V84</f>
        <v>-2087.5101008853744</v>
      </c>
      <c r="X55" s="236">
        <f ca="1">-Taxes!W84</f>
        <v>-2276.4008162935347</v>
      </c>
      <c r="Y55" s="236">
        <f ca="1">-Taxes!X84</f>
        <v>-1089.7670808219095</v>
      </c>
      <c r="Z55" s="427">
        <f ca="1">SUM(E55:Y55)</f>
        <v>-16641.514910770871</v>
      </c>
      <c r="AB55" s="130">
        <f t="shared" si="2"/>
        <v>49</v>
      </c>
    </row>
    <row r="56" spans="1:28" s="90" customFormat="1">
      <c r="A56" s="408"/>
      <c r="B56" s="87"/>
      <c r="C56" s="87"/>
      <c r="D56" s="87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426"/>
      <c r="AB56" s="130">
        <f t="shared" si="2"/>
        <v>50</v>
      </c>
    </row>
    <row r="57" spans="1:28" s="88" customFormat="1">
      <c r="A57" s="409" t="s">
        <v>593</v>
      </c>
      <c r="B57" s="89"/>
      <c r="C57" s="87"/>
      <c r="D57" s="89"/>
      <c r="E57" s="237">
        <f ca="1">SUM(E54:E55)</f>
        <v>0</v>
      </c>
      <c r="F57" s="237">
        <f t="shared" ref="F57:Y57" ca="1" si="14">SUM(F54:F55)</f>
        <v>0</v>
      </c>
      <c r="G57" s="237">
        <f t="shared" ca="1" si="14"/>
        <v>-4849.9561814426543</v>
      </c>
      <c r="H57" s="237">
        <f t="shared" ca="1" si="14"/>
        <v>-9312.2837301061027</v>
      </c>
      <c r="I57" s="237">
        <f t="shared" ca="1" si="14"/>
        <v>-9485.8988346098904</v>
      </c>
      <c r="J57" s="237">
        <f t="shared" ca="1" si="14"/>
        <v>-4607.3951992368184</v>
      </c>
      <c r="K57" s="237">
        <f t="shared" ca="1" si="14"/>
        <v>-3349.5437466666385</v>
      </c>
      <c r="L57" s="237">
        <f t="shared" ca="1" si="14"/>
        <v>-2354.1885095182952</v>
      </c>
      <c r="M57" s="237">
        <f t="shared" ca="1" si="14"/>
        <v>-1241.4380539049234</v>
      </c>
      <c r="N57" s="237">
        <f t="shared" ca="1" si="14"/>
        <v>144.69853918893205</v>
      </c>
      <c r="O57" s="237">
        <f t="shared" ca="1" si="14"/>
        <v>1137.01825639451</v>
      </c>
      <c r="P57" s="237">
        <f t="shared" ca="1" si="14"/>
        <v>1926.6376685013677</v>
      </c>
      <c r="Q57" s="237">
        <f t="shared" ca="1" si="14"/>
        <v>2904.6811882697839</v>
      </c>
      <c r="R57" s="237">
        <f t="shared" ca="1" si="14"/>
        <v>3953.0955116691489</v>
      </c>
      <c r="S57" s="237">
        <f t="shared" ca="1" si="14"/>
        <v>3841.3434814661068</v>
      </c>
      <c r="T57" s="237">
        <f t="shared" ca="1" si="14"/>
        <v>5438.5908943417035</v>
      </c>
      <c r="U57" s="237">
        <f t="shared" ca="1" si="14"/>
        <v>6237.9525634740421</v>
      </c>
      <c r="V57" s="237">
        <f t="shared" ca="1" si="14"/>
        <v>6720.160663937475</v>
      </c>
      <c r="W57" s="237">
        <f t="shared" ca="1" si="14"/>
        <v>7046.8851898201647</v>
      </c>
      <c r="X57" s="237">
        <f t="shared" ca="1" si="14"/>
        <v>7581.3688655241513</v>
      </c>
      <c r="Y57" s="237">
        <f t="shared" ca="1" si="14"/>
        <v>2235.3202461814585</v>
      </c>
      <c r="Z57" s="428">
        <f ca="1">SUM(E57:Y57)</f>
        <v>13967.048813283525</v>
      </c>
      <c r="AB57" s="130">
        <f t="shared" si="2"/>
        <v>51</v>
      </c>
    </row>
    <row r="58" spans="1:28" s="89" customFormat="1">
      <c r="A58" s="408"/>
      <c r="B58" s="87" t="s">
        <v>594</v>
      </c>
      <c r="C58" s="87"/>
      <c r="D58" s="87"/>
      <c r="E58" s="236">
        <f ca="1">Trapped!F55</f>
        <v>0</v>
      </c>
      <c r="F58" s="236">
        <f ca="1">Trapped!G55</f>
        <v>0</v>
      </c>
      <c r="G58" s="236">
        <f ca="1">Trapped!H55</f>
        <v>0</v>
      </c>
      <c r="H58" s="236">
        <f ca="1">Trapped!I55</f>
        <v>0</v>
      </c>
      <c r="I58" s="236">
        <f ca="1">Trapped!J55</f>
        <v>0</v>
      </c>
      <c r="J58" s="236">
        <f ca="1">Trapped!K55</f>
        <v>0</v>
      </c>
      <c r="K58" s="236">
        <f ca="1">Trapped!L55</f>
        <v>0</v>
      </c>
      <c r="L58" s="236">
        <f ca="1">Trapped!M55</f>
        <v>0</v>
      </c>
      <c r="M58" s="236">
        <f ca="1">Trapped!N55</f>
        <v>47.94154722587669</v>
      </c>
      <c r="N58" s="236">
        <f ca="1">Trapped!O55</f>
        <v>92.943264130795768</v>
      </c>
      <c r="O58" s="236">
        <f ca="1">Trapped!P55</f>
        <v>6.644097311169503</v>
      </c>
      <c r="P58" s="236">
        <f ca="1">Trapped!Q55</f>
        <v>112.35039586249366</v>
      </c>
      <c r="Q58" s="236">
        <f ca="1">Trapped!R55</f>
        <v>32.006177391537449</v>
      </c>
      <c r="R58" s="236">
        <f ca="1">Trapped!S55</f>
        <v>138.64160817147808</v>
      </c>
      <c r="S58" s="236">
        <f ca="1">Trapped!T55</f>
        <v>13.883382089386146</v>
      </c>
      <c r="T58" s="236">
        <f ca="1">Trapped!U55</f>
        <v>-13.883382089386146</v>
      </c>
      <c r="U58" s="236">
        <f ca="1">Trapped!V55</f>
        <v>13.883382089386146</v>
      </c>
      <c r="V58" s="236">
        <f ca="1">Trapped!W55</f>
        <v>-13.883382089386146</v>
      </c>
      <c r="W58" s="236">
        <f ca="1">Trapped!X55</f>
        <v>-430.52709009335115</v>
      </c>
      <c r="X58" s="236">
        <f ca="1">Trapped!Y55</f>
        <v>0</v>
      </c>
      <c r="Y58" s="236">
        <f ca="1">Trapped!Z55</f>
        <v>0</v>
      </c>
      <c r="Z58" s="427">
        <f ca="1">SUM(E58:Y58)</f>
        <v>0</v>
      </c>
      <c r="AB58" s="130">
        <f t="shared" si="2"/>
        <v>52</v>
      </c>
    </row>
    <row r="59" spans="1:28" s="90" customFormat="1">
      <c r="A59" s="408"/>
      <c r="B59" s="87"/>
      <c r="C59" s="87"/>
      <c r="D59" s="87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426"/>
      <c r="AB59" s="130">
        <f t="shared" si="2"/>
        <v>53</v>
      </c>
    </row>
    <row r="60" spans="1:28" s="87" customFormat="1">
      <c r="A60" s="413" t="s">
        <v>193</v>
      </c>
      <c r="B60" s="414"/>
      <c r="C60" s="414"/>
      <c r="D60" s="414"/>
      <c r="E60" s="415">
        <f ca="1">SUM(E57:E58)</f>
        <v>0</v>
      </c>
      <c r="F60" s="415">
        <f t="shared" ref="F60:Y60" ca="1" si="15">SUM(F57:F58)</f>
        <v>0</v>
      </c>
      <c r="G60" s="415">
        <f t="shared" ca="1" si="15"/>
        <v>-4849.9561814426543</v>
      </c>
      <c r="H60" s="415">
        <f t="shared" ca="1" si="15"/>
        <v>-9312.2837301061027</v>
      </c>
      <c r="I60" s="415">
        <f t="shared" ca="1" si="15"/>
        <v>-9485.8988346098904</v>
      </c>
      <c r="J60" s="415">
        <f t="shared" ca="1" si="15"/>
        <v>-4607.3951992368184</v>
      </c>
      <c r="K60" s="415">
        <f t="shared" ca="1" si="15"/>
        <v>-3349.5437466666385</v>
      </c>
      <c r="L60" s="415">
        <f t="shared" ca="1" si="15"/>
        <v>-2354.1885095182952</v>
      </c>
      <c r="M60" s="415">
        <f t="shared" ca="1" si="15"/>
        <v>-1193.4965066790467</v>
      </c>
      <c r="N60" s="415">
        <f t="shared" ca="1" si="15"/>
        <v>237.64180331972781</v>
      </c>
      <c r="O60" s="415">
        <f t="shared" ca="1" si="15"/>
        <v>1143.6623537056794</v>
      </c>
      <c r="P60" s="415">
        <f t="shared" ca="1" si="15"/>
        <v>2038.9880643638612</v>
      </c>
      <c r="Q60" s="415">
        <f t="shared" ca="1" si="15"/>
        <v>2936.6873656613216</v>
      </c>
      <c r="R60" s="415">
        <f t="shared" ca="1" si="15"/>
        <v>4091.7371198406272</v>
      </c>
      <c r="S60" s="415">
        <f t="shared" ca="1" si="15"/>
        <v>3855.2268635554929</v>
      </c>
      <c r="T60" s="415">
        <f t="shared" ca="1" si="15"/>
        <v>5424.7075122523174</v>
      </c>
      <c r="U60" s="415">
        <f t="shared" ca="1" si="15"/>
        <v>6251.8359455634281</v>
      </c>
      <c r="V60" s="415">
        <f t="shared" ca="1" si="15"/>
        <v>6706.2772818480889</v>
      </c>
      <c r="W60" s="415">
        <f t="shared" ca="1" si="15"/>
        <v>6616.3580997268136</v>
      </c>
      <c r="X60" s="415">
        <f t="shared" ca="1" si="15"/>
        <v>7581.3688655241513</v>
      </c>
      <c r="Y60" s="415">
        <f t="shared" ca="1" si="15"/>
        <v>2235.3202461814585</v>
      </c>
      <c r="Z60" s="429">
        <f ca="1">SUM(E60:Y60)</f>
        <v>13967.048813283525</v>
      </c>
      <c r="AB60" s="130">
        <f t="shared" si="2"/>
        <v>54</v>
      </c>
    </row>
    <row r="61" spans="1:28" s="87" customFormat="1">
      <c r="A61" s="410"/>
      <c r="B61" s="232"/>
      <c r="C61" s="232"/>
      <c r="D61" s="327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430"/>
      <c r="AB61" s="130">
        <f t="shared" si="2"/>
        <v>55</v>
      </c>
    </row>
    <row r="62" spans="1:28" s="89" customFormat="1">
      <c r="A62" s="411"/>
      <c r="B62" s="231" t="s">
        <v>331</v>
      </c>
      <c r="C62" s="87"/>
      <c r="D62" s="87"/>
      <c r="E62" s="235">
        <f t="shared" ref="E62:Y62" ca="1" si="16">-E44</f>
        <v>0</v>
      </c>
      <c r="F62" s="235">
        <f t="shared" ca="1" si="16"/>
        <v>0</v>
      </c>
      <c r="G62" s="235">
        <f t="shared" ca="1" si="16"/>
        <v>5267.1668601538513</v>
      </c>
      <c r="H62" s="235">
        <f t="shared" ca="1" si="16"/>
        <v>6320.6002321846217</v>
      </c>
      <c r="I62" s="235">
        <f t="shared" ca="1" si="16"/>
        <v>6320.6002321846217</v>
      </c>
      <c r="J62" s="235">
        <f t="shared" ca="1" si="16"/>
        <v>6320.6002321846217</v>
      </c>
      <c r="K62" s="235">
        <f t="shared" ca="1" si="16"/>
        <v>6320.6002321846217</v>
      </c>
      <c r="L62" s="235">
        <f t="shared" ca="1" si="16"/>
        <v>6320.6002321846217</v>
      </c>
      <c r="M62" s="235">
        <f t="shared" ca="1" si="16"/>
        <v>6320.6002321846217</v>
      </c>
      <c r="N62" s="235">
        <f t="shared" ca="1" si="16"/>
        <v>6320.6002321846217</v>
      </c>
      <c r="O62" s="235">
        <f t="shared" ca="1" si="16"/>
        <v>6320.6002321846217</v>
      </c>
      <c r="P62" s="235">
        <f t="shared" ca="1" si="16"/>
        <v>6320.6002321846217</v>
      </c>
      <c r="Q62" s="235">
        <f t="shared" ca="1" si="16"/>
        <v>6320.6002321846217</v>
      </c>
      <c r="R62" s="235">
        <f t="shared" ca="1" si="16"/>
        <v>6320.6002321846217</v>
      </c>
      <c r="S62" s="235">
        <f t="shared" ca="1" si="16"/>
        <v>6320.6002321846217</v>
      </c>
      <c r="T62" s="235">
        <f t="shared" ca="1" si="16"/>
        <v>6320.6002321846217</v>
      </c>
      <c r="U62" s="235">
        <f t="shared" ca="1" si="16"/>
        <v>6320.6002321846217</v>
      </c>
      <c r="V62" s="235">
        <f t="shared" ca="1" si="16"/>
        <v>6320.6002321846217</v>
      </c>
      <c r="W62" s="235">
        <f t="shared" ca="1" si="16"/>
        <v>6320.6002321846217</v>
      </c>
      <c r="X62" s="235">
        <f t="shared" ca="1" si="16"/>
        <v>6320.6002321846217</v>
      </c>
      <c r="Y62" s="235">
        <f t="shared" ca="1" si="16"/>
        <v>2106.8667440615404</v>
      </c>
      <c r="Z62" s="426">
        <f t="shared" ref="Z62:Z67" ca="1" si="17">SUM(E62:Y62)</f>
        <v>114824.23755135393</v>
      </c>
      <c r="AB62" s="130">
        <f t="shared" si="2"/>
        <v>56</v>
      </c>
    </row>
    <row r="63" spans="1:28" s="88" customFormat="1">
      <c r="A63" s="411"/>
      <c r="B63" s="231" t="s">
        <v>332</v>
      </c>
      <c r="C63" s="91"/>
      <c r="D63" s="81"/>
      <c r="E63" s="235">
        <f t="shared" ref="E63:Y63" ca="1" si="18">-E49</f>
        <v>0</v>
      </c>
      <c r="F63" s="235">
        <f t="shared" ca="1" si="18"/>
        <v>0</v>
      </c>
      <c r="G63" s="235">
        <f t="shared" ca="1" si="18"/>
        <v>0</v>
      </c>
      <c r="H63" s="235">
        <f t="shared" ca="1" si="18"/>
        <v>0</v>
      </c>
      <c r="I63" s="235">
        <f t="shared" ca="1" si="18"/>
        <v>0</v>
      </c>
      <c r="J63" s="235">
        <f t="shared" ca="1" si="18"/>
        <v>0</v>
      </c>
      <c r="K63" s="235">
        <f t="shared" ca="1" si="18"/>
        <v>0</v>
      </c>
      <c r="L63" s="235">
        <f t="shared" ca="1" si="18"/>
        <v>0</v>
      </c>
      <c r="M63" s="235">
        <f t="shared" ca="1" si="18"/>
        <v>0</v>
      </c>
      <c r="N63" s="235">
        <f t="shared" ca="1" si="18"/>
        <v>0</v>
      </c>
      <c r="O63" s="235">
        <f t="shared" ca="1" si="18"/>
        <v>0</v>
      </c>
      <c r="P63" s="235">
        <f t="shared" ca="1" si="18"/>
        <v>0</v>
      </c>
      <c r="Q63" s="235">
        <f t="shared" ca="1" si="18"/>
        <v>0</v>
      </c>
      <c r="R63" s="235">
        <f t="shared" ca="1" si="18"/>
        <v>0</v>
      </c>
      <c r="S63" s="235">
        <f t="shared" ca="1" si="18"/>
        <v>0</v>
      </c>
      <c r="T63" s="235">
        <f t="shared" ca="1" si="18"/>
        <v>0</v>
      </c>
      <c r="U63" s="235">
        <f t="shared" ca="1" si="18"/>
        <v>0</v>
      </c>
      <c r="V63" s="235">
        <f t="shared" ca="1" si="18"/>
        <v>0</v>
      </c>
      <c r="W63" s="235">
        <f t="shared" ca="1" si="18"/>
        <v>0</v>
      </c>
      <c r="X63" s="235">
        <f t="shared" ca="1" si="18"/>
        <v>0</v>
      </c>
      <c r="Y63" s="235">
        <f t="shared" ca="1" si="18"/>
        <v>0</v>
      </c>
      <c r="Z63" s="426">
        <f t="shared" ca="1" si="17"/>
        <v>0</v>
      </c>
      <c r="AB63" s="130">
        <f t="shared" si="2"/>
        <v>57</v>
      </c>
    </row>
    <row r="64" spans="1:28" s="88" customFormat="1">
      <c r="A64" s="411"/>
      <c r="B64" s="231" t="s">
        <v>333</v>
      </c>
      <c r="C64" s="87"/>
      <c r="D64" s="87"/>
      <c r="E64" s="235">
        <f t="shared" ref="E64:Y64" ca="1" si="19">-E55</f>
        <v>0</v>
      </c>
      <c r="F64" s="235">
        <f t="shared" ca="1" si="19"/>
        <v>0</v>
      </c>
      <c r="G64" s="235">
        <f t="shared" ca="1" si="19"/>
        <v>0</v>
      </c>
      <c r="H64" s="235">
        <f t="shared" ca="1" si="19"/>
        <v>0</v>
      </c>
      <c r="I64" s="235">
        <f t="shared" ca="1" si="19"/>
        <v>0</v>
      </c>
      <c r="J64" s="235">
        <f t="shared" ca="1" si="19"/>
        <v>0</v>
      </c>
      <c r="K64" s="235">
        <f t="shared" ca="1" si="19"/>
        <v>0</v>
      </c>
      <c r="L64" s="235">
        <f t="shared" ca="1" si="19"/>
        <v>0</v>
      </c>
      <c r="M64" s="235">
        <f t="shared" ca="1" si="19"/>
        <v>174.32428249050224</v>
      </c>
      <c r="N64" s="235">
        <f t="shared" ca="1" si="19"/>
        <v>517.8425867179235</v>
      </c>
      <c r="O64" s="235">
        <f t="shared" ca="1" si="19"/>
        <v>733.28209972266939</v>
      </c>
      <c r="P64" s="235">
        <f t="shared" ca="1" si="19"/>
        <v>876.73961748338002</v>
      </c>
      <c r="Q64" s="235">
        <f t="shared" ca="1" si="19"/>
        <v>1064.2161134374599</v>
      </c>
      <c r="R64" s="235">
        <f t="shared" ca="1" si="19"/>
        <v>1258.5607548254725</v>
      </c>
      <c r="S64" s="235">
        <f t="shared" ca="1" si="19"/>
        <v>1124.5970519519703</v>
      </c>
      <c r="T64" s="235">
        <f t="shared" ca="1" si="19"/>
        <v>1604.3943892396983</v>
      </c>
      <c r="U64" s="235">
        <f t="shared" ca="1" si="19"/>
        <v>1844.5147345837427</v>
      </c>
      <c r="V64" s="235">
        <f t="shared" ca="1" si="19"/>
        <v>1989.365282317232</v>
      </c>
      <c r="W64" s="235">
        <f t="shared" ca="1" si="19"/>
        <v>2087.5101008853744</v>
      </c>
      <c r="X64" s="235">
        <f t="shared" ca="1" si="19"/>
        <v>2276.4008162935347</v>
      </c>
      <c r="Y64" s="235">
        <f t="shared" ca="1" si="19"/>
        <v>1089.7670808219095</v>
      </c>
      <c r="Z64" s="426">
        <f t="shared" ca="1" si="17"/>
        <v>16641.514910770871</v>
      </c>
      <c r="AB64" s="130">
        <f t="shared" si="2"/>
        <v>58</v>
      </c>
    </row>
    <row r="65" spans="1:28" s="88" customFormat="1">
      <c r="A65" s="411"/>
      <c r="B65" s="87" t="s">
        <v>595</v>
      </c>
      <c r="C65" s="87"/>
      <c r="D65" s="87"/>
      <c r="E65" s="235">
        <f t="shared" ref="E65:Y65" ca="1" si="20">-E58</f>
        <v>0</v>
      </c>
      <c r="F65" s="235">
        <f t="shared" ca="1" si="20"/>
        <v>0</v>
      </c>
      <c r="G65" s="235">
        <f t="shared" ca="1" si="20"/>
        <v>0</v>
      </c>
      <c r="H65" s="235">
        <f t="shared" ca="1" si="20"/>
        <v>0</v>
      </c>
      <c r="I65" s="235">
        <f t="shared" ca="1" si="20"/>
        <v>0</v>
      </c>
      <c r="J65" s="235">
        <f t="shared" ca="1" si="20"/>
        <v>0</v>
      </c>
      <c r="K65" s="235">
        <f t="shared" ca="1" si="20"/>
        <v>0</v>
      </c>
      <c r="L65" s="235">
        <f t="shared" ca="1" si="20"/>
        <v>0</v>
      </c>
      <c r="M65" s="235">
        <f t="shared" ca="1" si="20"/>
        <v>-47.94154722587669</v>
      </c>
      <c r="N65" s="235">
        <f t="shared" ca="1" si="20"/>
        <v>-92.943264130795768</v>
      </c>
      <c r="O65" s="235">
        <f t="shared" ca="1" si="20"/>
        <v>-6.644097311169503</v>
      </c>
      <c r="P65" s="235">
        <f t="shared" ca="1" si="20"/>
        <v>-112.35039586249366</v>
      </c>
      <c r="Q65" s="235">
        <f t="shared" ca="1" si="20"/>
        <v>-32.006177391537449</v>
      </c>
      <c r="R65" s="235">
        <f t="shared" ca="1" si="20"/>
        <v>-138.64160817147808</v>
      </c>
      <c r="S65" s="235">
        <f t="shared" ca="1" si="20"/>
        <v>-13.883382089386146</v>
      </c>
      <c r="T65" s="235">
        <f t="shared" ca="1" si="20"/>
        <v>13.883382089386146</v>
      </c>
      <c r="U65" s="235">
        <f t="shared" ca="1" si="20"/>
        <v>-13.883382089386146</v>
      </c>
      <c r="V65" s="235">
        <f t="shared" ca="1" si="20"/>
        <v>13.883382089386146</v>
      </c>
      <c r="W65" s="235">
        <f t="shared" ca="1" si="20"/>
        <v>430.52709009335115</v>
      </c>
      <c r="X65" s="235">
        <f t="shared" ca="1" si="20"/>
        <v>0</v>
      </c>
      <c r="Y65" s="235">
        <f t="shared" ca="1" si="20"/>
        <v>0</v>
      </c>
      <c r="Z65" s="426">
        <f t="shared" ca="1" si="17"/>
        <v>0</v>
      </c>
      <c r="AB65" s="130">
        <f t="shared" si="2"/>
        <v>59</v>
      </c>
    </row>
    <row r="66" spans="1:28" s="88" customFormat="1">
      <c r="A66" s="411"/>
      <c r="B66" s="231" t="s">
        <v>330</v>
      </c>
      <c r="C66" s="87"/>
      <c r="D66" s="87"/>
      <c r="E66" s="239">
        <f ca="1">-Taxes!D52</f>
        <v>0</v>
      </c>
      <c r="F66" s="239">
        <f ca="1">-Taxes!E52</f>
        <v>0</v>
      </c>
      <c r="G66" s="239">
        <f ca="1">-Taxes!F52</f>
        <v>0</v>
      </c>
      <c r="H66" s="239">
        <f ca="1">-Taxes!G52</f>
        <v>0</v>
      </c>
      <c r="I66" s="239">
        <f ca="1">-Taxes!H52</f>
        <v>0</v>
      </c>
      <c r="J66" s="239">
        <f ca="1">-Taxes!I52</f>
        <v>0</v>
      </c>
      <c r="K66" s="239">
        <f ca="1">-Taxes!J52</f>
        <v>0</v>
      </c>
      <c r="L66" s="239">
        <f ca="1">-Taxes!K52</f>
        <v>0</v>
      </c>
      <c r="M66" s="239">
        <f ca="1">-Taxes!L52</f>
        <v>-126.38273526462555</v>
      </c>
      <c r="N66" s="239">
        <f ca="1">-Taxes!M52</f>
        <v>-376.95777536125104</v>
      </c>
      <c r="O66" s="239">
        <f ca="1">-Taxes!N52</f>
        <v>-633.69473828070409</v>
      </c>
      <c r="P66" s="239">
        <f ca="1">-Taxes!O52</f>
        <v>-757.74512430971686</v>
      </c>
      <c r="Q66" s="239">
        <f ca="1">-Taxes!P52</f>
        <v>-919.85954018342875</v>
      </c>
      <c r="R66" s="239">
        <f ca="1">-Taxes!Q52</f>
        <v>-1087.912969262457</v>
      </c>
      <c r="S66" s="239">
        <f ca="1">-Taxes!R52</f>
        <v>-972.07206169110611</v>
      </c>
      <c r="T66" s="239">
        <f ca="1">-Taxes!S52</f>
        <v>-1604.3943892396983</v>
      </c>
      <c r="U66" s="239">
        <f ca="1">-Taxes!T52</f>
        <v>-1844.5147345837427</v>
      </c>
      <c r="V66" s="239">
        <f ca="1">-Taxes!U52</f>
        <v>-1989.365282317232</v>
      </c>
      <c r="W66" s="239">
        <f ca="1">-Taxes!V52</f>
        <v>-2087.5101008853744</v>
      </c>
      <c r="X66" s="239">
        <f ca="1">-Taxes!W52</f>
        <v>-2276.4008162935347</v>
      </c>
      <c r="Y66" s="239">
        <f ca="1">-Taxes!X52</f>
        <v>-1089.7670808219095</v>
      </c>
      <c r="Z66" s="426">
        <f t="shared" ca="1" si="17"/>
        <v>-15766.577348494782</v>
      </c>
      <c r="AB66" s="130">
        <f t="shared" si="2"/>
        <v>60</v>
      </c>
    </row>
    <row r="67" spans="1:28" s="87" customFormat="1">
      <c r="A67" s="411"/>
      <c r="B67" s="231" t="s">
        <v>24</v>
      </c>
      <c r="E67" s="239">
        <f ca="1">-'Debt Amort'!E13</f>
        <v>0</v>
      </c>
      <c r="F67" s="239">
        <f ca="1">-'Debt Amort'!F13</f>
        <v>0</v>
      </c>
      <c r="G67" s="239">
        <f ca="1">-'Debt Amort'!G13</f>
        <v>0</v>
      </c>
      <c r="H67" s="239">
        <f ca="1">-'Debt Amort'!H13</f>
        <v>-1138.9135635035377</v>
      </c>
      <c r="I67" s="239">
        <f ca="1">-'Debt Amort'!I13</f>
        <v>-1930.9135565637616</v>
      </c>
      <c r="J67" s="239">
        <f ca="1">-'Debt Amort'!J13</f>
        <v>-5423.9144847296739</v>
      </c>
      <c r="K67" s="239">
        <f ca="1">-'Debt Amort'!K13</f>
        <v>-6885.7317572241172</v>
      </c>
      <c r="L67" s="239">
        <f ca="1">-'Debt Amort'!L13</f>
        <v>-7800.7461307980138</v>
      </c>
      <c r="M67" s="239">
        <f ca="1">-'Debt Amort'!M13</f>
        <v>-8370.25715169463</v>
      </c>
      <c r="N67" s="239">
        <f ca="1">-'Debt Amort'!N13</f>
        <v>-6350.3913975812993</v>
      </c>
      <c r="O67" s="239">
        <f ca="1">-'Debt Amort'!O13</f>
        <v>-4330.5256434679677</v>
      </c>
      <c r="P67" s="239">
        <f ca="1">-'Debt Amort'!P13</f>
        <v>-4330.5256434679677</v>
      </c>
      <c r="Q67" s="239">
        <f ca="1">-'Debt Amort'!Q13</f>
        <v>-5340.458520524634</v>
      </c>
      <c r="R67" s="239">
        <f ca="1">-'Debt Amort'!R13</f>
        <v>-6350.3913975813002</v>
      </c>
      <c r="S67" s="239">
        <f ca="1">-'Debt Amort'!S13</f>
        <v>-6350.3913975813002</v>
      </c>
      <c r="T67" s="239">
        <f ca="1">-'Debt Amort'!T13</f>
        <v>-6578.1958059399458</v>
      </c>
      <c r="U67" s="239">
        <f ca="1">-'Debt Amort'!U13</f>
        <v>-4753.4463355573153</v>
      </c>
      <c r="V67" s="239">
        <f ca="1">-'Debt Amort'!V13</f>
        <v>0</v>
      </c>
      <c r="W67" s="239">
        <f ca="1">-'Debt Amort'!W13</f>
        <v>0</v>
      </c>
      <c r="X67" s="239">
        <f ca="1">-'Debt Amort'!X13</f>
        <v>0</v>
      </c>
      <c r="Y67" s="239">
        <f ca="1">-'Debt Amort'!Y13</f>
        <v>0</v>
      </c>
      <c r="Z67" s="431">
        <f t="shared" ca="1" si="17"/>
        <v>-75934.802786215456</v>
      </c>
      <c r="AB67" s="130">
        <f t="shared" si="2"/>
        <v>61</v>
      </c>
    </row>
    <row r="68" spans="1:28" s="87" customFormat="1">
      <c r="A68" s="411"/>
      <c r="B68" s="231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431"/>
      <c r="AB68" s="130">
        <f t="shared" si="2"/>
        <v>62</v>
      </c>
    </row>
    <row r="69" spans="1:28" s="87" customFormat="1">
      <c r="A69" s="413" t="s">
        <v>23</v>
      </c>
      <c r="B69" s="414"/>
      <c r="C69" s="414"/>
      <c r="D69" s="414"/>
      <c r="E69" s="415">
        <f t="shared" ref="E69:Y69" ca="1" si="21">SUM(E60:E68)</f>
        <v>0</v>
      </c>
      <c r="F69" s="415">
        <f t="shared" ca="1" si="21"/>
        <v>0</v>
      </c>
      <c r="G69" s="415">
        <f t="shared" ca="1" si="21"/>
        <v>417.21067871119703</v>
      </c>
      <c r="H69" s="415">
        <f t="shared" ca="1" si="21"/>
        <v>-4130.5970614250182</v>
      </c>
      <c r="I69" s="415">
        <f t="shared" ca="1" si="21"/>
        <v>-5096.2121589890303</v>
      </c>
      <c r="J69" s="415">
        <f t="shared" ca="1" si="21"/>
        <v>-3710.7094517818705</v>
      </c>
      <c r="K69" s="415">
        <f t="shared" ca="1" si="21"/>
        <v>-3914.675271706134</v>
      </c>
      <c r="L69" s="415">
        <f t="shared" ca="1" si="21"/>
        <v>-3834.3344081316873</v>
      </c>
      <c r="M69" s="415">
        <f t="shared" ca="1" si="21"/>
        <v>-3243.1534261890556</v>
      </c>
      <c r="N69" s="415">
        <f t="shared" ca="1" si="21"/>
        <v>255.79218514892727</v>
      </c>
      <c r="O69" s="415">
        <f t="shared" ca="1" si="21"/>
        <v>3226.6802065531301</v>
      </c>
      <c r="P69" s="415">
        <f t="shared" ca="1" si="21"/>
        <v>4035.7067503916851</v>
      </c>
      <c r="Q69" s="415">
        <f t="shared" ca="1" si="21"/>
        <v>4029.1794731838045</v>
      </c>
      <c r="R69" s="415">
        <f t="shared" ca="1" si="21"/>
        <v>4093.9521318354864</v>
      </c>
      <c r="S69" s="415">
        <f t="shared" ca="1" si="21"/>
        <v>3964.0773063302922</v>
      </c>
      <c r="T69" s="415">
        <f t="shared" ca="1" si="21"/>
        <v>5180.9953205863803</v>
      </c>
      <c r="U69" s="415">
        <f t="shared" ca="1" si="21"/>
        <v>7805.1064601013477</v>
      </c>
      <c r="V69" s="415">
        <f t="shared" ca="1" si="21"/>
        <v>13040.760896122098</v>
      </c>
      <c r="W69" s="415">
        <f t="shared" ca="1" si="21"/>
        <v>13367.485422004787</v>
      </c>
      <c r="X69" s="415">
        <f t="shared" ca="1" si="21"/>
        <v>13901.969097708774</v>
      </c>
      <c r="Y69" s="415">
        <f t="shared" ca="1" si="21"/>
        <v>4342.1869902429989</v>
      </c>
      <c r="Z69" s="429">
        <f ca="1">SUM(E69:Y69)</f>
        <v>53731.421140698105</v>
      </c>
      <c r="AB69" s="130">
        <f t="shared" si="2"/>
        <v>63</v>
      </c>
    </row>
    <row r="70" spans="1:28" s="87" customFormat="1">
      <c r="A70" s="412"/>
      <c r="B70" s="233"/>
      <c r="C70" s="89"/>
      <c r="D70" s="89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432"/>
      <c r="AB70" s="130">
        <f t="shared" si="2"/>
        <v>64</v>
      </c>
    </row>
    <row r="71" spans="1:28" s="87" customFormat="1">
      <c r="A71" s="411"/>
      <c r="B71" s="231" t="s">
        <v>25</v>
      </c>
      <c r="E71" s="239">
        <f ca="1">-'Debt Amort'!E21</f>
        <v>0</v>
      </c>
      <c r="F71" s="239">
        <f ca="1">-'Debt Amort'!F21</f>
        <v>0</v>
      </c>
      <c r="G71" s="239">
        <f ca="1">-'Debt Amort'!G21</f>
        <v>0</v>
      </c>
      <c r="H71" s="239">
        <f ca="1">-'Debt Amort'!H21</f>
        <v>-962.70776836544337</v>
      </c>
      <c r="I71" s="239">
        <f ca="1">-'Debt Amort'!I21</f>
        <v>-1091.9272185742943</v>
      </c>
      <c r="J71" s="239">
        <f ca="1">-'Debt Amort'!J21</f>
        <v>-1238.4911494874289</v>
      </c>
      <c r="K71" s="239">
        <f ca="1">-'Debt Amort'!K21</f>
        <v>-1404.7276240273789</v>
      </c>
      <c r="L71" s="239">
        <f ca="1">-'Debt Amort'!L21</f>
        <v>-1593.2771893624531</v>
      </c>
      <c r="M71" s="239">
        <f ca="1">-'Debt Amort'!M21</f>
        <v>-1807.134820104628</v>
      </c>
      <c r="N71" s="239">
        <f ca="1">-'Debt Amort'!N21</f>
        <v>-2049.6974913331701</v>
      </c>
      <c r="O71" s="239">
        <f ca="1">-'Debt Amort'!O21</f>
        <v>-2324.8181371073651</v>
      </c>
      <c r="P71" s="239">
        <f ca="1">-'Debt Amort'!P21</f>
        <v>-2636.8668515605982</v>
      </c>
      <c r="Q71" s="239">
        <f ca="1">-'Debt Amort'!Q21</f>
        <v>-2990.8003047113179</v>
      </c>
      <c r="R71" s="239">
        <f ca="1">-'Debt Amort'!R21</f>
        <v>-3392.2404756111864</v>
      </c>
      <c r="S71" s="239">
        <f ca="1">-'Debt Amort'!S21</f>
        <v>0</v>
      </c>
      <c r="T71" s="239">
        <f ca="1">-'Debt Amort'!T21</f>
        <v>0</v>
      </c>
      <c r="U71" s="239">
        <f ca="1">-'Debt Amort'!U21</f>
        <v>0</v>
      </c>
      <c r="V71" s="239">
        <f ca="1">-'Debt Amort'!V21</f>
        <v>0</v>
      </c>
      <c r="W71" s="239">
        <f ca="1">-'Debt Amort'!W21</f>
        <v>0</v>
      </c>
      <c r="X71" s="239">
        <f ca="1">-'Debt Amort'!X21</f>
        <v>0</v>
      </c>
      <c r="Y71" s="239">
        <f ca="1">-'Debt Amort'!Y21</f>
        <v>0</v>
      </c>
      <c r="Z71" s="431">
        <f ca="1">SUM(E71:Y71)</f>
        <v>-21492.689030245267</v>
      </c>
      <c r="AB71" s="130">
        <f t="shared" si="2"/>
        <v>65</v>
      </c>
    </row>
    <row r="72" spans="1:28" s="87" customFormat="1">
      <c r="A72" s="412"/>
      <c r="B72" s="233"/>
      <c r="C72" s="89"/>
      <c r="D72" s="89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432"/>
      <c r="AB72" s="130">
        <f t="shared" si="2"/>
        <v>66</v>
      </c>
    </row>
    <row r="73" spans="1:28" s="87" customFormat="1">
      <c r="A73" s="413" t="s">
        <v>337</v>
      </c>
      <c r="B73" s="414"/>
      <c r="C73" s="414"/>
      <c r="D73" s="414"/>
      <c r="E73" s="415">
        <f ca="1">SUM(E69:E72)</f>
        <v>0</v>
      </c>
      <c r="F73" s="415">
        <f t="shared" ref="F73:Y73" ca="1" si="22">SUM(F69:F72)</f>
        <v>0</v>
      </c>
      <c r="G73" s="415">
        <f t="shared" ca="1" si="22"/>
        <v>417.21067871119703</v>
      </c>
      <c r="H73" s="415">
        <f t="shared" ca="1" si="22"/>
        <v>-5093.3048297904616</v>
      </c>
      <c r="I73" s="415">
        <f t="shared" ca="1" si="22"/>
        <v>-6188.1393775633242</v>
      </c>
      <c r="J73" s="415">
        <f t="shared" ca="1" si="22"/>
        <v>-4949.2006012692991</v>
      </c>
      <c r="K73" s="415">
        <f t="shared" ca="1" si="22"/>
        <v>-5319.4028957335131</v>
      </c>
      <c r="L73" s="415">
        <f t="shared" ca="1" si="22"/>
        <v>-5427.6115974941404</v>
      </c>
      <c r="M73" s="415">
        <f t="shared" ca="1" si="22"/>
        <v>-5050.2882462936832</v>
      </c>
      <c r="N73" s="415">
        <f t="shared" ca="1" si="22"/>
        <v>-1793.9053061842428</v>
      </c>
      <c r="O73" s="415">
        <f t="shared" ca="1" si="22"/>
        <v>901.86206944576497</v>
      </c>
      <c r="P73" s="415">
        <f t="shared" ca="1" si="22"/>
        <v>1398.8398988310869</v>
      </c>
      <c r="Q73" s="415">
        <f t="shared" ca="1" si="22"/>
        <v>1038.3791684724865</v>
      </c>
      <c r="R73" s="415">
        <f t="shared" ca="1" si="22"/>
        <v>701.71165622429999</v>
      </c>
      <c r="S73" s="415">
        <f t="shared" ca="1" si="22"/>
        <v>3964.0773063302922</v>
      </c>
      <c r="T73" s="415">
        <f t="shared" ca="1" si="22"/>
        <v>5180.9953205863803</v>
      </c>
      <c r="U73" s="415">
        <f t="shared" ca="1" si="22"/>
        <v>7805.1064601013477</v>
      </c>
      <c r="V73" s="415">
        <f t="shared" ca="1" si="22"/>
        <v>13040.760896122098</v>
      </c>
      <c r="W73" s="415">
        <f t="shared" ca="1" si="22"/>
        <v>13367.485422004787</v>
      </c>
      <c r="X73" s="415">
        <f t="shared" ca="1" si="22"/>
        <v>13901.969097708774</v>
      </c>
      <c r="Y73" s="415">
        <f t="shared" ca="1" si="22"/>
        <v>4342.1869902429989</v>
      </c>
      <c r="Z73" s="429">
        <f ca="1">SUM(E73:Y73)</f>
        <v>32238.732110452846</v>
      </c>
      <c r="AB73" s="130">
        <f t="shared" si="2"/>
        <v>67</v>
      </c>
    </row>
    <row r="74" spans="1:28" s="87" customFormat="1">
      <c r="A74" s="412"/>
      <c r="B74" s="233"/>
      <c r="C74" s="89"/>
      <c r="D74" s="89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432"/>
      <c r="AB74" s="130">
        <f t="shared" si="2"/>
        <v>68</v>
      </c>
    </row>
    <row r="75" spans="1:28" s="87" customFormat="1">
      <c r="A75" s="411"/>
      <c r="B75" s="231" t="s">
        <v>334</v>
      </c>
      <c r="E75" s="239">
        <f ca="1">-Trapped!F29</f>
        <v>0</v>
      </c>
      <c r="F75" s="239">
        <f ca="1">-Trapped!G29</f>
        <v>0</v>
      </c>
      <c r="G75" s="239">
        <f ca="1">-Trapped!H29</f>
        <v>-417.21067871119703</v>
      </c>
      <c r="H75" s="239">
        <f ca="1">-Trapped!I29</f>
        <v>0</v>
      </c>
      <c r="I75" s="239">
        <f ca="1">-Trapped!J29</f>
        <v>0</v>
      </c>
      <c r="J75" s="239">
        <f ca="1">-Trapped!K29</f>
        <v>0</v>
      </c>
      <c r="K75" s="239">
        <f ca="1">-Trapped!L29</f>
        <v>0</v>
      </c>
      <c r="L75" s="239">
        <f ca="1">-Trapped!M29</f>
        <v>0</v>
      </c>
      <c r="M75" s="239">
        <f ca="1">-Trapped!N29</f>
        <v>0</v>
      </c>
      <c r="N75" s="239">
        <f ca="1">-Trapped!O29</f>
        <v>0</v>
      </c>
      <c r="O75" s="239">
        <f ca="1">-Trapped!P29</f>
        <v>-901.86206944576406</v>
      </c>
      <c r="P75" s="239">
        <f ca="1">-Trapped!Q29</f>
        <v>-1398.8398988310873</v>
      </c>
      <c r="Q75" s="239">
        <f ca="1">-Trapped!R29</f>
        <v>-1038.3791684724856</v>
      </c>
      <c r="R75" s="239">
        <f ca="1">-Trapped!S29</f>
        <v>-701.71165622429908</v>
      </c>
      <c r="S75" s="239">
        <f ca="1">-Trapped!T29</f>
        <v>-3964.0773063302913</v>
      </c>
      <c r="T75" s="239">
        <f ca="1">-Trapped!U29</f>
        <v>-5180.9953205863821</v>
      </c>
      <c r="U75" s="239">
        <f ca="1">-Trapped!V29</f>
        <v>-7805.1064601013477</v>
      </c>
      <c r="V75" s="239">
        <f ca="1">-Trapped!W29</f>
        <v>-13040.760896122098</v>
      </c>
      <c r="W75" s="239">
        <f ca="1">-Trapped!X29</f>
        <v>-9217.1257204268713</v>
      </c>
      <c r="X75" s="239">
        <f ca="1">-Trapped!Y29</f>
        <v>-6320.6002321846227</v>
      </c>
      <c r="Y75" s="239">
        <f ca="1">-Trapped!Z29</f>
        <v>0</v>
      </c>
      <c r="Z75" s="431">
        <f ca="1">SUM(E75:Y75)</f>
        <v>-49986.66940743645</v>
      </c>
      <c r="AB75" s="130">
        <f t="shared" si="2"/>
        <v>69</v>
      </c>
    </row>
    <row r="76" spans="1:28" s="87" customFormat="1">
      <c r="A76" s="411"/>
      <c r="B76" s="231" t="s">
        <v>1039</v>
      </c>
      <c r="E76" s="239">
        <f ca="1">-Trapped!F30</f>
        <v>0</v>
      </c>
      <c r="F76" s="239">
        <f ca="1">-Trapped!G30</f>
        <v>0</v>
      </c>
      <c r="G76" s="239">
        <f ca="1">-Trapped!H30</f>
        <v>0</v>
      </c>
      <c r="H76" s="239">
        <f ca="1">-Trapped!I30</f>
        <v>5093.3048297904616</v>
      </c>
      <c r="I76" s="239">
        <f ca="1">-Trapped!J30</f>
        <v>6188.1393775633233</v>
      </c>
      <c r="J76" s="239">
        <f ca="1">-Trapped!K30</f>
        <v>4949.2006012692982</v>
      </c>
      <c r="K76" s="239">
        <f ca="1">-Trapped!L30</f>
        <v>5319.402895733514</v>
      </c>
      <c r="L76" s="239">
        <f ca="1">-Trapped!M30</f>
        <v>5427.6115974941422</v>
      </c>
      <c r="M76" s="239">
        <f ca="1">-Trapped!N30</f>
        <v>5050.2882462936832</v>
      </c>
      <c r="N76" s="239">
        <f ca="1">-Trapped!O30</f>
        <v>1793.9053061842424</v>
      </c>
      <c r="O76" s="239">
        <f ca="1">-Trapped!P30</f>
        <v>0</v>
      </c>
      <c r="P76" s="239">
        <f ca="1">-Trapped!Q30</f>
        <v>0</v>
      </c>
      <c r="Q76" s="239">
        <f ca="1">-Trapped!R30</f>
        <v>0</v>
      </c>
      <c r="R76" s="239">
        <f ca="1">-Trapped!S30</f>
        <v>0</v>
      </c>
      <c r="S76" s="239">
        <f ca="1">-Trapped!T30</f>
        <v>0</v>
      </c>
      <c r="T76" s="239">
        <f ca="1">-Trapped!U30</f>
        <v>0</v>
      </c>
      <c r="U76" s="239">
        <f ca="1">-Trapped!V30</f>
        <v>0</v>
      </c>
      <c r="V76" s="239">
        <f ca="1">-Trapped!W30</f>
        <v>0</v>
      </c>
      <c r="W76" s="239">
        <f ca="1">-Trapped!X30</f>
        <v>0</v>
      </c>
      <c r="X76" s="239">
        <f ca="1">-Trapped!Y30</f>
        <v>0</v>
      </c>
      <c r="Y76" s="239">
        <f ca="1">-Trapped!Z30</f>
        <v>16164.816553107781</v>
      </c>
      <c r="Z76" s="431">
        <f ca="1">SUM(E76:Y76)</f>
        <v>49986.66940743645</v>
      </c>
      <c r="AB76" s="130">
        <f t="shared" si="2"/>
        <v>70</v>
      </c>
    </row>
    <row r="77" spans="1:28" s="87" customFormat="1">
      <c r="A77" s="411"/>
      <c r="B77" s="231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431"/>
      <c r="AB77" s="130">
        <f t="shared" si="2"/>
        <v>71</v>
      </c>
    </row>
    <row r="78" spans="1:28" s="87" customFormat="1">
      <c r="A78" s="413" t="s">
        <v>194</v>
      </c>
      <c r="B78" s="414"/>
      <c r="C78" s="414"/>
      <c r="D78" s="414"/>
      <c r="E78" s="415">
        <f ca="1">SUM(E73:E77)</f>
        <v>0</v>
      </c>
      <c r="F78" s="415">
        <f t="shared" ref="F78:Y78" ca="1" si="23">SUM(F73:F77)</f>
        <v>0</v>
      </c>
      <c r="G78" s="415">
        <f t="shared" ca="1" si="23"/>
        <v>0</v>
      </c>
      <c r="H78" s="415">
        <f t="shared" ca="1" si="23"/>
        <v>0</v>
      </c>
      <c r="I78" s="415">
        <f t="shared" ca="1" si="23"/>
        <v>0</v>
      </c>
      <c r="J78" s="415">
        <f t="shared" ca="1" si="23"/>
        <v>0</v>
      </c>
      <c r="K78" s="415">
        <f t="shared" ca="1" si="23"/>
        <v>0</v>
      </c>
      <c r="L78" s="415">
        <f t="shared" ca="1" si="23"/>
        <v>0</v>
      </c>
      <c r="M78" s="415">
        <f t="shared" ca="1" si="23"/>
        <v>0</v>
      </c>
      <c r="N78" s="415">
        <f t="shared" ca="1" si="23"/>
        <v>0</v>
      </c>
      <c r="O78" s="415">
        <f t="shared" ca="1" si="23"/>
        <v>9.0949470177292824E-13</v>
      </c>
      <c r="P78" s="415">
        <f t="shared" ca="1" si="23"/>
        <v>-4.5474735088646412E-13</v>
      </c>
      <c r="Q78" s="415">
        <f t="shared" ca="1" si="23"/>
        <v>9.0949470177292824E-13</v>
      </c>
      <c r="R78" s="415">
        <f t="shared" ca="1" si="23"/>
        <v>9.0949470177292824E-13</v>
      </c>
      <c r="S78" s="415">
        <f t="shared" ca="1" si="23"/>
        <v>9.0949470177292824E-13</v>
      </c>
      <c r="T78" s="415">
        <f t="shared" ca="1" si="23"/>
        <v>-1.8189894035458565E-12</v>
      </c>
      <c r="U78" s="415">
        <f t="shared" ca="1" si="23"/>
        <v>0</v>
      </c>
      <c r="V78" s="415">
        <f t="shared" ca="1" si="23"/>
        <v>0</v>
      </c>
      <c r="W78" s="415">
        <f t="shared" ca="1" si="23"/>
        <v>4150.359701577916</v>
      </c>
      <c r="X78" s="415">
        <f t="shared" ca="1" si="23"/>
        <v>7581.3688655241513</v>
      </c>
      <c r="Y78" s="415">
        <f t="shared" ca="1" si="23"/>
        <v>20507.00354335078</v>
      </c>
      <c r="Z78" s="429">
        <f ca="1">SUM(E78:Y78)</f>
        <v>32238.732110452849</v>
      </c>
      <c r="AB78" s="130">
        <f>AB77+1</f>
        <v>72</v>
      </c>
    </row>
    <row r="79" spans="1:28" s="87" customFormat="1" ht="13.8" thickBot="1">
      <c r="A79" s="139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433"/>
    </row>
  </sheetData>
  <printOptions horizontalCentered="1"/>
  <pageMargins left="0.25" right="0.25" top="0.5" bottom="0.5" header="0.25" footer="0.25"/>
  <pageSetup scale="3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C149"/>
  <sheetViews>
    <sheetView showGridLines="0" topLeftCell="A7" zoomScale="80" workbookViewId="0">
      <pane ySplit="1" topLeftCell="A44" activePane="bottomLeft" state="frozen"/>
      <selection activeCell="A7" sqref="A7"/>
      <selection pane="bottomLeft" activeCell="A76" sqref="A76"/>
    </sheetView>
  </sheetViews>
  <sheetFormatPr defaultColWidth="9.109375" defaultRowHeight="13.2"/>
  <cols>
    <col min="1" max="1" width="8.6640625" style="8" customWidth="1"/>
    <col min="2" max="2" width="50.33203125" style="5" customWidth="1"/>
    <col min="3" max="3" width="11" style="5" bestFit="1" customWidth="1"/>
    <col min="4" max="4" width="1.6640625" style="5" customWidth="1"/>
    <col min="5" max="26" width="10.6640625" style="5" customWidth="1"/>
    <col min="27" max="27" width="10.6640625" style="8" customWidth="1"/>
    <col min="28" max="28" width="10.6640625" style="5" customWidth="1"/>
    <col min="29" max="29" width="11.109375" style="5" bestFit="1" customWidth="1"/>
    <col min="30" max="16384" width="9.109375" style="5"/>
  </cols>
  <sheetData>
    <row r="1" spans="1:29" s="242" customFormat="1" ht="15.6">
      <c r="A1" s="998" t="str">
        <f>Assm!A1</f>
        <v>GASOCIDENTE DO MATO GROSSO LTDA (GASMAT) *** DRAFT COPY ***</v>
      </c>
      <c r="B1" s="241"/>
      <c r="C1" s="132"/>
      <c r="D1" s="24"/>
      <c r="G1" s="243"/>
      <c r="J1" s="244"/>
      <c r="R1" s="245"/>
      <c r="AA1" s="24"/>
    </row>
    <row r="2" spans="1:29" s="242" customFormat="1" ht="15.6">
      <c r="A2" s="998" t="str">
        <f>Assm!A2</f>
        <v>257 KM PIPELINE SPUR FOR CUIABA POWER PLANT (BRAZIL)</v>
      </c>
      <c r="B2" s="241"/>
      <c r="C2" s="132"/>
      <c r="D2" s="24"/>
      <c r="G2" s="243"/>
      <c r="J2" s="244"/>
      <c r="R2" s="245"/>
      <c r="AA2" s="24"/>
    </row>
    <row r="3" spans="1:29" s="242" customFormat="1" ht="15">
      <c r="A3" s="246" t="str">
        <f>Assm!A3</f>
        <v>ENRON INTERNATIONAL</v>
      </c>
      <c r="B3" s="246"/>
      <c r="C3" s="132"/>
      <c r="D3" s="24"/>
      <c r="E3" s="247"/>
      <c r="G3" s="243"/>
      <c r="J3" s="244"/>
      <c r="S3" s="248"/>
      <c r="T3" s="248"/>
      <c r="AA3" s="24"/>
    </row>
    <row r="4" spans="1:29" s="242" customFormat="1" ht="15">
      <c r="A4" s="818" t="s">
        <v>997</v>
      </c>
      <c r="B4" s="818"/>
      <c r="C4" s="132"/>
      <c r="D4" s="24"/>
      <c r="E4" s="247"/>
      <c r="G4" s="243"/>
      <c r="J4" s="244"/>
      <c r="AA4" s="24"/>
    </row>
    <row r="5" spans="1:29" s="242" customFormat="1" ht="13.8" thickBot="1">
      <c r="A5" s="24"/>
      <c r="B5" s="24"/>
      <c r="C5" s="24"/>
      <c r="D5" s="24"/>
      <c r="E5" s="24"/>
      <c r="F5" s="24"/>
      <c r="G5" s="24"/>
      <c r="H5" s="24"/>
      <c r="AA5" s="24"/>
    </row>
    <row r="6" spans="1:29" s="8" customFormat="1">
      <c r="A6" s="400" t="s">
        <v>195</v>
      </c>
      <c r="B6" s="74"/>
      <c r="C6" s="74"/>
      <c r="D6" s="74"/>
      <c r="E6" s="74">
        <f t="shared" ref="E6:Z6" si="0">IF(E$7&lt;YEAR(Startops1),0,D$6+1)</f>
        <v>0</v>
      </c>
      <c r="F6" s="74">
        <f t="shared" si="0"/>
        <v>0</v>
      </c>
      <c r="G6" s="74">
        <f t="shared" si="0"/>
        <v>0</v>
      </c>
      <c r="H6" s="74">
        <f t="shared" si="0"/>
        <v>1</v>
      </c>
      <c r="I6" s="74">
        <f t="shared" si="0"/>
        <v>2</v>
      </c>
      <c r="J6" s="74">
        <f t="shared" si="0"/>
        <v>3</v>
      </c>
      <c r="K6" s="74">
        <f t="shared" si="0"/>
        <v>4</v>
      </c>
      <c r="L6" s="74">
        <f t="shared" si="0"/>
        <v>5</v>
      </c>
      <c r="M6" s="74">
        <f t="shared" si="0"/>
        <v>6</v>
      </c>
      <c r="N6" s="74">
        <f t="shared" si="0"/>
        <v>7</v>
      </c>
      <c r="O6" s="74">
        <f t="shared" si="0"/>
        <v>8</v>
      </c>
      <c r="P6" s="74">
        <f t="shared" si="0"/>
        <v>9</v>
      </c>
      <c r="Q6" s="74">
        <f t="shared" si="0"/>
        <v>10</v>
      </c>
      <c r="R6" s="74">
        <f t="shared" si="0"/>
        <v>11</v>
      </c>
      <c r="S6" s="74">
        <f t="shared" si="0"/>
        <v>12</v>
      </c>
      <c r="T6" s="74">
        <f t="shared" si="0"/>
        <v>13</v>
      </c>
      <c r="U6" s="74">
        <f t="shared" si="0"/>
        <v>14</v>
      </c>
      <c r="V6" s="74">
        <f t="shared" si="0"/>
        <v>15</v>
      </c>
      <c r="W6" s="74">
        <f t="shared" si="0"/>
        <v>16</v>
      </c>
      <c r="X6" s="74">
        <f t="shared" si="0"/>
        <v>17</v>
      </c>
      <c r="Y6" s="74">
        <f t="shared" si="0"/>
        <v>18</v>
      </c>
      <c r="Z6" s="74">
        <f t="shared" si="0"/>
        <v>19</v>
      </c>
      <c r="AA6" s="416"/>
      <c r="AB6" s="660" t="s">
        <v>162</v>
      </c>
    </row>
    <row r="7" spans="1:29" s="8" customFormat="1" ht="13.8" thickBot="1">
      <c r="A7" s="76" t="s">
        <v>185</v>
      </c>
      <c r="B7" s="77"/>
      <c r="C7" s="77"/>
      <c r="D7" s="80"/>
      <c r="E7" s="985">
        <v>1998</v>
      </c>
      <c r="F7" s="80">
        <f>E7+1</f>
        <v>1999</v>
      </c>
      <c r="G7" s="80">
        <f t="shared" ref="G7:X7" si="1">F7+1</f>
        <v>2000</v>
      </c>
      <c r="H7" s="80">
        <f t="shared" si="1"/>
        <v>2001</v>
      </c>
      <c r="I7" s="80">
        <f t="shared" si="1"/>
        <v>2002</v>
      </c>
      <c r="J7" s="80">
        <f t="shared" si="1"/>
        <v>2003</v>
      </c>
      <c r="K7" s="80">
        <f t="shared" si="1"/>
        <v>2004</v>
      </c>
      <c r="L7" s="80">
        <f t="shared" si="1"/>
        <v>2005</v>
      </c>
      <c r="M7" s="80">
        <f t="shared" si="1"/>
        <v>2006</v>
      </c>
      <c r="N7" s="80">
        <f t="shared" si="1"/>
        <v>2007</v>
      </c>
      <c r="O7" s="80">
        <f t="shared" si="1"/>
        <v>2008</v>
      </c>
      <c r="P7" s="80">
        <f t="shared" si="1"/>
        <v>2009</v>
      </c>
      <c r="Q7" s="80">
        <f t="shared" si="1"/>
        <v>2010</v>
      </c>
      <c r="R7" s="80">
        <f t="shared" si="1"/>
        <v>2011</v>
      </c>
      <c r="S7" s="80">
        <f t="shared" si="1"/>
        <v>2012</v>
      </c>
      <c r="T7" s="80">
        <f t="shared" si="1"/>
        <v>2013</v>
      </c>
      <c r="U7" s="80">
        <f t="shared" si="1"/>
        <v>2014</v>
      </c>
      <c r="V7" s="80">
        <f t="shared" si="1"/>
        <v>2015</v>
      </c>
      <c r="W7" s="80">
        <f t="shared" si="1"/>
        <v>2016</v>
      </c>
      <c r="X7" s="80">
        <f t="shared" si="1"/>
        <v>2017</v>
      </c>
      <c r="Y7" s="80">
        <f>X7+1</f>
        <v>2018</v>
      </c>
      <c r="Z7" s="80">
        <f>Y7+1</f>
        <v>2019</v>
      </c>
      <c r="AA7" s="417" t="s">
        <v>186</v>
      </c>
      <c r="AB7" s="417" t="s">
        <v>649</v>
      </c>
    </row>
    <row r="8" spans="1:29">
      <c r="A8" s="438"/>
      <c r="B8" s="8"/>
      <c r="C8" s="8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448"/>
      <c r="AB8" s="419"/>
    </row>
    <row r="9" spans="1:29" s="8" customFormat="1">
      <c r="A9" s="440" t="s">
        <v>633</v>
      </c>
      <c r="AA9" s="419"/>
      <c r="AB9" s="419"/>
    </row>
    <row r="10" spans="1:29">
      <c r="A10" s="379"/>
      <c r="B10" s="8" t="s">
        <v>205</v>
      </c>
      <c r="C10" s="8"/>
      <c r="D10" s="28"/>
      <c r="E10" s="53">
        <f ca="1">IF(E$7&lt;YEAR(Startconst),0,-(HLOOKUP(DATE(E$7,12,31),Idc_Table,IDC!$AP$67)+SUM($D10:D10)))</f>
        <v>-6637.9700856495137</v>
      </c>
      <c r="F10" s="53">
        <f ca="1">IF(F$7&lt;YEAR(Startconst),0,-(HLOOKUP(DATE(F$7,12,31),Idc_Table,IDC!$AP$67)+SUM($D10:E10)))</f>
        <v>-22492.542741582194</v>
      </c>
      <c r="G10" s="53">
        <f ca="1">IF(G$7&lt;YEAR(Startconst),0,-(HLOOKUP(DATE(G$7,12,31),Idc_Table,IDC!$AP$67)+SUM($D10:F10)))</f>
        <v>0</v>
      </c>
      <c r="H10" s="53">
        <f ca="1">IF(H$7&lt;YEAR(Startconst),0,-(HLOOKUP(DATE(H$7,12,31),Idc_Table,IDC!$AP$67)+SUM($D10:G10)))</f>
        <v>0</v>
      </c>
      <c r="I10" s="53">
        <f ca="1">IF(I$7&lt;YEAR(Startconst),0,-(HLOOKUP(DATE(I$7,12,31),Idc_Table,IDC!$AP$67)+SUM($D10:H10)))</f>
        <v>0</v>
      </c>
      <c r="J10" s="53">
        <f ca="1">IF(J$7&lt;YEAR(Startconst),0,-(HLOOKUP(DATE(J$7,12,31),Idc_Table,IDC!$AP$67)+SUM($D10:I10)))</f>
        <v>0</v>
      </c>
      <c r="K10" s="53">
        <f ca="1">IF(K$7&lt;YEAR(Startconst),0,-(HLOOKUP(DATE(K$7,12,31),Idc_Table,IDC!$AP$67)+SUM($D10:J10)))</f>
        <v>0</v>
      </c>
      <c r="L10" s="53">
        <f ca="1">IF(L$7&lt;YEAR(Startconst),0,-(HLOOKUP(DATE(L$7,12,31),Idc_Table,IDC!$AP$67)+SUM($D10:K10)))</f>
        <v>0</v>
      </c>
      <c r="M10" s="53">
        <f ca="1">IF(M$7&lt;YEAR(Startconst),0,-(HLOOKUP(DATE(M$7,12,31),Idc_Table,IDC!$AP$67)+SUM($D10:L10)))</f>
        <v>0</v>
      </c>
      <c r="N10" s="53">
        <f ca="1">IF(N$7&lt;YEAR(Startconst),0,-(HLOOKUP(DATE(N$7,12,31),Idc_Table,IDC!$AP$67)+SUM($D10:M10)))</f>
        <v>0</v>
      </c>
      <c r="O10" s="53">
        <f ca="1">IF(O$7&lt;YEAR(Startconst),0,-(HLOOKUP(DATE(O$7,12,31),Idc_Table,IDC!$AP$67)+SUM($D10:N10)))</f>
        <v>0</v>
      </c>
      <c r="P10" s="53">
        <f ca="1">IF(P$7&lt;YEAR(Startconst),0,-(HLOOKUP(DATE(P$7,12,31),Idc_Table,IDC!$AP$67)+SUM($D10:O10)))</f>
        <v>0</v>
      </c>
      <c r="Q10" s="53">
        <f ca="1">IF(Q$7&lt;YEAR(Startconst),0,-(HLOOKUP(DATE(Q$7,12,31),Idc_Table,IDC!$AP$67)+SUM($D10:P10)))</f>
        <v>0</v>
      </c>
      <c r="R10" s="53">
        <f ca="1">IF(R$7&lt;YEAR(Startconst),0,-(HLOOKUP(DATE(R$7,12,31),Idc_Table,IDC!$AP$67)+SUM($D10:Q10)))</f>
        <v>0</v>
      </c>
      <c r="S10" s="53">
        <f ca="1">IF(S$7&lt;YEAR(Startconst),0,-(HLOOKUP(DATE(S$7,12,31),Idc_Table,IDC!$AP$67)+SUM($D10:R10)))</f>
        <v>0</v>
      </c>
      <c r="T10" s="53">
        <f ca="1">IF(T$7&lt;YEAR(Startconst),0,-(HLOOKUP(DATE(T$7,12,31),Idc_Table,IDC!$AP$67)+SUM($D10:S10)))</f>
        <v>0</v>
      </c>
      <c r="U10" s="53">
        <f ca="1">IF(U$7&lt;YEAR(Startconst),0,-(HLOOKUP(DATE(U$7,12,31),Idc_Table,IDC!$AP$67)+SUM($D10:T10)))</f>
        <v>0</v>
      </c>
      <c r="V10" s="53">
        <f ca="1">IF(V$7&lt;YEAR(Startconst),0,-(HLOOKUP(DATE(V$7,12,31),Idc_Table,IDC!$AP$67)+SUM($D10:U10)))</f>
        <v>0</v>
      </c>
      <c r="W10" s="53">
        <f ca="1">IF(W$7&lt;YEAR(Startconst),0,-(HLOOKUP(DATE(W$7,12,31),Idc_Table,IDC!$AP$67)+SUM($D10:V10)))</f>
        <v>0</v>
      </c>
      <c r="X10" s="53">
        <f ca="1">IF(X$7&lt;YEAR(Startconst),0,-(HLOOKUP(DATE(X$7,12,31),Idc_Table,IDC!$AP$67)+SUM($D10:W10)))</f>
        <v>0</v>
      </c>
      <c r="Y10" s="53">
        <f ca="1">IF(Y$7&lt;YEAR(Startconst),0,-(HLOOKUP(DATE(Y$7,12,31),Idc_Table,IDC!$AP$67)+SUM($D10:X10)))</f>
        <v>0</v>
      </c>
      <c r="Z10" s="53">
        <f ca="1">IF(Z$7&lt;YEAR(Startconst),0,-(HLOOKUP(DATE(Z$7,12,31),Idc_Table,IDC!$AP$67)+SUM($D10:Y10)))</f>
        <v>0</v>
      </c>
      <c r="AA10" s="423">
        <f t="shared" ref="AA10:AA16" ca="1" si="2">SUM(D10:Z10)</f>
        <v>-29130.512827231709</v>
      </c>
      <c r="AB10" s="423">
        <f ca="1">$E10+NPV(Disc,$F10:Z10)</f>
        <v>-25539.266507147157</v>
      </c>
      <c r="AC10" s="155" t="str">
        <f ca="1">IF(ABS(AA10+Equity)&lt;0.5," ", "CHECK")</f>
        <v xml:space="preserve"> </v>
      </c>
    </row>
    <row r="11" spans="1:29">
      <c r="A11" s="379"/>
      <c r="B11" s="8" t="s">
        <v>1040</v>
      </c>
      <c r="C11" s="8"/>
      <c r="D11" s="17"/>
      <c r="E11" s="272">
        <f ca="1">IF(E$7&lt;YEAR(Startops1),0,HLOOKUP(E$7,CF_Table,CF!$AB$78))</f>
        <v>0</v>
      </c>
      <c r="F11" s="272">
        <f ca="1">IF(F$7&lt;YEAR(Startops1),0,HLOOKUP(F$7,CF_Table,CF!$AB$78))</f>
        <v>0</v>
      </c>
      <c r="G11" s="272">
        <f ca="1">IF(G$7&lt;YEAR(Startops1),0,HLOOKUP(G$7,CF_Table,CF!$AB$78))</f>
        <v>0</v>
      </c>
      <c r="H11" s="272">
        <f ca="1">IF(H$7&lt;YEAR(Startops1),0,HLOOKUP(H$7,CF_Table,CF!$AB$78))</f>
        <v>0</v>
      </c>
      <c r="I11" s="272">
        <f ca="1">IF(I$7&lt;YEAR(Startops1),0,HLOOKUP(I$7,CF_Table,CF!$AB$78))</f>
        <v>0</v>
      </c>
      <c r="J11" s="272">
        <f ca="1">IF(J$7&lt;YEAR(Startops1),0,HLOOKUP(J$7,CF_Table,CF!$AB$78))</f>
        <v>0</v>
      </c>
      <c r="K11" s="272">
        <f ca="1">IF(K$7&lt;YEAR(Startops1),0,HLOOKUP(K$7,CF_Table,CF!$AB$78))</f>
        <v>0</v>
      </c>
      <c r="L11" s="272">
        <f ca="1">IF(L$7&lt;YEAR(Startops1),0,HLOOKUP(L$7,CF_Table,CF!$AB$78))</f>
        <v>0</v>
      </c>
      <c r="M11" s="272">
        <f ca="1">IF(M$7&lt;YEAR(Startops1),0,HLOOKUP(M$7,CF_Table,CF!$AB$78))</f>
        <v>0</v>
      </c>
      <c r="N11" s="272">
        <f ca="1">IF(N$7&lt;YEAR(Startops1),0,HLOOKUP(N$7,CF_Table,CF!$AB$78))</f>
        <v>0</v>
      </c>
      <c r="O11" s="272">
        <f ca="1">IF(O$7&lt;YEAR(Startops1),0,HLOOKUP(O$7,CF_Table,CF!$AB$78))</f>
        <v>0</v>
      </c>
      <c r="P11" s="272">
        <f ca="1">IF(P$7&lt;YEAR(Startops1),0,HLOOKUP(P$7,CF_Table,CF!$AB$78))</f>
        <v>9.0949470177292824E-13</v>
      </c>
      <c r="Q11" s="272">
        <f ca="1">IF(Q$7&lt;YEAR(Startops1),0,HLOOKUP(Q$7,CF_Table,CF!$AB$78))</f>
        <v>-4.5474735088646412E-13</v>
      </c>
      <c r="R11" s="272">
        <f ca="1">IF(R$7&lt;YEAR(Startops1),0,HLOOKUP(R$7,CF_Table,CF!$AB$78))</f>
        <v>9.0949470177292824E-13</v>
      </c>
      <c r="S11" s="272">
        <f ca="1">IF(S$7&lt;YEAR(Startops1),0,HLOOKUP(S$7,CF_Table,CF!$AB$78))</f>
        <v>9.0949470177292824E-13</v>
      </c>
      <c r="T11" s="272">
        <f ca="1">IF(T$7&lt;YEAR(Startops1),0,HLOOKUP(T$7,CF_Table,CF!$AB$78))</f>
        <v>9.0949470177292824E-13</v>
      </c>
      <c r="U11" s="272">
        <f ca="1">IF(U$7&lt;YEAR(Startops1),0,HLOOKUP(U$7,CF_Table,CF!$AB$78))</f>
        <v>-1.8189894035458565E-12</v>
      </c>
      <c r="V11" s="272">
        <f ca="1">IF(V$7&lt;YEAR(Startops1),0,HLOOKUP(V$7,CF_Table,CF!$AB$78))</f>
        <v>0</v>
      </c>
      <c r="W11" s="272">
        <f ca="1">IF(W$7&lt;YEAR(Startops1),0,HLOOKUP(W$7,CF_Table,CF!$AB$78))</f>
        <v>0</v>
      </c>
      <c r="X11" s="272">
        <f ca="1">IF(X$7&lt;YEAR(Startops1),0,HLOOKUP(X$7,CF_Table,CF!$AB$78))</f>
        <v>4150.359701577916</v>
      </c>
      <c r="Y11" s="272">
        <f ca="1">IF(Y$7&lt;YEAR(Startops1),0,HLOOKUP(Y$7,CF_Table,CF!$AB$78))</f>
        <v>7581.3688655241513</v>
      </c>
      <c r="Z11" s="272">
        <f ca="1">IF(Z$7&lt;YEAR(Startops1),0,HLOOKUP(Z$7,CF_Table,CF!$AB$78))</f>
        <v>20507.00354335078</v>
      </c>
      <c r="AA11" s="423">
        <f t="shared" ca="1" si="2"/>
        <v>32238.732110452849</v>
      </c>
      <c r="AB11" s="423">
        <f ca="1">$E11+NPV(Disc,$F11:Z11)</f>
        <v>917.47153708405028</v>
      </c>
    </row>
    <row r="12" spans="1:29">
      <c r="A12" s="379"/>
      <c r="B12" s="8" t="s">
        <v>498</v>
      </c>
      <c r="C12" s="8"/>
      <c r="D12" s="17"/>
      <c r="E12" s="272">
        <f ca="1">IF(E$7&lt;YEAR(Startops1),0,-HLOOKUP(E$7,CF_Table,CF!$AB$52))</f>
        <v>0</v>
      </c>
      <c r="F12" s="272">
        <f ca="1">IF(F$7&lt;YEAR(Startops1),0,-HLOOKUP(F$7,CF_Table,CF!$AB$52))</f>
        <v>0</v>
      </c>
      <c r="G12" s="272">
        <f ca="1">IF(G$7&lt;YEAR(Startops1),0,-HLOOKUP(G$7,CF_Table,CF!$AB$52))</f>
        <v>0</v>
      </c>
      <c r="H12" s="272">
        <f ca="1">IF(H$7&lt;YEAR(Startops1),0,-HLOOKUP(H$7,CF_Table,CF!$AB$52))</f>
        <v>0</v>
      </c>
      <c r="I12" s="272">
        <f ca="1">IF(I$7&lt;YEAR(Startops1),0,-HLOOKUP(I$7,CF_Table,CF!$AB$52))</f>
        <v>0</v>
      </c>
      <c r="J12" s="272">
        <f ca="1">IF(J$7&lt;YEAR(Startops1),0,-HLOOKUP(J$7,CF_Table,CF!$AB$52))</f>
        <v>0</v>
      </c>
      <c r="K12" s="272">
        <f ca="1">IF(K$7&lt;YEAR(Startops1),0,-HLOOKUP(K$7,CF_Table,CF!$AB$52))</f>
        <v>0</v>
      </c>
      <c r="L12" s="272">
        <f ca="1">IF(L$7&lt;YEAR(Startops1),0,-HLOOKUP(L$7,CF_Table,CF!$AB$52))</f>
        <v>0</v>
      </c>
      <c r="M12" s="272">
        <f ca="1">IF(M$7&lt;YEAR(Startops1),0,-HLOOKUP(M$7,CF_Table,CF!$AB$52))</f>
        <v>0</v>
      </c>
      <c r="N12" s="272">
        <f ca="1">IF(N$7&lt;YEAR(Startops1),0,-HLOOKUP(N$7,CF_Table,CF!$AB$52))</f>
        <v>0</v>
      </c>
      <c r="O12" s="272">
        <f ca="1">IF(O$7&lt;YEAR(Startops1),0,-HLOOKUP(O$7,CF_Table,CF!$AB$52))</f>
        <v>-602.22498810277398</v>
      </c>
      <c r="P12" s="272">
        <f ca="1">IF(P$7&lt;YEAR(Startops1),0,-HLOOKUP(P$7,CF_Table,CF!$AB$52))</f>
        <v>-578.46080777080135</v>
      </c>
      <c r="Q12" s="272">
        <f ca="1">IF(Q$7&lt;YEAR(Startops1),0,-HLOOKUP(Q$7,CF_Table,CF!$AB$52))</f>
        <v>-464.09457240023346</v>
      </c>
      <c r="R12" s="272">
        <f ca="1">IF(R$7&lt;YEAR(Startops1),0,-HLOOKUP(R$7,CF_Table,CF!$AB$52))</f>
        <v>-260.19576596384729</v>
      </c>
      <c r="S12" s="272">
        <f ca="1">IF(S$7&lt;YEAR(Startops1),0,-HLOOKUP(S$7,CF_Table,CF!$AB$52))</f>
        <v>33.472970602284704</v>
      </c>
      <c r="T12" s="272">
        <f ca="1">IF(T$7&lt;YEAR(Startops1),0,-HLOOKUP(T$7,CF_Table,CF!$AB$52))</f>
        <v>442.64668258634765</v>
      </c>
      <c r="U12" s="272">
        <f ca="1">IF(U$7&lt;YEAR(Startops1),0,-HLOOKUP(U$7,CF_Table,CF!$AB$52))</f>
        <v>828.16936894189689</v>
      </c>
      <c r="V12" s="272">
        <f ca="1">IF(V$7&lt;YEAR(Startops1),0,-HLOOKUP(V$7,CF_Table,CF!$AB$52))</f>
        <v>1370.6401201671288</v>
      </c>
      <c r="W12" s="272">
        <f ca="1">IF(W$7&lt;YEAR(Startops1),0,-HLOOKUP(W$7,CF_Table,CF!$AB$52))</f>
        <v>1995.8237147234718</v>
      </c>
      <c r="X12" s="272">
        <f ca="1">IF(X$7&lt;YEAR(Startops1),0,-HLOOKUP(X$7,CF_Table,CF!$AB$52))</f>
        <v>2666.4514429082806</v>
      </c>
      <c r="Y12" s="272">
        <f ca="1">IF(Y$7&lt;YEAR(Startops1),0,-HLOOKUP(Y$7,CF_Table,CF!$AB$52))</f>
        <v>2913.0512827231705</v>
      </c>
      <c r="Z12" s="272">
        <f ca="1">IF(Z$7&lt;YEAR(Startops1),0,-HLOOKUP(Z$7,CF_Table,CF!$AB$52))</f>
        <v>971.01709424105672</v>
      </c>
      <c r="AA12" s="423">
        <f t="shared" ca="1" si="2"/>
        <v>9316.2965426559804</v>
      </c>
      <c r="AB12" s="423">
        <f ca="1">$E12+NPV(Disc,$F12:Z12)</f>
        <v>182.14961571483147</v>
      </c>
    </row>
    <row r="13" spans="1:29">
      <c r="A13" s="379"/>
      <c r="B13" s="8" t="s">
        <v>962</v>
      </c>
      <c r="C13" s="15">
        <f>Wh_Int</f>
        <v>0.15</v>
      </c>
      <c r="D13" s="17"/>
      <c r="E13" s="272">
        <f ca="1">-E12*$C$13</f>
        <v>0</v>
      </c>
      <c r="F13" s="272">
        <f t="shared" ref="F13:Z13" ca="1" si="3">-F12*$C$13</f>
        <v>0</v>
      </c>
      <c r="G13" s="272">
        <f t="shared" ca="1" si="3"/>
        <v>0</v>
      </c>
      <c r="H13" s="272">
        <f t="shared" ca="1" si="3"/>
        <v>0</v>
      </c>
      <c r="I13" s="272">
        <f t="shared" ca="1" si="3"/>
        <v>0</v>
      </c>
      <c r="J13" s="272">
        <f t="shared" ca="1" si="3"/>
        <v>0</v>
      </c>
      <c r="K13" s="272">
        <f t="shared" ca="1" si="3"/>
        <v>0</v>
      </c>
      <c r="L13" s="272">
        <f t="shared" ca="1" si="3"/>
        <v>0</v>
      </c>
      <c r="M13" s="272">
        <f t="shared" ca="1" si="3"/>
        <v>0</v>
      </c>
      <c r="N13" s="272">
        <f t="shared" ca="1" si="3"/>
        <v>0</v>
      </c>
      <c r="O13" s="272">
        <f t="shared" ca="1" si="3"/>
        <v>90.333748215416094</v>
      </c>
      <c r="P13" s="272">
        <f t="shared" ca="1" si="3"/>
        <v>86.769121165620206</v>
      </c>
      <c r="Q13" s="272">
        <f t="shared" ca="1" si="3"/>
        <v>69.614185860035022</v>
      </c>
      <c r="R13" s="272">
        <f t="shared" ca="1" si="3"/>
        <v>39.029364894577093</v>
      </c>
      <c r="S13" s="272">
        <f t="shared" ca="1" si="3"/>
        <v>-5.0209455903427056</v>
      </c>
      <c r="T13" s="272">
        <f t="shared" ca="1" si="3"/>
        <v>-66.397002387952142</v>
      </c>
      <c r="U13" s="272">
        <f t="shared" ca="1" si="3"/>
        <v>-124.22540534128453</v>
      </c>
      <c r="V13" s="272">
        <f t="shared" ca="1" si="3"/>
        <v>-205.5960180250693</v>
      </c>
      <c r="W13" s="272">
        <f t="shared" ca="1" si="3"/>
        <v>-299.37355720852077</v>
      </c>
      <c r="X13" s="272">
        <f t="shared" ca="1" si="3"/>
        <v>-399.96771643624209</v>
      </c>
      <c r="Y13" s="272">
        <f t="shared" ca="1" si="3"/>
        <v>-436.95769240847557</v>
      </c>
      <c r="Z13" s="272">
        <f t="shared" ca="1" si="3"/>
        <v>-145.6525641361585</v>
      </c>
      <c r="AA13" s="423">
        <f t="shared" ca="1" si="2"/>
        <v>-1397.4444813983973</v>
      </c>
      <c r="AB13" s="423">
        <f ca="1">$E13+NPV(Disc,$F13:Z13)</f>
        <v>-27.322442357224737</v>
      </c>
    </row>
    <row r="14" spans="1:29">
      <c r="A14" s="379"/>
      <c r="B14" s="8" t="s">
        <v>353</v>
      </c>
      <c r="C14" s="8"/>
      <c r="D14" s="17"/>
      <c r="E14" s="53">
        <f ca="1">IF(E$7&lt;YEAR(Startops1),0,-(HLOOKUP(E$7,CF_Table,CF!$AB$75)+HLOOKUP(E$7,CF_Table,CF!$AB$76)))</f>
        <v>0</v>
      </c>
      <c r="F14" s="53">
        <f ca="1">IF(F$7&lt;YEAR(Startops1),0,-(HLOOKUP(F$7,CF_Table,CF!$AB$75)+HLOOKUP(F$7,CF_Table,CF!$AB$76)))</f>
        <v>0</v>
      </c>
      <c r="G14" s="53">
        <f ca="1">IF(G$7&lt;YEAR(Startops1),0,-(HLOOKUP(G$7,CF_Table,CF!$AB$75)+HLOOKUP(G$7,CF_Table,CF!$AB$76)))</f>
        <v>0</v>
      </c>
      <c r="H14" s="53">
        <f ca="1">IF(H$7&lt;YEAR(Startops1),0,-(HLOOKUP(H$7,CF_Table,CF!$AB$75)+HLOOKUP(H$7,CF_Table,CF!$AB$76)))</f>
        <v>417.21067871119703</v>
      </c>
      <c r="I14" s="53">
        <f ca="1">IF(I$7&lt;YEAR(Startops1),0,-(HLOOKUP(I$7,CF_Table,CF!$AB$75)+HLOOKUP(I$7,CF_Table,CF!$AB$76)))</f>
        <v>-5093.3048297904616</v>
      </c>
      <c r="J14" s="53">
        <f ca="1">IF(J$7&lt;YEAR(Startops1),0,-(HLOOKUP(J$7,CF_Table,CF!$AB$75)+HLOOKUP(J$7,CF_Table,CF!$AB$76)))</f>
        <v>-6188.1393775633233</v>
      </c>
      <c r="K14" s="53">
        <f ca="1">IF(K$7&lt;YEAR(Startops1),0,-(HLOOKUP(K$7,CF_Table,CF!$AB$75)+HLOOKUP(K$7,CF_Table,CF!$AB$76)))</f>
        <v>-4949.2006012692982</v>
      </c>
      <c r="L14" s="53">
        <f ca="1">IF(L$7&lt;YEAR(Startops1),0,-(HLOOKUP(L$7,CF_Table,CF!$AB$75)+HLOOKUP(L$7,CF_Table,CF!$AB$76)))</f>
        <v>-5319.402895733514</v>
      </c>
      <c r="M14" s="53">
        <f ca="1">IF(M$7&lt;YEAR(Startops1),0,-(HLOOKUP(M$7,CF_Table,CF!$AB$75)+HLOOKUP(M$7,CF_Table,CF!$AB$76)))</f>
        <v>-5427.6115974941422</v>
      </c>
      <c r="N14" s="53">
        <f ca="1">IF(N$7&lt;YEAR(Startops1),0,-(HLOOKUP(N$7,CF_Table,CF!$AB$75)+HLOOKUP(N$7,CF_Table,CF!$AB$76)))</f>
        <v>-5050.2882462936832</v>
      </c>
      <c r="O14" s="53">
        <f ca="1">IF(O$7&lt;YEAR(Startops1),0,-(HLOOKUP(O$7,CF_Table,CF!$AB$75)+HLOOKUP(O$7,CF_Table,CF!$AB$76)))</f>
        <v>-1793.9053061842424</v>
      </c>
      <c r="P14" s="53">
        <f ca="1">IF(P$7&lt;YEAR(Startops1),0,-(HLOOKUP(P$7,CF_Table,CF!$AB$75)+HLOOKUP(P$7,CF_Table,CF!$AB$76)))</f>
        <v>901.86206944576406</v>
      </c>
      <c r="Q14" s="53">
        <f ca="1">IF(Q$7&lt;YEAR(Startops1),0,-(HLOOKUP(Q$7,CF_Table,CF!$AB$75)+HLOOKUP(Q$7,CF_Table,CF!$AB$76)))</f>
        <v>1398.8398988310873</v>
      </c>
      <c r="R14" s="53">
        <f ca="1">IF(R$7&lt;YEAR(Startops1),0,-(HLOOKUP(R$7,CF_Table,CF!$AB$75)+HLOOKUP(R$7,CF_Table,CF!$AB$76)))</f>
        <v>1038.3791684724856</v>
      </c>
      <c r="S14" s="53">
        <f ca="1">IF(S$7&lt;YEAR(Startops1),0,-(HLOOKUP(S$7,CF_Table,CF!$AB$75)+HLOOKUP(S$7,CF_Table,CF!$AB$76)))</f>
        <v>701.71165622429908</v>
      </c>
      <c r="T14" s="53">
        <f ca="1">IF(T$7&lt;YEAR(Startops1),0,-(HLOOKUP(T$7,CF_Table,CF!$AB$75)+HLOOKUP(T$7,CF_Table,CF!$AB$76)))</f>
        <v>3964.0773063302913</v>
      </c>
      <c r="U14" s="53">
        <f ca="1">IF(U$7&lt;YEAR(Startops1),0,-(HLOOKUP(U$7,CF_Table,CF!$AB$75)+HLOOKUP(U$7,CF_Table,CF!$AB$76)))</f>
        <v>5180.9953205863821</v>
      </c>
      <c r="V14" s="53">
        <f ca="1">IF(V$7&lt;YEAR(Startops1),0,-(HLOOKUP(V$7,CF_Table,CF!$AB$75)+HLOOKUP(V$7,CF_Table,CF!$AB$76)))</f>
        <v>7805.1064601013477</v>
      </c>
      <c r="W14" s="53">
        <f ca="1">IF(W$7&lt;YEAR(Startops1),0,-(HLOOKUP(W$7,CF_Table,CF!$AB$75)+HLOOKUP(W$7,CF_Table,CF!$AB$76)))</f>
        <v>13040.760896122098</v>
      </c>
      <c r="X14" s="53">
        <f ca="1">IF(X$7&lt;YEAR(Startops1),0,-(HLOOKUP(X$7,CF_Table,CF!$AB$75)+HLOOKUP(X$7,CF_Table,CF!$AB$76)))</f>
        <v>9217.1257204268713</v>
      </c>
      <c r="Y14" s="53">
        <f ca="1">IF(Y$7&lt;YEAR(Startops1),0,-(HLOOKUP(Y$7,CF_Table,CF!$AB$75)+HLOOKUP(Y$7,CF_Table,CF!$AB$76)))</f>
        <v>6320.6002321846227</v>
      </c>
      <c r="Z14" s="53">
        <f ca="1">IF(Z$7&lt;YEAR(Startops1),0,-(HLOOKUP(Z$7,CF_Table,CF!$AB$75)+HLOOKUP(Z$7,CF_Table,CF!$AB$76)))</f>
        <v>-16164.816553107781</v>
      </c>
      <c r="AA14" s="423">
        <f t="shared" ca="1" si="2"/>
        <v>0</v>
      </c>
      <c r="AB14" s="423">
        <f ca="1">$E14+NPV(Disc,$F14:Z14)</f>
        <v>-8744.8391788789468</v>
      </c>
    </row>
    <row r="15" spans="1:29">
      <c r="A15" s="379"/>
      <c r="B15" s="8" t="s">
        <v>1078</v>
      </c>
      <c r="C15" s="8"/>
      <c r="D15" s="17"/>
      <c r="E15" s="228">
        <f>IF(E$7=YEAR(Endyr),Assm!$L$85*Assm!$L$80,0)</f>
        <v>0</v>
      </c>
      <c r="F15" s="228">
        <f>IF(F$7=YEAR(Endyr),Assm!$L$85*Assm!$L$80,0)</f>
        <v>0</v>
      </c>
      <c r="G15" s="228">
        <f>IF(G$7=YEAR(Endyr),Assm!$L$85*Assm!$L$80,0)</f>
        <v>0</v>
      </c>
      <c r="H15" s="228">
        <f>IF(H$7=YEAR(Endyr),Assm!$L$85*Assm!$L$80,0)</f>
        <v>0</v>
      </c>
      <c r="I15" s="228">
        <f>IF(I$7=YEAR(Endyr),Assm!$L$85*Assm!$L$80,0)</f>
        <v>0</v>
      </c>
      <c r="J15" s="228">
        <f>IF(J$7=YEAR(Endyr),Assm!$L$85*Assm!$L$80,0)</f>
        <v>0</v>
      </c>
      <c r="K15" s="228">
        <f>IF(K$7=YEAR(Endyr),Assm!$L$85*Assm!$L$80,0)</f>
        <v>0</v>
      </c>
      <c r="L15" s="228">
        <f>IF(L$7=YEAR(Endyr),Assm!$L$85*Assm!$L$80,0)</f>
        <v>0</v>
      </c>
      <c r="M15" s="228">
        <f>IF(M$7=YEAR(Endyr),Assm!$L$85*Assm!$L$80,0)</f>
        <v>0</v>
      </c>
      <c r="N15" s="228">
        <f>IF(N$7=YEAR(Endyr),Assm!$L$85*Assm!$L$80,0)</f>
        <v>0</v>
      </c>
      <c r="O15" s="228">
        <f>IF(O$7=YEAR(Endyr),Assm!$L$85*Assm!$L$80,0)</f>
        <v>0</v>
      </c>
      <c r="P15" s="228">
        <f>IF(P$7=YEAR(Endyr),Assm!$L$85*Assm!$L$80,0)</f>
        <v>0</v>
      </c>
      <c r="Q15" s="228">
        <f>IF(Q$7=YEAR(Endyr),Assm!$L$85*Assm!$L$80,0)</f>
        <v>0</v>
      </c>
      <c r="R15" s="228">
        <f>IF(R$7=YEAR(Endyr),Assm!$L$85*Assm!$L$80,0)</f>
        <v>0</v>
      </c>
      <c r="S15" s="228">
        <f>IF(S$7=YEAR(Endyr),Assm!$L$85*Assm!$L$80,0)</f>
        <v>0</v>
      </c>
      <c r="T15" s="228">
        <f>IF(T$7=YEAR(Endyr),Assm!$L$85*Assm!$L$80,0)</f>
        <v>0</v>
      </c>
      <c r="U15" s="228">
        <f>IF(U$7=YEAR(Endyr),Assm!$L$85*Assm!$L$80,0)</f>
        <v>0</v>
      </c>
      <c r="V15" s="228">
        <f>IF(V$7=YEAR(Endyr),Assm!$L$85*Assm!$L$80,0)</f>
        <v>0</v>
      </c>
      <c r="W15" s="228">
        <f>IF(W$7=YEAR(Endyr),Assm!$L$85*Assm!$L$80,0)</f>
        <v>0</v>
      </c>
      <c r="X15" s="228">
        <f>IF(X$7=YEAR(Endyr),Assm!$L$85*Assm!$L$80,0)</f>
        <v>0</v>
      </c>
      <c r="Y15" s="228">
        <f>IF(Y$7=YEAR(Endyr),Assm!$L$85*Assm!$L$80,0)</f>
        <v>0</v>
      </c>
      <c r="Z15" s="228">
        <f ca="1">IF(Z$7=YEAR(Endyr),Assm!$L$85*Assm!$L$80,0)</f>
        <v>192089.13495917898</v>
      </c>
      <c r="AA15" s="424">
        <f t="shared" ca="1" si="2"/>
        <v>192089.13495917898</v>
      </c>
      <c r="AB15" s="424">
        <f ca="1">$E15+NPV(Disc,$F15:Z15)</f>
        <v>4977.5612352255002</v>
      </c>
    </row>
    <row r="16" spans="1:29" s="72" customFormat="1">
      <c r="A16" s="441"/>
      <c r="B16" s="8" t="s">
        <v>206</v>
      </c>
      <c r="C16" s="8"/>
      <c r="D16" s="29"/>
      <c r="E16" s="53">
        <f ca="1">SUM(E10:E15)</f>
        <v>-6637.9700856495137</v>
      </c>
      <c r="F16" s="53">
        <f t="shared" ref="F16:Z16" ca="1" si="4">SUM(F10:F15)</f>
        <v>-22492.542741582194</v>
      </c>
      <c r="G16" s="53">
        <f t="shared" ca="1" si="4"/>
        <v>0</v>
      </c>
      <c r="H16" s="53">
        <f t="shared" ca="1" si="4"/>
        <v>417.21067871119703</v>
      </c>
      <c r="I16" s="53">
        <f t="shared" ca="1" si="4"/>
        <v>-5093.3048297904616</v>
      </c>
      <c r="J16" s="53">
        <f t="shared" ca="1" si="4"/>
        <v>-6188.1393775633233</v>
      </c>
      <c r="K16" s="53">
        <f t="shared" ca="1" si="4"/>
        <v>-4949.2006012692982</v>
      </c>
      <c r="L16" s="53">
        <f t="shared" ca="1" si="4"/>
        <v>-5319.402895733514</v>
      </c>
      <c r="M16" s="53">
        <f t="shared" ca="1" si="4"/>
        <v>-5427.6115974941422</v>
      </c>
      <c r="N16" s="53">
        <f t="shared" ca="1" si="4"/>
        <v>-5050.2882462936832</v>
      </c>
      <c r="O16" s="53">
        <f t="shared" ca="1" si="4"/>
        <v>-2305.7965460716005</v>
      </c>
      <c r="P16" s="53">
        <f t="shared" ca="1" si="4"/>
        <v>410.17038284058384</v>
      </c>
      <c r="Q16" s="53">
        <f t="shared" ca="1" si="4"/>
        <v>1004.3595122908885</v>
      </c>
      <c r="R16" s="53">
        <f t="shared" ca="1" si="4"/>
        <v>817.21276740321628</v>
      </c>
      <c r="S16" s="53">
        <f t="shared" ca="1" si="4"/>
        <v>730.16368123624193</v>
      </c>
      <c r="T16" s="53">
        <f t="shared" ca="1" si="4"/>
        <v>4340.3269865286875</v>
      </c>
      <c r="U16" s="53">
        <f t="shared" ca="1" si="4"/>
        <v>5884.9392841869931</v>
      </c>
      <c r="V16" s="53">
        <f t="shared" ca="1" si="4"/>
        <v>8970.150562243407</v>
      </c>
      <c r="W16" s="53">
        <f t="shared" ca="1" si="4"/>
        <v>14737.211053637049</v>
      </c>
      <c r="X16" s="53">
        <f t="shared" ca="1" si="4"/>
        <v>15633.969148476826</v>
      </c>
      <c r="Y16" s="53">
        <f t="shared" ca="1" si="4"/>
        <v>16378.062688023469</v>
      </c>
      <c r="Z16" s="53">
        <f t="shared" ca="1" si="4"/>
        <v>197256.68647952686</v>
      </c>
      <c r="AA16" s="423">
        <f t="shared" ca="1" si="2"/>
        <v>203116.2063036577</v>
      </c>
      <c r="AB16" s="423">
        <f ca="1">SUM(AB10:AB15)</f>
        <v>-28234.245740358947</v>
      </c>
      <c r="AC16" s="5"/>
    </row>
    <row r="17" spans="1:29" s="72" customFormat="1">
      <c r="A17" s="441"/>
      <c r="B17" s="8"/>
      <c r="C17" s="8"/>
      <c r="D17" s="29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424"/>
      <c r="AB17" s="570"/>
      <c r="AC17" s="5"/>
    </row>
    <row r="18" spans="1:29">
      <c r="A18" s="379"/>
      <c r="B18" s="8" t="s">
        <v>207</v>
      </c>
      <c r="C18" s="8"/>
      <c r="D18" s="28"/>
      <c r="E18" s="53">
        <f ca="1">$E16</f>
        <v>-6637.9700856495137</v>
      </c>
      <c r="F18" s="53">
        <f ca="1">$E16+NPV(Disc,$F16:F16)</f>
        <v>-25539.266507147157</v>
      </c>
      <c r="G18" s="53">
        <f ca="1">$E16+NPV(Disc,$F16:G16)</f>
        <v>-25539.266507147157</v>
      </c>
      <c r="H18" s="53">
        <f ca="1">$E16+NPV(Disc,$F16:H16)</f>
        <v>-25291.68709255708</v>
      </c>
      <c r="I18" s="53">
        <f ca="1">$E16+NPV(Disc,$F16:I16)</f>
        <v>-27831.559052568504</v>
      </c>
      <c r="J18" s="53">
        <f ca="1">$E16+NPV(Disc,$F16:J16)</f>
        <v>-30424.694965969804</v>
      </c>
      <c r="K18" s="53">
        <f ca="1">$E16+NPV(Disc,$F16:K16)</f>
        <v>-32167.517989980945</v>
      </c>
      <c r="L18" s="53">
        <f ca="1">$E16+NPV(Disc,$F16:L16)</f>
        <v>-33741.624647127828</v>
      </c>
      <c r="M18" s="53">
        <f ca="1">$E16+NPV(Disc,$F16:M16)</f>
        <v>-35091.31166514082</v>
      </c>
      <c r="N18" s="53">
        <f ca="1">$E16+NPV(Disc,$F16:N16)</f>
        <v>-36146.654373285251</v>
      </c>
      <c r="O18" s="53">
        <f ca="1">$E16+NPV(Disc,$F16:O16)</f>
        <v>-36551.557723682476</v>
      </c>
      <c r="P18" s="53">
        <f ca="1">$E16+NPV(Disc,$F16:P16)</f>
        <v>-36491.030922425874</v>
      </c>
      <c r="Q18" s="53">
        <f ca="1">$E16+NPV(Disc,$F16:Q16)</f>
        <v>-36366.486104975833</v>
      </c>
      <c r="R18" s="53">
        <f ca="1">$E16+NPV(Disc,$F16:R16)</f>
        <v>-36281.32826345272</v>
      </c>
      <c r="S18" s="53">
        <f ca="1">$E16+NPV(Disc,$F16:S16)</f>
        <v>-36217.389715736113</v>
      </c>
      <c r="T18" s="53">
        <f ca="1">$E16+NPV(Disc,$F16:T16)</f>
        <v>-35898.002132443806</v>
      </c>
      <c r="U18" s="53">
        <f ca="1">$E16+NPV(Disc,$F16:U16)</f>
        <v>-35534.0949693648</v>
      </c>
      <c r="V18" s="53">
        <f ca="1">$E16+NPV(Disc,$F16:V16)</f>
        <v>-35067.971050585693</v>
      </c>
      <c r="W18" s="53">
        <f ca="1">$E16+NPV(Disc,$F16:W16)</f>
        <v>-34424.4392717144</v>
      </c>
      <c r="X18" s="53">
        <f ca="1">$E16+NPV(Disc,$F16:X16)</f>
        <v>-33850.749662208305</v>
      </c>
      <c r="Y18" s="53">
        <f ca="1">$E16+NPV(Disc,$F16:Y16)</f>
        <v>-33345.712540488872</v>
      </c>
      <c r="Z18" s="53">
        <f ca="1">$E16+NPV(Disc,$F16:Z16)</f>
        <v>-28234.245740358936</v>
      </c>
      <c r="AA18" s="423"/>
      <c r="AB18" s="419"/>
    </row>
    <row r="19" spans="1:29">
      <c r="A19" s="379"/>
      <c r="B19" s="8" t="s">
        <v>208</v>
      </c>
      <c r="C19" s="8"/>
      <c r="D19" s="22"/>
      <c r="E19" s="22" t="e">
        <f ca="1">IRR($E16:E16,-0.9)</f>
        <v>#NUM!</v>
      </c>
      <c r="F19" s="22" t="e">
        <f ca="1">IRR($E16:F16,-0.9)</f>
        <v>#NUM!</v>
      </c>
      <c r="G19" s="22" t="e">
        <f ca="1">IRR($E16:G16,-0.9)</f>
        <v>#NUM!</v>
      </c>
      <c r="H19" s="22">
        <f ca="1">IRR($E16:H16,-0.9)</f>
        <v>-0.86641364630950635</v>
      </c>
      <c r="I19" s="22" t="e">
        <f ca="1">IRR($E16:I16,-0.9)</f>
        <v>#NUM!</v>
      </c>
      <c r="J19" s="22" t="e">
        <f ca="1">IRR($E16:J16,-0.9)</f>
        <v>#NUM!</v>
      </c>
      <c r="K19" s="22" t="e">
        <f ca="1">IRR($E16:K16,-0.9)</f>
        <v>#NUM!</v>
      </c>
      <c r="L19" s="22" t="e">
        <f ca="1">IRR($E16:L16,-0.9)</f>
        <v>#NUM!</v>
      </c>
      <c r="M19" s="22" t="e">
        <f ca="1">IRR($E16:M16,-0.9)</f>
        <v>#DIV/0!</v>
      </c>
      <c r="N19" s="22" t="e">
        <f ca="1">IRR($E16:N16,-0.9)</f>
        <v>#DIV/0!</v>
      </c>
      <c r="O19" s="22" t="e">
        <f ca="1">IRR($E16:O16,-0.9)</f>
        <v>#DIV/0!</v>
      </c>
      <c r="P19" s="22">
        <f ca="1">IRR($E16:P16,-0.9)</f>
        <v>-0.86712831609228513</v>
      </c>
      <c r="Q19" s="22">
        <f ca="1">IRR($E16:Q16,-0.9)</f>
        <v>-0.56588386092712317</v>
      </c>
      <c r="R19" s="22">
        <f ca="1">IRR($E16:R16,-0.9)</f>
        <v>-0.44466433775372666</v>
      </c>
      <c r="S19" s="22">
        <f ca="1">IRR($E16:S16,-0.9)</f>
        <v>-0.36999690921265166</v>
      </c>
      <c r="T19" s="22">
        <f ca="1">IRR($E16:T16,-0.9)</f>
        <v>-0.21420505629393929</v>
      </c>
      <c r="U19" s="22">
        <f ca="1">IRR($E16:U16,-0.9)</f>
        <v>-0.14192889862110414</v>
      </c>
      <c r="V19" s="22">
        <f ca="1">IRR($E16:V16,-0.9)</f>
        <v>-8.7933690584900429E-2</v>
      </c>
      <c r="W19" s="22">
        <f ca="1">IRR($E16:W16,-0.9)</f>
        <v>-4.2008987757087696E-2</v>
      </c>
      <c r="X19" s="22">
        <f ca="1">IRR($E16:X16,-0.9)</f>
        <v>-1.3619656901552434E-2</v>
      </c>
      <c r="Y19" s="22">
        <f ca="1">IRR($E16:Y16,-0.9)</f>
        <v>6.3604950469219323E-3</v>
      </c>
      <c r="Z19" s="22">
        <f ca="1">IRR($E16:Z16,-0.9)</f>
        <v>9.0913681366365268E-2</v>
      </c>
      <c r="AA19" s="419"/>
      <c r="AB19" s="661">
        <f ca="1">IRR(E16:Z16)</f>
        <v>9.0913681366370055E-2</v>
      </c>
    </row>
    <row r="20" spans="1:29">
      <c r="A20" s="379"/>
      <c r="B20" s="8"/>
      <c r="C20" s="8"/>
      <c r="D20" s="73"/>
      <c r="E20" s="271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419"/>
      <c r="AB20" s="419"/>
    </row>
    <row r="21" spans="1:29">
      <c r="A21" s="379"/>
      <c r="B21" s="265" t="str">
        <f ca="1">CONCATENATE("Project NPV @ ",TEXT(Disc,"0.0%")," w/o TC")</f>
        <v>Project NPV @ 19.0% w/o TC</v>
      </c>
      <c r="C21" s="434">
        <f ca="1">AB16</f>
        <v>-28234.245740358947</v>
      </c>
      <c r="D21" s="8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419"/>
      <c r="AB21" s="419"/>
    </row>
    <row r="22" spans="1:29">
      <c r="A22" s="379"/>
      <c r="B22" s="275" t="s">
        <v>634</v>
      </c>
      <c r="C22" s="435">
        <f ca="1">AB19</f>
        <v>9.0913681366370055E-2</v>
      </c>
      <c r="D22" s="8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419"/>
      <c r="AB22" s="419"/>
    </row>
    <row r="23" spans="1:29" ht="13.8" thickBot="1">
      <c r="A23" s="386"/>
      <c r="B23" s="445" t="s">
        <v>209</v>
      </c>
      <c r="C23" s="658">
        <f ca="1">MAX(E23:Z23)</f>
        <v>0</v>
      </c>
      <c r="D23" s="659"/>
      <c r="E23" s="659">
        <f t="shared" ref="E23:X23" ca="1" si="5">IF(AND(E18&gt;0,D18&lt;0),E$6,0)</f>
        <v>0</v>
      </c>
      <c r="F23" s="659">
        <f t="shared" ca="1" si="5"/>
        <v>0</v>
      </c>
      <c r="G23" s="659">
        <f t="shared" ca="1" si="5"/>
        <v>0</v>
      </c>
      <c r="H23" s="659">
        <f t="shared" ca="1" si="5"/>
        <v>0</v>
      </c>
      <c r="I23" s="659">
        <f t="shared" ca="1" si="5"/>
        <v>0</v>
      </c>
      <c r="J23" s="659">
        <f t="shared" ca="1" si="5"/>
        <v>0</v>
      </c>
      <c r="K23" s="659">
        <f t="shared" ca="1" si="5"/>
        <v>0</v>
      </c>
      <c r="L23" s="659">
        <f t="shared" ca="1" si="5"/>
        <v>0</v>
      </c>
      <c r="M23" s="659">
        <f t="shared" ca="1" si="5"/>
        <v>0</v>
      </c>
      <c r="N23" s="659">
        <f t="shared" ca="1" si="5"/>
        <v>0</v>
      </c>
      <c r="O23" s="659">
        <f t="shared" ca="1" si="5"/>
        <v>0</v>
      </c>
      <c r="P23" s="659">
        <f t="shared" ca="1" si="5"/>
        <v>0</v>
      </c>
      <c r="Q23" s="659">
        <f t="shared" ca="1" si="5"/>
        <v>0</v>
      </c>
      <c r="R23" s="659">
        <f t="shared" ca="1" si="5"/>
        <v>0</v>
      </c>
      <c r="S23" s="659">
        <f t="shared" ca="1" si="5"/>
        <v>0</v>
      </c>
      <c r="T23" s="659">
        <f t="shared" ca="1" si="5"/>
        <v>0</v>
      </c>
      <c r="U23" s="659">
        <f t="shared" ca="1" si="5"/>
        <v>0</v>
      </c>
      <c r="V23" s="659">
        <f t="shared" ca="1" si="5"/>
        <v>0</v>
      </c>
      <c r="W23" s="659">
        <f t="shared" ca="1" si="5"/>
        <v>0</v>
      </c>
      <c r="X23" s="659">
        <f t="shared" ca="1" si="5"/>
        <v>0</v>
      </c>
      <c r="Y23" s="659">
        <f ca="1">IF(AND(Y18&gt;0,X18&lt;0),Y$6,0)</f>
        <v>0</v>
      </c>
      <c r="Z23" s="659">
        <f ca="1">IF(AND(Z18&gt;0,Y18&lt;0),Z$6,0)</f>
        <v>0</v>
      </c>
      <c r="AA23" s="433"/>
      <c r="AB23" s="433"/>
    </row>
    <row r="24" spans="1:29" s="8" customFormat="1" ht="13.8" thickBot="1">
      <c r="A24" s="150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9" s="8" customFormat="1">
      <c r="A25" s="438" t="s">
        <v>495</v>
      </c>
      <c r="B25" s="74"/>
      <c r="C25" s="79"/>
      <c r="D25" s="74"/>
      <c r="E25" s="1126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416"/>
      <c r="AB25" s="416"/>
    </row>
    <row r="26" spans="1:29" s="1278" customFormat="1">
      <c r="A26" s="1273">
        <f>Assm!$K$68</f>
        <v>0.5</v>
      </c>
      <c r="B26" s="1274" t="s">
        <v>205</v>
      </c>
      <c r="C26" s="1274"/>
      <c r="D26" s="1275"/>
      <c r="E26" s="1276">
        <f t="shared" ref="E26:Z26" ca="1" si="6">E$10*$A26</f>
        <v>-3318.9850428247569</v>
      </c>
      <c r="F26" s="1276">
        <f t="shared" ca="1" si="6"/>
        <v>-11246.271370791097</v>
      </c>
      <c r="G26" s="1276">
        <f t="shared" ca="1" si="6"/>
        <v>0</v>
      </c>
      <c r="H26" s="1276">
        <f t="shared" ca="1" si="6"/>
        <v>0</v>
      </c>
      <c r="I26" s="1276">
        <f t="shared" ca="1" si="6"/>
        <v>0</v>
      </c>
      <c r="J26" s="1276">
        <f t="shared" ca="1" si="6"/>
        <v>0</v>
      </c>
      <c r="K26" s="1276">
        <f t="shared" ca="1" si="6"/>
        <v>0</v>
      </c>
      <c r="L26" s="1276">
        <f t="shared" ca="1" si="6"/>
        <v>0</v>
      </c>
      <c r="M26" s="1276">
        <f t="shared" ca="1" si="6"/>
        <v>0</v>
      </c>
      <c r="N26" s="1276">
        <f t="shared" ca="1" si="6"/>
        <v>0</v>
      </c>
      <c r="O26" s="1276">
        <f t="shared" ca="1" si="6"/>
        <v>0</v>
      </c>
      <c r="P26" s="1276">
        <f t="shared" ca="1" si="6"/>
        <v>0</v>
      </c>
      <c r="Q26" s="1276">
        <f t="shared" ca="1" si="6"/>
        <v>0</v>
      </c>
      <c r="R26" s="1276">
        <f t="shared" ca="1" si="6"/>
        <v>0</v>
      </c>
      <c r="S26" s="1276">
        <f t="shared" ca="1" si="6"/>
        <v>0</v>
      </c>
      <c r="T26" s="1276">
        <f t="shared" ca="1" si="6"/>
        <v>0</v>
      </c>
      <c r="U26" s="1276">
        <f t="shared" ca="1" si="6"/>
        <v>0</v>
      </c>
      <c r="V26" s="1276">
        <f t="shared" ca="1" si="6"/>
        <v>0</v>
      </c>
      <c r="W26" s="1276">
        <f t="shared" ca="1" si="6"/>
        <v>0</v>
      </c>
      <c r="X26" s="1276">
        <f t="shared" ca="1" si="6"/>
        <v>0</v>
      </c>
      <c r="Y26" s="1276">
        <f t="shared" ca="1" si="6"/>
        <v>0</v>
      </c>
      <c r="Z26" s="1276">
        <f t="shared" ca="1" si="6"/>
        <v>0</v>
      </c>
      <c r="AA26" s="1277">
        <f t="shared" ref="AA26:AA42" ca="1" si="7">SUM(D26:Z26)</f>
        <v>-14565.256413615854</v>
      </c>
      <c r="AB26" s="1277">
        <f ca="1">$E26+NPV(Disc,$F26:Z26)</f>
        <v>-12769.633253573578</v>
      </c>
    </row>
    <row r="27" spans="1:29" s="1284" customFormat="1">
      <c r="A27" s="1279">
        <f>Assm!$L$68</f>
        <v>0.5</v>
      </c>
      <c r="B27" s="1280" t="s">
        <v>1040</v>
      </c>
      <c r="C27" s="1280"/>
      <c r="D27" s="1281"/>
      <c r="E27" s="1282">
        <f t="shared" ref="E27:Z27" ca="1" si="8">E$11*$A27</f>
        <v>0</v>
      </c>
      <c r="F27" s="1282">
        <f t="shared" ca="1" si="8"/>
        <v>0</v>
      </c>
      <c r="G27" s="1282">
        <f t="shared" ca="1" si="8"/>
        <v>0</v>
      </c>
      <c r="H27" s="1282">
        <f t="shared" ca="1" si="8"/>
        <v>0</v>
      </c>
      <c r="I27" s="1282">
        <f t="shared" ca="1" si="8"/>
        <v>0</v>
      </c>
      <c r="J27" s="1282">
        <f t="shared" ca="1" si="8"/>
        <v>0</v>
      </c>
      <c r="K27" s="1282">
        <f t="shared" ca="1" si="8"/>
        <v>0</v>
      </c>
      <c r="L27" s="1282">
        <f t="shared" ca="1" si="8"/>
        <v>0</v>
      </c>
      <c r="M27" s="1282">
        <f t="shared" ca="1" si="8"/>
        <v>0</v>
      </c>
      <c r="N27" s="1282">
        <f t="shared" ca="1" si="8"/>
        <v>0</v>
      </c>
      <c r="O27" s="1282">
        <f t="shared" ca="1" si="8"/>
        <v>0</v>
      </c>
      <c r="P27" s="1282">
        <f t="shared" ca="1" si="8"/>
        <v>4.5474735088646412E-13</v>
      </c>
      <c r="Q27" s="1282">
        <f t="shared" ca="1" si="8"/>
        <v>-2.2737367544323206E-13</v>
      </c>
      <c r="R27" s="1282">
        <f t="shared" ca="1" si="8"/>
        <v>4.5474735088646412E-13</v>
      </c>
      <c r="S27" s="1282">
        <f t="shared" ca="1" si="8"/>
        <v>4.5474735088646412E-13</v>
      </c>
      <c r="T27" s="1282">
        <f t="shared" ca="1" si="8"/>
        <v>4.5474735088646412E-13</v>
      </c>
      <c r="U27" s="1282">
        <f t="shared" ca="1" si="8"/>
        <v>-9.0949470177292824E-13</v>
      </c>
      <c r="V27" s="1282">
        <f t="shared" ca="1" si="8"/>
        <v>0</v>
      </c>
      <c r="W27" s="1282">
        <f t="shared" ca="1" si="8"/>
        <v>0</v>
      </c>
      <c r="X27" s="1282">
        <f t="shared" ca="1" si="8"/>
        <v>2075.179850788958</v>
      </c>
      <c r="Y27" s="1282">
        <f t="shared" ca="1" si="8"/>
        <v>3790.6844327620756</v>
      </c>
      <c r="Z27" s="1282">
        <f t="shared" ca="1" si="8"/>
        <v>10253.50177167539</v>
      </c>
      <c r="AA27" s="1283">
        <f t="shared" ca="1" si="7"/>
        <v>16119.366055226425</v>
      </c>
      <c r="AB27" s="1283">
        <f ca="1">$E27+NPV(Disc,$F27:Z27)</f>
        <v>458.73576854202514</v>
      </c>
    </row>
    <row r="28" spans="1:29" s="1284" customFormat="1">
      <c r="A28" s="1288"/>
      <c r="B28" s="1280" t="s">
        <v>357</v>
      </c>
      <c r="C28" s="1301">
        <f>Wh_Div</f>
        <v>0</v>
      </c>
      <c r="D28" s="1281"/>
      <c r="E28" s="1289">
        <f t="shared" ref="E28:Z28" ca="1" si="9">-E27*$C28</f>
        <v>0</v>
      </c>
      <c r="F28" s="1289">
        <f t="shared" ca="1" si="9"/>
        <v>0</v>
      </c>
      <c r="G28" s="1289">
        <f t="shared" ca="1" si="9"/>
        <v>0</v>
      </c>
      <c r="H28" s="1289">
        <f t="shared" ca="1" si="9"/>
        <v>0</v>
      </c>
      <c r="I28" s="1289">
        <f t="shared" ca="1" si="9"/>
        <v>0</v>
      </c>
      <c r="J28" s="1289">
        <f t="shared" ca="1" si="9"/>
        <v>0</v>
      </c>
      <c r="K28" s="1289">
        <f t="shared" ca="1" si="9"/>
        <v>0</v>
      </c>
      <c r="L28" s="1289">
        <f t="shared" ca="1" si="9"/>
        <v>0</v>
      </c>
      <c r="M28" s="1289">
        <f t="shared" ca="1" si="9"/>
        <v>0</v>
      </c>
      <c r="N28" s="1289">
        <f t="shared" ca="1" si="9"/>
        <v>0</v>
      </c>
      <c r="O28" s="1289">
        <f t="shared" ca="1" si="9"/>
        <v>0</v>
      </c>
      <c r="P28" s="1289">
        <f t="shared" ca="1" si="9"/>
        <v>0</v>
      </c>
      <c r="Q28" s="1289">
        <f t="shared" ca="1" si="9"/>
        <v>0</v>
      </c>
      <c r="R28" s="1289">
        <f t="shared" ca="1" si="9"/>
        <v>0</v>
      </c>
      <c r="S28" s="1289">
        <f t="shared" ca="1" si="9"/>
        <v>0</v>
      </c>
      <c r="T28" s="1289">
        <f t="shared" ca="1" si="9"/>
        <v>0</v>
      </c>
      <c r="U28" s="1289">
        <f t="shared" ca="1" si="9"/>
        <v>0</v>
      </c>
      <c r="V28" s="1289">
        <f t="shared" ca="1" si="9"/>
        <v>0</v>
      </c>
      <c r="W28" s="1289">
        <f t="shared" ca="1" si="9"/>
        <v>0</v>
      </c>
      <c r="X28" s="1289">
        <f t="shared" ca="1" si="9"/>
        <v>0</v>
      </c>
      <c r="Y28" s="1289">
        <f t="shared" ca="1" si="9"/>
        <v>0</v>
      </c>
      <c r="Z28" s="1289">
        <f t="shared" ca="1" si="9"/>
        <v>0</v>
      </c>
      <c r="AA28" s="1283">
        <f t="shared" ca="1" si="7"/>
        <v>0</v>
      </c>
      <c r="AB28" s="1283">
        <f ca="1">$E28+NPV(Disc,$F28:Z28)</f>
        <v>0</v>
      </c>
    </row>
    <row r="29" spans="1:29">
      <c r="A29" s="379"/>
      <c r="B29" s="8" t="s">
        <v>1078</v>
      </c>
      <c r="C29" s="19"/>
      <c r="D29" s="17"/>
      <c r="E29" s="216">
        <f>E$15*$A27</f>
        <v>0</v>
      </c>
      <c r="F29" s="216">
        <f t="shared" ref="F29:Z29" si="10">F$15*$A27</f>
        <v>0</v>
      </c>
      <c r="G29" s="216">
        <f t="shared" si="10"/>
        <v>0</v>
      </c>
      <c r="H29" s="216">
        <f t="shared" si="10"/>
        <v>0</v>
      </c>
      <c r="I29" s="216">
        <f t="shared" si="10"/>
        <v>0</v>
      </c>
      <c r="J29" s="216">
        <f t="shared" si="10"/>
        <v>0</v>
      </c>
      <c r="K29" s="216">
        <f t="shared" si="10"/>
        <v>0</v>
      </c>
      <c r="L29" s="216">
        <f t="shared" si="10"/>
        <v>0</v>
      </c>
      <c r="M29" s="216">
        <f t="shared" si="10"/>
        <v>0</v>
      </c>
      <c r="N29" s="216">
        <f t="shared" si="10"/>
        <v>0</v>
      </c>
      <c r="O29" s="216">
        <f t="shared" si="10"/>
        <v>0</v>
      </c>
      <c r="P29" s="216">
        <f t="shared" si="10"/>
        <v>0</v>
      </c>
      <c r="Q29" s="216">
        <f t="shared" si="10"/>
        <v>0</v>
      </c>
      <c r="R29" s="216">
        <f t="shared" si="10"/>
        <v>0</v>
      </c>
      <c r="S29" s="216">
        <f t="shared" si="10"/>
        <v>0</v>
      </c>
      <c r="T29" s="216">
        <f t="shared" si="10"/>
        <v>0</v>
      </c>
      <c r="U29" s="216">
        <f t="shared" si="10"/>
        <v>0</v>
      </c>
      <c r="V29" s="216">
        <f t="shared" si="10"/>
        <v>0</v>
      </c>
      <c r="W29" s="216">
        <f t="shared" si="10"/>
        <v>0</v>
      </c>
      <c r="X29" s="216">
        <f t="shared" si="10"/>
        <v>0</v>
      </c>
      <c r="Y29" s="216">
        <f t="shared" si="10"/>
        <v>0</v>
      </c>
      <c r="Z29" s="216">
        <f t="shared" ca="1" si="10"/>
        <v>96044.567479589488</v>
      </c>
      <c r="AA29" s="423">
        <f t="shared" ref="AA29:AA35" ca="1" si="11">SUM(D29:Z29)</f>
        <v>96044.567479589488</v>
      </c>
      <c r="AB29" s="423">
        <f ca="1">$E29+NPV(Disc,$F29:Z29)</f>
        <v>2488.7806176127501</v>
      </c>
    </row>
    <row r="30" spans="1:29" s="1284" customFormat="1">
      <c r="A30" s="1288"/>
      <c r="B30" s="1280" t="s">
        <v>429</v>
      </c>
      <c r="C30" s="1291"/>
      <c r="D30" s="1281"/>
      <c r="E30" s="1287">
        <f t="shared" ref="E30:Z30" ca="1" si="12">E$14*$A27</f>
        <v>0</v>
      </c>
      <c r="F30" s="1287">
        <f t="shared" ca="1" si="12"/>
        <v>0</v>
      </c>
      <c r="G30" s="1287">
        <f t="shared" ca="1" si="12"/>
        <v>0</v>
      </c>
      <c r="H30" s="1287">
        <f t="shared" ca="1" si="12"/>
        <v>208.60533935559852</v>
      </c>
      <c r="I30" s="1287">
        <f t="shared" ca="1" si="12"/>
        <v>-2546.6524148952308</v>
      </c>
      <c r="J30" s="1287">
        <f t="shared" ca="1" si="12"/>
        <v>-3094.0696887816616</v>
      </c>
      <c r="K30" s="1287">
        <f t="shared" ca="1" si="12"/>
        <v>-2474.6003006346491</v>
      </c>
      <c r="L30" s="1287">
        <f t="shared" ca="1" si="12"/>
        <v>-2659.701447866757</v>
      </c>
      <c r="M30" s="1287">
        <f t="shared" ca="1" si="12"/>
        <v>-2713.8057987470711</v>
      </c>
      <c r="N30" s="1287">
        <f t="shared" ca="1" si="12"/>
        <v>-2525.1441231468416</v>
      </c>
      <c r="O30" s="1287">
        <f t="shared" ca="1" si="12"/>
        <v>-896.95265309212118</v>
      </c>
      <c r="P30" s="1287">
        <f t="shared" ca="1" si="12"/>
        <v>450.93103472288203</v>
      </c>
      <c r="Q30" s="1287">
        <f t="shared" ca="1" si="12"/>
        <v>699.41994941554367</v>
      </c>
      <c r="R30" s="1287">
        <f t="shared" ca="1" si="12"/>
        <v>519.18958423624281</v>
      </c>
      <c r="S30" s="1287">
        <f t="shared" ca="1" si="12"/>
        <v>350.85582811214954</v>
      </c>
      <c r="T30" s="1287">
        <f t="shared" ca="1" si="12"/>
        <v>1982.0386531651457</v>
      </c>
      <c r="U30" s="1287">
        <f t="shared" ca="1" si="12"/>
        <v>2590.4976602931911</v>
      </c>
      <c r="V30" s="1287">
        <f t="shared" ca="1" si="12"/>
        <v>3902.5532300506738</v>
      </c>
      <c r="W30" s="1287">
        <f t="shared" ca="1" si="12"/>
        <v>6520.3804480610488</v>
      </c>
      <c r="X30" s="1287">
        <f t="shared" ca="1" si="12"/>
        <v>4608.5628602134357</v>
      </c>
      <c r="Y30" s="1287">
        <f t="shared" ca="1" si="12"/>
        <v>3160.3001160923113</v>
      </c>
      <c r="Z30" s="1287">
        <f t="shared" ca="1" si="12"/>
        <v>-8082.4082765538906</v>
      </c>
      <c r="AA30" s="1283">
        <f t="shared" ca="1" si="11"/>
        <v>0</v>
      </c>
      <c r="AB30" s="1283">
        <f ca="1">$E30+NPV(Disc,$F30:Z30)</f>
        <v>-4372.4195894394734</v>
      </c>
    </row>
    <row r="31" spans="1:29" s="1284" customFormat="1">
      <c r="A31" s="1288"/>
      <c r="B31" s="1280" t="s">
        <v>430</v>
      </c>
      <c r="C31" s="1286" t="s">
        <v>211</v>
      </c>
      <c r="D31" s="1281"/>
      <c r="E31" s="1287">
        <f>IF(E$7&lt;YEAR(Startops1),0,-Trapped!D$40*$A27)</f>
        <v>0</v>
      </c>
      <c r="F31" s="1287">
        <f>IF(F$7&lt;YEAR(Startops1),0,-Trapped!E$40*$A27)</f>
        <v>0</v>
      </c>
      <c r="G31" s="1287">
        <f>IF(G$7&lt;YEAR(Startops1),0,-Trapped!F$40*$A27)</f>
        <v>0</v>
      </c>
      <c r="H31" s="1287">
        <f ca="1">IF(H$7&lt;YEAR(Startops1),0,-Trapped!G$40*$A27)</f>
        <v>0</v>
      </c>
      <c r="I31" s="1287">
        <f ca="1">IF(I$7&lt;YEAR(Startops1),0,-Trapped!H$40*$A27)</f>
        <v>0</v>
      </c>
      <c r="J31" s="1287">
        <f ca="1">IF(J$7&lt;YEAR(Startops1),0,-Trapped!I$40*$A27)</f>
        <v>-12.516320361335909</v>
      </c>
      <c r="K31" s="1287">
        <f ca="1">IF(K$7&lt;YEAR(Startops1),0,-Trapped!J$40*$A27)</f>
        <v>-12.516320361335909</v>
      </c>
      <c r="L31" s="1287">
        <f ca="1">IF(L$7&lt;YEAR(Startops1),0,-Trapped!K$40*$A27)</f>
        <v>140.28282453237793</v>
      </c>
      <c r="M31" s="1287">
        <f ca="1">IF(M$7&lt;YEAR(Startops1),0,-Trapped!L$40*$A27)</f>
        <v>325.92700585927764</v>
      </c>
      <c r="N31" s="1287">
        <f ca="1">IF(N$7&lt;YEAR(Startops1),0,-Trapped!M$40*$A27)</f>
        <v>474.4030238973566</v>
      </c>
      <c r="O31" s="1287">
        <f ca="1">IF(O$7&lt;YEAR(Startops1),0,-Trapped!N$40*$A27)</f>
        <v>633.985110769362</v>
      </c>
      <c r="P31" s="1287">
        <f ca="1">IF(P$7&lt;YEAR(Startops1),0,-Trapped!O$40*$A27)</f>
        <v>796.81345869418635</v>
      </c>
      <c r="Q31" s="1287">
        <f ca="1">IF(Q$7&lt;YEAR(Startops1),0,-Trapped!P$40*$A27)</f>
        <v>948.32210608299681</v>
      </c>
      <c r="R31" s="1287">
        <f ca="1">IF(R$7&lt;YEAR(Startops1),0,-Trapped!Q$40*$A27)</f>
        <v>975.08340318515104</v>
      </c>
      <c r="S31" s="1287">
        <f ca="1">IF(S$7&lt;YEAR(Startops1),0,-Trapped!R$40*$A27)</f>
        <v>933.11820622021844</v>
      </c>
      <c r="T31" s="1287">
        <f ca="1">IF(T$7&lt;YEAR(Startops1),0,-Trapped!S$40*$A27)</f>
        <v>901.9668311660439</v>
      </c>
      <c r="U31" s="1287">
        <f ca="1">IF(U$7&lt;YEAR(Startops1),0,-Trapped!T$40*$A27)</f>
        <v>880.91548147931496</v>
      </c>
      <c r="V31" s="1287">
        <f ca="1">IF(V$7&lt;YEAR(Startops1),0,-Trapped!U$40*$A27)</f>
        <v>761.99316228940609</v>
      </c>
      <c r="W31" s="1287">
        <f ca="1">IF(W$7&lt;YEAR(Startops1),0,-Trapped!V$40*$A27)</f>
        <v>606.56330267181477</v>
      </c>
      <c r="X31" s="1287">
        <f ca="1">IF(X$7&lt;YEAR(Startops1),0,-Trapped!W$40*$A27)</f>
        <v>372.41010886877422</v>
      </c>
      <c r="Y31" s="1287">
        <f ca="1">IF(Y$7&lt;YEAR(Startops1),0,-Trapped!X$40*$A27)</f>
        <v>-18.812718014888613</v>
      </c>
      <c r="Z31" s="1287">
        <f ca="1">IF(Z$7&lt;YEAR(Startops1),0,-Trapped!Y$40*$A27)</f>
        <v>-295.32648962769474</v>
      </c>
      <c r="AA31" s="1283">
        <f t="shared" ca="1" si="11"/>
        <v>8412.6121773510258</v>
      </c>
      <c r="AB31" s="1283">
        <f ca="1">$E31+NPV(Disc,$F31:Z31)</f>
        <v>934.23039298861283</v>
      </c>
      <c r="AC31" s="1302"/>
    </row>
    <row r="32" spans="1:29" s="1284" customFormat="1">
      <c r="A32" s="1288"/>
      <c r="B32" s="1280" t="s">
        <v>740</v>
      </c>
      <c r="C32" s="1286"/>
      <c r="D32" s="1281"/>
      <c r="E32" s="1287">
        <f t="shared" ref="E32:Z32" ca="1" si="13">E$12*$A27</f>
        <v>0</v>
      </c>
      <c r="F32" s="1287">
        <f t="shared" ca="1" si="13"/>
        <v>0</v>
      </c>
      <c r="G32" s="1287">
        <f t="shared" ca="1" si="13"/>
        <v>0</v>
      </c>
      <c r="H32" s="1287">
        <f t="shared" ca="1" si="13"/>
        <v>0</v>
      </c>
      <c r="I32" s="1287">
        <f t="shared" ca="1" si="13"/>
        <v>0</v>
      </c>
      <c r="J32" s="1287">
        <f t="shared" ca="1" si="13"/>
        <v>0</v>
      </c>
      <c r="K32" s="1287">
        <f t="shared" ca="1" si="13"/>
        <v>0</v>
      </c>
      <c r="L32" s="1287">
        <f t="shared" ca="1" si="13"/>
        <v>0</v>
      </c>
      <c r="M32" s="1287">
        <f t="shared" ca="1" si="13"/>
        <v>0</v>
      </c>
      <c r="N32" s="1287">
        <f t="shared" ca="1" si="13"/>
        <v>0</v>
      </c>
      <c r="O32" s="1287">
        <f t="shared" ca="1" si="13"/>
        <v>-301.11249405138699</v>
      </c>
      <c r="P32" s="1287">
        <f t="shared" ca="1" si="13"/>
        <v>-289.23040388540068</v>
      </c>
      <c r="Q32" s="1287">
        <f t="shared" ca="1" si="13"/>
        <v>-232.04728620011673</v>
      </c>
      <c r="R32" s="1287">
        <f t="shared" ca="1" si="13"/>
        <v>-130.09788298192365</v>
      </c>
      <c r="S32" s="1287">
        <f t="shared" ca="1" si="13"/>
        <v>16.736485301142352</v>
      </c>
      <c r="T32" s="1287">
        <f t="shared" ca="1" si="13"/>
        <v>221.32334129317383</v>
      </c>
      <c r="U32" s="1287">
        <f t="shared" ca="1" si="13"/>
        <v>414.08468447094845</v>
      </c>
      <c r="V32" s="1287">
        <f t="shared" ca="1" si="13"/>
        <v>685.32006008356439</v>
      </c>
      <c r="W32" s="1287">
        <f t="shared" ca="1" si="13"/>
        <v>997.91185736173588</v>
      </c>
      <c r="X32" s="1287">
        <f t="shared" ca="1" si="13"/>
        <v>1333.2257214541403</v>
      </c>
      <c r="Y32" s="1287">
        <f t="shared" ca="1" si="13"/>
        <v>1456.5256413615853</v>
      </c>
      <c r="Z32" s="1287">
        <f t="shared" ca="1" si="13"/>
        <v>485.50854712052836</v>
      </c>
      <c r="AA32" s="1283">
        <f t="shared" ca="1" si="11"/>
        <v>4658.1482713279902</v>
      </c>
      <c r="AB32" s="1283">
        <f ca="1">$E32+NPV(Disc,$F32:Z32)</f>
        <v>91.074807857415735</v>
      </c>
    </row>
    <row r="33" spans="1:29" s="1284" customFormat="1">
      <c r="A33" s="1288"/>
      <c r="B33" s="1280" t="s">
        <v>962</v>
      </c>
      <c r="C33" s="1303">
        <f>Wh_Int</f>
        <v>0.15</v>
      </c>
      <c r="D33" s="1281"/>
      <c r="E33" s="1287">
        <f ca="1">E13*$A$27</f>
        <v>0</v>
      </c>
      <c r="F33" s="1287">
        <f t="shared" ref="F33:Z33" ca="1" si="14">F13*$A$27</f>
        <v>0</v>
      </c>
      <c r="G33" s="1287">
        <f t="shared" ca="1" si="14"/>
        <v>0</v>
      </c>
      <c r="H33" s="1287">
        <f t="shared" ca="1" si="14"/>
        <v>0</v>
      </c>
      <c r="I33" s="1287">
        <f t="shared" ca="1" si="14"/>
        <v>0</v>
      </c>
      <c r="J33" s="1287">
        <f t="shared" ca="1" si="14"/>
        <v>0</v>
      </c>
      <c r="K33" s="1287">
        <f t="shared" ca="1" si="14"/>
        <v>0</v>
      </c>
      <c r="L33" s="1287">
        <f t="shared" ca="1" si="14"/>
        <v>0</v>
      </c>
      <c r="M33" s="1287">
        <f t="shared" ca="1" si="14"/>
        <v>0</v>
      </c>
      <c r="N33" s="1287">
        <f t="shared" ca="1" si="14"/>
        <v>0</v>
      </c>
      <c r="O33" s="1287">
        <f t="shared" ca="1" si="14"/>
        <v>45.166874107708047</v>
      </c>
      <c r="P33" s="1287">
        <f t="shared" ca="1" si="14"/>
        <v>43.384560582810103</v>
      </c>
      <c r="Q33" s="1287">
        <f t="shared" ca="1" si="14"/>
        <v>34.807092930017511</v>
      </c>
      <c r="R33" s="1287">
        <f t="shared" ca="1" si="14"/>
        <v>19.514682447288546</v>
      </c>
      <c r="S33" s="1287">
        <f t="shared" ca="1" si="14"/>
        <v>-2.5104727951713528</v>
      </c>
      <c r="T33" s="1287">
        <f t="shared" ca="1" si="14"/>
        <v>-33.198501193976071</v>
      </c>
      <c r="U33" s="1287">
        <f t="shared" ca="1" si="14"/>
        <v>-62.112702670642264</v>
      </c>
      <c r="V33" s="1287">
        <f t="shared" ca="1" si="14"/>
        <v>-102.79800901253465</v>
      </c>
      <c r="W33" s="1287">
        <f t="shared" ca="1" si="14"/>
        <v>-149.68677860426038</v>
      </c>
      <c r="X33" s="1287">
        <f t="shared" ca="1" si="14"/>
        <v>-199.98385821812104</v>
      </c>
      <c r="Y33" s="1287">
        <f t="shared" ca="1" si="14"/>
        <v>-218.47884620423778</v>
      </c>
      <c r="Z33" s="1287">
        <f t="shared" ca="1" si="14"/>
        <v>-72.826282068079252</v>
      </c>
      <c r="AA33" s="1283">
        <f ca="1">SUM(D33:Z33)</f>
        <v>-698.72224069919866</v>
      </c>
      <c r="AB33" s="1283">
        <f ca="1">$E33+NPV(Disc,$F33:Z33)</f>
        <v>-13.661221178612369</v>
      </c>
    </row>
    <row r="34" spans="1:29" s="1299" customFormat="1">
      <c r="A34" s="1295">
        <f>Assm!$I$74</f>
        <v>0.2</v>
      </c>
      <c r="B34" s="274" t="s">
        <v>213</v>
      </c>
      <c r="C34" s="1296" t="s">
        <v>211</v>
      </c>
      <c r="D34" s="1297"/>
      <c r="E34" s="1298">
        <f>IF(E$7=YEAR(Startops1),Assm!$O$35*$A34,0)</f>
        <v>0</v>
      </c>
      <c r="F34" s="1298">
        <f>IF(F$7=YEAR(Startops1),Assm!$O$35*$A34,0)</f>
        <v>0</v>
      </c>
      <c r="G34" s="1298">
        <f>IF(G$7=YEAR(Startops1),Assm!$O$35*$A34,0)</f>
        <v>0</v>
      </c>
      <c r="H34" s="1298">
        <f>IF(H$7=YEAR(Startops1),Assm!$O$35*$A34,0)</f>
        <v>0</v>
      </c>
      <c r="I34" s="1298">
        <f>IF(I$7=YEAR(Startops1),Assm!$O$35*$A34,0)</f>
        <v>0</v>
      </c>
      <c r="J34" s="1298">
        <f>IF(J$7=YEAR(Startops1),Assm!$O$35*$A34,0)</f>
        <v>0</v>
      </c>
      <c r="K34" s="1298">
        <f>IF(K$7=YEAR(Startops1),Assm!$O$35*$A34,0)</f>
        <v>0</v>
      </c>
      <c r="L34" s="1298">
        <f>IF(L$7=YEAR(Startops1),Assm!$O$35*$A34,0)</f>
        <v>0</v>
      </c>
      <c r="M34" s="1298">
        <f>IF(M$7=YEAR(Startops1),Assm!$O$35*$A34,0)</f>
        <v>0</v>
      </c>
      <c r="N34" s="1298">
        <f>IF(N$7=YEAR(Startops1),Assm!$O$35*$A34,0)</f>
        <v>0</v>
      </c>
      <c r="O34" s="1298">
        <f>IF(O$7=YEAR(Startops1),Assm!$O$35*$A34,0)</f>
        <v>0</v>
      </c>
      <c r="P34" s="1298">
        <f>IF(P$7=YEAR(Startops1),Assm!$O$35*$A34,0)</f>
        <v>0</v>
      </c>
      <c r="Q34" s="1298">
        <f>IF(Q$7=YEAR(Startops1),Assm!$O$35*$A34,0)</f>
        <v>0</v>
      </c>
      <c r="R34" s="1298">
        <f>IF(R$7=YEAR(Startops1),Assm!$O$35*$A34,0)</f>
        <v>0</v>
      </c>
      <c r="S34" s="1298">
        <f>IF(S$7=YEAR(Startops1),Assm!$O$35*$A34,0)</f>
        <v>0</v>
      </c>
      <c r="T34" s="1298">
        <f>IF(T$7=YEAR(Startops1),Assm!$O$35*$A34,0)</f>
        <v>0</v>
      </c>
      <c r="U34" s="1298">
        <f>IF(U$7=YEAR(Startops1),Assm!$O$35*$A34,0)</f>
        <v>0</v>
      </c>
      <c r="V34" s="1298">
        <f>IF(V$7=YEAR(Startops1),Assm!$O$35*$A34,0)</f>
        <v>0</v>
      </c>
      <c r="W34" s="1298">
        <f>IF(W$7=YEAR(Startops1),Assm!$O$35*$A34,0)</f>
        <v>0</v>
      </c>
      <c r="X34" s="1298">
        <f>IF(X$7=YEAR(Startops1),Assm!$O$35*$A34,0)</f>
        <v>0</v>
      </c>
      <c r="Y34" s="1298">
        <f>IF(Y$7=YEAR(Startops1),Assm!$O$35*$A34,0)</f>
        <v>0</v>
      </c>
      <c r="Z34" s="1298">
        <f>IF(Z$7=YEAR(Startops1),Assm!$O$35*$A34,0)</f>
        <v>0</v>
      </c>
      <c r="AA34" s="502">
        <f t="shared" si="11"/>
        <v>0</v>
      </c>
      <c r="AB34" s="502">
        <f ca="1">$E34+NPV(Disc,$F34:Z34)</f>
        <v>0</v>
      </c>
    </row>
    <row r="35" spans="1:29" s="1299" customFormat="1">
      <c r="A35" s="1295">
        <f>Assm!$I$75</f>
        <v>0</v>
      </c>
      <c r="B35" s="274" t="s">
        <v>212</v>
      </c>
      <c r="C35" s="1296" t="s">
        <v>211</v>
      </c>
      <c r="D35" s="274"/>
      <c r="E35" s="1298">
        <f ca="1">IF(E$7&lt;YEAR(Startops1),0,HLOOKUP(E$7,CF_Table,CF!$AB$28)*$A35)</f>
        <v>0</v>
      </c>
      <c r="F35" s="1298">
        <f ca="1">IF(F$7&lt;YEAR(Startops1),0,HLOOKUP(F$7,CF_Table,CF!$AB$28)*$A35)</f>
        <v>0</v>
      </c>
      <c r="G35" s="1298">
        <f ca="1">IF(G$7&lt;YEAR(Startops1),0,HLOOKUP(G$7,CF_Table,CF!$AB$28)*$A35)</f>
        <v>0</v>
      </c>
      <c r="H35" s="1298">
        <f ca="1">IF(H$7&lt;YEAR(Startops1),0,HLOOKUP(H$7,CF_Table,CF!$AB$28)*$A35)</f>
        <v>0</v>
      </c>
      <c r="I35" s="1298">
        <f ca="1">IF(I$7&lt;YEAR(Startops1),0,HLOOKUP(I$7,CF_Table,CF!$AB$28)*$A35)</f>
        <v>0</v>
      </c>
      <c r="J35" s="1298">
        <f ca="1">IF(J$7&lt;YEAR(Startops1),0,HLOOKUP(J$7,CF_Table,CF!$AB$28)*$A35)</f>
        <v>0</v>
      </c>
      <c r="K35" s="1298">
        <f ca="1">IF(K$7&lt;YEAR(Startops1),0,HLOOKUP(K$7,CF_Table,CF!$AB$28)*$A35)</f>
        <v>0</v>
      </c>
      <c r="L35" s="1298">
        <f ca="1">IF(L$7&lt;YEAR(Startops1),0,HLOOKUP(L$7,CF_Table,CF!$AB$28)*$A35)</f>
        <v>0</v>
      </c>
      <c r="M35" s="1298">
        <f ca="1">IF(M$7&lt;YEAR(Startops1),0,HLOOKUP(M$7,CF_Table,CF!$AB$28)*$A35)</f>
        <v>0</v>
      </c>
      <c r="N35" s="1298">
        <f ca="1">IF(N$7&lt;YEAR(Startops1),0,HLOOKUP(N$7,CF_Table,CF!$AB$28)*$A35)</f>
        <v>0</v>
      </c>
      <c r="O35" s="1298">
        <f ca="1">IF(O$7&lt;YEAR(Startops1),0,HLOOKUP(O$7,CF_Table,CF!$AB$28)*$A35)</f>
        <v>0</v>
      </c>
      <c r="P35" s="1298">
        <f ca="1">IF(P$7&lt;YEAR(Startops1),0,HLOOKUP(P$7,CF_Table,CF!$AB$28)*$A35)</f>
        <v>0</v>
      </c>
      <c r="Q35" s="1298">
        <f ca="1">IF(Q$7&lt;YEAR(Startops1),0,HLOOKUP(Q$7,CF_Table,CF!$AB$28)*$A35)</f>
        <v>0</v>
      </c>
      <c r="R35" s="1298">
        <f ca="1">IF(R$7&lt;YEAR(Startops1),0,HLOOKUP(R$7,CF_Table,CF!$AB$28)*$A35)</f>
        <v>0</v>
      </c>
      <c r="S35" s="1298">
        <f ca="1">IF(S$7&lt;YEAR(Startops1),0,HLOOKUP(S$7,CF_Table,CF!$AB$28)*$A35)</f>
        <v>0</v>
      </c>
      <c r="T35" s="1298">
        <f ca="1">IF(T$7&lt;YEAR(Startops1),0,HLOOKUP(T$7,CF_Table,CF!$AB$28)*$A35)</f>
        <v>0</v>
      </c>
      <c r="U35" s="1298">
        <f ca="1">IF(U$7&lt;YEAR(Startops1),0,HLOOKUP(U$7,CF_Table,CF!$AB$28)*$A35)</f>
        <v>0</v>
      </c>
      <c r="V35" s="1298">
        <f ca="1">IF(V$7&lt;YEAR(Startops1),0,HLOOKUP(V$7,CF_Table,CF!$AB$28)*$A35)</f>
        <v>0</v>
      </c>
      <c r="W35" s="1298">
        <f ca="1">IF(W$7&lt;YEAR(Startops1),0,HLOOKUP(W$7,CF_Table,CF!$AB$28)*$A35)</f>
        <v>0</v>
      </c>
      <c r="X35" s="1298">
        <f ca="1">IF(X$7&lt;YEAR(Startops1),0,HLOOKUP(X$7,CF_Table,CF!$AB$28)*$A35)</f>
        <v>0</v>
      </c>
      <c r="Y35" s="1298">
        <f ca="1">IF(Y$7&lt;YEAR(Startops1),0,HLOOKUP(Y$7,CF_Table,CF!$AB$28)*$A35)</f>
        <v>0</v>
      </c>
      <c r="Z35" s="1298">
        <f ca="1">IF(Z$7&lt;YEAR(Startops1),0,HLOOKUP(Z$7,CF_Table,CF!$AB$28)*$A35)</f>
        <v>0</v>
      </c>
      <c r="AA35" s="502">
        <f t="shared" ca="1" si="11"/>
        <v>0</v>
      </c>
      <c r="AB35" s="502">
        <f ca="1">$E35+NPV(Disc,$F35:Z35)</f>
        <v>0</v>
      </c>
    </row>
    <row r="36" spans="1:29" s="1299" customFormat="1">
      <c r="A36" s="1295"/>
      <c r="B36" s="274" t="s">
        <v>1101</v>
      </c>
      <c r="C36" s="1296" t="s">
        <v>211</v>
      </c>
      <c r="D36" s="274"/>
      <c r="E36" s="1298">
        <f ca="1">-EINC!E29+IF(E$7=YEAR(Startops1),-Assm!$R82,0)</f>
        <v>0</v>
      </c>
      <c r="F36" s="1298">
        <f ca="1">-EINC!F29+IF(F$7=YEAR(Startops1),-Assm!$R82,0)</f>
        <v>0</v>
      </c>
      <c r="G36" s="1298">
        <f ca="1">-EINC!G29+IF(G$7=YEAR(Startops1),-Assm!$R82,0)</f>
        <v>0</v>
      </c>
      <c r="H36" s="1298">
        <f ca="1">-EINC!H29+IF(H$7=YEAR(Startops1),-Assm!$R82,0)</f>
        <v>-110.19817628971738</v>
      </c>
      <c r="I36" s="1298">
        <f ca="1">-EINC!I29+IF(I$7=YEAR(Startops1),-Assm!$R82,0)</f>
        <v>6.3575870936375409</v>
      </c>
      <c r="J36" s="1298">
        <f ca="1">-EINC!J29+IF(J$7=YEAR(Startops1),-Assm!$R82,0)</f>
        <v>6.3575870936375409</v>
      </c>
      <c r="K36" s="1298">
        <f ca="1">-EINC!K29+IF(K$7=YEAR(Startops1),-Assm!$R82,0)</f>
        <v>6.3575870936375409</v>
      </c>
      <c r="L36" s="1298">
        <f ca="1">-EINC!L29+IF(L$7=YEAR(Startops1),-Assm!$R82,0)</f>
        <v>6.3575870936375409</v>
      </c>
      <c r="M36" s="1298">
        <f ca="1">-EINC!M29+IF(M$7=YEAR(Startops1),-Assm!$R82,0)</f>
        <v>6.3575870936375409</v>
      </c>
      <c r="N36" s="1298">
        <f ca="1">-EINC!N29+IF(N$7=YEAR(Startops1),-Assm!$R82,0)</f>
        <v>6.3575870936375409</v>
      </c>
      <c r="O36" s="1298">
        <f ca="1">-EINC!O29+IF(O$7=YEAR(Startops1),-Assm!$R82,0)</f>
        <v>6.3575870936375409</v>
      </c>
      <c r="P36" s="1298">
        <f ca="1">-EINC!P29+IF(P$7=YEAR(Startops1),-Assm!$R82,0)</f>
        <v>6.3575870936375409</v>
      </c>
      <c r="Q36" s="1298">
        <f ca="1">-EINC!Q29+IF(Q$7=YEAR(Startops1),-Assm!$R82,0)</f>
        <v>6.3575870936375409</v>
      </c>
      <c r="R36" s="1298">
        <f ca="1">-EINC!R29+IF(R$7=YEAR(Startops1),-Assm!$R82,0)</f>
        <v>6.3575870936375409</v>
      </c>
      <c r="S36" s="1298">
        <f ca="1">-EINC!S29+IF(S$7=YEAR(Startops1),-Assm!$R82,0)</f>
        <v>6.3575870936375409</v>
      </c>
      <c r="T36" s="1298">
        <f ca="1">-EINC!T29+IF(T$7=YEAR(Startops1),-Assm!$R82,0)</f>
        <v>6.3575870936375409</v>
      </c>
      <c r="U36" s="1298">
        <f ca="1">-EINC!U29+IF(U$7=YEAR(Startops1),-Assm!$R82,0)</f>
        <v>6.3575870936375409</v>
      </c>
      <c r="V36" s="1298">
        <f ca="1">-EINC!V29+IF(V$7=YEAR(Startops1),-Assm!$R82,0)</f>
        <v>6.3575870936375409</v>
      </c>
      <c r="W36" s="1298">
        <f ca="1">-EINC!W29+IF(W$7=YEAR(Startops1),-Assm!$R82,0)</f>
        <v>6.3575870936375409</v>
      </c>
      <c r="X36" s="1298">
        <f ca="1">-EINC!X29+IF(X$7=YEAR(Startops1),-Assm!$R82,0)</f>
        <v>6.3575870936375409</v>
      </c>
      <c r="Y36" s="1298">
        <f ca="1">-EINC!Y29+IF(Y$7=YEAR(Startops1),-Assm!$R82,0)</f>
        <v>6.3575870936375409</v>
      </c>
      <c r="Z36" s="1298">
        <f ca="1">-EINC!Z29+IF(Z$7=YEAR(Startops1),-Assm!$R82,0)</f>
        <v>2.1191956978791802</v>
      </c>
      <c r="AA36" s="502">
        <f ca="1">SUM(D36:Z36)</f>
        <v>-4.0412118096355698E-14</v>
      </c>
      <c r="AB36" s="502">
        <f ca="1">$E36+NPV(Disc,$F36:Z36)</f>
        <v>-46.513958218326131</v>
      </c>
    </row>
    <row r="37" spans="1:29" s="1284" customFormat="1">
      <c r="A37" s="1285"/>
      <c r="B37" s="1280" t="s">
        <v>1102</v>
      </c>
      <c r="C37" s="1286" t="s">
        <v>211</v>
      </c>
      <c r="D37" s="1280"/>
      <c r="E37" s="1287">
        <f ca="1">-EINC!E30+IF(E$7=YEAR(Startops1),-Assm!$R83,0)</f>
        <v>0</v>
      </c>
      <c r="F37" s="1287">
        <f ca="1">-EINC!F30+IF(F$7=YEAR(Startops1),-Assm!$R83,0)</f>
        <v>0</v>
      </c>
      <c r="G37" s="1287">
        <f ca="1">-EINC!G30+IF(G$7=YEAR(Startops1),-Assm!$R83,0)</f>
        <v>0</v>
      </c>
      <c r="H37" s="1287">
        <f ca="1">-EINC!H30+IF(H$7=YEAR(Startops1),-Assm!$R83,0)</f>
        <v>-841.54128440366969</v>
      </c>
      <c r="I37" s="1287">
        <f ca="1">-EINC!I30+IF(I$7=YEAR(Startops1),-Assm!$R83,0)</f>
        <v>48.550458715596335</v>
      </c>
      <c r="J37" s="1287">
        <f ca="1">-EINC!J30+IF(J$7=YEAR(Startops1),-Assm!$R83,0)</f>
        <v>48.550458715596335</v>
      </c>
      <c r="K37" s="1287">
        <f ca="1">-EINC!K30+IF(K$7=YEAR(Startops1),-Assm!$R83,0)</f>
        <v>48.550458715596335</v>
      </c>
      <c r="L37" s="1287">
        <f ca="1">-EINC!L30+IF(L$7=YEAR(Startops1),-Assm!$R83,0)</f>
        <v>48.550458715596335</v>
      </c>
      <c r="M37" s="1287">
        <f ca="1">-EINC!M30+IF(M$7=YEAR(Startops1),-Assm!$R83,0)</f>
        <v>48.550458715596335</v>
      </c>
      <c r="N37" s="1287">
        <f ca="1">-EINC!N30+IF(N$7=YEAR(Startops1),-Assm!$R83,0)</f>
        <v>48.550458715596335</v>
      </c>
      <c r="O37" s="1287">
        <f ca="1">-EINC!O30+IF(O$7=YEAR(Startops1),-Assm!$R83,0)</f>
        <v>48.550458715596335</v>
      </c>
      <c r="P37" s="1287">
        <f ca="1">-EINC!P30+IF(P$7=YEAR(Startops1),-Assm!$R83,0)</f>
        <v>48.550458715596335</v>
      </c>
      <c r="Q37" s="1287">
        <f ca="1">-EINC!Q30+IF(Q$7=YEAR(Startops1),-Assm!$R83,0)</f>
        <v>48.550458715596335</v>
      </c>
      <c r="R37" s="1287">
        <f ca="1">-EINC!R30+IF(R$7=YEAR(Startops1),-Assm!$R83,0)</f>
        <v>48.550458715596335</v>
      </c>
      <c r="S37" s="1287">
        <f ca="1">-EINC!S30+IF(S$7=YEAR(Startops1),-Assm!$R83,0)</f>
        <v>48.550458715596335</v>
      </c>
      <c r="T37" s="1287">
        <f ca="1">-EINC!T30+IF(T$7=YEAR(Startops1),-Assm!$R83,0)</f>
        <v>48.550458715596335</v>
      </c>
      <c r="U37" s="1287">
        <f ca="1">-EINC!U30+IF(U$7=YEAR(Startops1),-Assm!$R83,0)</f>
        <v>48.550458715596335</v>
      </c>
      <c r="V37" s="1287">
        <f ca="1">-EINC!V30+IF(V$7=YEAR(Startops1),-Assm!$R83,0)</f>
        <v>48.550458715596335</v>
      </c>
      <c r="W37" s="1287">
        <f ca="1">-EINC!W30+IF(W$7=YEAR(Startops1),-Assm!$R83,0)</f>
        <v>48.550458715596335</v>
      </c>
      <c r="X37" s="1287">
        <f ca="1">-EINC!X30+IF(X$7=YEAR(Startops1),-Assm!$R83,0)</f>
        <v>48.550458715596335</v>
      </c>
      <c r="Y37" s="1287">
        <f ca="1">-EINC!Y30+IF(Y$7=YEAR(Startops1),-Assm!$R83,0)</f>
        <v>48.550458715596335</v>
      </c>
      <c r="Z37" s="1287">
        <f ca="1">-EINC!Z30+IF(Z$7=YEAR(Startops1),-Assm!$R83,0)</f>
        <v>16.183486238532112</v>
      </c>
      <c r="AA37" s="1283">
        <f ca="1">SUM(D37:Z37)</f>
        <v>-1.1368683772161603E-13</v>
      </c>
      <c r="AB37" s="1283">
        <f ca="1">$E37+NPV(Disc,$F37:Z37)</f>
        <v>-355.20929165686442</v>
      </c>
    </row>
    <row r="38" spans="1:29" s="1284" customFormat="1">
      <c r="A38" s="1288"/>
      <c r="B38" s="1280" t="s">
        <v>428</v>
      </c>
      <c r="C38" s="1286" t="s">
        <v>211</v>
      </c>
      <c r="D38" s="1281"/>
      <c r="E38" s="1289">
        <f ca="1">-PLRisk!E32</f>
        <v>-22.126566952165046</v>
      </c>
      <c r="F38" s="1289">
        <f ca="1">-PLRisk!F32</f>
        <v>-108.16499290018821</v>
      </c>
      <c r="G38" s="1289">
        <f ca="1">-PLRisk!G32</f>
        <v>-145.65256413615856</v>
      </c>
      <c r="H38" s="1289">
        <f ca="1">-PLRisk!H32</f>
        <v>-137.56930383375411</v>
      </c>
      <c r="I38" s="1289">
        <f ca="1">-PLRisk!I32</f>
        <v>-105.88231034543509</v>
      </c>
      <c r="J38" s="1289">
        <f ca="1">-PLRisk!J32</f>
        <v>-59.031533187398267</v>
      </c>
      <c r="K38" s="1289">
        <f ca="1">-PLRisk!K32</f>
        <v>-19.732878406637262</v>
      </c>
      <c r="L38" s="1289">
        <f ca="1">-PLRisk!L32</f>
        <v>-2.916596272787471</v>
      </c>
      <c r="M38" s="1289">
        <f ca="1">-PLRisk!M32</f>
        <v>0</v>
      </c>
      <c r="N38" s="1289">
        <f ca="1">-PLRisk!N32</f>
        <v>0</v>
      </c>
      <c r="O38" s="1289">
        <f ca="1">-PLRisk!O32</f>
        <v>0</v>
      </c>
      <c r="P38" s="1289">
        <f ca="1">-PLRisk!P32</f>
        <v>0</v>
      </c>
      <c r="Q38" s="1289">
        <f ca="1">-PLRisk!Q32</f>
        <v>0</v>
      </c>
      <c r="R38" s="1289">
        <f ca="1">-PLRisk!R32</f>
        <v>-1.1157656867428174</v>
      </c>
      <c r="S38" s="1289">
        <f ca="1">-PLRisk!S32</f>
        <v>-15.312772262916312</v>
      </c>
      <c r="T38" s="1289">
        <f ca="1">-PLRisk!T32</f>
        <v>-34.983090341168996</v>
      </c>
      <c r="U38" s="1289">
        <f ca="1">-PLRisk!U32</f>
        <v>-59.490826821269224</v>
      </c>
      <c r="V38" s="1289">
        <f ca="1">-PLRisk!V32</f>
        <v>-89.371459160234494</v>
      </c>
      <c r="W38" s="1289">
        <f ca="1">-PLRisk!W32</f>
        <v>-122.14544334233383</v>
      </c>
      <c r="X38" s="1289">
        <f ca="1">-PLRisk!X32</f>
        <v>-141.54256680591033</v>
      </c>
      <c r="Y38" s="1289">
        <f ca="1">-PLRisk!Y32</f>
        <v>-145.65256413615847</v>
      </c>
      <c r="Z38" s="1289">
        <f ca="1">-PLRisk!Z32</f>
        <v>-115.19975864087627</v>
      </c>
      <c r="AA38" s="1283">
        <f t="shared" ca="1" si="7"/>
        <v>-1325.8909932321349</v>
      </c>
      <c r="AB38" s="1283">
        <f ca="1">$E38+NPV(Disc,$F38:Z38)</f>
        <v>-413.21964983763309</v>
      </c>
    </row>
    <row r="39" spans="1:29" s="1299" customFormat="1">
      <c r="A39" s="1300"/>
      <c r="B39" s="274" t="s">
        <v>210</v>
      </c>
      <c r="C39" s="1296" t="s">
        <v>211</v>
      </c>
      <c r="D39" s="1297"/>
      <c r="E39" s="1298">
        <f ca="1">IF(E$7&lt;YEAR(Startconst),0,HLOOKUP(DATE(E$7,12,31),Draw_Table,Drawdown!$AQ$57)*Turnkey!$D$18-SUM($D39:D39))</f>
        <v>992.53896903281691</v>
      </c>
      <c r="F39" s="1298">
        <f ca="1">IF(F$7&lt;YEAR(Startconst),0,HLOOKUP(DATE(F$7,12,31),Draw_Table,Drawdown!$AQ$57)*Turnkey!$D$18-SUM($D39:E39))</f>
        <v>3827.7874166006409</v>
      </c>
      <c r="G39" s="1298">
        <f ca="1">IF(G$7&lt;YEAR(Startconst),0,HLOOKUP(DATE(G$7,12,31),Draw_Table,Drawdown!$AQ$57)*Turnkey!$D$18-SUM($D39:F39))</f>
        <v>67.873614366541915</v>
      </c>
      <c r="H39" s="1298">
        <f ca="1">IF(H$7&lt;YEAR(Startconst),0,HLOOKUP(DATE(H$7,12,31),Draw_Table,Drawdown!$AQ$57)*Turnkey!$D$18-SUM($D39:G39))</f>
        <v>0</v>
      </c>
      <c r="I39" s="1298">
        <f ca="1">IF(I$7&lt;YEAR(Startconst),0,HLOOKUP(DATE(I$7,12,31),Draw_Table,Drawdown!$AQ$57)*Turnkey!$D$18-SUM($D39:H39))</f>
        <v>0</v>
      </c>
      <c r="J39" s="1298">
        <f ca="1">IF(J$7&lt;YEAR(Startconst),0,HLOOKUP(DATE(J$7,12,31),Draw_Table,Drawdown!$AQ$57)*Turnkey!$D$18-SUM($D39:I39))</f>
        <v>0</v>
      </c>
      <c r="K39" s="1298">
        <f ca="1">IF(K$7&lt;YEAR(Startconst),0,HLOOKUP(DATE(K$7,12,31),Draw_Table,Drawdown!$AQ$57)*Turnkey!$D$18-SUM($D39:J39))</f>
        <v>0</v>
      </c>
      <c r="L39" s="1298">
        <f ca="1">IF(L$7&lt;YEAR(Startconst),0,HLOOKUP(DATE(L$7,12,31),Draw_Table,Drawdown!$AQ$57)*Turnkey!$D$18-SUM($D39:K39))</f>
        <v>0</v>
      </c>
      <c r="M39" s="1298">
        <f ca="1">IF(M$7&lt;YEAR(Startconst),0,HLOOKUP(DATE(M$7,12,31),Draw_Table,Drawdown!$AQ$57)*Turnkey!$D$18-SUM($D39:L39))</f>
        <v>0</v>
      </c>
      <c r="N39" s="1298">
        <f ca="1">IF(N$7&lt;YEAR(Startconst),0,HLOOKUP(DATE(N$7,12,31),Draw_Table,Drawdown!$AQ$57)*Turnkey!$D$18-SUM($D39:M39))</f>
        <v>0</v>
      </c>
      <c r="O39" s="1298">
        <f ca="1">IF(O$7&lt;YEAR(Startconst),0,HLOOKUP(DATE(O$7,12,31),Draw_Table,Drawdown!$AQ$57)*Turnkey!$D$18-SUM($D39:N39))</f>
        <v>0</v>
      </c>
      <c r="P39" s="1298">
        <f ca="1">IF(P$7&lt;YEAR(Startconst),0,HLOOKUP(DATE(P$7,12,31),Draw_Table,Drawdown!$AQ$57)*Turnkey!$D$18-SUM($D39:O39))</f>
        <v>0</v>
      </c>
      <c r="Q39" s="1298">
        <f ca="1">IF(Q$7&lt;YEAR(Startconst),0,HLOOKUP(DATE(Q$7,12,31),Draw_Table,Drawdown!$AQ$57)*Turnkey!$D$18-SUM($D39:P39))</f>
        <v>0</v>
      </c>
      <c r="R39" s="1298">
        <f ca="1">IF(R$7&lt;YEAR(Startconst),0,HLOOKUP(DATE(R$7,12,31),Draw_Table,Drawdown!$AQ$57)*Turnkey!$D$18-SUM($D39:Q39))</f>
        <v>0</v>
      </c>
      <c r="S39" s="1298">
        <f ca="1">IF(S$7&lt;YEAR(Startconst),0,HLOOKUP(DATE(S$7,12,31),Draw_Table,Drawdown!$AQ$57)*Turnkey!$D$18-SUM($D39:R39))</f>
        <v>0</v>
      </c>
      <c r="T39" s="1298">
        <f ca="1">IF(T$7&lt;YEAR(Startconst),0,HLOOKUP(DATE(T$7,12,31),Draw_Table,Drawdown!$AQ$57)*Turnkey!$D$18-SUM($D39:S39))</f>
        <v>0</v>
      </c>
      <c r="U39" s="1298">
        <f ca="1">IF(U$7&lt;YEAR(Startconst),0,HLOOKUP(DATE(U$7,12,31),Draw_Table,Drawdown!$AQ$57)*Turnkey!$D$18-SUM($D39:T39))</f>
        <v>0</v>
      </c>
      <c r="V39" s="1298">
        <f ca="1">IF(V$7&lt;YEAR(Startconst),0,HLOOKUP(DATE(V$7,12,31),Draw_Table,Drawdown!$AQ$57)*Turnkey!$D$18-SUM($D39:U39))</f>
        <v>0</v>
      </c>
      <c r="W39" s="1298">
        <f ca="1">IF(W$7&lt;YEAR(Startconst),0,HLOOKUP(DATE(W$7,12,31),Draw_Table,Drawdown!$AQ$57)*Turnkey!$D$18-SUM($D39:V39))</f>
        <v>0</v>
      </c>
      <c r="X39" s="1298">
        <f ca="1">IF(X$7&lt;YEAR(Startconst),0,HLOOKUP(DATE(X$7,12,31),Draw_Table,Drawdown!$AQ$57)*Turnkey!$D$18-SUM($D39:W39))</f>
        <v>0</v>
      </c>
      <c r="Y39" s="1298">
        <f ca="1">IF(Y$7&lt;YEAR(Startconst),0,HLOOKUP(DATE(Y$7,12,31),Draw_Table,Drawdown!$AQ$57)*Turnkey!$D$18-SUM($D39:X39))</f>
        <v>0</v>
      </c>
      <c r="Z39" s="1298">
        <f ca="1">IF(Z$7&lt;YEAR(Startconst),0,HLOOKUP(DATE(Z$7,12,31),Draw_Table,Drawdown!$AQ$57)*Turnkey!$D$18-SUM($D39:Y39))</f>
        <v>0</v>
      </c>
      <c r="AA39" s="502">
        <f t="shared" ca="1" si="7"/>
        <v>4888.2</v>
      </c>
      <c r="AB39" s="502">
        <f ca="1">$E39+NPV(Disc,$F39:Z39)</f>
        <v>4257.0970088049407</v>
      </c>
    </row>
    <row r="40" spans="1:29" s="1299" customFormat="1">
      <c r="A40" s="1300"/>
      <c r="B40" s="274" t="s">
        <v>739</v>
      </c>
      <c r="C40" s="1296" t="s">
        <v>211</v>
      </c>
      <c r="D40" s="1297"/>
      <c r="E40" s="1298">
        <f t="shared" ref="E40:Z40" ca="1" si="15">-E39*Wh_Serv</f>
        <v>-148.88084535492254</v>
      </c>
      <c r="F40" s="1298">
        <f t="shared" ca="1" si="15"/>
        <v>-574.16811249009606</v>
      </c>
      <c r="G40" s="1298">
        <f t="shared" ca="1" si="15"/>
        <v>-10.181042154981286</v>
      </c>
      <c r="H40" s="1298">
        <f t="shared" ca="1" si="15"/>
        <v>0</v>
      </c>
      <c r="I40" s="1298">
        <f t="shared" ca="1" si="15"/>
        <v>0</v>
      </c>
      <c r="J40" s="1298">
        <f t="shared" ca="1" si="15"/>
        <v>0</v>
      </c>
      <c r="K40" s="1298">
        <f t="shared" ca="1" si="15"/>
        <v>0</v>
      </c>
      <c r="L40" s="1298">
        <f t="shared" ca="1" si="15"/>
        <v>0</v>
      </c>
      <c r="M40" s="1298">
        <f t="shared" ca="1" si="15"/>
        <v>0</v>
      </c>
      <c r="N40" s="1298">
        <f t="shared" ca="1" si="15"/>
        <v>0</v>
      </c>
      <c r="O40" s="1298">
        <f t="shared" ca="1" si="15"/>
        <v>0</v>
      </c>
      <c r="P40" s="1298">
        <f t="shared" ca="1" si="15"/>
        <v>0</v>
      </c>
      <c r="Q40" s="1298">
        <f t="shared" ca="1" si="15"/>
        <v>0</v>
      </c>
      <c r="R40" s="1298">
        <f t="shared" ca="1" si="15"/>
        <v>0</v>
      </c>
      <c r="S40" s="1298">
        <f t="shared" ca="1" si="15"/>
        <v>0</v>
      </c>
      <c r="T40" s="1298">
        <f t="shared" ca="1" si="15"/>
        <v>0</v>
      </c>
      <c r="U40" s="1298">
        <f t="shared" ca="1" si="15"/>
        <v>0</v>
      </c>
      <c r="V40" s="1298">
        <f t="shared" ca="1" si="15"/>
        <v>0</v>
      </c>
      <c r="W40" s="1298">
        <f t="shared" ca="1" si="15"/>
        <v>0</v>
      </c>
      <c r="X40" s="1298">
        <f t="shared" ca="1" si="15"/>
        <v>0</v>
      </c>
      <c r="Y40" s="1298">
        <f t="shared" ca="1" si="15"/>
        <v>0</v>
      </c>
      <c r="Z40" s="1298">
        <f t="shared" ca="1" si="15"/>
        <v>0</v>
      </c>
      <c r="AA40" s="502">
        <f t="shared" ca="1" si="7"/>
        <v>-733.22999999999979</v>
      </c>
      <c r="AB40" s="502">
        <f ca="1">$E40+NPV(Disc,$F40:Z40)</f>
        <v>-638.56455132074097</v>
      </c>
    </row>
    <row r="41" spans="1:29" s="1294" customFormat="1">
      <c r="A41" s="1290"/>
      <c r="B41" s="1280" t="s">
        <v>499</v>
      </c>
      <c r="C41" s="1291"/>
      <c r="D41" s="1281"/>
      <c r="E41" s="1292">
        <f ca="1">-SUM(E31,E34:E40)*USTax</f>
        <v>-303.96667598851985</v>
      </c>
      <c r="F41" s="1292">
        <f t="shared" ref="F41:Z41" ca="1" si="16">-SUM(F31,F34:F40)*USTax</f>
        <v>-1163.8180951478319</v>
      </c>
      <c r="G41" s="1292">
        <f t="shared" ca="1" si="16"/>
        <v>32.545197012101234</v>
      </c>
      <c r="H41" s="1292">
        <f t="shared" ca="1" si="16"/>
        <v>403.04424287504224</v>
      </c>
      <c r="I41" s="1292">
        <f t="shared" ca="1" si="16"/>
        <v>18.860477878394448</v>
      </c>
      <c r="J41" s="1292">
        <f t="shared" ca="1" si="16"/>
        <v>6.1567288636151103</v>
      </c>
      <c r="K41" s="1292">
        <f t="shared" ca="1" si="16"/>
        <v>-8.3837734052664619</v>
      </c>
      <c r="L41" s="1292">
        <f t="shared" ca="1" si="16"/>
        <v>-71.141481405465001</v>
      </c>
      <c r="M41" s="1292">
        <f t="shared" ca="1" si="16"/>
        <v>-140.90896911734927</v>
      </c>
      <c r="N41" s="1292">
        <f t="shared" ca="1" si="16"/>
        <v>-195.8450957914385</v>
      </c>
      <c r="O41" s="1292">
        <f t="shared" ca="1" si="16"/>
        <v>-254.89046793408045</v>
      </c>
      <c r="P41" s="1292">
        <f t="shared" ca="1" si="16"/>
        <v>-315.13695666626546</v>
      </c>
      <c r="Q41" s="1292">
        <f t="shared" ca="1" si="16"/>
        <v>-371.19515620012533</v>
      </c>
      <c r="R41" s="1292">
        <f t="shared" ca="1" si="16"/>
        <v>-380.68400282382754</v>
      </c>
      <c r="S41" s="1292">
        <f t="shared" ca="1" si="16"/>
        <v>-359.90398751361835</v>
      </c>
      <c r="T41" s="1292">
        <f t="shared" ca="1" si="16"/>
        <v>-341.09996105462028</v>
      </c>
      <c r="U41" s="1292">
        <f t="shared" ca="1" si="16"/>
        <v>-324.24309917289344</v>
      </c>
      <c r="V41" s="1292">
        <f t="shared" ca="1" si="16"/>
        <v>-269.18600710721</v>
      </c>
      <c r="W41" s="1292">
        <f t="shared" ca="1" si="16"/>
        <v>-199.55058490132447</v>
      </c>
      <c r="X41" s="1292">
        <f t="shared" ca="1" si="16"/>
        <v>-105.73696751267617</v>
      </c>
      <c r="Y41" s="1292">
        <f t="shared" ca="1" si="16"/>
        <v>40.536177446470887</v>
      </c>
      <c r="Z41" s="1292">
        <f t="shared" ca="1" si="16"/>
        <v>145.12271954289909</v>
      </c>
      <c r="AA41" s="1293">
        <f t="shared" ca="1" si="7"/>
        <v>-4159.4257381239895</v>
      </c>
      <c r="AB41" s="1293">
        <f ca="1">$E41+NPV(Disc,$F41:Z41)</f>
        <v>-1382.9933817811957</v>
      </c>
      <c r="AC41" s="1284"/>
    </row>
    <row r="42" spans="1:29" s="78" customFormat="1">
      <c r="A42" s="444"/>
      <c r="B42" s="8" t="s">
        <v>206</v>
      </c>
      <c r="C42" s="8"/>
      <c r="D42" s="17"/>
      <c r="E42" s="53">
        <f t="shared" ref="E42:Z42" ca="1" si="17">SUM(E26:E41)</f>
        <v>-2801.4201620875474</v>
      </c>
      <c r="F42" s="53">
        <f t="shared" ca="1" si="17"/>
        <v>-9264.635154728574</v>
      </c>
      <c r="G42" s="53">
        <f t="shared" ca="1" si="17"/>
        <v>-55.414794912496696</v>
      </c>
      <c r="H42" s="53">
        <f t="shared" ca="1" si="17"/>
        <v>-477.65918229650043</v>
      </c>
      <c r="I42" s="53">
        <f t="shared" ca="1" si="17"/>
        <v>-2578.7662015530377</v>
      </c>
      <c r="J42" s="53">
        <f t="shared" ca="1" si="17"/>
        <v>-3104.5527676575466</v>
      </c>
      <c r="K42" s="53">
        <f t="shared" ca="1" si="17"/>
        <v>-2460.3252269986547</v>
      </c>
      <c r="L42" s="53">
        <f t="shared" ca="1" si="17"/>
        <v>-2538.5686552033976</v>
      </c>
      <c r="M42" s="53">
        <f t="shared" ca="1" si="17"/>
        <v>-2473.8797161959092</v>
      </c>
      <c r="N42" s="53">
        <f t="shared" ca="1" si="17"/>
        <v>-2191.67814923169</v>
      </c>
      <c r="O42" s="53">
        <f t="shared" ca="1" si="17"/>
        <v>-718.89558439128473</v>
      </c>
      <c r="P42" s="53">
        <f t="shared" ca="1" si="17"/>
        <v>741.66973925744696</v>
      </c>
      <c r="Q42" s="53">
        <f t="shared" ca="1" si="17"/>
        <v>1134.2147518375491</v>
      </c>
      <c r="R42" s="53">
        <f t="shared" ca="1" si="17"/>
        <v>1056.7980641854224</v>
      </c>
      <c r="S42" s="53">
        <f t="shared" ca="1" si="17"/>
        <v>977.89133287103823</v>
      </c>
      <c r="T42" s="53">
        <f t="shared" ca="1" si="17"/>
        <v>2750.9553188438331</v>
      </c>
      <c r="U42" s="53">
        <f t="shared" ca="1" si="17"/>
        <v>3494.5592433878828</v>
      </c>
      <c r="V42" s="53">
        <f t="shared" ca="1" si="17"/>
        <v>4943.4190229528995</v>
      </c>
      <c r="W42" s="53">
        <f t="shared" ca="1" si="17"/>
        <v>7708.3808470559152</v>
      </c>
      <c r="X42" s="53">
        <f t="shared" ca="1" si="17"/>
        <v>7997.023194597833</v>
      </c>
      <c r="Y42" s="53">
        <f t="shared" ca="1" si="17"/>
        <v>8120.010285116392</v>
      </c>
      <c r="Z42" s="53">
        <f t="shared" ca="1" si="17"/>
        <v>98381.242392974149</v>
      </c>
      <c r="AA42" s="423">
        <f t="shared" ca="1" si="7"/>
        <v>108640.36859782372</v>
      </c>
      <c r="AB42" s="423">
        <f ca="1">SUM(AB26:AB41)</f>
        <v>-11762.296301200678</v>
      </c>
      <c r="AC42" s="5"/>
    </row>
    <row r="43" spans="1:29" s="78" customFormat="1">
      <c r="A43" s="444"/>
      <c r="B43" s="8"/>
      <c r="C43" s="8"/>
      <c r="D43" s="17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424"/>
      <c r="AB43" s="662"/>
      <c r="AC43" s="5"/>
    </row>
    <row r="44" spans="1:29">
      <c r="A44" s="379"/>
      <c r="B44" s="8" t="s">
        <v>207</v>
      </c>
      <c r="C44" s="8"/>
      <c r="D44" s="28"/>
      <c r="E44" s="53">
        <f ca="1">$E42</f>
        <v>-2801.4201620875474</v>
      </c>
      <c r="F44" s="53">
        <f ca="1">$E42+NPV(Disc,$F42:F42)</f>
        <v>-10586.827855136769</v>
      </c>
      <c r="G44" s="53">
        <f ca="1">$E42+NPV(Disc,$F42:G42)</f>
        <v>-10625.959833748801</v>
      </c>
      <c r="H44" s="53">
        <f ca="1">$E42+NPV(Disc,$F42:H42)</f>
        <v>-10909.410346309633</v>
      </c>
      <c r="I44" s="53">
        <f ca="1">$E42+NPV(Disc,$F42:I42)</f>
        <v>-12195.360468210973</v>
      </c>
      <c r="J44" s="53">
        <f ca="1">$E42+NPV(Disc,$F42:J42)</f>
        <v>-13496.321352519986</v>
      </c>
      <c r="K44" s="53">
        <f ca="1">$E42+NPV(Disc,$F42:K42)</f>
        <v>-14362.706006855675</v>
      </c>
      <c r="L44" s="53">
        <f ca="1">$E42+NPV(Disc,$F42:L42)</f>
        <v>-15113.913971002385</v>
      </c>
      <c r="M44" s="53">
        <f ca="1">$E42+NPV(Disc,$F42:M42)</f>
        <v>-15729.09493542822</v>
      </c>
      <c r="N44" s="53">
        <f ca="1">$E42+NPV(Disc,$F42:N42)</f>
        <v>-16187.082963158835</v>
      </c>
      <c r="O44" s="53">
        <f ca="1">$E42+NPV(Disc,$F42:O42)</f>
        <v>-16313.322735354577</v>
      </c>
      <c r="P44" s="53">
        <f ca="1">$E42+NPV(Disc,$F42:P42)</f>
        <v>-16203.878224526692</v>
      </c>
      <c r="Q44" s="53">
        <f ca="1">$E42+NPV(Disc,$F42:Q42)</f>
        <v>-16063.230809444674</v>
      </c>
      <c r="R44" s="53">
        <f ca="1">$E42+NPV(Disc,$F42:R42)</f>
        <v>-15953.106927805133</v>
      </c>
      <c r="S44" s="53">
        <f ca="1">$E42+NPV(Disc,$F42:S42)</f>
        <v>-15867.475509459902</v>
      </c>
      <c r="T44" s="53">
        <f ca="1">$E42+NPV(Disc,$F42:T42)</f>
        <v>-15665.043532846696</v>
      </c>
      <c r="U44" s="53">
        <f ca="1">$E42+NPV(Disc,$F42:U42)</f>
        <v>-15448.950370443152</v>
      </c>
      <c r="V44" s="53">
        <f ca="1">$E42+NPV(Disc,$F42:V42)</f>
        <v>-15192.071087185093</v>
      </c>
      <c r="W44" s="53">
        <f ca="1">$E42+NPV(Disc,$F42:W42)</f>
        <v>-14855.468183103112</v>
      </c>
      <c r="X44" s="53">
        <f ca="1">$E42+NPV(Disc,$F42:X42)</f>
        <v>-14562.016848374915</v>
      </c>
      <c r="Y44" s="53">
        <f ca="1">$E42+NPV(Disc,$F42:Y42)</f>
        <v>-14311.626634291406</v>
      </c>
      <c r="Z44" s="53">
        <f ca="1">$E42+NPV(Disc,$F42:Z42)</f>
        <v>-11762.296301200688</v>
      </c>
      <c r="AA44" s="451"/>
      <c r="AB44" s="419"/>
    </row>
    <row r="45" spans="1:29">
      <c r="A45" s="379"/>
      <c r="B45" s="8" t="s">
        <v>208</v>
      </c>
      <c r="C45" s="8"/>
      <c r="D45" s="22"/>
      <c r="E45" s="22" t="e">
        <f ca="1">IRR($E42:E42,-0.9)</f>
        <v>#NUM!</v>
      </c>
      <c r="F45" s="22" t="e">
        <f ca="1">IRR($E42:F42,-0.9)</f>
        <v>#NUM!</v>
      </c>
      <c r="G45" s="22" t="e">
        <f ca="1">IRR($E42:G42,-0.9)</f>
        <v>#NUM!</v>
      </c>
      <c r="H45" s="22" t="e">
        <f ca="1">IRR($E42:H42,-0.9)</f>
        <v>#NUM!</v>
      </c>
      <c r="I45" s="22" t="e">
        <f ca="1">IRR($E42:I42,-0.9)</f>
        <v>#NUM!</v>
      </c>
      <c r="J45" s="22" t="e">
        <f ca="1">IRR($E42:J42,-0.9)</f>
        <v>#NUM!</v>
      </c>
      <c r="K45" s="22" t="e">
        <f ca="1">IRR($E42:K42,-0.9)</f>
        <v>#NUM!</v>
      </c>
      <c r="L45" s="22" t="e">
        <f ca="1">IRR($E42:L42,-0.9)</f>
        <v>#NUM!</v>
      </c>
      <c r="M45" s="22" t="e">
        <f ca="1">IRR($E42:M42,-0.9)</f>
        <v>#NUM!</v>
      </c>
      <c r="N45" s="22" t="e">
        <f ca="1">IRR($E42:N42,-0.9)</f>
        <v>#DIV/0!</v>
      </c>
      <c r="O45" s="22" t="e">
        <f ca="1">IRR($E42:O42,-0.9)</f>
        <v>#DIV/0!</v>
      </c>
      <c r="P45" s="22">
        <f ca="1">IRR($E42:P42,-0.9)</f>
        <v>-0.63599356053187195</v>
      </c>
      <c r="Q45" s="22">
        <f ca="1">IRR($E42:Q42,-0.9)</f>
        <v>-0.39607389582880254</v>
      </c>
      <c r="R45" s="22">
        <f ca="1">IRR($E42:R42,-0.9)</f>
        <v>-0.29556506884692973</v>
      </c>
      <c r="S45" s="22">
        <f ca="1">IRR($E42:S42,-0.9)</f>
        <v>-0.2369606099877965</v>
      </c>
      <c r="T45" s="22">
        <f ca="1">IRR($E42:T42,-0.9)</f>
        <v>-0.15160320061136692</v>
      </c>
      <c r="U45" s="22">
        <f ca="1">IRR($E42:U42,-0.9)</f>
        <v>-9.8749302808453371E-2</v>
      </c>
      <c r="V45" s="22">
        <f ca="1">IRR($E42:V42,-0.9)</f>
        <v>-5.6525118106942537E-2</v>
      </c>
      <c r="W45" s="22">
        <f ca="1">IRR($E42:W42,-0.9)</f>
        <v>-1.8738411599432084E-2</v>
      </c>
      <c r="X45" s="22">
        <f ca="1">IRR($E42:X42,-0.9)</f>
        <v>5.5993010088409697E-3</v>
      </c>
      <c r="Y45" s="22">
        <f ca="1">IRR($E42:Y42,-0.9)</f>
        <v>2.2799485625056813E-2</v>
      </c>
      <c r="Z45" s="22">
        <f ca="1">IRR($E42:Z42,-0.9)</f>
        <v>0.10132802010400932</v>
      </c>
      <c r="AA45" s="419"/>
      <c r="AB45" s="661">
        <f ca="1">IRR($E42:Z42)</f>
        <v>0.10132802010401373</v>
      </c>
    </row>
    <row r="46" spans="1:29">
      <c r="A46" s="379"/>
      <c r="B46" s="8"/>
      <c r="C46" s="8"/>
      <c r="D46" s="73"/>
      <c r="E46" s="1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419"/>
      <c r="AB46" s="419"/>
    </row>
    <row r="47" spans="1:29">
      <c r="A47" s="379"/>
      <c r="B47" s="265" t="str">
        <f ca="1">CONCATENATE("Enron NPV @ ",TEXT(Disc,"0.0%"))</f>
        <v>Enron NPV @ 19.0%</v>
      </c>
      <c r="C47" s="434">
        <f ca="1">AB42</f>
        <v>-11762.296301200678</v>
      </c>
      <c r="D47" s="8"/>
      <c r="E47" s="73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419"/>
      <c r="AB47" s="419"/>
    </row>
    <row r="48" spans="1:29">
      <c r="A48" s="379"/>
      <c r="B48" s="275" t="s">
        <v>124</v>
      </c>
      <c r="C48" s="435">
        <f ca="1">AB45</f>
        <v>0.10132802010401373</v>
      </c>
      <c r="D48" s="8"/>
      <c r="E48" s="73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419"/>
      <c r="AB48" s="419"/>
    </row>
    <row r="49" spans="1:29">
      <c r="A49" s="442"/>
      <c r="B49" s="436" t="s">
        <v>214</v>
      </c>
      <c r="C49" s="437">
        <f ca="1">MAX(E49:Z49)</f>
        <v>0</v>
      </c>
      <c r="D49" s="129"/>
      <c r="E49" s="129">
        <f t="shared" ref="E49:Z49" ca="1" si="18">IF(AND(D44&lt;0,E44&gt;0),E$6,0)</f>
        <v>0</v>
      </c>
      <c r="F49" s="129">
        <f t="shared" ca="1" si="18"/>
        <v>0</v>
      </c>
      <c r="G49" s="129">
        <f t="shared" ca="1" si="18"/>
        <v>0</v>
      </c>
      <c r="H49" s="129">
        <f t="shared" ca="1" si="18"/>
        <v>0</v>
      </c>
      <c r="I49" s="129">
        <f t="shared" ca="1" si="18"/>
        <v>0</v>
      </c>
      <c r="J49" s="129">
        <f t="shared" ca="1" si="18"/>
        <v>0</v>
      </c>
      <c r="K49" s="129">
        <f t="shared" ca="1" si="18"/>
        <v>0</v>
      </c>
      <c r="L49" s="129">
        <f t="shared" ca="1" si="18"/>
        <v>0</v>
      </c>
      <c r="M49" s="129">
        <f t="shared" ca="1" si="18"/>
        <v>0</v>
      </c>
      <c r="N49" s="129">
        <f t="shared" ca="1" si="18"/>
        <v>0</v>
      </c>
      <c r="O49" s="129">
        <f t="shared" ca="1" si="18"/>
        <v>0</v>
      </c>
      <c r="P49" s="129">
        <f t="shared" ca="1" si="18"/>
        <v>0</v>
      </c>
      <c r="Q49" s="129">
        <f t="shared" ca="1" si="18"/>
        <v>0</v>
      </c>
      <c r="R49" s="129">
        <f t="shared" ca="1" si="18"/>
        <v>0</v>
      </c>
      <c r="S49" s="129">
        <f t="shared" ca="1" si="18"/>
        <v>0</v>
      </c>
      <c r="T49" s="129">
        <f t="shared" ca="1" si="18"/>
        <v>0</v>
      </c>
      <c r="U49" s="129">
        <f t="shared" ca="1" si="18"/>
        <v>0</v>
      </c>
      <c r="V49" s="129">
        <f t="shared" ca="1" si="18"/>
        <v>0</v>
      </c>
      <c r="W49" s="129">
        <f t="shared" ca="1" si="18"/>
        <v>0</v>
      </c>
      <c r="X49" s="129">
        <f t="shared" ca="1" si="18"/>
        <v>0</v>
      </c>
      <c r="Y49" s="129">
        <f t="shared" ca="1" si="18"/>
        <v>0</v>
      </c>
      <c r="Z49" s="129">
        <f t="shared" ca="1" si="18"/>
        <v>0</v>
      </c>
      <c r="AA49" s="449"/>
      <c r="AB49" s="449"/>
    </row>
    <row r="50" spans="1:29">
      <c r="A50" s="379"/>
      <c r="B50" s="32"/>
      <c r="C50" s="32"/>
      <c r="D50" s="131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419"/>
      <c r="AB50" s="419"/>
    </row>
    <row r="51" spans="1:29" s="78" customFormat="1">
      <c r="A51" s="444"/>
      <c r="B51" s="8" t="s">
        <v>877</v>
      </c>
      <c r="C51" s="8"/>
      <c r="D51" s="17"/>
      <c r="E51" s="53">
        <f ca="1">E42</f>
        <v>-2801.4201620875474</v>
      </c>
      <c r="F51" s="53">
        <f t="shared" ref="F51:Z51" ca="1" si="19">F42</f>
        <v>-9264.635154728574</v>
      </c>
      <c r="G51" s="53">
        <f t="shared" ca="1" si="19"/>
        <v>-55.414794912496696</v>
      </c>
      <c r="H51" s="53">
        <f t="shared" ca="1" si="19"/>
        <v>-477.65918229650043</v>
      </c>
      <c r="I51" s="53">
        <f t="shared" ca="1" si="19"/>
        <v>-2578.7662015530377</v>
      </c>
      <c r="J51" s="53">
        <f t="shared" ca="1" si="19"/>
        <v>-3104.5527676575466</v>
      </c>
      <c r="K51" s="53">
        <f t="shared" ca="1" si="19"/>
        <v>-2460.3252269986547</v>
      </c>
      <c r="L51" s="53">
        <f t="shared" ca="1" si="19"/>
        <v>-2538.5686552033976</v>
      </c>
      <c r="M51" s="53">
        <f t="shared" ca="1" si="19"/>
        <v>-2473.8797161959092</v>
      </c>
      <c r="N51" s="53">
        <f t="shared" ca="1" si="19"/>
        <v>-2191.67814923169</v>
      </c>
      <c r="O51" s="53">
        <f t="shared" ca="1" si="19"/>
        <v>-718.89558439128473</v>
      </c>
      <c r="P51" s="53">
        <f t="shared" ca="1" si="19"/>
        <v>741.66973925744696</v>
      </c>
      <c r="Q51" s="53">
        <f t="shared" ca="1" si="19"/>
        <v>1134.2147518375491</v>
      </c>
      <c r="R51" s="53">
        <f t="shared" ca="1" si="19"/>
        <v>1056.7980641854224</v>
      </c>
      <c r="S51" s="53">
        <f t="shared" ca="1" si="19"/>
        <v>977.89133287103823</v>
      </c>
      <c r="T51" s="53">
        <f t="shared" ca="1" si="19"/>
        <v>2750.9553188438331</v>
      </c>
      <c r="U51" s="53">
        <f t="shared" ca="1" si="19"/>
        <v>3494.5592433878828</v>
      </c>
      <c r="V51" s="53">
        <f t="shared" ca="1" si="19"/>
        <v>4943.4190229528995</v>
      </c>
      <c r="W51" s="53">
        <f t="shared" ca="1" si="19"/>
        <v>7708.3808470559152</v>
      </c>
      <c r="X51" s="53">
        <f t="shared" ca="1" si="19"/>
        <v>7997.023194597833</v>
      </c>
      <c r="Y51" s="53">
        <f t="shared" ca="1" si="19"/>
        <v>8120.010285116392</v>
      </c>
      <c r="Z51" s="53">
        <f t="shared" ca="1" si="19"/>
        <v>98381.242392974149</v>
      </c>
      <c r="AA51" s="423">
        <f ca="1">SUM(D51:Z51)</f>
        <v>108640.36859782372</v>
      </c>
      <c r="AB51" s="423">
        <f ca="1">$E51+NPV(Disc,$F51:Z51)</f>
        <v>-11762.296301200688</v>
      </c>
      <c r="AC51" s="5"/>
    </row>
    <row r="52" spans="1:29" s="1315" customFormat="1">
      <c r="A52" s="1309">
        <f>A$26</f>
        <v>0.5</v>
      </c>
      <c r="B52" s="1310" t="s">
        <v>354</v>
      </c>
      <c r="C52" s="1311"/>
      <c r="D52" s="1312"/>
      <c r="E52" s="1313">
        <f ca="1">-HLOOKUP(DATE(E$7,12,31),Idc_Table,IDC!$AP$75)*$A52-SUM($D52:D52)</f>
        <v>0</v>
      </c>
      <c r="F52" s="1313">
        <f ca="1">-HLOOKUP(DATE(F$7,12,31),Idc_Table,IDC!$AP$75)*$A52-SUM($D52:E52)</f>
        <v>-13609.109052366108</v>
      </c>
      <c r="G52" s="1313">
        <f ca="1">-HLOOKUP(DATE(G$7,12,31),Idc_Table,IDC!$AP$75)*$A52-SUM($D52:F52)</f>
        <v>-23083.082702847471</v>
      </c>
      <c r="H52" s="1313">
        <f ca="1">-HLOOKUP(DATE(H$7,12,31),Idc_Table,IDC!$AP$75)*$A52-SUM($D52:G52)</f>
        <v>0</v>
      </c>
      <c r="I52" s="1313">
        <f ca="1">-HLOOKUP(DATE(I$7,12,31),Idc_Table,IDC!$AP$75)*$A52-SUM($D52:H52)</f>
        <v>0</v>
      </c>
      <c r="J52" s="1313">
        <f ca="1">-HLOOKUP(DATE(J$7,12,31),Idc_Table,IDC!$AP$75)*$A52-SUM($D52:I52)</f>
        <v>0</v>
      </c>
      <c r="K52" s="1313">
        <f ca="1">-HLOOKUP(DATE(K$7,12,31),Idc_Table,IDC!$AP$75)*$A52-SUM($D52:J52)</f>
        <v>0</v>
      </c>
      <c r="L52" s="1313">
        <f ca="1">-HLOOKUP(DATE(L$7,12,31),Idc_Table,IDC!$AP$75)*$A52-SUM($D52:K52)</f>
        <v>0</v>
      </c>
      <c r="M52" s="1313">
        <f ca="1">-HLOOKUP(DATE(M$7,12,31),Idc_Table,IDC!$AP$75)*$A52-SUM($D52:L52)</f>
        <v>0</v>
      </c>
      <c r="N52" s="1313">
        <f ca="1">-HLOOKUP(DATE(N$7,12,31),Idc_Table,IDC!$AP$75)*$A52-SUM($D52:M52)</f>
        <v>0</v>
      </c>
      <c r="O52" s="1313">
        <f ca="1">-HLOOKUP(DATE(O$7,12,31),Idc_Table,IDC!$AP$75)*$A52-SUM($D52:N52)</f>
        <v>0</v>
      </c>
      <c r="P52" s="1313">
        <f ca="1">-HLOOKUP(DATE(P$7,12,31),Idc_Table,IDC!$AP$75)*$A52-SUM($D52:O52)</f>
        <v>0</v>
      </c>
      <c r="Q52" s="1313">
        <f ca="1">-HLOOKUP(DATE(Q$7,12,31),Idc_Table,IDC!$AP$75)*$A52-SUM($D52:P52)</f>
        <v>0</v>
      </c>
      <c r="R52" s="1313">
        <f ca="1">-HLOOKUP(DATE(R$7,12,31),Idc_Table,IDC!$AP$75)*$A52-SUM($D52:Q52)</f>
        <v>0</v>
      </c>
      <c r="S52" s="1313">
        <f ca="1">-HLOOKUP(DATE(S$7,12,31),Idc_Table,IDC!$AP$75)*$A52-SUM($D52:R52)</f>
        <v>0</v>
      </c>
      <c r="T52" s="1313">
        <f ca="1">-HLOOKUP(DATE(T$7,12,31),Idc_Table,IDC!$AP$75)*$A52-SUM($D52:S52)</f>
        <v>0</v>
      </c>
      <c r="U52" s="1313">
        <f ca="1">-HLOOKUP(DATE(U$7,12,31),Idc_Table,IDC!$AP$75)*$A52-SUM($D52:T52)</f>
        <v>0</v>
      </c>
      <c r="V52" s="1313">
        <f ca="1">-HLOOKUP(DATE(V$7,12,31),Idc_Table,IDC!$AP$75)*$A52-SUM($D52:U52)</f>
        <v>0</v>
      </c>
      <c r="W52" s="1313">
        <f ca="1">-HLOOKUP(DATE(W$7,12,31),Idc_Table,IDC!$AP$75)*$A52-SUM($D52:V52)</f>
        <v>0</v>
      </c>
      <c r="X52" s="1313">
        <f ca="1">-HLOOKUP(DATE(X$7,12,31),Idc_Table,IDC!$AP$75)*$A52-SUM($D52:W52)</f>
        <v>0</v>
      </c>
      <c r="Y52" s="1313">
        <f ca="1">-HLOOKUP(DATE(Y$7,12,31),Idc_Table,IDC!$AP$75)*$A52-SUM($D52:X52)</f>
        <v>0</v>
      </c>
      <c r="Z52" s="1313">
        <f ca="1">-HLOOKUP(DATE(Z$7,12,31),Idc_Table,IDC!$AP$75)*$A52-SUM($D52:Y52)</f>
        <v>0</v>
      </c>
      <c r="AA52" s="1314">
        <f t="shared" ref="AA52:AA58" ca="1" si="20">SUM(D52:Z52)</f>
        <v>-36692.191755213578</v>
      </c>
      <c r="AB52" s="1314">
        <f ca="1">$E52+NPV(Disc,$F52:Z52)</f>
        <v>-27736.687010213365</v>
      </c>
    </row>
    <row r="53" spans="1:29" s="1284" customFormat="1">
      <c r="A53" s="1288"/>
      <c r="B53" s="1280" t="s">
        <v>355</v>
      </c>
      <c r="C53" s="1323"/>
      <c r="D53" s="1324"/>
      <c r="E53" s="1289">
        <f ca="1">IF(E$7=YEAR(Fin_Close),-SUM($D52:E52),0)</f>
        <v>0</v>
      </c>
      <c r="F53" s="1289">
        <f ca="1">IF(F$7=YEAR(Fin_Close),-SUM($D52:F52),0)</f>
        <v>0</v>
      </c>
      <c r="G53" s="1289">
        <f ca="1">IF(G$7=YEAR(Fin_Close),-SUM($D52:G52),0)</f>
        <v>36692.191755213578</v>
      </c>
      <c r="H53" s="1289">
        <f ca="1">IF(H$7=YEAR(Fin_Close),-SUM($D52:H52),0)</f>
        <v>0</v>
      </c>
      <c r="I53" s="1289">
        <f ca="1">IF(I$7=YEAR(Fin_Close),-SUM($D52:I52),0)</f>
        <v>0</v>
      </c>
      <c r="J53" s="1289">
        <f ca="1">IF(J$7=YEAR(Fin_Close),-SUM($D52:J52),0)</f>
        <v>0</v>
      </c>
      <c r="K53" s="1289">
        <f ca="1">IF(K$7=YEAR(Fin_Close),-SUM($D52:K52),0)</f>
        <v>0</v>
      </c>
      <c r="L53" s="1289">
        <f ca="1">IF(L$7=YEAR(Fin_Close),-SUM($D52:L52),0)</f>
        <v>0</v>
      </c>
      <c r="M53" s="1289">
        <f ca="1">IF(M$7=YEAR(Fin_Close),-SUM($D52:M52),0)</f>
        <v>0</v>
      </c>
      <c r="N53" s="1289">
        <f ca="1">IF(N$7=YEAR(Fin_Close),-SUM($D52:N52),0)</f>
        <v>0</v>
      </c>
      <c r="O53" s="1289">
        <f ca="1">IF(O$7=YEAR(Fin_Close),-SUM($D52:O52),0)</f>
        <v>0</v>
      </c>
      <c r="P53" s="1289">
        <f ca="1">IF(P$7=YEAR(Fin_Close),-SUM($D52:P52),0)</f>
        <v>0</v>
      </c>
      <c r="Q53" s="1289">
        <f ca="1">IF(Q$7=YEAR(Fin_Close),-SUM($D52:Q52),0)</f>
        <v>0</v>
      </c>
      <c r="R53" s="1289">
        <f ca="1">IF(R$7=YEAR(Fin_Close),-SUM($D52:R52),0)</f>
        <v>0</v>
      </c>
      <c r="S53" s="1289">
        <f ca="1">IF(S$7=YEAR(Fin_Close),-SUM($D52:S52),0)</f>
        <v>0</v>
      </c>
      <c r="T53" s="1289">
        <f ca="1">IF(T$7=YEAR(Fin_Close),-SUM($D52:T52),0)</f>
        <v>0</v>
      </c>
      <c r="U53" s="1289">
        <f ca="1">IF(U$7=YEAR(Fin_Close),-SUM($D52:U52),0)</f>
        <v>0</v>
      </c>
      <c r="V53" s="1289">
        <f ca="1">IF(V$7=YEAR(Fin_Close),-SUM($D52:V52),0)</f>
        <v>0</v>
      </c>
      <c r="W53" s="1289">
        <f ca="1">IF(W$7=YEAR(Fin_Close),-SUM($D52:W52),0)</f>
        <v>0</v>
      </c>
      <c r="X53" s="1289">
        <f ca="1">IF(X$7=YEAR(Fin_Close),-SUM($D52:X52),0)</f>
        <v>0</v>
      </c>
      <c r="Y53" s="1289">
        <f ca="1">IF(Y$7=YEAR(Fin_Close),-SUM($D52:Y52),0)</f>
        <v>0</v>
      </c>
      <c r="Z53" s="1289">
        <f ca="1">IF(Z$7=YEAR(Fin_Close),-SUM($D52:Z52),0)</f>
        <v>0</v>
      </c>
      <c r="AA53" s="1283">
        <f t="shared" ca="1" si="20"/>
        <v>36692.191755213578</v>
      </c>
      <c r="AB53" s="1283">
        <f ca="1">$E53+NPV(Disc,$F53:Z53)</f>
        <v>25910.734944716885</v>
      </c>
    </row>
    <row r="54" spans="1:29" s="1284" customFormat="1">
      <c r="A54" s="1288"/>
      <c r="B54" s="1280" t="s">
        <v>722</v>
      </c>
      <c r="C54" s="1286" t="s">
        <v>362</v>
      </c>
      <c r="D54" s="1324"/>
      <c r="E54" s="1289">
        <f ca="1">IF(E$7&lt;YEAR(Startops1),0,HLOOKUP(DATE(E$7,12,31),Idc_Table,IDC!$AP$73)*$A52-SUM($D54:D54))</f>
        <v>0</v>
      </c>
      <c r="F54" s="1289">
        <f ca="1">HLOOKUP(DATE(F$7,12,31),Idc_Table,IDC!$AP$73)*$A52-SUM($D54:E54)</f>
        <v>211.98316251827103</v>
      </c>
      <c r="G54" s="1289">
        <f ca="1">HLOOKUP(DATE(G$7,12,31),Idc_Table,IDC!$AP$73)*$A52-SUM($D54:F54)</f>
        <v>933.31551918193577</v>
      </c>
      <c r="H54" s="1289">
        <f ca="1">HLOOKUP(DATE(H$7,12,31),Idc_Table,IDC!$AP$73)*$A52-SUM($D54:G54)</f>
        <v>0</v>
      </c>
      <c r="I54" s="1289">
        <f ca="1">HLOOKUP(DATE(I$7,12,31),Idc_Table,IDC!$AP$73)*$A52-SUM($D54:H54)</f>
        <v>0</v>
      </c>
      <c r="J54" s="1289">
        <f ca="1">HLOOKUP(DATE(J$7,12,31),Idc_Table,IDC!$AP$73)*$A52-SUM($D54:I54)</f>
        <v>0</v>
      </c>
      <c r="K54" s="1289">
        <f ca="1">HLOOKUP(DATE(K$7,12,31),Idc_Table,IDC!$AP$73)*$A52-SUM($D54:J54)</f>
        <v>0</v>
      </c>
      <c r="L54" s="1289">
        <f ca="1">HLOOKUP(DATE(L$7,12,31),Idc_Table,IDC!$AP$73)*$A52-SUM($D54:K54)</f>
        <v>0</v>
      </c>
      <c r="M54" s="1289">
        <f ca="1">HLOOKUP(DATE(M$7,12,31),Idc_Table,IDC!$AP$73)*$A52-SUM($D54:L54)</f>
        <v>0</v>
      </c>
      <c r="N54" s="1289">
        <f ca="1">HLOOKUP(DATE(N$7,12,31),Idc_Table,IDC!$AP$73)*$A52-SUM($D54:M54)</f>
        <v>0</v>
      </c>
      <c r="O54" s="1289">
        <f ca="1">HLOOKUP(DATE(O$7,12,31),Idc_Table,IDC!$AP$73)*$A52-SUM($D54:N54)</f>
        <v>0</v>
      </c>
      <c r="P54" s="1289">
        <f ca="1">HLOOKUP(DATE(P$7,12,31),Idc_Table,IDC!$AP$73)*$A52-SUM($D54:O54)</f>
        <v>0</v>
      </c>
      <c r="Q54" s="1289">
        <f ca="1">HLOOKUP(DATE(Q$7,12,31),Idc_Table,IDC!$AP$73)*$A52-SUM($D54:P54)</f>
        <v>0</v>
      </c>
      <c r="R54" s="1289">
        <f ca="1">HLOOKUP(DATE(R$7,12,31),Idc_Table,IDC!$AP$73)*$A52-SUM($D54:Q54)</f>
        <v>0</v>
      </c>
      <c r="S54" s="1289">
        <f ca="1">HLOOKUP(DATE(S$7,12,31),Idc_Table,IDC!$AP$73)*$A52-SUM($D54:R54)</f>
        <v>0</v>
      </c>
      <c r="T54" s="1289">
        <f ca="1">HLOOKUP(DATE(T$7,12,31),Idc_Table,IDC!$AP$73)*$A52-SUM($D54:S54)</f>
        <v>0</v>
      </c>
      <c r="U54" s="1289">
        <f ca="1">HLOOKUP(DATE(U$7,12,31),Idc_Table,IDC!$AP$73)*$A52-SUM($D54:T54)</f>
        <v>0</v>
      </c>
      <c r="V54" s="1289">
        <f ca="1">HLOOKUP(DATE(V$7,12,31),Idc_Table,IDC!$AP$73)*$A52-SUM($D54:U54)</f>
        <v>0</v>
      </c>
      <c r="W54" s="1289">
        <f ca="1">HLOOKUP(DATE(W$7,12,31),Idc_Table,IDC!$AP$73)*$A52-SUM($D54:V54)</f>
        <v>0</v>
      </c>
      <c r="X54" s="1289">
        <f ca="1">HLOOKUP(DATE(X$7,12,31),Idc_Table,IDC!$AP$73)*$A52-SUM($D54:W54)</f>
        <v>0</v>
      </c>
      <c r="Y54" s="1289">
        <f ca="1">HLOOKUP(DATE(Y$7,12,31),Idc_Table,IDC!$AP$73)*$A52-SUM($D54:X54)</f>
        <v>0</v>
      </c>
      <c r="Z54" s="1289">
        <f ca="1">HLOOKUP(DATE(Z$7,12,31),Idc_Table,IDC!$AP$73)*$A52-SUM($D54:Y54)</f>
        <v>0</v>
      </c>
      <c r="AA54" s="1283">
        <f t="shared" ca="1" si="20"/>
        <v>1145.2986817002068</v>
      </c>
      <c r="AB54" s="1283">
        <f ca="1">$E54+NPV(Disc,$F54:Z54)</f>
        <v>837.21169591037233</v>
      </c>
    </row>
    <row r="55" spans="1:29" s="1284" customFormat="1">
      <c r="A55" s="1288"/>
      <c r="B55" s="1280" t="s">
        <v>604</v>
      </c>
      <c r="C55" s="1286" t="s">
        <v>362</v>
      </c>
      <c r="D55" s="1324"/>
      <c r="E55" s="1289">
        <f ca="1">Assm!$J$14*-Returns!E54</f>
        <v>0</v>
      </c>
      <c r="F55" s="1289">
        <f ca="1">Assm!$J$14*-Returns!F54</f>
        <v>-52.995790629567757</v>
      </c>
      <c r="G55" s="1289">
        <f ca="1">Assm!$J$14*-Returns!G54</f>
        <v>-233.32887979548394</v>
      </c>
      <c r="H55" s="1289">
        <f ca="1">Assm!$J$14*-Returns!H54</f>
        <v>0</v>
      </c>
      <c r="I55" s="1289">
        <f ca="1">Assm!$J$14*-Returns!I54</f>
        <v>0</v>
      </c>
      <c r="J55" s="1289">
        <f ca="1">Assm!$J$14*-Returns!J54</f>
        <v>0</v>
      </c>
      <c r="K55" s="1289">
        <f ca="1">Assm!$J$14*-Returns!K54</f>
        <v>0</v>
      </c>
      <c r="L55" s="1289">
        <f ca="1">Assm!$J$14*-Returns!L54</f>
        <v>0</v>
      </c>
      <c r="M55" s="1289">
        <f ca="1">Assm!$J$14*-Returns!M54</f>
        <v>0</v>
      </c>
      <c r="N55" s="1289">
        <f ca="1">Assm!$J$14*-Returns!N54</f>
        <v>0</v>
      </c>
      <c r="O55" s="1289">
        <f ca="1">Assm!$J$14*-Returns!O54</f>
        <v>0</v>
      </c>
      <c r="P55" s="1289">
        <f ca="1">Assm!$J$14*-Returns!P54</f>
        <v>0</v>
      </c>
      <c r="Q55" s="1289">
        <f ca="1">Assm!$J$14*-Returns!Q54</f>
        <v>0</v>
      </c>
      <c r="R55" s="1289">
        <f ca="1">Assm!$J$14*-Returns!R54</f>
        <v>0</v>
      </c>
      <c r="S55" s="1289">
        <f ca="1">Assm!$J$14*-Returns!S54</f>
        <v>0</v>
      </c>
      <c r="T55" s="1289">
        <f ca="1">Assm!$J$14*-Returns!T54</f>
        <v>0</v>
      </c>
      <c r="U55" s="1289">
        <f ca="1">Assm!$J$14*-Returns!U54</f>
        <v>0</v>
      </c>
      <c r="V55" s="1289">
        <f ca="1">Assm!$J$14*-Returns!V54</f>
        <v>0</v>
      </c>
      <c r="W55" s="1289">
        <f ca="1">Assm!$J$14*-Returns!W54</f>
        <v>0</v>
      </c>
      <c r="X55" s="1289">
        <f ca="1">Assm!$J$14*-Returns!X54</f>
        <v>0</v>
      </c>
      <c r="Y55" s="1289">
        <f ca="1">Assm!$J$14*-Returns!Y54</f>
        <v>0</v>
      </c>
      <c r="Z55" s="1289">
        <f ca="1">Assm!$J$14*-Returns!Z54</f>
        <v>0</v>
      </c>
      <c r="AA55" s="1283"/>
      <c r="AB55" s="1283"/>
    </row>
    <row r="56" spans="1:29" s="1284" customFormat="1">
      <c r="A56" s="1288"/>
      <c r="B56" s="1280" t="s">
        <v>215</v>
      </c>
      <c r="C56" s="1286" t="s">
        <v>362</v>
      </c>
      <c r="D56" s="1324"/>
      <c r="E56" s="1289">
        <f ca="1">-PLRisk!E43</f>
        <v>0</v>
      </c>
      <c r="F56" s="1289">
        <f ca="1">-PLRisk!F43</f>
        <v>-90.72739368244072</v>
      </c>
      <c r="G56" s="1289">
        <f ca="1">-PLRisk!G43</f>
        <v>-90.72739368244072</v>
      </c>
      <c r="H56" s="1289">
        <f ca="1">-PLRisk!H43</f>
        <v>0</v>
      </c>
      <c r="I56" s="1289">
        <f ca="1">-PLRisk!I43</f>
        <v>0</v>
      </c>
      <c r="J56" s="1289">
        <f ca="1">-PLRisk!J43</f>
        <v>0</v>
      </c>
      <c r="K56" s="1289">
        <f ca="1">-PLRisk!K43</f>
        <v>0</v>
      </c>
      <c r="L56" s="1289">
        <f ca="1">-PLRisk!L43</f>
        <v>0</v>
      </c>
      <c r="M56" s="1289">
        <f ca="1">-PLRisk!M43</f>
        <v>0</v>
      </c>
      <c r="N56" s="1289">
        <f ca="1">-PLRisk!N43</f>
        <v>0</v>
      </c>
      <c r="O56" s="1289">
        <f ca="1">-PLRisk!O43</f>
        <v>0</v>
      </c>
      <c r="P56" s="1289">
        <f ca="1">-PLRisk!P43</f>
        <v>0</v>
      </c>
      <c r="Q56" s="1289">
        <f ca="1">-PLRisk!Q43</f>
        <v>0</v>
      </c>
      <c r="R56" s="1289">
        <f ca="1">-PLRisk!R43</f>
        <v>0</v>
      </c>
      <c r="S56" s="1289">
        <f ca="1">-PLRisk!S43</f>
        <v>0</v>
      </c>
      <c r="T56" s="1289">
        <f ca="1">-PLRisk!T43</f>
        <v>0</v>
      </c>
      <c r="U56" s="1289">
        <f ca="1">-PLRisk!U43</f>
        <v>0</v>
      </c>
      <c r="V56" s="1289">
        <f ca="1">-PLRisk!V43</f>
        <v>0</v>
      </c>
      <c r="W56" s="1289">
        <f ca="1">-PLRisk!W43</f>
        <v>0</v>
      </c>
      <c r="X56" s="1289">
        <f ca="1">-PLRisk!X43</f>
        <v>0</v>
      </c>
      <c r="Y56" s="1289">
        <f ca="1">-PLRisk!Y43</f>
        <v>0</v>
      </c>
      <c r="Z56" s="1289">
        <f ca="1">-PLRisk!Z43</f>
        <v>0</v>
      </c>
      <c r="AA56" s="1283">
        <f t="shared" ca="1" si="20"/>
        <v>-181.45478736488144</v>
      </c>
      <c r="AB56" s="1283">
        <f ca="1">$E56+NPV(Disc,$F56:Z56)</f>
        <v>-140.31000082236082</v>
      </c>
    </row>
    <row r="57" spans="1:29" s="1284" customFormat="1">
      <c r="A57" s="1288"/>
      <c r="B57" s="1280" t="s">
        <v>356</v>
      </c>
      <c r="C57" s="1323"/>
      <c r="D57" s="1324"/>
      <c r="E57" s="1292">
        <f t="shared" ref="E57:Z57" ca="1" si="21">-SUM(E54:E56)*USTax</f>
        <v>0</v>
      </c>
      <c r="F57" s="1292">
        <f t="shared" ca="1" si="21"/>
        <v>-25.256191936317148</v>
      </c>
      <c r="G57" s="1292">
        <f t="shared" ca="1" si="21"/>
        <v>-225.42592091048408</v>
      </c>
      <c r="H57" s="1292">
        <f t="shared" ca="1" si="21"/>
        <v>0</v>
      </c>
      <c r="I57" s="1292">
        <f t="shared" ca="1" si="21"/>
        <v>0</v>
      </c>
      <c r="J57" s="1292">
        <f t="shared" ca="1" si="21"/>
        <v>0</v>
      </c>
      <c r="K57" s="1292">
        <f t="shared" ca="1" si="21"/>
        <v>0</v>
      </c>
      <c r="L57" s="1292">
        <f t="shared" ca="1" si="21"/>
        <v>0</v>
      </c>
      <c r="M57" s="1292">
        <f t="shared" ca="1" si="21"/>
        <v>0</v>
      </c>
      <c r="N57" s="1292">
        <f t="shared" ca="1" si="21"/>
        <v>0</v>
      </c>
      <c r="O57" s="1292">
        <f t="shared" ca="1" si="21"/>
        <v>0</v>
      </c>
      <c r="P57" s="1292">
        <f t="shared" ca="1" si="21"/>
        <v>0</v>
      </c>
      <c r="Q57" s="1292">
        <f t="shared" ca="1" si="21"/>
        <v>0</v>
      </c>
      <c r="R57" s="1292">
        <f t="shared" ca="1" si="21"/>
        <v>0</v>
      </c>
      <c r="S57" s="1292">
        <f t="shared" ca="1" si="21"/>
        <v>0</v>
      </c>
      <c r="T57" s="1292">
        <f t="shared" ca="1" si="21"/>
        <v>0</v>
      </c>
      <c r="U57" s="1292">
        <f t="shared" ca="1" si="21"/>
        <v>0</v>
      </c>
      <c r="V57" s="1292">
        <f t="shared" ca="1" si="21"/>
        <v>0</v>
      </c>
      <c r="W57" s="1292">
        <f t="shared" ca="1" si="21"/>
        <v>0</v>
      </c>
      <c r="X57" s="1292">
        <f t="shared" ca="1" si="21"/>
        <v>0</v>
      </c>
      <c r="Y57" s="1292">
        <f t="shared" ca="1" si="21"/>
        <v>0</v>
      </c>
      <c r="Z57" s="1292">
        <f t="shared" ca="1" si="21"/>
        <v>0</v>
      </c>
      <c r="AA57" s="1293">
        <f t="shared" ca="1" si="20"/>
        <v>-250.68211284680123</v>
      </c>
      <c r="AB57" s="1293">
        <f ca="1">$E57+NPV(Disc,$F57:Z57)</f>
        <v>-180.41154531085482</v>
      </c>
    </row>
    <row r="58" spans="1:29">
      <c r="A58" s="379"/>
      <c r="B58" s="8" t="s">
        <v>723</v>
      </c>
      <c r="C58" s="32"/>
      <c r="D58" s="131"/>
      <c r="E58" s="53">
        <f ca="1">SUM(E51:E57)</f>
        <v>-2801.4201620875474</v>
      </c>
      <c r="F58" s="53">
        <f t="shared" ref="F58:Z58" ca="1" si="22">SUM(F51:F57)</f>
        <v>-22830.740420824739</v>
      </c>
      <c r="G58" s="53">
        <f t="shared" ca="1" si="22"/>
        <v>13937.527582247138</v>
      </c>
      <c r="H58" s="53">
        <f t="shared" ca="1" si="22"/>
        <v>-477.65918229650043</v>
      </c>
      <c r="I58" s="53">
        <f t="shared" ca="1" si="22"/>
        <v>-2578.7662015530377</v>
      </c>
      <c r="J58" s="53">
        <f t="shared" ca="1" si="22"/>
        <v>-3104.5527676575466</v>
      </c>
      <c r="K58" s="53">
        <f t="shared" ca="1" si="22"/>
        <v>-2460.3252269986547</v>
      </c>
      <c r="L58" s="53">
        <f t="shared" ca="1" si="22"/>
        <v>-2538.5686552033976</v>
      </c>
      <c r="M58" s="53">
        <f t="shared" ca="1" si="22"/>
        <v>-2473.8797161959092</v>
      </c>
      <c r="N58" s="53">
        <f t="shared" ca="1" si="22"/>
        <v>-2191.67814923169</v>
      </c>
      <c r="O58" s="53">
        <f t="shared" ca="1" si="22"/>
        <v>-718.89558439128473</v>
      </c>
      <c r="P58" s="53">
        <f t="shared" ca="1" si="22"/>
        <v>741.66973925744696</v>
      </c>
      <c r="Q58" s="53">
        <f t="shared" ca="1" si="22"/>
        <v>1134.2147518375491</v>
      </c>
      <c r="R58" s="53">
        <f t="shared" ca="1" si="22"/>
        <v>1056.7980641854224</v>
      </c>
      <c r="S58" s="53">
        <f t="shared" ca="1" si="22"/>
        <v>977.89133287103823</v>
      </c>
      <c r="T58" s="53">
        <f t="shared" ca="1" si="22"/>
        <v>2750.9553188438331</v>
      </c>
      <c r="U58" s="53">
        <f t="shared" ca="1" si="22"/>
        <v>3494.5592433878828</v>
      </c>
      <c r="V58" s="53">
        <f t="shared" ca="1" si="22"/>
        <v>4943.4190229528995</v>
      </c>
      <c r="W58" s="53">
        <f t="shared" ca="1" si="22"/>
        <v>7708.3808470559152</v>
      </c>
      <c r="X58" s="53">
        <f t="shared" ca="1" si="22"/>
        <v>7997.023194597833</v>
      </c>
      <c r="Y58" s="53">
        <f t="shared" ca="1" si="22"/>
        <v>8120.010285116392</v>
      </c>
      <c r="Z58" s="53">
        <f t="shared" ca="1" si="22"/>
        <v>98381.242392974149</v>
      </c>
      <c r="AA58" s="423">
        <f t="shared" ca="1" si="20"/>
        <v>109067.20570888718</v>
      </c>
      <c r="AB58" s="423">
        <f ca="1">SUM(AB51:AB57)</f>
        <v>-13071.758216920007</v>
      </c>
    </row>
    <row r="59" spans="1:29">
      <c r="A59" s="379"/>
      <c r="B59" s="8" t="s">
        <v>962</v>
      </c>
      <c r="C59" s="32"/>
      <c r="D59" s="131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419"/>
      <c r="AB59" s="419"/>
    </row>
    <row r="60" spans="1:29">
      <c r="A60" s="379"/>
      <c r="B60" s="8" t="s">
        <v>207</v>
      </c>
      <c r="C60" s="32"/>
      <c r="D60" s="131"/>
      <c r="E60" s="53">
        <f ca="1">$E58</f>
        <v>-2801.4201620875474</v>
      </c>
      <c r="F60" s="53">
        <f ca="1">$E58+NPV(Disc,$F58:F58)</f>
        <v>-21986.916314041111</v>
      </c>
      <c r="G60" s="53">
        <f ca="1">$E58+NPV(Disc,$F58:G58)</f>
        <v>-12144.724673445715</v>
      </c>
      <c r="H60" s="53">
        <f ca="1">$E58+NPV(Disc,$F58:H58)</f>
        <v>-12428.175186006549</v>
      </c>
      <c r="I60" s="53">
        <f ca="1">$E58+NPV(Disc,$F58:I58)</f>
        <v>-13714.125307907889</v>
      </c>
      <c r="J60" s="53">
        <f ca="1">$E58+NPV(Disc,$F58:J58)</f>
        <v>-15015.086192216899</v>
      </c>
      <c r="K60" s="53">
        <f ca="1">$E58+NPV(Disc,$F58:K58)</f>
        <v>-15881.470846552591</v>
      </c>
      <c r="L60" s="53">
        <f ca="1">$E58+NPV(Disc,$F58:L58)</f>
        <v>-16632.678810699301</v>
      </c>
      <c r="M60" s="53">
        <f ca="1">$E58+NPV(Disc,$F58:M58)</f>
        <v>-17247.859775125136</v>
      </c>
      <c r="N60" s="53">
        <f ca="1">$E58+NPV(Disc,$F58:N58)</f>
        <v>-17705.847802855751</v>
      </c>
      <c r="O60" s="53">
        <f ca="1">$E58+NPV(Disc,$F58:O58)</f>
        <v>-17832.08757505149</v>
      </c>
      <c r="P60" s="53">
        <f ca="1">$E58+NPV(Disc,$F58:P58)</f>
        <v>-17722.643064223608</v>
      </c>
      <c r="Q60" s="53">
        <f ca="1">$E58+NPV(Disc,$F58:Q58)</f>
        <v>-17581.995649141591</v>
      </c>
      <c r="R60" s="53">
        <f ca="1">$E58+NPV(Disc,$F58:R58)</f>
        <v>-17471.871767502049</v>
      </c>
      <c r="S60" s="53">
        <f ca="1">$E58+NPV(Disc,$F58:S58)</f>
        <v>-17386.240349156818</v>
      </c>
      <c r="T60" s="53">
        <f ca="1">$E58+NPV(Disc,$F58:T58)</f>
        <v>-17183.808372543608</v>
      </c>
      <c r="U60" s="53">
        <f ca="1">$E58+NPV(Disc,$F58:U58)</f>
        <v>-16967.715210140064</v>
      </c>
      <c r="V60" s="53">
        <f ca="1">$E58+NPV(Disc,$F58:V58)</f>
        <v>-16710.83592688201</v>
      </c>
      <c r="W60" s="53">
        <f ca="1">$E58+NPV(Disc,$F58:W58)</f>
        <v>-16374.233022800028</v>
      </c>
      <c r="X60" s="53">
        <f ca="1">$E58+NPV(Disc,$F58:X58)</f>
        <v>-16080.781688071827</v>
      </c>
      <c r="Y60" s="53">
        <f ca="1">$E58+NPV(Disc,$F58:Y58)</f>
        <v>-15830.391473988318</v>
      </c>
      <c r="Z60" s="53">
        <f ca="1">$E58+NPV(Disc,$F58:Z58)</f>
        <v>-13281.0611408976</v>
      </c>
      <c r="AA60" s="451"/>
      <c r="AB60" s="419"/>
    </row>
    <row r="61" spans="1:29">
      <c r="A61" s="379"/>
      <c r="B61" s="8" t="s">
        <v>208</v>
      </c>
      <c r="C61" s="32"/>
      <c r="D61" s="131"/>
      <c r="E61" s="22" t="e">
        <f ca="1">IRR($E58:E58,-0.9)</f>
        <v>#NUM!</v>
      </c>
      <c r="F61" s="22" t="e">
        <f ca="1">IRR($E58:F58,-0.9)</f>
        <v>#NUM!</v>
      </c>
      <c r="G61" s="22">
        <f ca="1">IRR($E58:G58,-0.9)</f>
        <v>-0.42946883067881564</v>
      </c>
      <c r="H61" s="22">
        <f ca="1">IRR($E58:H58,-0.9)</f>
        <v>-0.46382381821373214</v>
      </c>
      <c r="I61" s="22" t="e">
        <f ca="1">IRR($E58:I58,-0.9)</f>
        <v>#NUM!</v>
      </c>
      <c r="J61" s="22" t="e">
        <f ca="1">IRR($E58:J58,-0.9)</f>
        <v>#NUM!</v>
      </c>
      <c r="K61" s="22" t="e">
        <f ca="1">IRR($E58:K58,-0.9)</f>
        <v>#NUM!</v>
      </c>
      <c r="L61" s="22" t="e">
        <f ca="1">IRR($E58:L58,-0.9)</f>
        <v>#NUM!</v>
      </c>
      <c r="M61" s="22" t="e">
        <f ca="1">IRR($E58:M58,-0.9)</f>
        <v>#NUM!</v>
      </c>
      <c r="N61" s="22" t="e">
        <f ca="1">IRR($E58:N58,-0.9)</f>
        <v>#DIV/0!</v>
      </c>
      <c r="O61" s="22" t="e">
        <f ca="1">IRR($E58:O58,-0.9)</f>
        <v>#DIV/0!</v>
      </c>
      <c r="P61" s="22">
        <f ca="1">IRR($E58:P58,-0.9)</f>
        <v>-0.63574924823118417</v>
      </c>
      <c r="Q61" s="22">
        <f ca="1">IRR($E58:Q58,-0.9)</f>
        <v>-0.3922171231871116</v>
      </c>
      <c r="R61" s="22">
        <f ca="1">IRR($E58:R58,-0.9)</f>
        <v>-0.28956465534000886</v>
      </c>
      <c r="S61" s="22">
        <f ca="1">IRR($E58:S58,-0.9)</f>
        <v>-0.23052175527830904</v>
      </c>
      <c r="T61" s="22">
        <f ca="1">IRR($E58:T58,-0.9)</f>
        <v>-0.1459103916668161</v>
      </c>
      <c r="U61" s="22">
        <f ca="1">IRR($E58:U58,-0.9)</f>
        <v>-9.4291608339895458E-2</v>
      </c>
      <c r="V61" s="22">
        <f ca="1">IRR($E58:V58,-0.9)</f>
        <v>-5.3382125956145103E-2</v>
      </c>
      <c r="W61" s="22">
        <f ca="1">IRR($E58:W58,-0.9)</f>
        <v>-1.6915782845142779E-2</v>
      </c>
      <c r="X61" s="22">
        <f ca="1">IRR($E58:X58,-0.9)</f>
        <v>6.5365475067891057E-3</v>
      </c>
      <c r="Y61" s="22">
        <f ca="1">IRR($E58:Y58,-0.9)</f>
        <v>2.3110346563098173E-2</v>
      </c>
      <c r="Z61" s="22">
        <f ca="1">IRR($E58:Z58,-0.9)</f>
        <v>9.8889666987554858E-2</v>
      </c>
      <c r="AA61" s="419"/>
      <c r="AB61" s="661">
        <f ca="1">IRR($E58:Z58,-0.9)</f>
        <v>9.8889666987554858E-2</v>
      </c>
    </row>
    <row r="62" spans="1:29">
      <c r="A62" s="379"/>
      <c r="B62" s="32"/>
      <c r="C62" s="32"/>
      <c r="D62" s="131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419"/>
      <c r="AB62" s="419"/>
    </row>
    <row r="63" spans="1:29">
      <c r="A63" s="379"/>
      <c r="B63" s="265" t="str">
        <f ca="1">CONCATENATE("Enron NPV (w/ Bridge Loan) @ ",TEXT(Disc,"0.0%"))</f>
        <v>Enron NPV (w/ Bridge Loan) @ 19.0%</v>
      </c>
      <c r="C63" s="434">
        <f ca="1">AB58</f>
        <v>-13071.758216920007</v>
      </c>
      <c r="D63" s="8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419"/>
      <c r="AB63" s="419"/>
    </row>
    <row r="64" spans="1:29">
      <c r="A64" s="379"/>
      <c r="B64" s="275" t="s">
        <v>724</v>
      </c>
      <c r="C64" s="1164">
        <f ca="1">AB61</f>
        <v>9.8889666987554858E-2</v>
      </c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419"/>
      <c r="AB64" s="419"/>
    </row>
    <row r="65" spans="1:28">
      <c r="A65" s="442"/>
      <c r="B65" s="436" t="s">
        <v>214</v>
      </c>
      <c r="C65" s="437">
        <f ca="1">MAX(E65:Z65)</f>
        <v>0</v>
      </c>
      <c r="D65" s="129"/>
      <c r="E65" s="129">
        <f t="shared" ref="E65:Z65" ca="1" si="23">IF(AND(D60&lt;0,E60&gt;0),E$6,0)</f>
        <v>0</v>
      </c>
      <c r="F65" s="129">
        <f t="shared" ca="1" si="23"/>
        <v>0</v>
      </c>
      <c r="G65" s="129">
        <f t="shared" ca="1" si="23"/>
        <v>0</v>
      </c>
      <c r="H65" s="129">
        <f t="shared" ca="1" si="23"/>
        <v>0</v>
      </c>
      <c r="I65" s="129">
        <f t="shared" ca="1" si="23"/>
        <v>0</v>
      </c>
      <c r="J65" s="129">
        <f t="shared" ca="1" si="23"/>
        <v>0</v>
      </c>
      <c r="K65" s="129">
        <f t="shared" ca="1" si="23"/>
        <v>0</v>
      </c>
      <c r="L65" s="129">
        <f t="shared" ca="1" si="23"/>
        <v>0</v>
      </c>
      <c r="M65" s="129">
        <f t="shared" ca="1" si="23"/>
        <v>0</v>
      </c>
      <c r="N65" s="129">
        <f t="shared" ca="1" si="23"/>
        <v>0</v>
      </c>
      <c r="O65" s="129">
        <f t="shared" ca="1" si="23"/>
        <v>0</v>
      </c>
      <c r="P65" s="129">
        <f t="shared" ca="1" si="23"/>
        <v>0</v>
      </c>
      <c r="Q65" s="129">
        <f t="shared" ca="1" si="23"/>
        <v>0</v>
      </c>
      <c r="R65" s="129">
        <f t="shared" ca="1" si="23"/>
        <v>0</v>
      </c>
      <c r="S65" s="129">
        <f t="shared" ca="1" si="23"/>
        <v>0</v>
      </c>
      <c r="T65" s="129">
        <f t="shared" ca="1" si="23"/>
        <v>0</v>
      </c>
      <c r="U65" s="129">
        <f t="shared" ca="1" si="23"/>
        <v>0</v>
      </c>
      <c r="V65" s="129">
        <f t="shared" ca="1" si="23"/>
        <v>0</v>
      </c>
      <c r="W65" s="129">
        <f t="shared" ca="1" si="23"/>
        <v>0</v>
      </c>
      <c r="X65" s="129">
        <f t="shared" ca="1" si="23"/>
        <v>0</v>
      </c>
      <c r="Y65" s="129">
        <f t="shared" ca="1" si="23"/>
        <v>0</v>
      </c>
      <c r="Z65" s="129">
        <f t="shared" ca="1" si="23"/>
        <v>0</v>
      </c>
      <c r="AA65" s="449"/>
      <c r="AB65" s="449"/>
    </row>
    <row r="66" spans="1:28">
      <c r="A66" s="379"/>
      <c r="B66" s="32"/>
      <c r="C66" s="32"/>
      <c r="D66" s="131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419"/>
      <c r="AB66" s="419"/>
    </row>
    <row r="67" spans="1:28">
      <c r="A67" s="444"/>
      <c r="B67" s="8" t="s">
        <v>30</v>
      </c>
      <c r="C67" s="8"/>
      <c r="D67" s="17"/>
      <c r="E67" s="53">
        <f ca="1">E58</f>
        <v>-2801.4201620875474</v>
      </c>
      <c r="F67" s="53">
        <f t="shared" ref="F67:Z67" ca="1" si="24">F58</f>
        <v>-22830.740420824739</v>
      </c>
      <c r="G67" s="53">
        <f t="shared" ca="1" si="24"/>
        <v>13937.527582247138</v>
      </c>
      <c r="H67" s="53">
        <f t="shared" ca="1" si="24"/>
        <v>-477.65918229650043</v>
      </c>
      <c r="I67" s="53">
        <f t="shared" ca="1" si="24"/>
        <v>-2578.7662015530377</v>
      </c>
      <c r="J67" s="53">
        <f t="shared" ca="1" si="24"/>
        <v>-3104.5527676575466</v>
      </c>
      <c r="K67" s="53">
        <f t="shared" ca="1" si="24"/>
        <v>-2460.3252269986547</v>
      </c>
      <c r="L67" s="53">
        <f t="shared" ca="1" si="24"/>
        <v>-2538.5686552033976</v>
      </c>
      <c r="M67" s="53">
        <f t="shared" ca="1" si="24"/>
        <v>-2473.8797161959092</v>
      </c>
      <c r="N67" s="53">
        <f t="shared" ca="1" si="24"/>
        <v>-2191.67814923169</v>
      </c>
      <c r="O67" s="53">
        <f t="shared" ca="1" si="24"/>
        <v>-718.89558439128473</v>
      </c>
      <c r="P67" s="53">
        <f t="shared" ca="1" si="24"/>
        <v>741.66973925744696</v>
      </c>
      <c r="Q67" s="53">
        <f t="shared" ca="1" si="24"/>
        <v>1134.2147518375491</v>
      </c>
      <c r="R67" s="53">
        <f t="shared" ca="1" si="24"/>
        <v>1056.7980641854224</v>
      </c>
      <c r="S67" s="53">
        <f t="shared" ca="1" si="24"/>
        <v>977.89133287103823</v>
      </c>
      <c r="T67" s="53">
        <f t="shared" ca="1" si="24"/>
        <v>2750.9553188438331</v>
      </c>
      <c r="U67" s="53">
        <f t="shared" ca="1" si="24"/>
        <v>3494.5592433878828</v>
      </c>
      <c r="V67" s="53">
        <f t="shared" ca="1" si="24"/>
        <v>4943.4190229528995</v>
      </c>
      <c r="W67" s="53">
        <f t="shared" ca="1" si="24"/>
        <v>7708.3808470559152</v>
      </c>
      <c r="X67" s="53">
        <f t="shared" ca="1" si="24"/>
        <v>7997.023194597833</v>
      </c>
      <c r="Y67" s="53">
        <f t="shared" ca="1" si="24"/>
        <v>8120.010285116392</v>
      </c>
      <c r="Z67" s="53">
        <f t="shared" ca="1" si="24"/>
        <v>98381.242392974149</v>
      </c>
      <c r="AA67" s="423">
        <f ca="1">SUM(D67:Z67)</f>
        <v>109067.20570888718</v>
      </c>
      <c r="AB67" s="423">
        <f ca="1">$E67+NPV(Disc,$F67:Z67)</f>
        <v>-13281.0611408976</v>
      </c>
    </row>
    <row r="68" spans="1:28" s="1315" customFormat="1">
      <c r="A68" s="1309">
        <f>A$26</f>
        <v>0.5</v>
      </c>
      <c r="B68" s="1310" t="s">
        <v>31</v>
      </c>
      <c r="C68" s="1311"/>
      <c r="D68" s="1312"/>
      <c r="E68" s="1313">
        <f ca="1">IF(E$7&lt;YEAR(Startconst),0,-HLOOKUP(DATE(E$7,12,31),Idc_Table,IDC!$AP$46)*$A68-SUM($D68:D68))</f>
        <v>0</v>
      </c>
      <c r="F68" s="1313">
        <f ca="1">IF(F$7&lt;YEAR(Startconst),0,-HLOOKUP(DATE(F$7,12,31),Idc_Table,IDC!$AP$46)*$A68-SUM($D68:E68))</f>
        <v>0</v>
      </c>
      <c r="G68" s="1313">
        <f ca="1">IF(G$7&lt;YEAR(Startconst),0,-HLOOKUP(DATE(G$7,12,31),Idc_Table,IDC!$AP$46)*$A68-SUM($D68:F68))</f>
        <v>-10535.311784358719</v>
      </c>
      <c r="H68" s="1313">
        <f ca="1">IF(H$7&lt;YEAR(Startconst),0,-HLOOKUP(DATE(H$7,12,31),Idc_Table,IDC!$AP$46)*$A68-SUM($D68:G68))</f>
        <v>-211.03273076391088</v>
      </c>
      <c r="I68" s="1313">
        <f ca="1">IF(I$7&lt;YEAR(Startconst),0,-HLOOKUP(DATE(I$7,12,31),Idc_Table,IDC!$AP$46)*$A68-SUM($D68:H68))</f>
        <v>0</v>
      </c>
      <c r="J68" s="1313">
        <f ca="1">IF(J$7&lt;YEAR(Startconst),0,-HLOOKUP(DATE(J$7,12,31),Idc_Table,IDC!$AP$46)*$A68-SUM($D68:I68))</f>
        <v>0</v>
      </c>
      <c r="K68" s="1313">
        <f ca="1">IF(K$7&lt;YEAR(Startconst),0,-HLOOKUP(DATE(K$7,12,31),Idc_Table,IDC!$AP$46)*$A68-SUM($D68:J68))</f>
        <v>0</v>
      </c>
      <c r="L68" s="1313">
        <f ca="1">IF(L$7&lt;YEAR(Startconst),0,-HLOOKUP(DATE(L$7,12,31),Idc_Table,IDC!$AP$46)*$A68-SUM($D68:K68))</f>
        <v>0</v>
      </c>
      <c r="M68" s="1313">
        <f ca="1">IF(M$7&lt;YEAR(Startconst),0,-HLOOKUP(DATE(M$7,12,31),Idc_Table,IDC!$AP$46)*$A68-SUM($D68:L68))</f>
        <v>0</v>
      </c>
      <c r="N68" s="1313">
        <f ca="1">IF(N$7&lt;YEAR(Startconst),0,-HLOOKUP(DATE(N$7,12,31),Idc_Table,IDC!$AP$46)*$A68-SUM($D68:M68))</f>
        <v>0</v>
      </c>
      <c r="O68" s="1313">
        <f ca="1">IF(O$7&lt;YEAR(Startconst),0,-HLOOKUP(DATE(O$7,12,31),Idc_Table,IDC!$AP$46)*$A68-SUM($D68:N68))</f>
        <v>0</v>
      </c>
      <c r="P68" s="1313">
        <f ca="1">IF(P$7&lt;YEAR(Startconst),0,-HLOOKUP(DATE(P$7,12,31),Idc_Table,IDC!$AP$46)*$A68-SUM($D68:O68))</f>
        <v>0</v>
      </c>
      <c r="Q68" s="1313">
        <f ca="1">IF(Q$7&lt;YEAR(Startconst),0,-HLOOKUP(DATE(Q$7,12,31),Idc_Table,IDC!$AP$46)*$A68-SUM($D68:P68))</f>
        <v>0</v>
      </c>
      <c r="R68" s="1313">
        <f ca="1">IF(R$7&lt;YEAR(Startconst),0,-HLOOKUP(DATE(R$7,12,31),Idc_Table,IDC!$AP$46)*$A68-SUM($D68:Q68))</f>
        <v>0</v>
      </c>
      <c r="S68" s="1313">
        <f ca="1">IF(S$7&lt;YEAR(Startconst),0,-HLOOKUP(DATE(S$7,12,31),Idc_Table,IDC!$AP$46)*$A68-SUM($D68:R68))</f>
        <v>0</v>
      </c>
      <c r="T68" s="1313">
        <f ca="1">IF(T$7&lt;YEAR(Startconst),0,-HLOOKUP(DATE(T$7,12,31),Idc_Table,IDC!$AP$46)*$A68-SUM($D68:S68))</f>
        <v>0</v>
      </c>
      <c r="U68" s="1313">
        <f ca="1">IF(U$7&lt;YEAR(Startconst),0,-HLOOKUP(DATE(U$7,12,31),Idc_Table,IDC!$AP$46)*$A68-SUM($D68:T68))</f>
        <v>0</v>
      </c>
      <c r="V68" s="1313">
        <f ca="1">IF(V$7&lt;YEAR(Startconst),0,-HLOOKUP(DATE(V$7,12,31),Idc_Table,IDC!$AP$46)*$A68-SUM($D68:U68))</f>
        <v>0</v>
      </c>
      <c r="W68" s="1313">
        <f ca="1">IF(W$7&lt;YEAR(Startconst),0,-HLOOKUP(DATE(W$7,12,31),Idc_Table,IDC!$AP$46)*$A68-SUM($D68:V68))</f>
        <v>0</v>
      </c>
      <c r="X68" s="1313">
        <f ca="1">IF(X$7&lt;YEAR(Startconst),0,-HLOOKUP(DATE(X$7,12,31),Idc_Table,IDC!$AP$46)*$A68-SUM($D68:W68))</f>
        <v>0</v>
      </c>
      <c r="Y68" s="1313">
        <f ca="1">IF(Y$7&lt;YEAR(Startconst),0,-HLOOKUP(DATE(Y$7,12,31),Idc_Table,IDC!$AP$46)*$A68-SUM($D68:X68))</f>
        <v>0</v>
      </c>
      <c r="Z68" s="1313">
        <f ca="1">IF(Z$7&lt;YEAR(Startconst),0,-HLOOKUP(DATE(Z$7,12,31),Idc_Table,IDC!$AP$46)*$A68-SUM($D68:Y68))</f>
        <v>0</v>
      </c>
      <c r="AA68" s="1314">
        <f t="shared" ref="AA68:AA74" ca="1" si="25">SUM(D68:Z68)</f>
        <v>-10746.34451512263</v>
      </c>
      <c r="AB68" s="1314">
        <f ca="1">$E68+NPV(Disc,$F68:Z68)</f>
        <v>-7564.8966976711326</v>
      </c>
    </row>
    <row r="69" spans="1:28" s="1272" customFormat="1">
      <c r="A69" s="1316"/>
      <c r="B69" s="1267" t="s">
        <v>32</v>
      </c>
      <c r="C69" s="1317"/>
      <c r="D69" s="1318"/>
      <c r="E69" s="1319">
        <f ca="1">IF(E$7&lt;YEAR(Startops1),0,-HLOOKUP(E$7,CF_Table,CF!$AB$71)*$A$68)</f>
        <v>0</v>
      </c>
      <c r="F69" s="1319">
        <f ca="1">IF(F$7&lt;YEAR(Startops1),0,-HLOOKUP(F$7,CF_Table,CF!$AB$71)*$A$68)</f>
        <v>0</v>
      </c>
      <c r="G69" s="1319">
        <f ca="1">IF(G$7&lt;YEAR(Startops1),0,-HLOOKUP(G$7,CF_Table,CF!$AB$71)*$A$68)</f>
        <v>0</v>
      </c>
      <c r="H69" s="1319">
        <f ca="1">IF(H$7&lt;YEAR(Startops1),0,-HLOOKUP(H$7,CF_Table,CF!$AB$71)*$A$68)</f>
        <v>0</v>
      </c>
      <c r="I69" s="1319">
        <f ca="1">IF(I$7&lt;YEAR(Startops1),0,-HLOOKUP(I$7,CF_Table,CF!$AB$71)*$A$68)</f>
        <v>481.35388418272169</v>
      </c>
      <c r="J69" s="1319">
        <f ca="1">IF(J$7&lt;YEAR(Startops1),0,-HLOOKUP(J$7,CF_Table,CF!$AB$71)*$A$68)</f>
        <v>545.96360928714716</v>
      </c>
      <c r="K69" s="1319">
        <f ca="1">IF(K$7&lt;YEAR(Startops1),0,-HLOOKUP(K$7,CF_Table,CF!$AB$71)*$A$68)</f>
        <v>619.24557474371443</v>
      </c>
      <c r="L69" s="1319">
        <f ca="1">IF(L$7&lt;YEAR(Startops1),0,-HLOOKUP(L$7,CF_Table,CF!$AB$71)*$A$68)</f>
        <v>702.36381201368943</v>
      </c>
      <c r="M69" s="1319">
        <f ca="1">IF(M$7&lt;YEAR(Startops1),0,-HLOOKUP(M$7,CF_Table,CF!$AB$71)*$A$68)</f>
        <v>796.63859468122655</v>
      </c>
      <c r="N69" s="1319">
        <f ca="1">IF(N$7&lt;YEAR(Startops1),0,-HLOOKUP(N$7,CF_Table,CF!$AB$71)*$A$68)</f>
        <v>903.56741005231402</v>
      </c>
      <c r="O69" s="1319">
        <f ca="1">IF(O$7&lt;YEAR(Startops1),0,-HLOOKUP(O$7,CF_Table,CF!$AB$71)*$A$68)</f>
        <v>1024.848745666585</v>
      </c>
      <c r="P69" s="1319">
        <f ca="1">IF(P$7&lt;YEAR(Startops1),0,-HLOOKUP(P$7,CF_Table,CF!$AB$71)*$A$68)</f>
        <v>1162.4090685536826</v>
      </c>
      <c r="Q69" s="1319">
        <f ca="1">IF(Q$7&lt;YEAR(Startops1),0,-HLOOKUP(Q$7,CF_Table,CF!$AB$71)*$A$68)</f>
        <v>1318.4334257802991</v>
      </c>
      <c r="R69" s="1319">
        <f ca="1">IF(R$7&lt;YEAR(Startops1),0,-HLOOKUP(R$7,CF_Table,CF!$AB$71)*$A$68)</f>
        <v>1495.400152355659</v>
      </c>
      <c r="S69" s="1319">
        <f ca="1">IF(S$7&lt;YEAR(Startops1),0,-HLOOKUP(S$7,CF_Table,CF!$AB$71)*$A$68)</f>
        <v>1696.1202378055932</v>
      </c>
      <c r="T69" s="1319">
        <f ca="1">IF(T$7&lt;YEAR(Startops1),0,-HLOOKUP(T$7,CF_Table,CF!$AB$71)*$A$68)</f>
        <v>0</v>
      </c>
      <c r="U69" s="1319">
        <f ca="1">IF(U$7&lt;YEAR(Startops1),0,-HLOOKUP(U$7,CF_Table,CF!$AB$71)*$A$68)</f>
        <v>0</v>
      </c>
      <c r="V69" s="1319">
        <f ca="1">IF(V$7&lt;YEAR(Startops1),0,-HLOOKUP(V$7,CF_Table,CF!$AB$71)*$A$68)</f>
        <v>0</v>
      </c>
      <c r="W69" s="1319">
        <f ca="1">IF(W$7&lt;YEAR(Startops1),0,-HLOOKUP(W$7,CF_Table,CF!$AB$71)*$A$68)</f>
        <v>0</v>
      </c>
      <c r="X69" s="1319">
        <f ca="1">IF(X$7&lt;YEAR(Startops1),0,-HLOOKUP(X$7,CF_Table,CF!$AB$71)*$A$68)</f>
        <v>0</v>
      </c>
      <c r="Y69" s="1319">
        <f ca="1">IF(Y$7&lt;YEAR(Startops1),0,-HLOOKUP(Y$7,CF_Table,CF!$AB$71)*$A$68)</f>
        <v>0</v>
      </c>
      <c r="Z69" s="1319">
        <f ca="1">IF(Z$7&lt;YEAR(Startops1),0,-HLOOKUP(Z$7,CF_Table,CF!$AB$71)*$A$68)</f>
        <v>0</v>
      </c>
      <c r="AA69" s="1320">
        <f ca="1">SUM(D69:Z69)</f>
        <v>10746.344515122633</v>
      </c>
      <c r="AB69" s="1320">
        <f ca="1">$E69+NPV(Disc,$F69:Z69)</f>
        <v>2100.9840983402532</v>
      </c>
    </row>
    <row r="70" spans="1:28" s="1272" customFormat="1">
      <c r="A70" s="1316"/>
      <c r="B70" s="1267" t="s">
        <v>33</v>
      </c>
      <c r="C70" s="1321" t="s">
        <v>362</v>
      </c>
      <c r="D70" s="1318"/>
      <c r="E70" s="1319">
        <f ca="1">IF(E$7&lt;YEAR(Startops1),0,-HLOOKUP(E$7,CF_Table,CF!$AB$48)*$A$68)</f>
        <v>0</v>
      </c>
      <c r="F70" s="1319">
        <f ca="1">IF(F$7&lt;YEAR(Startops1),0,-HLOOKUP(F$7,CF_Table,CF!$AB$48)*$A$68)</f>
        <v>0</v>
      </c>
      <c r="G70" s="1319">
        <f ca="1">IF(G$7&lt;YEAR(Startops1),0,-HLOOKUP(G$7,CF_Table,CF!$AB$48)*$A$68)</f>
        <v>0</v>
      </c>
      <c r="H70" s="1319">
        <f ca="1">IF(H$7&lt;YEAR(Startops1),0,-HLOOKUP(H$7,CF_Table,CF!$AB$48)*$A$68)</f>
        <v>582.09366123580935</v>
      </c>
      <c r="I70" s="1319">
        <f ca="1">IF(I$7&lt;YEAR(Startops1),0,-HLOOKUP(I$7,CF_Table,CF!$AB$48)*$A$68)</f>
        <v>1381.8732119190286</v>
      </c>
      <c r="J70" s="1319">
        <f ca="1">IF(J$7&lt;YEAR(Startops1),0,-HLOOKUP(J$7,CF_Table,CF!$AB$48)*$A$68)</f>
        <v>1317.2634868146029</v>
      </c>
      <c r="K70" s="1319">
        <f ca="1">IF(K$7&lt;YEAR(Startops1),0,-HLOOKUP(K$7,CF_Table,CF!$AB$48)*$A$68)</f>
        <v>1243.9815213580355</v>
      </c>
      <c r="L70" s="1319">
        <f ca="1">IF(L$7&lt;YEAR(Startops1),0,-HLOOKUP(L$7,CF_Table,CF!$AB$48)*$A$68)</f>
        <v>1160.8632840880603</v>
      </c>
      <c r="M70" s="1319">
        <f ca="1">IF(M$7&lt;YEAR(Startops1),0,-HLOOKUP(M$7,CF_Table,CF!$AB$48)*$A$68)</f>
        <v>1066.5885014205228</v>
      </c>
      <c r="N70" s="1319">
        <f ca="1">IF(N$7&lt;YEAR(Startops1),0,-HLOOKUP(N$7,CF_Table,CF!$AB$48)*$A$68)</f>
        <v>959.65968604943532</v>
      </c>
      <c r="O70" s="1319">
        <f ca="1">IF(O$7&lt;YEAR(Startops1),0,-HLOOKUP(O$7,CF_Table,CF!$AB$48)*$A$68)</f>
        <v>838.3783504351635</v>
      </c>
      <c r="P70" s="1319">
        <f ca="1">IF(P$7&lt;YEAR(Startops1),0,-HLOOKUP(P$7,CF_Table,CF!$AB$48)*$A$68)</f>
        <v>700.81802754806608</v>
      </c>
      <c r="Q70" s="1319">
        <f ca="1">IF(Q$7&lt;YEAR(Startops1),0,-HLOOKUP(Q$7,CF_Table,CF!$AB$48)*$A$68)</f>
        <v>544.79367032144796</v>
      </c>
      <c r="R70" s="1319">
        <f ca="1">IF(R$7&lt;YEAR(Startops1),0,-HLOOKUP(R$7,CF_Table,CF!$AB$48)*$A$68)</f>
        <v>367.8269437460873</v>
      </c>
      <c r="S70" s="1319">
        <f ca="1">IF(S$7&lt;YEAR(Startops1),0,-HLOOKUP(S$7,CF_Table,CF!$AB$48)*$A$68)</f>
        <v>167.10685829614906</v>
      </c>
      <c r="T70" s="1319">
        <f ca="1">IF(T$7&lt;YEAR(Startops1),0,-HLOOKUP(T$7,CF_Table,CF!$AB$48)*$A$68)</f>
        <v>0</v>
      </c>
      <c r="U70" s="1319">
        <f ca="1">IF(U$7&lt;YEAR(Startops1),0,-HLOOKUP(U$7,CF_Table,CF!$AB$48)*$A$68)</f>
        <v>0</v>
      </c>
      <c r="V70" s="1319">
        <f ca="1">IF(V$7&lt;YEAR(Startops1),0,-HLOOKUP(V$7,CF_Table,CF!$AB$48)*$A$68)</f>
        <v>0</v>
      </c>
      <c r="W70" s="1319">
        <f ca="1">IF(W$7&lt;YEAR(Startops1),0,-HLOOKUP(W$7,CF_Table,CF!$AB$48)*$A$68)</f>
        <v>0</v>
      </c>
      <c r="X70" s="1319">
        <f ca="1">IF(X$7&lt;YEAR(Startops1),0,-HLOOKUP(X$7,CF_Table,CF!$AB$48)*$A$68)</f>
        <v>0</v>
      </c>
      <c r="Y70" s="1319">
        <f ca="1">IF(Y$7&lt;YEAR(Startops1),0,-HLOOKUP(Y$7,CF_Table,CF!$AB$48)*$A$68)</f>
        <v>0</v>
      </c>
      <c r="Z70" s="1319">
        <f ca="1">IF(Z$7&lt;YEAR(Startops1),0,-HLOOKUP(Z$7,CF_Table,CF!$AB$48)*$A$68)</f>
        <v>0</v>
      </c>
      <c r="AA70" s="1320">
        <f t="shared" ca="1" si="25"/>
        <v>10331.247203232408</v>
      </c>
      <c r="AB70" s="1320">
        <f ca="1">$E70+NPV(Disc,$F70:Z70)</f>
        <v>3205.0207472500178</v>
      </c>
    </row>
    <row r="71" spans="1:28" s="1272" customFormat="1">
      <c r="A71" s="1316"/>
      <c r="B71" s="1267" t="s">
        <v>605</v>
      </c>
      <c r="C71" s="1321" t="s">
        <v>362</v>
      </c>
      <c r="D71" s="1318"/>
      <c r="E71" s="1319">
        <f ca="1">Wh_Int*-Returns!E70</f>
        <v>0</v>
      </c>
      <c r="F71" s="1319">
        <f ca="1">Wh_Int*-Returns!F70</f>
        <v>0</v>
      </c>
      <c r="G71" s="1319">
        <f ca="1">Wh_Int*-Returns!G70</f>
        <v>0</v>
      </c>
      <c r="H71" s="1319">
        <f ca="1">Wh_Int*-Returns!H70</f>
        <v>-87.314049185371402</v>
      </c>
      <c r="I71" s="1319">
        <f ca="1">Wh_Int*-Returns!I70</f>
        <v>-207.28098178785427</v>
      </c>
      <c r="J71" s="1319">
        <f ca="1">Wh_Int*-Returns!J70</f>
        <v>-197.58952302219043</v>
      </c>
      <c r="K71" s="1319">
        <f ca="1">Wh_Int*-Returns!K70</f>
        <v>-186.59722820370533</v>
      </c>
      <c r="L71" s="1319">
        <f ca="1">Wh_Int*-Returns!L70</f>
        <v>-174.12949261320904</v>
      </c>
      <c r="M71" s="1319">
        <f ca="1">Wh_Int*-Returns!M70</f>
        <v>-159.98827521307842</v>
      </c>
      <c r="N71" s="1319">
        <f ca="1">Wh_Int*-Returns!N70</f>
        <v>-143.9489529074153</v>
      </c>
      <c r="O71" s="1319">
        <f ca="1">Wh_Int*-Returns!O70</f>
        <v>-125.75675256527452</v>
      </c>
      <c r="P71" s="1319">
        <f ca="1">Wh_Int*-Returns!P70</f>
        <v>-105.1227041322099</v>
      </c>
      <c r="Q71" s="1319">
        <f ca="1">Wh_Int*-Returns!Q70</f>
        <v>-81.719050548217197</v>
      </c>
      <c r="R71" s="1319">
        <f ca="1">Wh_Int*-Returns!R70</f>
        <v>-55.174041561913093</v>
      </c>
      <c r="S71" s="1319">
        <f ca="1">Wh_Int*-Returns!S70</f>
        <v>-25.066028744422358</v>
      </c>
      <c r="T71" s="1319">
        <f ca="1">Wh_Int*-Returns!T70</f>
        <v>0</v>
      </c>
      <c r="U71" s="1319">
        <f ca="1">Wh_Int*-Returns!U70</f>
        <v>0</v>
      </c>
      <c r="V71" s="1319">
        <f ca="1">Wh_Int*-Returns!V70</f>
        <v>0</v>
      </c>
      <c r="W71" s="1319">
        <f ca="1">Wh_Int*-Returns!W70</f>
        <v>0</v>
      </c>
      <c r="X71" s="1319">
        <f ca="1">Wh_Int*-Returns!X70</f>
        <v>0</v>
      </c>
      <c r="Y71" s="1319">
        <f ca="1">Wh_Int*-Returns!Y70</f>
        <v>0</v>
      </c>
      <c r="Z71" s="1319">
        <f ca="1">Wh_Int*-Returns!Z70</f>
        <v>0</v>
      </c>
      <c r="AA71" s="1320">
        <f t="shared" ca="1" si="25"/>
        <v>-1549.6870804848613</v>
      </c>
      <c r="AB71" s="1320">
        <f ca="1">$E71+NPV(Disc,$F71:Z71)</f>
        <v>-480.7531120875027</v>
      </c>
    </row>
    <row r="72" spans="1:28" s="1272" customFormat="1">
      <c r="A72" s="1316"/>
      <c r="B72" s="1267" t="s">
        <v>34</v>
      </c>
      <c r="C72" s="1321" t="s">
        <v>362</v>
      </c>
      <c r="D72" s="1318"/>
      <c r="E72" s="1319">
        <f ca="1">-PLRisk!E54</f>
        <v>0</v>
      </c>
      <c r="F72" s="1319">
        <f ca="1">-PLRisk!F54</f>
        <v>-90.72739368244072</v>
      </c>
      <c r="G72" s="1319">
        <f ca="1">-PLRisk!G54</f>
        <v>-90.72739368244072</v>
      </c>
      <c r="H72" s="1319">
        <f ca="1">-PLRisk!H54</f>
        <v>0</v>
      </c>
      <c r="I72" s="1319">
        <f ca="1">-PLRisk!I54</f>
        <v>0</v>
      </c>
      <c r="J72" s="1319">
        <f ca="1">-PLRisk!J54</f>
        <v>0</v>
      </c>
      <c r="K72" s="1319">
        <f ca="1">-PLRisk!K54</f>
        <v>0</v>
      </c>
      <c r="L72" s="1319">
        <f ca="1">-PLRisk!L54</f>
        <v>0</v>
      </c>
      <c r="M72" s="1319">
        <f ca="1">-PLRisk!M54</f>
        <v>0</v>
      </c>
      <c r="N72" s="1319">
        <f ca="1">-PLRisk!N54</f>
        <v>0</v>
      </c>
      <c r="O72" s="1319">
        <f ca="1">-PLRisk!O54</f>
        <v>0</v>
      </c>
      <c r="P72" s="1319">
        <f ca="1">-PLRisk!P54</f>
        <v>0</v>
      </c>
      <c r="Q72" s="1319">
        <f ca="1">-PLRisk!Q54</f>
        <v>0</v>
      </c>
      <c r="R72" s="1319">
        <f ca="1">-PLRisk!R54</f>
        <v>0</v>
      </c>
      <c r="S72" s="1319">
        <f ca="1">-PLRisk!S54</f>
        <v>0</v>
      </c>
      <c r="T72" s="1319">
        <f ca="1">-PLRisk!T54</f>
        <v>0</v>
      </c>
      <c r="U72" s="1319">
        <f ca="1">-PLRisk!U54</f>
        <v>0</v>
      </c>
      <c r="V72" s="1319">
        <f ca="1">-PLRisk!V54</f>
        <v>0</v>
      </c>
      <c r="W72" s="1319">
        <f ca="1">-PLRisk!W54</f>
        <v>0</v>
      </c>
      <c r="X72" s="1319">
        <f ca="1">-PLRisk!X54</f>
        <v>0</v>
      </c>
      <c r="Y72" s="1319">
        <f ca="1">-PLRisk!Y54</f>
        <v>0</v>
      </c>
      <c r="Z72" s="1319">
        <f ca="1">-PLRisk!Z54</f>
        <v>0</v>
      </c>
      <c r="AA72" s="1320">
        <f t="shared" ca="1" si="25"/>
        <v>-181.45478736488144</v>
      </c>
      <c r="AB72" s="1320">
        <f ca="1">$E72+NPV(Disc,$F72:Z72)</f>
        <v>-140.31000082236082</v>
      </c>
    </row>
    <row r="73" spans="1:28" s="1272" customFormat="1">
      <c r="A73" s="1316"/>
      <c r="B73" s="1267" t="s">
        <v>356</v>
      </c>
      <c r="C73" s="1317"/>
      <c r="D73" s="1318"/>
      <c r="E73" s="1268">
        <f t="shared" ref="E73:Z73" ca="1" si="26">-SUM(E70:E72)*USTax</f>
        <v>0</v>
      </c>
      <c r="F73" s="1268">
        <f t="shared" ca="1" si="26"/>
        <v>33.569135662503065</v>
      </c>
      <c r="G73" s="1268">
        <f t="shared" ca="1" si="26"/>
        <v>33.569135662503065</v>
      </c>
      <c r="H73" s="1268">
        <f t="shared" ca="1" si="26"/>
        <v>-183.06845645866204</v>
      </c>
      <c r="I73" s="1268">
        <f t="shared" ca="1" si="26"/>
        <v>-434.59912514853448</v>
      </c>
      <c r="J73" s="1268">
        <f t="shared" ca="1" si="26"/>
        <v>-414.27936660319261</v>
      </c>
      <c r="K73" s="1268">
        <f t="shared" ca="1" si="26"/>
        <v>-391.23218846710216</v>
      </c>
      <c r="L73" s="1268">
        <f t="shared" ca="1" si="26"/>
        <v>-365.09150284569495</v>
      </c>
      <c r="M73" s="1268">
        <f t="shared" ca="1" si="26"/>
        <v>-335.44208369675442</v>
      </c>
      <c r="N73" s="1268">
        <f t="shared" ca="1" si="26"/>
        <v>-301.81297126254736</v>
      </c>
      <c r="O73" s="1268">
        <f t="shared" ca="1" si="26"/>
        <v>-263.66999121185893</v>
      </c>
      <c r="P73" s="1268">
        <f t="shared" ca="1" si="26"/>
        <v>-220.40726966386677</v>
      </c>
      <c r="Q73" s="1268">
        <f t="shared" ca="1" si="26"/>
        <v>-171.33760931609538</v>
      </c>
      <c r="R73" s="1268">
        <f t="shared" ca="1" si="26"/>
        <v>-115.68157380814445</v>
      </c>
      <c r="S73" s="1268">
        <f t="shared" ca="1" si="26"/>
        <v>-52.555106934138877</v>
      </c>
      <c r="T73" s="1268">
        <f t="shared" ca="1" si="26"/>
        <v>0</v>
      </c>
      <c r="U73" s="1268">
        <f t="shared" ca="1" si="26"/>
        <v>0</v>
      </c>
      <c r="V73" s="1268">
        <f t="shared" ca="1" si="26"/>
        <v>0</v>
      </c>
      <c r="W73" s="1268">
        <f t="shared" ca="1" si="26"/>
        <v>0</v>
      </c>
      <c r="X73" s="1268">
        <f t="shared" ca="1" si="26"/>
        <v>0</v>
      </c>
      <c r="Y73" s="1268">
        <f t="shared" ca="1" si="26"/>
        <v>0</v>
      </c>
      <c r="Z73" s="1268">
        <f t="shared" ca="1" si="26"/>
        <v>0</v>
      </c>
      <c r="AA73" s="1269">
        <f t="shared" ca="1" si="25"/>
        <v>-3182.0389740915866</v>
      </c>
      <c r="AB73" s="1269">
        <f ca="1">$E73+NPV(Disc,$F73:Z73)</f>
        <v>-956.0643247058573</v>
      </c>
    </row>
    <row r="74" spans="1:28" s="1050" customFormat="1">
      <c r="A74" s="1304"/>
      <c r="B74" s="865" t="s">
        <v>35</v>
      </c>
      <c r="C74" s="1305"/>
      <c r="D74" s="1306"/>
      <c r="E74" s="1307">
        <f t="shared" ref="E74:Z74" ca="1" si="27">SUM(E67:E73)</f>
        <v>-2801.4201620875474</v>
      </c>
      <c r="F74" s="1307">
        <f t="shared" ca="1" si="27"/>
        <v>-22887.898678844678</v>
      </c>
      <c r="G74" s="1307">
        <f t="shared" ca="1" si="27"/>
        <v>3345.0575398684809</v>
      </c>
      <c r="H74" s="1307">
        <f t="shared" ca="1" si="27"/>
        <v>-376.98075746863537</v>
      </c>
      <c r="I74" s="1307">
        <f t="shared" ca="1" si="27"/>
        <v>-1357.4192123876762</v>
      </c>
      <c r="J74" s="1307">
        <f t="shared" ca="1" si="27"/>
        <v>-1853.1945611811798</v>
      </c>
      <c r="K74" s="1307">
        <f t="shared" ca="1" si="27"/>
        <v>-1174.9275475677123</v>
      </c>
      <c r="L74" s="1307">
        <f t="shared" ca="1" si="27"/>
        <v>-1214.5625545605521</v>
      </c>
      <c r="M74" s="1307">
        <f t="shared" ca="1" si="27"/>
        <v>-1106.0829790039927</v>
      </c>
      <c r="N74" s="1307">
        <f t="shared" ca="1" si="27"/>
        <v>-774.21297729990329</v>
      </c>
      <c r="O74" s="1307">
        <f t="shared" ca="1" si="27"/>
        <v>754.9047679333305</v>
      </c>
      <c r="P74" s="1307">
        <f t="shared" ca="1" si="27"/>
        <v>2279.3668615631186</v>
      </c>
      <c r="Q74" s="1307">
        <f t="shared" ca="1" si="27"/>
        <v>2744.3851880749835</v>
      </c>
      <c r="R74" s="1307">
        <f t="shared" ca="1" si="27"/>
        <v>2749.1695449171111</v>
      </c>
      <c r="S74" s="1307">
        <f t="shared" ca="1" si="27"/>
        <v>2763.4972932942187</v>
      </c>
      <c r="T74" s="1307">
        <f t="shared" ca="1" si="27"/>
        <v>2750.9553188438331</v>
      </c>
      <c r="U74" s="1307">
        <f t="shared" ca="1" si="27"/>
        <v>3494.5592433878828</v>
      </c>
      <c r="V74" s="1307">
        <f t="shared" ca="1" si="27"/>
        <v>4943.4190229528995</v>
      </c>
      <c r="W74" s="1307">
        <f t="shared" ca="1" si="27"/>
        <v>7708.3808470559152</v>
      </c>
      <c r="X74" s="1307">
        <f t="shared" ca="1" si="27"/>
        <v>7997.023194597833</v>
      </c>
      <c r="Y74" s="1307">
        <f t="shared" ca="1" si="27"/>
        <v>8120.010285116392</v>
      </c>
      <c r="Z74" s="1307">
        <f t="shared" ca="1" si="27"/>
        <v>98381.242392974149</v>
      </c>
      <c r="AA74" s="1308">
        <f t="shared" ca="1" si="25"/>
        <v>114485.27207017827</v>
      </c>
      <c r="AB74" s="1308">
        <f ca="1">SUM(AB67:AB73)</f>
        <v>-17117.080430594182</v>
      </c>
    </row>
    <row r="75" spans="1:28">
      <c r="A75" s="1322"/>
      <c r="B75" s="8"/>
      <c r="C75" s="32"/>
      <c r="D75" s="131"/>
      <c r="E75" s="126">
        <f ca="1">E74-[4]RAROC!C34</f>
        <v>0</v>
      </c>
      <c r="F75" s="126">
        <f ca="1">F74-[4]RAROC!D34</f>
        <v>0</v>
      </c>
      <c r="G75" s="126">
        <f ca="1">G74-[4]RAROC!E34</f>
        <v>0</v>
      </c>
      <c r="H75" s="126">
        <f ca="1">H74-[4]RAROC!F34</f>
        <v>0</v>
      </c>
      <c r="I75" s="126">
        <f ca="1">I74-[4]RAROC!G34</f>
        <v>0</v>
      </c>
      <c r="J75" s="126">
        <f ca="1">J74-[4]RAROC!H34</f>
        <v>0</v>
      </c>
      <c r="K75" s="126">
        <f ca="1">K74-[4]RAROC!I34</f>
        <v>0</v>
      </c>
      <c r="L75" s="126">
        <f ca="1">L74-[4]RAROC!J34</f>
        <v>0</v>
      </c>
      <c r="M75" s="126">
        <f ca="1">M74-[4]RAROC!K34</f>
        <v>0</v>
      </c>
      <c r="N75" s="126">
        <f ca="1">N74-[4]RAROC!L34</f>
        <v>0</v>
      </c>
      <c r="O75" s="126">
        <f ca="1">O74-[4]RAROC!M34</f>
        <v>0</v>
      </c>
      <c r="P75" s="126">
        <f ca="1">P74-[4]RAROC!N34</f>
        <v>0</v>
      </c>
      <c r="Q75" s="126">
        <f ca="1">Q74-[4]RAROC!O34</f>
        <v>0</v>
      </c>
      <c r="R75" s="126">
        <f ca="1">R74-[4]RAROC!P34</f>
        <v>0</v>
      </c>
      <c r="S75" s="126">
        <f ca="1">S74-[4]RAROC!Q34</f>
        <v>0</v>
      </c>
      <c r="T75" s="126">
        <f ca="1">T74-[4]RAROC!R34</f>
        <v>0</v>
      </c>
      <c r="U75" s="126">
        <f ca="1">U74-[4]RAROC!S34</f>
        <v>0</v>
      </c>
      <c r="V75" s="126">
        <f ca="1">V74-[4]RAROC!T34</f>
        <v>0</v>
      </c>
      <c r="W75" s="126">
        <f ca="1">W74-[4]RAROC!U34</f>
        <v>0</v>
      </c>
      <c r="X75" s="126">
        <f ca="1">X74-[4]RAROC!V34</f>
        <v>0</v>
      </c>
      <c r="Y75" s="126">
        <f ca="1">Y74-[4]RAROC!W34</f>
        <v>0</v>
      </c>
      <c r="Z75" s="126">
        <f ca="1">Z74-[4]RAROC!X34</f>
        <v>0</v>
      </c>
      <c r="AA75" s="419"/>
      <c r="AB75" s="419"/>
    </row>
    <row r="76" spans="1:28">
      <c r="A76" s="379"/>
      <c r="B76" s="8" t="s">
        <v>207</v>
      </c>
      <c r="C76" s="32"/>
      <c r="D76" s="131"/>
      <c r="E76" s="53">
        <f ca="1">$E74</f>
        <v>-2801.4201620875474</v>
      </c>
      <c r="F76" s="53">
        <f ca="1">$E74+NPV(Disc,$F74:F74)</f>
        <v>-22034.948463637698</v>
      </c>
      <c r="G76" s="53">
        <f ca="1">$E74+NPV(Disc,$F74:G74)</f>
        <v>-19672.786511891012</v>
      </c>
      <c r="H76" s="53">
        <f ca="1">$E74+NPV(Disc,$F74:H74)</f>
        <v>-19896.492855012722</v>
      </c>
      <c r="I76" s="53">
        <f ca="1">$E74+NPV(Disc,$F74:I74)</f>
        <v>-20573.395398791177</v>
      </c>
      <c r="J76" s="53">
        <f ca="1">$E74+NPV(Disc,$F74:J74)</f>
        <v>-21349.975413866912</v>
      </c>
      <c r="K76" s="53">
        <f ca="1">$E74+NPV(Disc,$F74:K74)</f>
        <v>-21763.717136302006</v>
      </c>
      <c r="L76" s="53">
        <f ca="1">$E74+NPV(Disc,$F74:L74)</f>
        <v>-22123.127964947547</v>
      </c>
      <c r="M76" s="53">
        <f ca="1">$E74+NPV(Disc,$F74:M74)</f>
        <v>-22398.178198515488</v>
      </c>
      <c r="N76" s="53">
        <f ca="1">$E74+NPV(Disc,$F74:N74)</f>
        <v>-22559.963027479236</v>
      </c>
      <c r="O76" s="53">
        <f ca="1">$E74+NPV(Disc,$F74:O74)</f>
        <v>-22427.399957121703</v>
      </c>
      <c r="P76" s="53">
        <f ca="1">$E74+NPV(Disc,$F74:P74)</f>
        <v>-22091.045137777419</v>
      </c>
      <c r="Q76" s="53">
        <f ca="1">$E74+NPV(Disc,$F74:Q74)</f>
        <v>-21750.729794438084</v>
      </c>
      <c r="R76" s="53">
        <f ca="1">$E74+NPV(Disc,$F74:R74)</f>
        <v>-21464.251959332625</v>
      </c>
      <c r="S76" s="53">
        <f ca="1">$E74+NPV(Disc,$F74:S74)</f>
        <v>-21222.259638853397</v>
      </c>
      <c r="T76" s="53">
        <f ca="1">$E74+NPV(Disc,$F74:T74)</f>
        <v>-21019.82766224019</v>
      </c>
      <c r="U76" s="53">
        <f ca="1">$E74+NPV(Disc,$F74:U74)</f>
        <v>-20803.734499836646</v>
      </c>
      <c r="V76" s="53">
        <f ca="1">$E74+NPV(Disc,$F74:V74)</f>
        <v>-20546.855216578588</v>
      </c>
      <c r="W76" s="53">
        <f ca="1">$E74+NPV(Disc,$F74:W74)</f>
        <v>-20210.252312496606</v>
      </c>
      <c r="X76" s="53">
        <f ca="1">$E74+NPV(Disc,$F74:X74)</f>
        <v>-19916.800977768409</v>
      </c>
      <c r="Y76" s="53">
        <f ca="1">$E74+NPV(Disc,$F74:Y74)</f>
        <v>-19666.4107636849</v>
      </c>
      <c r="Z76" s="53">
        <f ca="1">$E74+NPV(Disc,$F74:Z74)</f>
        <v>-17117.080430594182</v>
      </c>
      <c r="AA76" s="451"/>
      <c r="AB76" s="419"/>
    </row>
    <row r="77" spans="1:28">
      <c r="A77" s="379"/>
      <c r="B77" s="8" t="s">
        <v>208</v>
      </c>
      <c r="C77" s="32"/>
      <c r="D77" s="131"/>
      <c r="E77" s="22" t="e">
        <f ca="1">IRR($E74:E74,-0.9)</f>
        <v>#NUM!</v>
      </c>
      <c r="F77" s="22" t="e">
        <f ca="1">IRR($E74:F74,-0.9)</f>
        <v>#NUM!</v>
      </c>
      <c r="G77" s="22">
        <f ca="1">IRR($E74:G74,-0.9)</f>
        <v>-0.85637521090688939</v>
      </c>
      <c r="H77" s="22" t="e">
        <f ca="1">IRR($E74:H74,-0.9)</f>
        <v>#NUM!</v>
      </c>
      <c r="I77" s="22" t="e">
        <f ca="1">IRR($E74:I74,-0.9)</f>
        <v>#NUM!</v>
      </c>
      <c r="J77" s="22" t="e">
        <f ca="1">IRR($E74:J74,-0.9)</f>
        <v>#NUM!</v>
      </c>
      <c r="K77" s="22" t="e">
        <f ca="1">IRR($E74:K74,-0.9)</f>
        <v>#NUM!</v>
      </c>
      <c r="L77" s="22" t="e">
        <f ca="1">IRR($E74:L74,-0.9)</f>
        <v>#NUM!</v>
      </c>
      <c r="M77" s="22" t="e">
        <f ca="1">IRR($E74:M74,-0.9)</f>
        <v>#NUM!</v>
      </c>
      <c r="N77" s="22" t="e">
        <f ca="1">IRR($E74:N74,-0.9)</f>
        <v>#NUM!</v>
      </c>
      <c r="O77" s="22">
        <f ca="1">IRR($E74:O74,-0.9)</f>
        <v>-0.55977949230852142</v>
      </c>
      <c r="P77" s="22">
        <f ca="1">IRR($E74:P74,-0.9)</f>
        <v>-0.26716330369519181</v>
      </c>
      <c r="Q77" s="22">
        <f ca="1">IRR($E74:Q74,-0.9)</f>
        <v>-0.17564315161156946</v>
      </c>
      <c r="R77" s="22">
        <f ca="1">IRR($E74:R74,-0.9)</f>
        <v>-0.12637525020660362</v>
      </c>
      <c r="S77" s="22">
        <f ca="1">IRR($E74:S74,-0.9)</f>
        <v>-9.3363114609787676E-2</v>
      </c>
      <c r="T77" s="22">
        <f ca="1">IRR($E74:T74,-0.9)</f>
        <v>-6.9369702965185479E-2</v>
      </c>
      <c r="U77" s="22">
        <f ca="1">IRR($E74:U74,-0.9)</f>
        <v>-4.6762256102261542E-2</v>
      </c>
      <c r="V77" s="22">
        <f ca="1">IRR($E74:V74,-0.9)</f>
        <v>-2.3969408101415401E-2</v>
      </c>
      <c r="W77" s="22">
        <f ca="1">IRR($E74:W74,-0.9)</f>
        <v>-3.2781932294793344E-5</v>
      </c>
      <c r="X77" s="22">
        <f ca="1">IRR($E74:X74,-0.9)</f>
        <v>1.7000889381895576E-2</v>
      </c>
      <c r="Y77" s="22">
        <f ca="1">IRR($E74:Y74,-0.9)</f>
        <v>2.973459299095511E-2</v>
      </c>
      <c r="Z77" s="22">
        <f ca="1">IRR($E74:Z74,-0.9)</f>
        <v>9.4062636443411354E-2</v>
      </c>
      <c r="AA77" s="419"/>
      <c r="AB77" s="661">
        <f ca="1">IRR($E74:Z74,-0.9)</f>
        <v>9.4062636443411354E-2</v>
      </c>
    </row>
    <row r="78" spans="1:28">
      <c r="A78" s="379"/>
      <c r="B78" s="32"/>
      <c r="C78" s="32"/>
      <c r="D78" s="131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419"/>
      <c r="AB78" s="419"/>
    </row>
    <row r="79" spans="1:28">
      <c r="A79" s="379"/>
      <c r="B79" s="265" t="str">
        <f ca="1">CONCATENATE("Enron NPV (w/ Subordinated Debt) @ ",TEXT(Disc,"0.0%"))</f>
        <v>Enron NPV (w/ Subordinated Debt) @ 19.0%</v>
      </c>
      <c r="C79" s="434">
        <f ca="1">AB74</f>
        <v>-17117.080430594182</v>
      </c>
      <c r="D79" s="8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419"/>
      <c r="AB79" s="419"/>
    </row>
    <row r="80" spans="1:28">
      <c r="A80" s="379"/>
      <c r="B80" s="275" t="s">
        <v>36</v>
      </c>
      <c r="C80" s="1164">
        <f ca="1">AB77</f>
        <v>9.4062636443411354E-2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419"/>
      <c r="AB80" s="419"/>
    </row>
    <row r="81" spans="1:29" s="8" customFormat="1" ht="13.8" thickBot="1">
      <c r="A81" s="386"/>
      <c r="B81" s="445" t="s">
        <v>214</v>
      </c>
      <c r="C81" s="658">
        <f ca="1">MAX(E81:Z81)</f>
        <v>0</v>
      </c>
      <c r="D81" s="663"/>
      <c r="E81" s="663">
        <f t="shared" ref="E81:Z81" ca="1" si="28">IF(AND(D76&lt;0,E76&gt;0),E$6,0)</f>
        <v>0</v>
      </c>
      <c r="F81" s="663">
        <f t="shared" ca="1" si="28"/>
        <v>0</v>
      </c>
      <c r="G81" s="663">
        <f t="shared" ca="1" si="28"/>
        <v>0</v>
      </c>
      <c r="H81" s="663">
        <f t="shared" ca="1" si="28"/>
        <v>0</v>
      </c>
      <c r="I81" s="663">
        <f t="shared" ca="1" si="28"/>
        <v>0</v>
      </c>
      <c r="J81" s="663">
        <f t="shared" ca="1" si="28"/>
        <v>0</v>
      </c>
      <c r="K81" s="663">
        <f t="shared" ca="1" si="28"/>
        <v>0</v>
      </c>
      <c r="L81" s="663">
        <f t="shared" ca="1" si="28"/>
        <v>0</v>
      </c>
      <c r="M81" s="663">
        <f t="shared" ca="1" si="28"/>
        <v>0</v>
      </c>
      <c r="N81" s="663">
        <f t="shared" ca="1" si="28"/>
        <v>0</v>
      </c>
      <c r="O81" s="663">
        <f t="shared" ca="1" si="28"/>
        <v>0</v>
      </c>
      <c r="P81" s="663">
        <f t="shared" ca="1" si="28"/>
        <v>0</v>
      </c>
      <c r="Q81" s="663">
        <f t="shared" ca="1" si="28"/>
        <v>0</v>
      </c>
      <c r="R81" s="663">
        <f t="shared" ca="1" si="28"/>
        <v>0</v>
      </c>
      <c r="S81" s="663">
        <f t="shared" ca="1" si="28"/>
        <v>0</v>
      </c>
      <c r="T81" s="663">
        <f t="shared" ca="1" si="28"/>
        <v>0</v>
      </c>
      <c r="U81" s="663">
        <f t="shared" ca="1" si="28"/>
        <v>0</v>
      </c>
      <c r="V81" s="663">
        <f t="shared" ca="1" si="28"/>
        <v>0</v>
      </c>
      <c r="W81" s="663">
        <f t="shared" ca="1" si="28"/>
        <v>0</v>
      </c>
      <c r="X81" s="663">
        <f t="shared" ca="1" si="28"/>
        <v>0</v>
      </c>
      <c r="Y81" s="663">
        <f t="shared" ca="1" si="28"/>
        <v>0</v>
      </c>
      <c r="Z81" s="663">
        <f t="shared" ca="1" si="28"/>
        <v>0</v>
      </c>
      <c r="AA81" s="433"/>
      <c r="AB81" s="433"/>
    </row>
    <row r="82" spans="1:29" s="8" customFormat="1" ht="13.8" thickBot="1">
      <c r="A82" s="379"/>
      <c r="B82" s="32"/>
      <c r="C82" s="32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113"/>
      <c r="AB82" s="1113"/>
    </row>
    <row r="83" spans="1:29">
      <c r="A83" s="438" t="str">
        <f>CONCATENATE(Assm!H69," Returns")</f>
        <v>Shell Returns</v>
      </c>
      <c r="B83" s="74"/>
      <c r="C83" s="79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416"/>
      <c r="AB83" s="416"/>
    </row>
    <row r="84" spans="1:29">
      <c r="A84" s="443">
        <f>Assm!$K$69</f>
        <v>0.375</v>
      </c>
      <c r="B84" s="8" t="s">
        <v>205</v>
      </c>
      <c r="C84" s="8"/>
      <c r="D84" s="28"/>
      <c r="E84" s="53">
        <f t="shared" ref="E84:Z84" ca="1" si="29">E10*$A84</f>
        <v>-2489.2387821185675</v>
      </c>
      <c r="F84" s="53">
        <f t="shared" ca="1" si="29"/>
        <v>-8434.7035280933233</v>
      </c>
      <c r="G84" s="53">
        <f t="shared" ca="1" si="29"/>
        <v>0</v>
      </c>
      <c r="H84" s="53">
        <f t="shared" ca="1" si="29"/>
        <v>0</v>
      </c>
      <c r="I84" s="53">
        <f t="shared" ca="1" si="29"/>
        <v>0</v>
      </c>
      <c r="J84" s="53">
        <f t="shared" ca="1" si="29"/>
        <v>0</v>
      </c>
      <c r="K84" s="53">
        <f t="shared" ca="1" si="29"/>
        <v>0</v>
      </c>
      <c r="L84" s="53">
        <f t="shared" ca="1" si="29"/>
        <v>0</v>
      </c>
      <c r="M84" s="53">
        <f t="shared" ca="1" si="29"/>
        <v>0</v>
      </c>
      <c r="N84" s="53">
        <f t="shared" ca="1" si="29"/>
        <v>0</v>
      </c>
      <c r="O84" s="53">
        <f t="shared" ca="1" si="29"/>
        <v>0</v>
      </c>
      <c r="P84" s="53">
        <f t="shared" ca="1" si="29"/>
        <v>0</v>
      </c>
      <c r="Q84" s="53">
        <f t="shared" ca="1" si="29"/>
        <v>0</v>
      </c>
      <c r="R84" s="53">
        <f t="shared" ca="1" si="29"/>
        <v>0</v>
      </c>
      <c r="S84" s="53">
        <f t="shared" ca="1" si="29"/>
        <v>0</v>
      </c>
      <c r="T84" s="53">
        <f t="shared" ca="1" si="29"/>
        <v>0</v>
      </c>
      <c r="U84" s="53">
        <f t="shared" ca="1" si="29"/>
        <v>0</v>
      </c>
      <c r="V84" s="53">
        <f t="shared" ca="1" si="29"/>
        <v>0</v>
      </c>
      <c r="W84" s="53">
        <f t="shared" ca="1" si="29"/>
        <v>0</v>
      </c>
      <c r="X84" s="53">
        <f t="shared" ca="1" si="29"/>
        <v>0</v>
      </c>
      <c r="Y84" s="53">
        <f t="shared" ca="1" si="29"/>
        <v>0</v>
      </c>
      <c r="Z84" s="53">
        <f t="shared" ca="1" si="29"/>
        <v>0</v>
      </c>
      <c r="AA84" s="423">
        <f t="shared" ref="AA84:AA95" ca="1" si="30">SUM(D84:Z84)</f>
        <v>-10923.942310211891</v>
      </c>
      <c r="AB84" s="423">
        <f ca="1">$E84+NPV(Disc,$F84:Z84)</f>
        <v>-9577.2249401801837</v>
      </c>
    </row>
    <row r="85" spans="1:29">
      <c r="A85" s="443">
        <f>Assm!$L$69</f>
        <v>0.375</v>
      </c>
      <c r="B85" s="8" t="s">
        <v>1040</v>
      </c>
      <c r="C85" s="8"/>
      <c r="D85" s="28"/>
      <c r="E85" s="53">
        <f t="shared" ref="E85:Z85" ca="1" si="31">E$11*$A85</f>
        <v>0</v>
      </c>
      <c r="F85" s="53">
        <f t="shared" ca="1" si="31"/>
        <v>0</v>
      </c>
      <c r="G85" s="53">
        <f t="shared" ca="1" si="31"/>
        <v>0</v>
      </c>
      <c r="H85" s="53">
        <f t="shared" ca="1" si="31"/>
        <v>0</v>
      </c>
      <c r="I85" s="53">
        <f t="shared" ca="1" si="31"/>
        <v>0</v>
      </c>
      <c r="J85" s="53">
        <f t="shared" ca="1" si="31"/>
        <v>0</v>
      </c>
      <c r="K85" s="53">
        <f t="shared" ca="1" si="31"/>
        <v>0</v>
      </c>
      <c r="L85" s="53">
        <f t="shared" ca="1" si="31"/>
        <v>0</v>
      </c>
      <c r="M85" s="53">
        <f t="shared" ca="1" si="31"/>
        <v>0</v>
      </c>
      <c r="N85" s="53">
        <f t="shared" ca="1" si="31"/>
        <v>0</v>
      </c>
      <c r="O85" s="53">
        <f t="shared" ca="1" si="31"/>
        <v>0</v>
      </c>
      <c r="P85" s="53">
        <f t="shared" ca="1" si="31"/>
        <v>3.4106051316484809E-13</v>
      </c>
      <c r="Q85" s="53">
        <f t="shared" ca="1" si="31"/>
        <v>-1.7053025658242404E-13</v>
      </c>
      <c r="R85" s="53">
        <f t="shared" ca="1" si="31"/>
        <v>3.4106051316484809E-13</v>
      </c>
      <c r="S85" s="53">
        <f t="shared" ca="1" si="31"/>
        <v>3.4106051316484809E-13</v>
      </c>
      <c r="T85" s="53">
        <f t="shared" ca="1" si="31"/>
        <v>3.4106051316484809E-13</v>
      </c>
      <c r="U85" s="53">
        <f t="shared" ca="1" si="31"/>
        <v>-6.8212102632969618E-13</v>
      </c>
      <c r="V85" s="53">
        <f t="shared" ca="1" si="31"/>
        <v>0</v>
      </c>
      <c r="W85" s="53">
        <f t="shared" ca="1" si="31"/>
        <v>0</v>
      </c>
      <c r="X85" s="53">
        <f t="shared" ca="1" si="31"/>
        <v>1556.3848880917185</v>
      </c>
      <c r="Y85" s="53">
        <f t="shared" ca="1" si="31"/>
        <v>2843.013324571557</v>
      </c>
      <c r="Z85" s="53">
        <f t="shared" ca="1" si="31"/>
        <v>7690.1263287565425</v>
      </c>
      <c r="AA85" s="423">
        <f t="shared" ca="1" si="30"/>
        <v>12089.524541419818</v>
      </c>
      <c r="AB85" s="423">
        <f ca="1">$E85+NPV(Disc,$F85:Z85)</f>
        <v>344.05182640651884</v>
      </c>
    </row>
    <row r="86" spans="1:29" s="72" customFormat="1">
      <c r="A86" s="379"/>
      <c r="B86" s="8" t="s">
        <v>357</v>
      </c>
      <c r="C86" s="18">
        <f>Wh_Div</f>
        <v>0</v>
      </c>
      <c r="D86" s="23"/>
      <c r="E86" s="53">
        <f t="shared" ref="E86:X86" ca="1" si="32">-E85*$C86</f>
        <v>0</v>
      </c>
      <c r="F86" s="53">
        <f t="shared" ca="1" si="32"/>
        <v>0</v>
      </c>
      <c r="G86" s="53">
        <f t="shared" ca="1" si="32"/>
        <v>0</v>
      </c>
      <c r="H86" s="53">
        <f t="shared" ca="1" si="32"/>
        <v>0</v>
      </c>
      <c r="I86" s="53">
        <f t="shared" ca="1" si="32"/>
        <v>0</v>
      </c>
      <c r="J86" s="53">
        <f t="shared" ca="1" si="32"/>
        <v>0</v>
      </c>
      <c r="K86" s="53">
        <f t="shared" ca="1" si="32"/>
        <v>0</v>
      </c>
      <c r="L86" s="53">
        <f t="shared" ca="1" si="32"/>
        <v>0</v>
      </c>
      <c r="M86" s="53">
        <f t="shared" ca="1" si="32"/>
        <v>0</v>
      </c>
      <c r="N86" s="53">
        <f t="shared" ca="1" si="32"/>
        <v>0</v>
      </c>
      <c r="O86" s="53">
        <f t="shared" ca="1" si="32"/>
        <v>0</v>
      </c>
      <c r="P86" s="53">
        <f t="shared" ca="1" si="32"/>
        <v>0</v>
      </c>
      <c r="Q86" s="53">
        <f t="shared" ca="1" si="32"/>
        <v>0</v>
      </c>
      <c r="R86" s="53">
        <f t="shared" ca="1" si="32"/>
        <v>0</v>
      </c>
      <c r="S86" s="53">
        <f t="shared" ca="1" si="32"/>
        <v>0</v>
      </c>
      <c r="T86" s="53">
        <f t="shared" ca="1" si="32"/>
        <v>0</v>
      </c>
      <c r="U86" s="53">
        <f t="shared" ca="1" si="32"/>
        <v>0</v>
      </c>
      <c r="V86" s="53">
        <f t="shared" ca="1" si="32"/>
        <v>0</v>
      </c>
      <c r="W86" s="53">
        <f t="shared" ca="1" si="32"/>
        <v>0</v>
      </c>
      <c r="X86" s="53">
        <f t="shared" ca="1" si="32"/>
        <v>0</v>
      </c>
      <c r="Y86" s="53">
        <f ca="1">-Y85*$C86</f>
        <v>0</v>
      </c>
      <c r="Z86" s="53">
        <f ca="1">-Z85*$C86</f>
        <v>0</v>
      </c>
      <c r="AA86" s="423">
        <f t="shared" ca="1" si="30"/>
        <v>0</v>
      </c>
      <c r="AB86" s="423">
        <f ca="1">$E86+NPV(Disc,$F86:Z86)</f>
        <v>0</v>
      </c>
      <c r="AC86" s="5"/>
    </row>
    <row r="87" spans="1:29">
      <c r="A87" s="379"/>
      <c r="B87" s="8" t="s">
        <v>1078</v>
      </c>
      <c r="C87" s="19"/>
      <c r="D87" s="17"/>
      <c r="E87" s="216">
        <f>E$15*$A85</f>
        <v>0</v>
      </c>
      <c r="F87" s="216">
        <f t="shared" ref="F87:Z87" si="33">F$15*$A85</f>
        <v>0</v>
      </c>
      <c r="G87" s="216">
        <f t="shared" si="33"/>
        <v>0</v>
      </c>
      <c r="H87" s="216">
        <f t="shared" si="33"/>
        <v>0</v>
      </c>
      <c r="I87" s="216">
        <f t="shared" si="33"/>
        <v>0</v>
      </c>
      <c r="J87" s="216">
        <f t="shared" si="33"/>
        <v>0</v>
      </c>
      <c r="K87" s="216">
        <f t="shared" si="33"/>
        <v>0</v>
      </c>
      <c r="L87" s="216">
        <f t="shared" si="33"/>
        <v>0</v>
      </c>
      <c r="M87" s="216">
        <f t="shared" si="33"/>
        <v>0</v>
      </c>
      <c r="N87" s="216">
        <f t="shared" si="33"/>
        <v>0</v>
      </c>
      <c r="O87" s="216">
        <f t="shared" si="33"/>
        <v>0</v>
      </c>
      <c r="P87" s="216">
        <f t="shared" si="33"/>
        <v>0</v>
      </c>
      <c r="Q87" s="216">
        <f t="shared" si="33"/>
        <v>0</v>
      </c>
      <c r="R87" s="216">
        <f t="shared" si="33"/>
        <v>0</v>
      </c>
      <c r="S87" s="216">
        <f t="shared" si="33"/>
        <v>0</v>
      </c>
      <c r="T87" s="216">
        <f t="shared" si="33"/>
        <v>0</v>
      </c>
      <c r="U87" s="216">
        <f t="shared" si="33"/>
        <v>0</v>
      </c>
      <c r="V87" s="216">
        <f t="shared" si="33"/>
        <v>0</v>
      </c>
      <c r="W87" s="216">
        <f t="shared" si="33"/>
        <v>0</v>
      </c>
      <c r="X87" s="216">
        <f t="shared" si="33"/>
        <v>0</v>
      </c>
      <c r="Y87" s="216">
        <f t="shared" si="33"/>
        <v>0</v>
      </c>
      <c r="Z87" s="216">
        <f t="shared" ca="1" si="33"/>
        <v>72033.425609692116</v>
      </c>
      <c r="AA87" s="423">
        <f ca="1">SUM(D87:Z87)</f>
        <v>72033.425609692116</v>
      </c>
      <c r="AB87" s="423">
        <f ca="1">$E87+NPV(Disc,$F87:Z87)</f>
        <v>1866.5854632095627</v>
      </c>
    </row>
    <row r="88" spans="1:29" s="72" customFormat="1">
      <c r="A88" s="379"/>
      <c r="B88" s="8" t="s">
        <v>358</v>
      </c>
      <c r="C88" s="8"/>
      <c r="D88" s="23"/>
      <c r="E88" s="53">
        <f t="shared" ref="E88:Z88" ca="1" si="34">E$14*$A85</f>
        <v>0</v>
      </c>
      <c r="F88" s="53">
        <f t="shared" ca="1" si="34"/>
        <v>0</v>
      </c>
      <c r="G88" s="53">
        <f t="shared" ca="1" si="34"/>
        <v>0</v>
      </c>
      <c r="H88" s="53">
        <f t="shared" ca="1" si="34"/>
        <v>156.45400451669889</v>
      </c>
      <c r="I88" s="53">
        <f t="shared" ca="1" si="34"/>
        <v>-1909.9893111714232</v>
      </c>
      <c r="J88" s="53">
        <f t="shared" ca="1" si="34"/>
        <v>-2320.5522665862463</v>
      </c>
      <c r="K88" s="53">
        <f t="shared" ca="1" si="34"/>
        <v>-1855.9502254759868</v>
      </c>
      <c r="L88" s="53">
        <f t="shared" ca="1" si="34"/>
        <v>-1994.7760859000678</v>
      </c>
      <c r="M88" s="53">
        <f t="shared" ca="1" si="34"/>
        <v>-2035.3543490603033</v>
      </c>
      <c r="N88" s="53">
        <f t="shared" ca="1" si="34"/>
        <v>-1893.8580923601312</v>
      </c>
      <c r="O88" s="53">
        <f t="shared" ca="1" si="34"/>
        <v>-672.71448981909089</v>
      </c>
      <c r="P88" s="53">
        <f t="shared" ca="1" si="34"/>
        <v>338.19827604216152</v>
      </c>
      <c r="Q88" s="53">
        <f t="shared" ca="1" si="34"/>
        <v>524.56496206165775</v>
      </c>
      <c r="R88" s="53">
        <f t="shared" ca="1" si="34"/>
        <v>389.39218817718211</v>
      </c>
      <c r="S88" s="53">
        <f t="shared" ca="1" si="34"/>
        <v>263.14187108411215</v>
      </c>
      <c r="T88" s="53">
        <f t="shared" ca="1" si="34"/>
        <v>1486.5289898738592</v>
      </c>
      <c r="U88" s="53">
        <f t="shared" ca="1" si="34"/>
        <v>1942.8732452198933</v>
      </c>
      <c r="V88" s="53">
        <f t="shared" ca="1" si="34"/>
        <v>2926.9149225380052</v>
      </c>
      <c r="W88" s="53">
        <f t="shared" ca="1" si="34"/>
        <v>4890.2853360457866</v>
      </c>
      <c r="X88" s="53">
        <f t="shared" ca="1" si="34"/>
        <v>3456.422145160077</v>
      </c>
      <c r="Y88" s="53">
        <f t="shared" ca="1" si="34"/>
        <v>2370.2250870692333</v>
      </c>
      <c r="Z88" s="53">
        <f t="shared" ca="1" si="34"/>
        <v>-6061.8062074154177</v>
      </c>
      <c r="AA88" s="423">
        <f t="shared" ca="1" si="30"/>
        <v>0</v>
      </c>
      <c r="AB88" s="423">
        <f ca="1">$E88+NPV(Disc,$F88:Z88)</f>
        <v>-3279.3146920796053</v>
      </c>
      <c r="AC88" s="5"/>
    </row>
    <row r="89" spans="1:29" s="72" customFormat="1">
      <c r="A89" s="379"/>
      <c r="B89" s="8" t="s">
        <v>360</v>
      </c>
      <c r="C89" s="278" t="s">
        <v>211</v>
      </c>
      <c r="D89" s="23"/>
      <c r="E89" s="216">
        <f>IF(E$7&lt;YEAR(Startops1),0,-Trapped!D$40*$A85)</f>
        <v>0</v>
      </c>
      <c r="F89" s="216">
        <f>IF(F$7&lt;YEAR(Startops1),0,-Trapped!E$40*$A85)</f>
        <v>0</v>
      </c>
      <c r="G89" s="216">
        <f>IF(G$7&lt;YEAR(Startops1),0,-Trapped!F$40*$A85)</f>
        <v>0</v>
      </c>
      <c r="H89" s="216">
        <f ca="1">IF(H$7&lt;YEAR(Startops1),0,-Trapped!G$40*$A85)</f>
        <v>0</v>
      </c>
      <c r="I89" s="216">
        <f ca="1">IF(I$7&lt;YEAR(Startops1),0,-Trapped!H$40*$A85)</f>
        <v>0</v>
      </c>
      <c r="J89" s="216">
        <f ca="1">IF(J$7&lt;YEAR(Startops1),0,-Trapped!I$40*$A85)</f>
        <v>-9.3872402710019323</v>
      </c>
      <c r="K89" s="216">
        <f ca="1">IF(K$7&lt;YEAR(Startops1),0,-Trapped!J$40*$A85)</f>
        <v>-9.3872402710019323</v>
      </c>
      <c r="L89" s="216">
        <f ca="1">IF(L$7&lt;YEAR(Startops1),0,-Trapped!K$40*$A85)</f>
        <v>105.21211839928344</v>
      </c>
      <c r="M89" s="216">
        <f ca="1">IF(M$7&lt;YEAR(Startops1),0,-Trapped!L$40*$A85)</f>
        <v>244.44525439445823</v>
      </c>
      <c r="N89" s="216">
        <f ca="1">IF(N$7&lt;YEAR(Startops1),0,-Trapped!M$40*$A85)</f>
        <v>355.80226792301744</v>
      </c>
      <c r="O89" s="216">
        <f ca="1">IF(O$7&lt;YEAR(Startops1),0,-Trapped!N$40*$A85)</f>
        <v>475.48883307702147</v>
      </c>
      <c r="P89" s="216">
        <f ca="1">IF(P$7&lt;YEAR(Startops1),0,-Trapped!O$40*$A85)</f>
        <v>597.61009402063974</v>
      </c>
      <c r="Q89" s="216">
        <f ca="1">IF(Q$7&lt;YEAR(Startops1),0,-Trapped!P$40*$A85)</f>
        <v>711.24157956224758</v>
      </c>
      <c r="R89" s="216">
        <f ca="1">IF(R$7&lt;YEAR(Startops1),0,-Trapped!Q$40*$A85)</f>
        <v>731.31255238886331</v>
      </c>
      <c r="S89" s="216">
        <f ca="1">IF(S$7&lt;YEAR(Startops1),0,-Trapped!R$40*$A85)</f>
        <v>699.83865466516386</v>
      </c>
      <c r="T89" s="216">
        <f ca="1">IF(T$7&lt;YEAR(Startops1),0,-Trapped!S$40*$A85)</f>
        <v>676.47512337453293</v>
      </c>
      <c r="U89" s="216">
        <f ca="1">IF(U$7&lt;YEAR(Startops1),0,-Trapped!T$40*$A85)</f>
        <v>660.68661110948619</v>
      </c>
      <c r="V89" s="216">
        <f ca="1">IF(V$7&lt;YEAR(Startops1),0,-Trapped!U$40*$A85)</f>
        <v>571.49487171705459</v>
      </c>
      <c r="W89" s="216">
        <f ca="1">IF(W$7&lt;YEAR(Startops1),0,-Trapped!V$40*$A85)</f>
        <v>454.9224770038611</v>
      </c>
      <c r="X89" s="216">
        <f ca="1">IF(X$7&lt;YEAR(Startops1),0,-Trapped!W$40*$A85)</f>
        <v>279.30758165158068</v>
      </c>
      <c r="Y89" s="216">
        <f ca="1">IF(Y$7&lt;YEAR(Startops1),0,-Trapped!X$40*$A85)</f>
        <v>-14.109538511166459</v>
      </c>
      <c r="Z89" s="216">
        <f ca="1">IF(Z$7&lt;YEAR(Startops1),0,-Trapped!Y$40*$A85)</f>
        <v>-221.49486722077106</v>
      </c>
      <c r="AA89" s="423">
        <f t="shared" ca="1" si="30"/>
        <v>6309.459133013268</v>
      </c>
      <c r="AB89" s="423">
        <f ca="1">$E89+NPV(Disc,$F89:Z89)</f>
        <v>700.67279474145982</v>
      </c>
      <c r="AC89" s="5"/>
    </row>
    <row r="90" spans="1:29" s="72" customFormat="1">
      <c r="A90" s="379"/>
      <c r="B90" s="8" t="s">
        <v>740</v>
      </c>
      <c r="C90" s="8"/>
      <c r="D90" s="23"/>
      <c r="E90" s="53">
        <f t="shared" ref="E90:Z90" ca="1" si="35">E$12*$A85</f>
        <v>0</v>
      </c>
      <c r="F90" s="53">
        <f t="shared" ca="1" si="35"/>
        <v>0</v>
      </c>
      <c r="G90" s="53">
        <f t="shared" ca="1" si="35"/>
        <v>0</v>
      </c>
      <c r="H90" s="53">
        <f t="shared" ca="1" si="35"/>
        <v>0</v>
      </c>
      <c r="I90" s="53">
        <f t="shared" ca="1" si="35"/>
        <v>0</v>
      </c>
      <c r="J90" s="53">
        <f t="shared" ca="1" si="35"/>
        <v>0</v>
      </c>
      <c r="K90" s="53">
        <f t="shared" ca="1" si="35"/>
        <v>0</v>
      </c>
      <c r="L90" s="53">
        <f t="shared" ca="1" si="35"/>
        <v>0</v>
      </c>
      <c r="M90" s="53">
        <f t="shared" ca="1" si="35"/>
        <v>0</v>
      </c>
      <c r="N90" s="53">
        <f t="shared" ca="1" si="35"/>
        <v>0</v>
      </c>
      <c r="O90" s="53">
        <f t="shared" ca="1" si="35"/>
        <v>-225.83437053854024</v>
      </c>
      <c r="P90" s="53">
        <f t="shared" ca="1" si="35"/>
        <v>-216.92280291405052</v>
      </c>
      <c r="Q90" s="53">
        <f t="shared" ca="1" si="35"/>
        <v>-174.03546465008753</v>
      </c>
      <c r="R90" s="53">
        <f t="shared" ca="1" si="35"/>
        <v>-97.573412236442735</v>
      </c>
      <c r="S90" s="53">
        <f t="shared" ca="1" si="35"/>
        <v>12.552363975856764</v>
      </c>
      <c r="T90" s="53">
        <f t="shared" ca="1" si="35"/>
        <v>165.99250596988037</v>
      </c>
      <c r="U90" s="53">
        <f t="shared" ca="1" si="35"/>
        <v>310.56351335321131</v>
      </c>
      <c r="V90" s="53">
        <f t="shared" ca="1" si="35"/>
        <v>513.99004506267329</v>
      </c>
      <c r="W90" s="53">
        <f t="shared" ca="1" si="35"/>
        <v>748.43389302130186</v>
      </c>
      <c r="X90" s="53">
        <f t="shared" ca="1" si="35"/>
        <v>999.91929109060516</v>
      </c>
      <c r="Y90" s="53">
        <f t="shared" ca="1" si="35"/>
        <v>1092.3942310211889</v>
      </c>
      <c r="Z90" s="53">
        <f t="shared" ca="1" si="35"/>
        <v>364.13141034039626</v>
      </c>
      <c r="AA90" s="423">
        <f t="shared" ca="1" si="30"/>
        <v>3493.6112034959929</v>
      </c>
      <c r="AB90" s="423">
        <f ca="1">$E90+NPV(Disc,$F90:Z90)</f>
        <v>68.306105893061797</v>
      </c>
      <c r="AC90" s="5"/>
    </row>
    <row r="91" spans="1:29" s="72" customFormat="1">
      <c r="A91" s="379"/>
      <c r="B91" s="8" t="s">
        <v>962</v>
      </c>
      <c r="C91" s="15">
        <f>Wh_Int</f>
        <v>0.15</v>
      </c>
      <c r="D91" s="23"/>
      <c r="E91" s="53">
        <f ca="1">E13*$A$85</f>
        <v>0</v>
      </c>
      <c r="F91" s="53">
        <f t="shared" ref="F91:Z91" ca="1" si="36">F13*$A$85</f>
        <v>0</v>
      </c>
      <c r="G91" s="53">
        <f t="shared" ca="1" si="36"/>
        <v>0</v>
      </c>
      <c r="H91" s="53">
        <f t="shared" ca="1" si="36"/>
        <v>0</v>
      </c>
      <c r="I91" s="53">
        <f t="shared" ca="1" si="36"/>
        <v>0</v>
      </c>
      <c r="J91" s="53">
        <f t="shared" ca="1" si="36"/>
        <v>0</v>
      </c>
      <c r="K91" s="53">
        <f t="shared" ca="1" si="36"/>
        <v>0</v>
      </c>
      <c r="L91" s="53">
        <f t="shared" ca="1" si="36"/>
        <v>0</v>
      </c>
      <c r="M91" s="53">
        <f t="shared" ca="1" si="36"/>
        <v>0</v>
      </c>
      <c r="N91" s="53">
        <f t="shared" ca="1" si="36"/>
        <v>0</v>
      </c>
      <c r="O91" s="53">
        <f t="shared" ca="1" si="36"/>
        <v>33.875155580781033</v>
      </c>
      <c r="P91" s="53">
        <f t="shared" ca="1" si="36"/>
        <v>32.538420437107575</v>
      </c>
      <c r="Q91" s="53">
        <f t="shared" ca="1" si="36"/>
        <v>26.105319697513131</v>
      </c>
      <c r="R91" s="53">
        <f t="shared" ca="1" si="36"/>
        <v>14.636011835466409</v>
      </c>
      <c r="S91" s="53">
        <f t="shared" ca="1" si="36"/>
        <v>-1.8828545963785146</v>
      </c>
      <c r="T91" s="53">
        <f t="shared" ca="1" si="36"/>
        <v>-24.898875895482053</v>
      </c>
      <c r="U91" s="53">
        <f t="shared" ca="1" si="36"/>
        <v>-46.584527002981702</v>
      </c>
      <c r="V91" s="53">
        <f t="shared" ca="1" si="36"/>
        <v>-77.098506759400991</v>
      </c>
      <c r="W91" s="53">
        <f t="shared" ca="1" si="36"/>
        <v>-112.26508395319529</v>
      </c>
      <c r="X91" s="53">
        <f t="shared" ca="1" si="36"/>
        <v>-149.9878936635908</v>
      </c>
      <c r="Y91" s="53">
        <f t="shared" ca="1" si="36"/>
        <v>-163.85913465317833</v>
      </c>
      <c r="Z91" s="53">
        <f t="shared" ca="1" si="36"/>
        <v>-54.619711551059439</v>
      </c>
      <c r="AA91" s="423">
        <f ca="1">SUM(D91:Z91)</f>
        <v>-524.041680524399</v>
      </c>
      <c r="AB91" s="423">
        <f ca="1">$E91+NPV(Disc,$F91:Z91)</f>
        <v>-10.245915883959276</v>
      </c>
      <c r="AC91" s="5"/>
    </row>
    <row r="92" spans="1:29" s="72" customFormat="1">
      <c r="A92" s="657">
        <f>Assm!$J$74</f>
        <v>0.2</v>
      </c>
      <c r="B92" s="8" t="s">
        <v>213</v>
      </c>
      <c r="C92" s="278" t="s">
        <v>211</v>
      </c>
      <c r="D92" s="23"/>
      <c r="E92" s="216">
        <f>IF(E$7=YEAR(Startops1),Assm!$O$35*$A92,0)</f>
        <v>0</v>
      </c>
      <c r="F92" s="216">
        <f>IF(F$7=YEAR(Startops1),Assm!$O$35*$A92,0)</f>
        <v>0</v>
      </c>
      <c r="G92" s="216">
        <f>IF(G$7=YEAR(Startops1),Assm!$O$35*$A92,0)</f>
        <v>0</v>
      </c>
      <c r="H92" s="216">
        <f>IF(H$7=YEAR(Startops1),Assm!$O$35*$A92,0)</f>
        <v>0</v>
      </c>
      <c r="I92" s="216">
        <f>IF(I$7=YEAR(Startops1),Assm!$O$35*$A92,0)</f>
        <v>0</v>
      </c>
      <c r="J92" s="216">
        <f>IF(J$7=YEAR(Startops1),Assm!$O$35*$A92,0)</f>
        <v>0</v>
      </c>
      <c r="K92" s="216">
        <f>IF(K$7=YEAR(Startops1),Assm!$O$35*$A92,0)</f>
        <v>0</v>
      </c>
      <c r="L92" s="216">
        <f>IF(L$7=YEAR(Startops1),Assm!$O$35*$A92,0)</f>
        <v>0</v>
      </c>
      <c r="M92" s="216">
        <f>IF(M$7=YEAR(Startops1),Assm!$O$35*$A92,0)</f>
        <v>0</v>
      </c>
      <c r="N92" s="216">
        <f>IF(N$7=YEAR(Startops1),Assm!$O$35*$A92,0)</f>
        <v>0</v>
      </c>
      <c r="O92" s="216">
        <f>IF(O$7=YEAR(Startops1),Assm!$O$35*$A92,0)</f>
        <v>0</v>
      </c>
      <c r="P92" s="216">
        <f>IF(P$7=YEAR(Startops1),Assm!$O$35*$A92,0)</f>
        <v>0</v>
      </c>
      <c r="Q92" s="216">
        <f>IF(Q$7=YEAR(Startops1),Assm!$O$35*$A92,0)</f>
        <v>0</v>
      </c>
      <c r="R92" s="216">
        <f>IF(R$7=YEAR(Startops1),Assm!$O$35*$A92,0)</f>
        <v>0</v>
      </c>
      <c r="S92" s="216">
        <f>IF(S$7=YEAR(Startops1),Assm!$O$35*$A92,0)</f>
        <v>0</v>
      </c>
      <c r="T92" s="216">
        <f>IF(T$7=YEAR(Startops1),Assm!$O$35*$A92,0)</f>
        <v>0</v>
      </c>
      <c r="U92" s="216">
        <f>IF(U$7=YEAR(Startops1),Assm!$O$35*$A92,0)</f>
        <v>0</v>
      </c>
      <c r="V92" s="216">
        <f>IF(V$7=YEAR(Startops1),Assm!$O$35*$A92,0)</f>
        <v>0</v>
      </c>
      <c r="W92" s="216">
        <f>IF(W$7=YEAR(Startops1),Assm!$O$35*$A92,0)</f>
        <v>0</v>
      </c>
      <c r="X92" s="216">
        <f>IF(X$7=YEAR(Startops1),Assm!$O$35*$A92,0)</f>
        <v>0</v>
      </c>
      <c r="Y92" s="216">
        <f>IF(Y$7=YEAR(Startops1),Assm!$O$35*$A92,0)</f>
        <v>0</v>
      </c>
      <c r="Z92" s="216">
        <f>IF(Z$7=YEAR(Startops1),Assm!$O$35*$A92,0)</f>
        <v>0</v>
      </c>
      <c r="AA92" s="423">
        <f t="shared" si="30"/>
        <v>0</v>
      </c>
      <c r="AB92" s="423">
        <f ca="1">$E92+NPV(Disc,$F92:Z92)</f>
        <v>0</v>
      </c>
      <c r="AC92" s="5"/>
    </row>
    <row r="93" spans="1:29">
      <c r="A93" s="657">
        <f>Assm!$J$75</f>
        <v>0</v>
      </c>
      <c r="B93" s="8" t="s">
        <v>212</v>
      </c>
      <c r="C93" s="278" t="s">
        <v>211</v>
      </c>
      <c r="D93" s="8"/>
      <c r="E93" s="216">
        <f ca="1">IF(E$7&lt;YEAR(Startops1),0,HLOOKUP(E$7,CF_Table,CF!$AB$28)*$A93)</f>
        <v>0</v>
      </c>
      <c r="F93" s="216">
        <f ca="1">IF(F$7&lt;YEAR(Startops1),0,HLOOKUP(F$7,CF_Table,CF!$AB$28)*$A93)</f>
        <v>0</v>
      </c>
      <c r="G93" s="216">
        <f ca="1">IF(G$7&lt;YEAR(Startops1),0,HLOOKUP(G$7,CF_Table,CF!$AB$28)*$A93)</f>
        <v>0</v>
      </c>
      <c r="H93" s="216">
        <f ca="1">IF(H$7&lt;YEAR(Startops1),0,HLOOKUP(H$7,CF_Table,CF!$AB$28)*$A93)</f>
        <v>0</v>
      </c>
      <c r="I93" s="216">
        <f ca="1">IF(I$7&lt;YEAR(Startops1),0,HLOOKUP(I$7,CF_Table,CF!$AB$28)*$A93)</f>
        <v>0</v>
      </c>
      <c r="J93" s="216">
        <f ca="1">IF(J$7&lt;YEAR(Startops1),0,HLOOKUP(J$7,CF_Table,CF!$AB$28)*$A93)</f>
        <v>0</v>
      </c>
      <c r="K93" s="216">
        <f ca="1">IF(K$7&lt;YEAR(Startops1),0,HLOOKUP(K$7,CF_Table,CF!$AB$28)*$A93)</f>
        <v>0</v>
      </c>
      <c r="L93" s="216">
        <f ca="1">IF(L$7&lt;YEAR(Startops1),0,HLOOKUP(L$7,CF_Table,CF!$AB$28)*$A93)</f>
        <v>0</v>
      </c>
      <c r="M93" s="216">
        <f ca="1">IF(M$7&lt;YEAR(Startops1),0,HLOOKUP(M$7,CF_Table,CF!$AB$28)*$A93)</f>
        <v>0</v>
      </c>
      <c r="N93" s="216">
        <f ca="1">IF(N$7&lt;YEAR(Startops1),0,HLOOKUP(N$7,CF_Table,CF!$AB$28)*$A93)</f>
        <v>0</v>
      </c>
      <c r="O93" s="216">
        <f ca="1">IF(O$7&lt;YEAR(Startops1),0,HLOOKUP(O$7,CF_Table,CF!$AB$28)*$A93)</f>
        <v>0</v>
      </c>
      <c r="P93" s="216">
        <f ca="1">IF(P$7&lt;YEAR(Startops1),0,HLOOKUP(P$7,CF_Table,CF!$AB$28)*$A93)</f>
        <v>0</v>
      </c>
      <c r="Q93" s="216">
        <f ca="1">IF(Q$7&lt;YEAR(Startops1),0,HLOOKUP(Q$7,CF_Table,CF!$AB$28)*$A93)</f>
        <v>0</v>
      </c>
      <c r="R93" s="216">
        <f ca="1">IF(R$7&lt;YEAR(Startops1),0,HLOOKUP(R$7,CF_Table,CF!$AB$28)*$A93)</f>
        <v>0</v>
      </c>
      <c r="S93" s="216">
        <f ca="1">IF(S$7&lt;YEAR(Startops1),0,HLOOKUP(S$7,CF_Table,CF!$AB$28)*$A93)</f>
        <v>0</v>
      </c>
      <c r="T93" s="216">
        <f ca="1">IF(T$7&lt;YEAR(Startops1),0,HLOOKUP(T$7,CF_Table,CF!$AB$28)*$A93)</f>
        <v>0</v>
      </c>
      <c r="U93" s="216">
        <f ca="1">IF(U$7&lt;YEAR(Startops1),0,HLOOKUP(U$7,CF_Table,CF!$AB$28)*$A93)</f>
        <v>0</v>
      </c>
      <c r="V93" s="216">
        <f ca="1">IF(V$7&lt;YEAR(Startops1),0,HLOOKUP(V$7,CF_Table,CF!$AB$28)*$A93)</f>
        <v>0</v>
      </c>
      <c r="W93" s="216">
        <f ca="1">IF(W$7&lt;YEAR(Startops1),0,HLOOKUP(W$7,CF_Table,CF!$AB$28)*$A93)</f>
        <v>0</v>
      </c>
      <c r="X93" s="216">
        <f ca="1">IF(X$7&lt;YEAR(Startops1),0,HLOOKUP(X$7,CF_Table,CF!$AB$28)*$A93)</f>
        <v>0</v>
      </c>
      <c r="Y93" s="216">
        <f ca="1">IF(Y$7&lt;YEAR(Startops1),0,HLOOKUP(Y$7,CF_Table,CF!$AB$28)*$A93)</f>
        <v>0</v>
      </c>
      <c r="Z93" s="216">
        <f ca="1">IF(Z$7&lt;YEAR(Startops1),0,HLOOKUP(Z$7,CF_Table,CF!$AB$28)*$A93)</f>
        <v>0</v>
      </c>
      <c r="AA93" s="423">
        <f t="shared" ca="1" si="30"/>
        <v>0</v>
      </c>
      <c r="AB93" s="423">
        <f ca="1">$E93+NPV(Disc,$F93:Z93)</f>
        <v>0</v>
      </c>
    </row>
    <row r="94" spans="1:29" s="72" customFormat="1">
      <c r="A94" s="379"/>
      <c r="B94" s="8" t="s">
        <v>359</v>
      </c>
      <c r="C94" s="8"/>
      <c r="D94" s="23"/>
      <c r="E94" s="228">
        <f ca="1">-SUM(E89,E92:E93)*USTax</f>
        <v>0</v>
      </c>
      <c r="F94" s="228">
        <f t="shared" ref="F94:Z94" ca="1" si="37">-SUM(F89,F92:F93)*USTax</f>
        <v>0</v>
      </c>
      <c r="G94" s="228">
        <f t="shared" ca="1" si="37"/>
        <v>0</v>
      </c>
      <c r="H94" s="228">
        <f t="shared" ca="1" si="37"/>
        <v>0</v>
      </c>
      <c r="I94" s="228">
        <f t="shared" ca="1" si="37"/>
        <v>0</v>
      </c>
      <c r="J94" s="228">
        <f t="shared" ca="1" si="37"/>
        <v>3.473278900270715</v>
      </c>
      <c r="K94" s="228">
        <f t="shared" ca="1" si="37"/>
        <v>3.473278900270715</v>
      </c>
      <c r="L94" s="228">
        <f t="shared" ca="1" si="37"/>
        <v>-38.928483807734871</v>
      </c>
      <c r="M94" s="228">
        <f t="shared" ca="1" si="37"/>
        <v>-90.444744125949541</v>
      </c>
      <c r="N94" s="228">
        <f t="shared" ca="1" si="37"/>
        <v>-131.64683913151646</v>
      </c>
      <c r="O94" s="228">
        <f t="shared" ca="1" si="37"/>
        <v>-175.93086823849794</v>
      </c>
      <c r="P94" s="228">
        <f t="shared" ca="1" si="37"/>
        <v>-221.11573478763671</v>
      </c>
      <c r="Q94" s="228">
        <f t="shared" ca="1" si="37"/>
        <v>-263.15938443803162</v>
      </c>
      <c r="R94" s="228">
        <f t="shared" ca="1" si="37"/>
        <v>-270.58564438387941</v>
      </c>
      <c r="S94" s="228">
        <f t="shared" ca="1" si="37"/>
        <v>-258.94030222611065</v>
      </c>
      <c r="T94" s="228">
        <f t="shared" ca="1" si="37"/>
        <v>-250.29579564857718</v>
      </c>
      <c r="U94" s="228">
        <f t="shared" ca="1" si="37"/>
        <v>-244.45404611050989</v>
      </c>
      <c r="V94" s="228">
        <f t="shared" ca="1" si="37"/>
        <v>-211.45310253531019</v>
      </c>
      <c r="W94" s="228">
        <f t="shared" ca="1" si="37"/>
        <v>-168.3213164914286</v>
      </c>
      <c r="X94" s="228">
        <f t="shared" ca="1" si="37"/>
        <v>-103.34380521108486</v>
      </c>
      <c r="Y94" s="228">
        <f t="shared" ca="1" si="37"/>
        <v>5.22052924913159</v>
      </c>
      <c r="Z94" s="228">
        <f t="shared" ca="1" si="37"/>
        <v>81.953100871685294</v>
      </c>
      <c r="AA94" s="424">
        <f t="shared" ca="1" si="30"/>
        <v>-2334.4998792149099</v>
      </c>
      <c r="AB94" s="424">
        <f ca="1">$E94+NPV(Disc,$F94:Z94)</f>
        <v>-259.24893405434005</v>
      </c>
      <c r="AC94" s="5"/>
    </row>
    <row r="95" spans="1:29" s="78" customFormat="1">
      <c r="A95" s="379"/>
      <c r="B95" s="8" t="s">
        <v>206</v>
      </c>
      <c r="C95" s="8"/>
      <c r="D95" s="29"/>
      <c r="E95" s="53">
        <f t="shared" ref="E95:Z95" ca="1" si="38">SUM(E84:E94)</f>
        <v>-2489.2387821185675</v>
      </c>
      <c r="F95" s="53">
        <f t="shared" ca="1" si="38"/>
        <v>-8434.7035280933233</v>
      </c>
      <c r="G95" s="53">
        <f t="shared" ca="1" si="38"/>
        <v>0</v>
      </c>
      <c r="H95" s="53">
        <f t="shared" ca="1" si="38"/>
        <v>156.45400451669889</v>
      </c>
      <c r="I95" s="53">
        <f t="shared" ca="1" si="38"/>
        <v>-1909.9893111714232</v>
      </c>
      <c r="J95" s="53">
        <f t="shared" ca="1" si="38"/>
        <v>-2326.4662279569779</v>
      </c>
      <c r="K95" s="53">
        <f t="shared" ca="1" si="38"/>
        <v>-1861.864186846718</v>
      </c>
      <c r="L95" s="53">
        <f t="shared" ca="1" si="38"/>
        <v>-1928.4924513085191</v>
      </c>
      <c r="M95" s="53">
        <f t="shared" ca="1" si="38"/>
        <v>-1881.3538387917945</v>
      </c>
      <c r="N95" s="53">
        <f t="shared" ca="1" si="38"/>
        <v>-1669.7026635686302</v>
      </c>
      <c r="O95" s="53">
        <f t="shared" ca="1" si="38"/>
        <v>-565.11573993832656</v>
      </c>
      <c r="P95" s="53">
        <f t="shared" ca="1" si="38"/>
        <v>530.30825279822193</v>
      </c>
      <c r="Q95" s="53">
        <f t="shared" ca="1" si="38"/>
        <v>824.7170122332991</v>
      </c>
      <c r="R95" s="53">
        <f t="shared" ca="1" si="38"/>
        <v>767.18169578118989</v>
      </c>
      <c r="S95" s="53">
        <f t="shared" ca="1" si="38"/>
        <v>714.70973290264396</v>
      </c>
      <c r="T95" s="53">
        <f t="shared" ca="1" si="38"/>
        <v>2053.8019476742138</v>
      </c>
      <c r="U95" s="53">
        <f t="shared" ca="1" si="38"/>
        <v>2623.0847965690987</v>
      </c>
      <c r="V95" s="53">
        <f t="shared" ca="1" si="38"/>
        <v>3723.8482300230216</v>
      </c>
      <c r="W95" s="53">
        <f t="shared" ca="1" si="38"/>
        <v>5813.0553056263252</v>
      </c>
      <c r="X95" s="53">
        <f t="shared" ca="1" si="38"/>
        <v>6038.7022071193051</v>
      </c>
      <c r="Y95" s="53">
        <f t="shared" ca="1" si="38"/>
        <v>6132.8844987467655</v>
      </c>
      <c r="Z95" s="53">
        <f t="shared" ca="1" si="38"/>
        <v>73831.7156634735</v>
      </c>
      <c r="AA95" s="423">
        <f t="shared" ca="1" si="30"/>
        <v>80143.536617670004</v>
      </c>
      <c r="AB95" s="423">
        <f ca="1">SUM(AB84:AB94)</f>
        <v>-10146.418291947484</v>
      </c>
      <c r="AC95" s="5"/>
    </row>
    <row r="96" spans="1:29" s="78" customFormat="1">
      <c r="A96" s="379"/>
      <c r="B96" s="8"/>
      <c r="C96" s="8"/>
      <c r="D96" s="29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423"/>
      <c r="AB96" s="419"/>
      <c r="AC96" s="5"/>
    </row>
    <row r="97" spans="1:29">
      <c r="A97" s="379"/>
      <c r="B97" s="8" t="s">
        <v>207</v>
      </c>
      <c r="C97" s="8"/>
      <c r="D97" s="28"/>
      <c r="E97" s="53">
        <f ca="1">$E95</f>
        <v>-2489.2387821185675</v>
      </c>
      <c r="F97" s="53">
        <f ca="1">$E95+NPV(Disc,$F95:F95)</f>
        <v>-9577.2249401801837</v>
      </c>
      <c r="G97" s="53">
        <f ca="1">$E95+NPV(Disc,$F95:G95)</f>
        <v>-9577.2249401801837</v>
      </c>
      <c r="H97" s="53">
        <f ca="1">$E95+NPV(Disc,$F95:H95)</f>
        <v>-9484.3826597089064</v>
      </c>
      <c r="I97" s="53">
        <f ca="1">$E95+NPV(Disc,$F95:I95)</f>
        <v>-10436.83464471319</v>
      </c>
      <c r="J97" s="53">
        <f ca="1">$E95+NPV(Disc,$F95:J95)</f>
        <v>-11411.738854030793</v>
      </c>
      <c r="K97" s="53">
        <f ca="1">$E95+NPV(Disc,$F95:K95)</f>
        <v>-12067.380044162799</v>
      </c>
      <c r="L97" s="53">
        <f ca="1">$E95+NPV(Disc,$F95:L95)</f>
        <v>-12638.055525107668</v>
      </c>
      <c r="M97" s="53">
        <f ca="1">$E95+NPV(Disc,$F95:M95)</f>
        <v>-13105.892769334672</v>
      </c>
      <c r="N97" s="53">
        <f ca="1">$E95+NPV(Disc,$F95:N95)</f>
        <v>-13454.8052362735</v>
      </c>
      <c r="O97" s="53">
        <f ca="1">$E95+NPV(Disc,$F95:O95)</f>
        <v>-13554.040902513469</v>
      </c>
      <c r="P97" s="53">
        <f ca="1">$E95+NPV(Disc,$F95:P95)</f>
        <v>-13475.785953924629</v>
      </c>
      <c r="Q97" s="53">
        <f ca="1">$E95+NPV(Disc,$F95:Q95)</f>
        <v>-13373.517564488802</v>
      </c>
      <c r="R97" s="53">
        <f ca="1">$E95+NPV(Disc,$F95:R95)</f>
        <v>-13293.573222115929</v>
      </c>
      <c r="S97" s="53">
        <f ca="1">$E95+NPV(Disc,$F95:S95)</f>
        <v>-13230.987936740805</v>
      </c>
      <c r="T97" s="53">
        <f ca="1">$E95+NPV(Disc,$F95:T95)</f>
        <v>-13079.856733339622</v>
      </c>
      <c r="U97" s="53">
        <f ca="1">$E95+NPV(Disc,$F95:U95)</f>
        <v>-12917.652961858061</v>
      </c>
      <c r="V97" s="53">
        <f ca="1">$E95+NPV(Disc,$F95:V95)</f>
        <v>-12724.147321359331</v>
      </c>
      <c r="W97" s="53">
        <f ca="1">$E95+NPV(Disc,$F95:W95)</f>
        <v>-12470.307852826803</v>
      </c>
      <c r="X97" s="53">
        <f ca="1">$E95+NPV(Disc,$F95:X95)</f>
        <v>-12248.7172459742</v>
      </c>
      <c r="Y97" s="53">
        <f ca="1">$E95+NPV(Disc,$F95:Y95)</f>
        <v>-12059.602428545291</v>
      </c>
      <c r="Z97" s="53">
        <f ca="1">$E95+NPV(Disc,$F95:Z95)</f>
        <v>-10146.418291947481</v>
      </c>
      <c r="AA97" s="423"/>
      <c r="AB97" s="419"/>
    </row>
    <row r="98" spans="1:29">
      <c r="A98" s="379"/>
      <c r="B98" s="8" t="s">
        <v>208</v>
      </c>
      <c r="C98" s="8"/>
      <c r="D98" s="22"/>
      <c r="E98" s="22" t="e">
        <f ca="1">IRR($E95:E95,-0.9)</f>
        <v>#NUM!</v>
      </c>
      <c r="F98" s="22" t="e">
        <f ca="1">IRR($E95:F95,-0.9)</f>
        <v>#NUM!</v>
      </c>
      <c r="G98" s="22" t="e">
        <f ca="1">IRR($E95:G95,-0.9)</f>
        <v>#NUM!</v>
      </c>
      <c r="H98" s="22">
        <f ca="1">IRR($E95:H95,-0.9)</f>
        <v>-0.86641364630950635</v>
      </c>
      <c r="I98" s="22" t="e">
        <f ca="1">IRR($E95:I95,-0.9)</f>
        <v>#NUM!</v>
      </c>
      <c r="J98" s="22" t="e">
        <f ca="1">IRR($E95:J95,-0.9)</f>
        <v>#NUM!</v>
      </c>
      <c r="K98" s="22" t="e">
        <f ca="1">IRR($E95:K95,-0.9)</f>
        <v>#NUM!</v>
      </c>
      <c r="L98" s="22" t="e">
        <f ca="1">IRR($E95:L95,-0.9)</f>
        <v>#NUM!</v>
      </c>
      <c r="M98" s="22" t="e">
        <f ca="1">IRR($E95:M95,-0.9)</f>
        <v>#DIV/0!</v>
      </c>
      <c r="N98" s="22" t="e">
        <f ca="1">IRR($E95:N95,-0.9)</f>
        <v>#DIV/0!</v>
      </c>
      <c r="O98" s="22" t="e">
        <f ca="1">IRR($E95:O95,-0.9)</f>
        <v>#DIV/0!</v>
      </c>
      <c r="P98" s="22">
        <f ca="1">IRR($E95:P95,-0.9)</f>
        <v>-0.64904517100698134</v>
      </c>
      <c r="Q98" s="22">
        <f ca="1">IRR($E95:Q95,-0.9)</f>
        <v>-0.40452238985610839</v>
      </c>
      <c r="R98" s="22">
        <f ca="1">IRR($E95:R95,-0.9)</f>
        <v>-0.30286212564964993</v>
      </c>
      <c r="S98" s="22">
        <f ca="1">IRR($E95:S95,-0.9)</f>
        <v>-0.24355596210304686</v>
      </c>
      <c r="T98" s="22">
        <f ca="1">IRR($E95:T95,-0.9)</f>
        <v>-0.15688013176580781</v>
      </c>
      <c r="U98" s="22">
        <f ca="1">IRR($E95:U95,-0.9)</f>
        <v>-0.10375457453988725</v>
      </c>
      <c r="V98" s="22">
        <f ca="1">IRR($E95:V95,-0.9)</f>
        <v>-6.1458224226456894E-2</v>
      </c>
      <c r="W98" s="22">
        <f ca="1">IRR($E95:W95,-0.9)</f>
        <v>-2.3715651390477186E-2</v>
      </c>
      <c r="X98" s="22">
        <f ca="1">IRR($E95:X95,-0.9)</f>
        <v>5.9326042659855701E-4</v>
      </c>
      <c r="Y98" s="22">
        <f ca="1">IRR($E95:Y95,-0.9)</f>
        <v>1.7785389971522628E-2</v>
      </c>
      <c r="Z98" s="22">
        <f ca="1">IRR($E95:Z95,-0.9)</f>
        <v>9.5688676281288285E-2</v>
      </c>
      <c r="AA98" s="419"/>
      <c r="AB98" s="661">
        <f ca="1">IRR(E95:Z95)</f>
        <v>9.5688676281288701E-2</v>
      </c>
    </row>
    <row r="99" spans="1:29">
      <c r="A99" s="3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419"/>
      <c r="AB99" s="419"/>
    </row>
    <row r="100" spans="1:29">
      <c r="A100" s="379"/>
      <c r="B100" s="265" t="str">
        <f ca="1">CONCATENATE(Assm!$H$69," NPV @ ",TEXT(Disc,"0.0%"))</f>
        <v>Shell NPV @ 19.0%</v>
      </c>
      <c r="C100" s="434">
        <f ca="1">AB95</f>
        <v>-10146.418291947484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419"/>
      <c r="AB100" s="419"/>
    </row>
    <row r="101" spans="1:29" ht="13.8" thickBot="1">
      <c r="A101" s="386"/>
      <c r="B101" s="445" t="str">
        <f>CONCATENATE(Assm!$H$69," IRR")</f>
        <v>Shell IRR</v>
      </c>
      <c r="C101" s="446">
        <f ca="1">AB98</f>
        <v>9.5688676281288701E-2</v>
      </c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433"/>
      <c r="AB101" s="433"/>
    </row>
    <row r="102" spans="1:29" s="8" customFormat="1" ht="13.8" thickBot="1">
      <c r="A102" s="150"/>
      <c r="B102" s="32"/>
      <c r="C102" s="32"/>
      <c r="D102" s="84"/>
    </row>
    <row r="103" spans="1:29" s="8" customFormat="1">
      <c r="A103" s="438" t="str">
        <f>CONCATENATE(Assm!H70," Returns")</f>
        <v>Transredes Returns</v>
      </c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416"/>
      <c r="AB103" s="416"/>
      <c r="AC103" s="5"/>
    </row>
    <row r="104" spans="1:29">
      <c r="A104" s="443">
        <f>Assm!$K$70</f>
        <v>0.125</v>
      </c>
      <c r="B104" s="8" t="s">
        <v>205</v>
      </c>
      <c r="C104" s="8"/>
      <c r="D104" s="28"/>
      <c r="E104" s="53">
        <f t="shared" ref="E104:Z104" ca="1" si="39">E$10*$A104</f>
        <v>-829.74626070618922</v>
      </c>
      <c r="F104" s="53">
        <f t="shared" ca="1" si="39"/>
        <v>-2811.5678426977743</v>
      </c>
      <c r="G104" s="53">
        <f t="shared" ca="1" si="39"/>
        <v>0</v>
      </c>
      <c r="H104" s="53">
        <f t="shared" ca="1" si="39"/>
        <v>0</v>
      </c>
      <c r="I104" s="53">
        <f t="shared" ca="1" si="39"/>
        <v>0</v>
      </c>
      <c r="J104" s="53">
        <f t="shared" ca="1" si="39"/>
        <v>0</v>
      </c>
      <c r="K104" s="53">
        <f t="shared" ca="1" si="39"/>
        <v>0</v>
      </c>
      <c r="L104" s="53">
        <f t="shared" ca="1" si="39"/>
        <v>0</v>
      </c>
      <c r="M104" s="53">
        <f t="shared" ca="1" si="39"/>
        <v>0</v>
      </c>
      <c r="N104" s="53">
        <f t="shared" ca="1" si="39"/>
        <v>0</v>
      </c>
      <c r="O104" s="53">
        <f t="shared" ca="1" si="39"/>
        <v>0</v>
      </c>
      <c r="P104" s="53">
        <f t="shared" ca="1" si="39"/>
        <v>0</v>
      </c>
      <c r="Q104" s="53">
        <f t="shared" ca="1" si="39"/>
        <v>0</v>
      </c>
      <c r="R104" s="53">
        <f t="shared" ca="1" si="39"/>
        <v>0</v>
      </c>
      <c r="S104" s="53">
        <f t="shared" ca="1" si="39"/>
        <v>0</v>
      </c>
      <c r="T104" s="53">
        <f t="shared" ca="1" si="39"/>
        <v>0</v>
      </c>
      <c r="U104" s="53">
        <f t="shared" ca="1" si="39"/>
        <v>0</v>
      </c>
      <c r="V104" s="53">
        <f t="shared" ca="1" si="39"/>
        <v>0</v>
      </c>
      <c r="W104" s="53">
        <f t="shared" ca="1" si="39"/>
        <v>0</v>
      </c>
      <c r="X104" s="53">
        <f t="shared" ca="1" si="39"/>
        <v>0</v>
      </c>
      <c r="Y104" s="53">
        <f t="shared" ca="1" si="39"/>
        <v>0</v>
      </c>
      <c r="Z104" s="53">
        <f t="shared" ca="1" si="39"/>
        <v>0</v>
      </c>
      <c r="AA104" s="423">
        <f ca="1">SUM(E104:Z104)</f>
        <v>-3641.3141034039636</v>
      </c>
      <c r="AB104" s="423">
        <f ca="1">$E104+NPV(Disc,$F104:Z104)</f>
        <v>-3192.4083133933946</v>
      </c>
    </row>
    <row r="105" spans="1:29">
      <c r="A105" s="443">
        <f>Assm!$L$70</f>
        <v>0.125</v>
      </c>
      <c r="B105" s="8" t="s">
        <v>1040</v>
      </c>
      <c r="C105" s="8"/>
      <c r="D105" s="28"/>
      <c r="E105" s="53">
        <f t="shared" ref="E105:Z105" ca="1" si="40">E$11*$A105</f>
        <v>0</v>
      </c>
      <c r="F105" s="53">
        <f t="shared" ca="1" si="40"/>
        <v>0</v>
      </c>
      <c r="G105" s="53">
        <f t="shared" ca="1" si="40"/>
        <v>0</v>
      </c>
      <c r="H105" s="53">
        <f t="shared" ca="1" si="40"/>
        <v>0</v>
      </c>
      <c r="I105" s="53">
        <f t="shared" ca="1" si="40"/>
        <v>0</v>
      </c>
      <c r="J105" s="53">
        <f t="shared" ca="1" si="40"/>
        <v>0</v>
      </c>
      <c r="K105" s="53">
        <f t="shared" ca="1" si="40"/>
        <v>0</v>
      </c>
      <c r="L105" s="53">
        <f t="shared" ca="1" si="40"/>
        <v>0</v>
      </c>
      <c r="M105" s="53">
        <f t="shared" ca="1" si="40"/>
        <v>0</v>
      </c>
      <c r="N105" s="53">
        <f t="shared" ca="1" si="40"/>
        <v>0</v>
      </c>
      <c r="O105" s="53">
        <f t="shared" ca="1" si="40"/>
        <v>0</v>
      </c>
      <c r="P105" s="53">
        <f t="shared" ca="1" si="40"/>
        <v>1.1368683772161603E-13</v>
      </c>
      <c r="Q105" s="53">
        <f t="shared" ca="1" si="40"/>
        <v>-5.6843418860808015E-14</v>
      </c>
      <c r="R105" s="53">
        <f t="shared" ca="1" si="40"/>
        <v>1.1368683772161603E-13</v>
      </c>
      <c r="S105" s="53">
        <f t="shared" ca="1" si="40"/>
        <v>1.1368683772161603E-13</v>
      </c>
      <c r="T105" s="53">
        <f t="shared" ca="1" si="40"/>
        <v>1.1368683772161603E-13</v>
      </c>
      <c r="U105" s="53">
        <f t="shared" ca="1" si="40"/>
        <v>-2.2737367544323206E-13</v>
      </c>
      <c r="V105" s="53">
        <f t="shared" ca="1" si="40"/>
        <v>0</v>
      </c>
      <c r="W105" s="53">
        <f t="shared" ca="1" si="40"/>
        <v>0</v>
      </c>
      <c r="X105" s="53">
        <f t="shared" ca="1" si="40"/>
        <v>518.7949626972395</v>
      </c>
      <c r="Y105" s="53">
        <f t="shared" ca="1" si="40"/>
        <v>947.67110819051891</v>
      </c>
      <c r="Z105" s="53">
        <f t="shared" ca="1" si="40"/>
        <v>2563.3754429188475</v>
      </c>
      <c r="AA105" s="423">
        <f ca="1">SUM(E105:Z105)</f>
        <v>4029.8415138066061</v>
      </c>
      <c r="AB105" s="423">
        <f ca="1">$E105+NPV(Disc,$F105:Z105)</f>
        <v>114.68394213550629</v>
      </c>
    </row>
    <row r="106" spans="1:29" s="72" customFormat="1">
      <c r="A106" s="379"/>
      <c r="B106" s="8" t="s">
        <v>357</v>
      </c>
      <c r="C106" s="18">
        <f>Wh_Div</f>
        <v>0</v>
      </c>
      <c r="D106" s="23"/>
      <c r="E106" s="53">
        <f t="shared" ref="E106:X106" ca="1" si="41">-E105*$C106</f>
        <v>0</v>
      </c>
      <c r="F106" s="53">
        <f t="shared" ca="1" si="41"/>
        <v>0</v>
      </c>
      <c r="G106" s="53">
        <f t="shared" ca="1" si="41"/>
        <v>0</v>
      </c>
      <c r="H106" s="53">
        <f t="shared" ca="1" si="41"/>
        <v>0</v>
      </c>
      <c r="I106" s="53">
        <f t="shared" ca="1" si="41"/>
        <v>0</v>
      </c>
      <c r="J106" s="53">
        <f t="shared" ca="1" si="41"/>
        <v>0</v>
      </c>
      <c r="K106" s="53">
        <f t="shared" ca="1" si="41"/>
        <v>0</v>
      </c>
      <c r="L106" s="53">
        <f t="shared" ca="1" si="41"/>
        <v>0</v>
      </c>
      <c r="M106" s="53">
        <f t="shared" ca="1" si="41"/>
        <v>0</v>
      </c>
      <c r="N106" s="53">
        <f t="shared" ca="1" si="41"/>
        <v>0</v>
      </c>
      <c r="O106" s="53">
        <f t="shared" ca="1" si="41"/>
        <v>0</v>
      </c>
      <c r="P106" s="53">
        <f t="shared" ca="1" si="41"/>
        <v>0</v>
      </c>
      <c r="Q106" s="53">
        <f t="shared" ca="1" si="41"/>
        <v>0</v>
      </c>
      <c r="R106" s="53">
        <f t="shared" ca="1" si="41"/>
        <v>0</v>
      </c>
      <c r="S106" s="53">
        <f t="shared" ca="1" si="41"/>
        <v>0</v>
      </c>
      <c r="T106" s="53">
        <f t="shared" ca="1" si="41"/>
        <v>0</v>
      </c>
      <c r="U106" s="53">
        <f t="shared" ca="1" si="41"/>
        <v>0</v>
      </c>
      <c r="V106" s="53">
        <f t="shared" ca="1" si="41"/>
        <v>0</v>
      </c>
      <c r="W106" s="53">
        <f t="shared" ca="1" si="41"/>
        <v>0</v>
      </c>
      <c r="X106" s="53">
        <f t="shared" ca="1" si="41"/>
        <v>0</v>
      </c>
      <c r="Y106" s="53">
        <f ca="1">-Y105*$C106</f>
        <v>0</v>
      </c>
      <c r="Z106" s="53">
        <f ca="1">-Z105*$C106</f>
        <v>0</v>
      </c>
      <c r="AA106" s="423">
        <f t="shared" ref="AA106:AA115" ca="1" si="42">SUM(D106:Z106)</f>
        <v>0</v>
      </c>
      <c r="AB106" s="423">
        <f ca="1">$E106+NPV(Disc,$F106:Z106)</f>
        <v>0</v>
      </c>
      <c r="AC106" s="5"/>
    </row>
    <row r="107" spans="1:29">
      <c r="A107" s="379"/>
      <c r="B107" s="8" t="s">
        <v>1078</v>
      </c>
      <c r="C107" s="19"/>
      <c r="D107" s="17"/>
      <c r="E107" s="216">
        <f>E$15*$A105</f>
        <v>0</v>
      </c>
      <c r="F107" s="216">
        <f t="shared" ref="F107:Z107" si="43">F$15*$A105</f>
        <v>0</v>
      </c>
      <c r="G107" s="216">
        <f t="shared" si="43"/>
        <v>0</v>
      </c>
      <c r="H107" s="216">
        <f t="shared" si="43"/>
        <v>0</v>
      </c>
      <c r="I107" s="216">
        <f t="shared" si="43"/>
        <v>0</v>
      </c>
      <c r="J107" s="216">
        <f t="shared" si="43"/>
        <v>0</v>
      </c>
      <c r="K107" s="216">
        <f t="shared" si="43"/>
        <v>0</v>
      </c>
      <c r="L107" s="216">
        <f t="shared" si="43"/>
        <v>0</v>
      </c>
      <c r="M107" s="216">
        <f t="shared" si="43"/>
        <v>0</v>
      </c>
      <c r="N107" s="216">
        <f t="shared" si="43"/>
        <v>0</v>
      </c>
      <c r="O107" s="216">
        <f t="shared" si="43"/>
        <v>0</v>
      </c>
      <c r="P107" s="216">
        <f t="shared" si="43"/>
        <v>0</v>
      </c>
      <c r="Q107" s="216">
        <f t="shared" si="43"/>
        <v>0</v>
      </c>
      <c r="R107" s="216">
        <f t="shared" si="43"/>
        <v>0</v>
      </c>
      <c r="S107" s="216">
        <f t="shared" si="43"/>
        <v>0</v>
      </c>
      <c r="T107" s="216">
        <f t="shared" si="43"/>
        <v>0</v>
      </c>
      <c r="U107" s="216">
        <f t="shared" si="43"/>
        <v>0</v>
      </c>
      <c r="V107" s="216">
        <f t="shared" si="43"/>
        <v>0</v>
      </c>
      <c r="W107" s="216">
        <f t="shared" si="43"/>
        <v>0</v>
      </c>
      <c r="X107" s="216">
        <f t="shared" si="43"/>
        <v>0</v>
      </c>
      <c r="Y107" s="216">
        <f t="shared" si="43"/>
        <v>0</v>
      </c>
      <c r="Z107" s="216">
        <f t="shared" ca="1" si="43"/>
        <v>24011.141869897372</v>
      </c>
      <c r="AA107" s="423">
        <f ca="1">SUM(D107:Z107)</f>
        <v>24011.141869897372</v>
      </c>
      <c r="AB107" s="423">
        <f ca="1">$E107+NPV(Disc,$F107:Z107)</f>
        <v>622.19515440318753</v>
      </c>
    </row>
    <row r="108" spans="1:29" s="72" customFormat="1">
      <c r="A108" s="379"/>
      <c r="B108" s="8" t="s">
        <v>358</v>
      </c>
      <c r="C108" s="8"/>
      <c r="D108" s="23"/>
      <c r="E108" s="53">
        <f t="shared" ref="E108:X108" ca="1" si="44">E$14*$A105</f>
        <v>0</v>
      </c>
      <c r="F108" s="53">
        <f t="shared" ca="1" si="44"/>
        <v>0</v>
      </c>
      <c r="G108" s="53">
        <f t="shared" ca="1" si="44"/>
        <v>0</v>
      </c>
      <c r="H108" s="53">
        <f t="shared" ca="1" si="44"/>
        <v>52.151334838899629</v>
      </c>
      <c r="I108" s="53">
        <f t="shared" ca="1" si="44"/>
        <v>-636.66310372380769</v>
      </c>
      <c r="J108" s="53">
        <f t="shared" ca="1" si="44"/>
        <v>-773.51742219541541</v>
      </c>
      <c r="K108" s="53">
        <f t="shared" ca="1" si="44"/>
        <v>-618.65007515866228</v>
      </c>
      <c r="L108" s="53">
        <f t="shared" ca="1" si="44"/>
        <v>-664.92536196668925</v>
      </c>
      <c r="M108" s="53">
        <f t="shared" ca="1" si="44"/>
        <v>-678.45144968676777</v>
      </c>
      <c r="N108" s="53">
        <f t="shared" ca="1" si="44"/>
        <v>-631.2860307867104</v>
      </c>
      <c r="O108" s="53">
        <f t="shared" ca="1" si="44"/>
        <v>-224.2381632730303</v>
      </c>
      <c r="P108" s="53">
        <f t="shared" ca="1" si="44"/>
        <v>112.73275868072051</v>
      </c>
      <c r="Q108" s="53">
        <f t="shared" ca="1" si="44"/>
        <v>174.85498735388592</v>
      </c>
      <c r="R108" s="53">
        <f t="shared" ca="1" si="44"/>
        <v>129.7973960590607</v>
      </c>
      <c r="S108" s="53">
        <f t="shared" ca="1" si="44"/>
        <v>87.713957028037385</v>
      </c>
      <c r="T108" s="53">
        <f t="shared" ca="1" si="44"/>
        <v>495.50966329128642</v>
      </c>
      <c r="U108" s="53">
        <f t="shared" ca="1" si="44"/>
        <v>647.62441507329777</v>
      </c>
      <c r="V108" s="53">
        <f t="shared" ca="1" si="44"/>
        <v>975.63830751266846</v>
      </c>
      <c r="W108" s="53">
        <f t="shared" ca="1" si="44"/>
        <v>1630.0951120152622</v>
      </c>
      <c r="X108" s="53">
        <f t="shared" ca="1" si="44"/>
        <v>1152.1407150533589</v>
      </c>
      <c r="Y108" s="53">
        <f ca="1">Y$14*$A105</f>
        <v>790.07502902307783</v>
      </c>
      <c r="Z108" s="53">
        <f ca="1">Z$14*$A105</f>
        <v>-2020.6020691384726</v>
      </c>
      <c r="AA108" s="423">
        <f t="shared" ca="1" si="42"/>
        <v>0</v>
      </c>
      <c r="AB108" s="423">
        <f ca="1">$E108+NPV(Disc,$F108:Z108)</f>
        <v>-1093.1048973598683</v>
      </c>
      <c r="AC108" s="5"/>
    </row>
    <row r="109" spans="1:29" s="72" customFormat="1">
      <c r="A109" s="379"/>
      <c r="B109" s="8" t="s">
        <v>361</v>
      </c>
      <c r="C109" s="278" t="s">
        <v>211</v>
      </c>
      <c r="D109" s="23"/>
      <c r="E109" s="216">
        <f>IF(E$7&lt;YEAR(Startops1),0,-Trapped!D$40*$A105)</f>
        <v>0</v>
      </c>
      <c r="F109" s="216">
        <f>IF(F$7&lt;YEAR(Startops1),0,-Trapped!E$40*$A105)</f>
        <v>0</v>
      </c>
      <c r="G109" s="216">
        <f>IF(G$7&lt;YEAR(Startops1),0,-Trapped!F$40*$A105)</f>
        <v>0</v>
      </c>
      <c r="H109" s="216">
        <f ca="1">IF(H$7&lt;YEAR(Startops1),0,-Trapped!G$40*$A105)</f>
        <v>0</v>
      </c>
      <c r="I109" s="216">
        <f ca="1">IF(I$7&lt;YEAR(Startops1),0,-Trapped!H$40*$A105)</f>
        <v>0</v>
      </c>
      <c r="J109" s="216">
        <f ca="1">IF(J$7&lt;YEAR(Startops1),0,-Trapped!I$40*$A105)</f>
        <v>-3.1290800903339773</v>
      </c>
      <c r="K109" s="216">
        <f ca="1">IF(K$7&lt;YEAR(Startops1),0,-Trapped!J$40*$A105)</f>
        <v>-3.1290800903339773</v>
      </c>
      <c r="L109" s="216">
        <f ca="1">IF(L$7&lt;YEAR(Startops1),0,-Trapped!K$40*$A105)</f>
        <v>35.070706133094482</v>
      </c>
      <c r="M109" s="216">
        <f ca="1">IF(M$7&lt;YEAR(Startops1),0,-Trapped!L$40*$A105)</f>
        <v>81.481751464819411</v>
      </c>
      <c r="N109" s="216">
        <f ca="1">IF(N$7&lt;YEAR(Startops1),0,-Trapped!M$40*$A105)</f>
        <v>118.60075597433915</v>
      </c>
      <c r="O109" s="216">
        <f ca="1">IF(O$7&lt;YEAR(Startops1),0,-Trapped!N$40*$A105)</f>
        <v>158.4962776923405</v>
      </c>
      <c r="P109" s="216">
        <f ca="1">IF(P$7&lt;YEAR(Startops1),0,-Trapped!O$40*$A105)</f>
        <v>199.20336467354659</v>
      </c>
      <c r="Q109" s="216">
        <f ca="1">IF(Q$7&lt;YEAR(Startops1),0,-Trapped!P$40*$A105)</f>
        <v>237.0805265207492</v>
      </c>
      <c r="R109" s="216">
        <f ca="1">IF(R$7&lt;YEAR(Startops1),0,-Trapped!Q$40*$A105)</f>
        <v>243.77085079628776</v>
      </c>
      <c r="S109" s="216">
        <f ca="1">IF(S$7&lt;YEAR(Startops1),0,-Trapped!R$40*$A105)</f>
        <v>233.27955155505461</v>
      </c>
      <c r="T109" s="216">
        <f ca="1">IF(T$7&lt;YEAR(Startops1),0,-Trapped!S$40*$A105)</f>
        <v>225.49170779151098</v>
      </c>
      <c r="U109" s="216">
        <f ca="1">IF(U$7&lt;YEAR(Startops1),0,-Trapped!T$40*$A105)</f>
        <v>220.22887036982874</v>
      </c>
      <c r="V109" s="216">
        <f ca="1">IF(V$7&lt;YEAR(Startops1),0,-Trapped!U$40*$A105)</f>
        <v>190.49829057235152</v>
      </c>
      <c r="W109" s="216">
        <f ca="1">IF(W$7&lt;YEAR(Startops1),0,-Trapped!V$40*$A105)</f>
        <v>151.64082566795369</v>
      </c>
      <c r="X109" s="216">
        <f ca="1">IF(X$7&lt;YEAR(Startops1),0,-Trapped!W$40*$A105)</f>
        <v>93.102527217193554</v>
      </c>
      <c r="Y109" s="216">
        <f ca="1">IF(Y$7&lt;YEAR(Startops1),0,-Trapped!X$40*$A105)</f>
        <v>-4.7031795037221533</v>
      </c>
      <c r="Z109" s="216">
        <f ca="1">IF(Z$7&lt;YEAR(Startops1),0,-Trapped!Y$40*$A105)</f>
        <v>-73.831622406923685</v>
      </c>
      <c r="AA109" s="423">
        <f t="shared" ca="1" si="42"/>
        <v>2103.1530443377565</v>
      </c>
      <c r="AB109" s="423">
        <f ca="1">$E109+NPV(Disc,$F109:Z109)</f>
        <v>233.55759824715321</v>
      </c>
      <c r="AC109" s="5"/>
    </row>
    <row r="110" spans="1:29" s="72" customFormat="1">
      <c r="A110" s="379"/>
      <c r="B110" s="8" t="s">
        <v>740</v>
      </c>
      <c r="C110" s="8"/>
      <c r="D110" s="23"/>
      <c r="E110" s="53">
        <f t="shared" ref="E110:Z110" ca="1" si="45">E$12*$A105</f>
        <v>0</v>
      </c>
      <c r="F110" s="53">
        <f t="shared" ca="1" si="45"/>
        <v>0</v>
      </c>
      <c r="G110" s="53">
        <f t="shared" ca="1" si="45"/>
        <v>0</v>
      </c>
      <c r="H110" s="53">
        <f t="shared" ca="1" si="45"/>
        <v>0</v>
      </c>
      <c r="I110" s="53">
        <f t="shared" ca="1" si="45"/>
        <v>0</v>
      </c>
      <c r="J110" s="53">
        <f t="shared" ca="1" si="45"/>
        <v>0</v>
      </c>
      <c r="K110" s="53">
        <f t="shared" ca="1" si="45"/>
        <v>0</v>
      </c>
      <c r="L110" s="53">
        <f t="shared" ca="1" si="45"/>
        <v>0</v>
      </c>
      <c r="M110" s="53">
        <f t="shared" ca="1" si="45"/>
        <v>0</v>
      </c>
      <c r="N110" s="53">
        <f t="shared" ca="1" si="45"/>
        <v>0</v>
      </c>
      <c r="O110" s="53">
        <f t="shared" ca="1" si="45"/>
        <v>-75.278123512846747</v>
      </c>
      <c r="P110" s="53">
        <f t="shared" ca="1" si="45"/>
        <v>-72.307600971350169</v>
      </c>
      <c r="Q110" s="53">
        <f t="shared" ca="1" si="45"/>
        <v>-58.011821550029183</v>
      </c>
      <c r="R110" s="53">
        <f t="shared" ca="1" si="45"/>
        <v>-32.524470745480912</v>
      </c>
      <c r="S110" s="53">
        <f t="shared" ca="1" si="45"/>
        <v>4.184121325285588</v>
      </c>
      <c r="T110" s="53">
        <f t="shared" ca="1" si="45"/>
        <v>55.330835323293456</v>
      </c>
      <c r="U110" s="53">
        <f t="shared" ca="1" si="45"/>
        <v>103.52117111773711</v>
      </c>
      <c r="V110" s="53">
        <f t="shared" ca="1" si="45"/>
        <v>171.3300150208911</v>
      </c>
      <c r="W110" s="53">
        <f t="shared" ca="1" si="45"/>
        <v>249.47796434043397</v>
      </c>
      <c r="X110" s="53">
        <f t="shared" ca="1" si="45"/>
        <v>333.30643036353507</v>
      </c>
      <c r="Y110" s="53">
        <f t="shared" ca="1" si="45"/>
        <v>364.13141034039631</v>
      </c>
      <c r="Z110" s="53">
        <f t="shared" ca="1" si="45"/>
        <v>121.37713678013209</v>
      </c>
      <c r="AA110" s="423">
        <f t="shared" ca="1" si="42"/>
        <v>1164.5370678319975</v>
      </c>
      <c r="AB110" s="423">
        <f ca="1">$E110+NPV(Disc,$F110:Z110)</f>
        <v>22.768701964353934</v>
      </c>
      <c r="AC110" s="5"/>
    </row>
    <row r="111" spans="1:29" s="72" customFormat="1">
      <c r="A111" s="379"/>
      <c r="B111" s="8" t="s">
        <v>962</v>
      </c>
      <c r="C111" s="15">
        <f>Wh_Int</f>
        <v>0.15</v>
      </c>
      <c r="D111" s="23"/>
      <c r="E111" s="53">
        <f ca="1">E13*$A$105</f>
        <v>0</v>
      </c>
      <c r="F111" s="53">
        <f t="shared" ref="F111:Z111" ca="1" si="46">F13*$A$105</f>
        <v>0</v>
      </c>
      <c r="G111" s="53">
        <f t="shared" ca="1" si="46"/>
        <v>0</v>
      </c>
      <c r="H111" s="53">
        <f t="shared" ca="1" si="46"/>
        <v>0</v>
      </c>
      <c r="I111" s="53">
        <f t="shared" ca="1" si="46"/>
        <v>0</v>
      </c>
      <c r="J111" s="53">
        <f t="shared" ca="1" si="46"/>
        <v>0</v>
      </c>
      <c r="K111" s="53">
        <f t="shared" ca="1" si="46"/>
        <v>0</v>
      </c>
      <c r="L111" s="53">
        <f t="shared" ca="1" si="46"/>
        <v>0</v>
      </c>
      <c r="M111" s="53">
        <f t="shared" ca="1" si="46"/>
        <v>0</v>
      </c>
      <c r="N111" s="53">
        <f t="shared" ca="1" si="46"/>
        <v>0</v>
      </c>
      <c r="O111" s="53">
        <f t="shared" ca="1" si="46"/>
        <v>11.291718526927012</v>
      </c>
      <c r="P111" s="53">
        <f t="shared" ca="1" si="46"/>
        <v>10.846140145702526</v>
      </c>
      <c r="Q111" s="53">
        <f t="shared" ca="1" si="46"/>
        <v>8.7017732325043777</v>
      </c>
      <c r="R111" s="53">
        <f t="shared" ca="1" si="46"/>
        <v>4.8786706118221366</v>
      </c>
      <c r="S111" s="53">
        <f t="shared" ca="1" si="46"/>
        <v>-0.6276181987928382</v>
      </c>
      <c r="T111" s="53">
        <f t="shared" ca="1" si="46"/>
        <v>-8.2996252984940178</v>
      </c>
      <c r="U111" s="53">
        <f t="shared" ca="1" si="46"/>
        <v>-15.528175667660566</v>
      </c>
      <c r="V111" s="53">
        <f t="shared" ca="1" si="46"/>
        <v>-25.699502253133662</v>
      </c>
      <c r="W111" s="53">
        <f t="shared" ca="1" si="46"/>
        <v>-37.421694651065096</v>
      </c>
      <c r="X111" s="53">
        <f t="shared" ca="1" si="46"/>
        <v>-49.995964554530261</v>
      </c>
      <c r="Y111" s="53">
        <f t="shared" ca="1" si="46"/>
        <v>-54.619711551059446</v>
      </c>
      <c r="Z111" s="53">
        <f t="shared" ca="1" si="46"/>
        <v>-18.206570517019813</v>
      </c>
      <c r="AA111" s="423">
        <f ca="1">SUM(D111:Z111)</f>
        <v>-174.68056017479967</v>
      </c>
      <c r="AB111" s="423">
        <f ca="1">$E111+NPV(Disc,$F111:Z111)</f>
        <v>-3.4153052946530922</v>
      </c>
      <c r="AC111" s="5"/>
    </row>
    <row r="112" spans="1:29" s="72" customFormat="1">
      <c r="A112" s="657">
        <f>Assm!$K$74</f>
        <v>0.6</v>
      </c>
      <c r="B112" s="8" t="s">
        <v>213</v>
      </c>
      <c r="C112" s="278" t="s">
        <v>211</v>
      </c>
      <c r="D112" s="23"/>
      <c r="E112" s="216">
        <f>IF(E$7=YEAR(Startops1),Assm!$O$35*$A112,0)</f>
        <v>0</v>
      </c>
      <c r="F112" s="216">
        <f>IF(F$7=YEAR(Startops1),Assm!$O$35*$A112,0)</f>
        <v>0</v>
      </c>
      <c r="G112" s="216">
        <f>IF(G$7=YEAR(Startops1),Assm!$O$35*$A112,0)</f>
        <v>0</v>
      </c>
      <c r="H112" s="216">
        <f>IF(H$7=YEAR(Startops1),Assm!$O$35*$A112,0)</f>
        <v>0</v>
      </c>
      <c r="I112" s="216">
        <f>IF(I$7=YEAR(Startops1),Assm!$O$35*$A112,0)</f>
        <v>0</v>
      </c>
      <c r="J112" s="216">
        <f>IF(J$7=YEAR(Startops1),Assm!$O$35*$A112,0)</f>
        <v>0</v>
      </c>
      <c r="K112" s="216">
        <f>IF(K$7=YEAR(Startops1),Assm!$O$35*$A112,0)</f>
        <v>0</v>
      </c>
      <c r="L112" s="216">
        <f>IF(L$7=YEAR(Startops1),Assm!$O$35*$A112,0)</f>
        <v>0</v>
      </c>
      <c r="M112" s="216">
        <f>IF(M$7=YEAR(Startops1),Assm!$O$35*$A112,0)</f>
        <v>0</v>
      </c>
      <c r="N112" s="216">
        <f>IF(N$7=YEAR(Startops1),Assm!$O$35*$A112,0)</f>
        <v>0</v>
      </c>
      <c r="O112" s="216">
        <f>IF(O$7=YEAR(Startops1),Assm!$O$35*$A112,0)</f>
        <v>0</v>
      </c>
      <c r="P112" s="216">
        <f>IF(P$7=YEAR(Startops1),Assm!$O$35*$A112,0)</f>
        <v>0</v>
      </c>
      <c r="Q112" s="216">
        <f>IF(Q$7=YEAR(Startops1),Assm!$O$35*$A112,0)</f>
        <v>0</v>
      </c>
      <c r="R112" s="216">
        <f>IF(R$7=YEAR(Startops1),Assm!$O$35*$A112,0)</f>
        <v>0</v>
      </c>
      <c r="S112" s="216">
        <f>IF(S$7=YEAR(Startops1),Assm!$O$35*$A112,0)</f>
        <v>0</v>
      </c>
      <c r="T112" s="216">
        <f>IF(T$7=YEAR(Startops1),Assm!$O$35*$A112,0)</f>
        <v>0</v>
      </c>
      <c r="U112" s="216">
        <f>IF(U$7=YEAR(Startops1),Assm!$O$35*$A112,0)</f>
        <v>0</v>
      </c>
      <c r="V112" s="216">
        <f>IF(V$7=YEAR(Startops1),Assm!$O$35*$A112,0)</f>
        <v>0</v>
      </c>
      <c r="W112" s="216">
        <f>IF(W$7=YEAR(Startops1),Assm!$O$35*$A112,0)</f>
        <v>0</v>
      </c>
      <c r="X112" s="216">
        <f>IF(X$7=YEAR(Startops1),Assm!$O$35*$A112,0)</f>
        <v>0</v>
      </c>
      <c r="Y112" s="216">
        <f>IF(Y$7=YEAR(Startops1),Assm!$O$35*$A112,0)</f>
        <v>0</v>
      </c>
      <c r="Z112" s="216">
        <f>IF(Z$7=YEAR(Startops1),Assm!$O$35*$A112,0)</f>
        <v>0</v>
      </c>
      <c r="AA112" s="423">
        <f t="shared" si="42"/>
        <v>0</v>
      </c>
      <c r="AB112" s="423">
        <f ca="1">$E112+NPV(Disc,$F112:Z112)</f>
        <v>0</v>
      </c>
      <c r="AC112" s="5"/>
    </row>
    <row r="113" spans="1:29">
      <c r="A113" s="657">
        <f>Assm!$K$75</f>
        <v>1</v>
      </c>
      <c r="B113" s="8" t="s">
        <v>212</v>
      </c>
      <c r="C113" s="278" t="s">
        <v>211</v>
      </c>
      <c r="D113" s="8"/>
      <c r="E113" s="216">
        <f ca="1">IF(E$7&lt;YEAR(Startops1),0,HLOOKUP(E$7,CF_Table,CF!$AB$28)*$A113)</f>
        <v>0</v>
      </c>
      <c r="F113" s="216">
        <f ca="1">IF(F$7&lt;YEAR(Startops1),0,HLOOKUP(F$7,CF_Table,CF!$AB$28)*$A113)</f>
        <v>0</v>
      </c>
      <c r="G113" s="216">
        <f ca="1">IF(G$7&lt;YEAR(Startops1),0,HLOOKUP(G$7,CF_Table,CF!$AB$28)*$A113)</f>
        <v>0</v>
      </c>
      <c r="H113" s="216">
        <f ca="1">IF(H$7&lt;YEAR(Startops1),0,HLOOKUP(H$7,CF_Table,CF!$AB$28)*$A113)</f>
        <v>154.80487058888517</v>
      </c>
      <c r="I113" s="216">
        <f ca="1">IF(I$7&lt;YEAR(Startops1),0,HLOOKUP(I$7,CF_Table,CF!$AB$28)*$A113)</f>
        <v>191.69346618373743</v>
      </c>
      <c r="J113" s="216">
        <f ca="1">IF(J$7&lt;YEAR(Startops1),0,HLOOKUP(J$7,CF_Table,CF!$AB$28)*$A113)</f>
        <v>197.46639232011634</v>
      </c>
      <c r="K113" s="216">
        <f ca="1">IF(K$7&lt;YEAR(Startops1),0,HLOOKUP(K$7,CF_Table,CF!$AB$28)*$A113)</f>
        <v>203.23354648741855</v>
      </c>
      <c r="L113" s="216">
        <f ca="1">IF(L$7&lt;YEAR(Startops1),0,HLOOKUP(L$7,CF_Table,CF!$AB$28)*$A113)</f>
        <v>209.03647985383603</v>
      </c>
      <c r="M113" s="216">
        <f ca="1">IF(M$7&lt;YEAR(Startops1),0,HLOOKUP(M$7,CF_Table,CF!$AB$28)*$A113)</f>
        <v>214.8892591910319</v>
      </c>
      <c r="N113" s="216">
        <f ca="1">IF(N$7&lt;YEAR(Startops1),0,HLOOKUP(N$7,CF_Table,CF!$AB$28)*$A113)</f>
        <v>220.7653370937972</v>
      </c>
      <c r="O113" s="216">
        <f ca="1">IF(O$7&lt;YEAR(Startops1),0,HLOOKUP(O$7,CF_Table,CF!$AB$28)*$A113)</f>
        <v>226.67148221110611</v>
      </c>
      <c r="P113" s="216">
        <f ca="1">IF(P$7&lt;YEAR(Startops1),0,HLOOKUP(P$7,CF_Table,CF!$AB$28)*$A113)</f>
        <v>232.62639416595195</v>
      </c>
      <c r="Q113" s="216">
        <f ca="1">IF(Q$7&lt;YEAR(Startops1),0,HLOOKUP(Q$7,CF_Table,CF!$AB$28)*$A113)</f>
        <v>238.63759215026303</v>
      </c>
      <c r="R113" s="216">
        <f ca="1">IF(R$7&lt;YEAR(Startops1),0,HLOOKUP(R$7,CF_Table,CF!$AB$28)*$A113)</f>
        <v>244.717288449503</v>
      </c>
      <c r="S113" s="216">
        <f ca="1">IF(S$7&lt;YEAR(Startops1),0,HLOOKUP(S$7,CF_Table,CF!$AB$28)*$A113)</f>
        <v>250.88797946283364</v>
      </c>
      <c r="T113" s="216">
        <f ca="1">IF(T$7&lt;YEAR(Startops1),0,HLOOKUP(T$7,CF_Table,CF!$AB$28)*$A113)</f>
        <v>257.18674114412937</v>
      </c>
      <c r="U113" s="216">
        <f ca="1">IF(U$7&lt;YEAR(Startops1),0,HLOOKUP(U$7,CF_Table,CF!$AB$28)*$A113)</f>
        <v>263.68614165385588</v>
      </c>
      <c r="V113" s="216">
        <f ca="1">IF(V$7&lt;YEAR(Startops1),0,HLOOKUP(V$7,CF_Table,CF!$AB$28)*$A113)</f>
        <v>270.44720438706617</v>
      </c>
      <c r="W113" s="216">
        <f ca="1">IF(W$7&lt;YEAR(Startops1),0,HLOOKUP(W$7,CF_Table,CF!$AB$28)*$A113)</f>
        <v>277.49956496025374</v>
      </c>
      <c r="X113" s="216">
        <f ca="1">IF(X$7&lt;YEAR(Startops1),0,HLOOKUP(X$7,CF_Table,CF!$AB$28)*$A113)</f>
        <v>284.87534665641482</v>
      </c>
      <c r="Y113" s="216">
        <f ca="1">IF(Y$7&lt;YEAR(Startops1),0,HLOOKUP(Y$7,CF_Table,CF!$AB$28)*$A113)</f>
        <v>292.57339247805976</v>
      </c>
      <c r="Z113" s="216">
        <f ca="1">IF(Z$7&lt;YEAR(Startops1),0,HLOOKUP(Z$7,CF_Table,CF!$AB$28)*$A113)</f>
        <v>100.20085805548266</v>
      </c>
      <c r="AA113" s="423">
        <f t="shared" ca="1" si="42"/>
        <v>4331.8993374937436</v>
      </c>
      <c r="AB113" s="423">
        <f ca="1">$E113+NPV(Disc,$F113:Z113)</f>
        <v>737.86534995677027</v>
      </c>
    </row>
    <row r="114" spans="1:29" s="72" customFormat="1">
      <c r="A114" s="379"/>
      <c r="B114" s="8" t="s">
        <v>359</v>
      </c>
      <c r="C114" s="8"/>
      <c r="D114" s="23"/>
      <c r="E114" s="228">
        <f t="shared" ref="E114:Z114" ca="1" si="47">-SUM(E109,E112:E113)*USTax</f>
        <v>0</v>
      </c>
      <c r="F114" s="228">
        <f t="shared" ca="1" si="47"/>
        <v>0</v>
      </c>
      <c r="G114" s="228">
        <f t="shared" ca="1" si="47"/>
        <v>0</v>
      </c>
      <c r="H114" s="228">
        <f t="shared" ca="1" si="47"/>
        <v>-57.277802117887511</v>
      </c>
      <c r="I114" s="228">
        <f t="shared" ca="1" si="47"/>
        <v>-70.926582487982841</v>
      </c>
      <c r="J114" s="228">
        <f t="shared" ca="1" si="47"/>
        <v>-71.904805525019469</v>
      </c>
      <c r="K114" s="228">
        <f t="shared" ca="1" si="47"/>
        <v>-74.038652566921286</v>
      </c>
      <c r="L114" s="228">
        <f t="shared" ca="1" si="47"/>
        <v>-90.319658815164289</v>
      </c>
      <c r="M114" s="228">
        <f t="shared" ca="1" si="47"/>
        <v>-109.65727394266499</v>
      </c>
      <c r="N114" s="228">
        <f t="shared" ca="1" si="47"/>
        <v>-125.56545443521046</v>
      </c>
      <c r="O114" s="228">
        <f t="shared" ca="1" si="47"/>
        <v>-142.51207116427526</v>
      </c>
      <c r="P114" s="228">
        <f t="shared" ca="1" si="47"/>
        <v>-159.77701077061445</v>
      </c>
      <c r="Q114" s="228">
        <f t="shared" ca="1" si="47"/>
        <v>-176.01570390827453</v>
      </c>
      <c r="R114" s="228">
        <f t="shared" ca="1" si="47"/>
        <v>-180.74061152094259</v>
      </c>
      <c r="S114" s="228">
        <f t="shared" ca="1" si="47"/>
        <v>-179.14198647661863</v>
      </c>
      <c r="T114" s="228">
        <f t="shared" ca="1" si="47"/>
        <v>-178.59102610618692</v>
      </c>
      <c r="U114" s="228">
        <f t="shared" ca="1" si="47"/>
        <v>-179.04855444876333</v>
      </c>
      <c r="V114" s="228">
        <f t="shared" ca="1" si="47"/>
        <v>-170.54983313498454</v>
      </c>
      <c r="W114" s="228">
        <f t="shared" ca="1" si="47"/>
        <v>-158.78194453243677</v>
      </c>
      <c r="X114" s="228">
        <f t="shared" ca="1" si="47"/>
        <v>-139.8518133332351</v>
      </c>
      <c r="Y114" s="228">
        <f t="shared" ca="1" si="47"/>
        <v>-106.51197880050492</v>
      </c>
      <c r="Z114" s="228">
        <f t="shared" ca="1" si="47"/>
        <v>-9.7566171899668195</v>
      </c>
      <c r="AA114" s="423">
        <f t="shared" ca="1" si="42"/>
        <v>-2380.9693812776545</v>
      </c>
      <c r="AB114" s="424">
        <f ca="1">$E114+NPV(Disc,$F114:Z114)</f>
        <v>-359.42649083545183</v>
      </c>
      <c r="AC114" s="5"/>
    </row>
    <row r="115" spans="1:29" s="78" customFormat="1">
      <c r="A115" s="379"/>
      <c r="B115" s="8" t="s">
        <v>206</v>
      </c>
      <c r="C115" s="8"/>
      <c r="D115" s="29"/>
      <c r="E115" s="53">
        <f t="shared" ref="E115:Z115" ca="1" si="48">SUM(E104:E114)</f>
        <v>-829.74626070618922</v>
      </c>
      <c r="F115" s="53">
        <f t="shared" ca="1" si="48"/>
        <v>-2811.5678426977743</v>
      </c>
      <c r="G115" s="53">
        <f t="shared" ca="1" si="48"/>
        <v>0</v>
      </c>
      <c r="H115" s="53">
        <f t="shared" ca="1" si="48"/>
        <v>149.67840330989728</v>
      </c>
      <c r="I115" s="53">
        <f t="shared" ca="1" si="48"/>
        <v>-515.89622002805311</v>
      </c>
      <c r="J115" s="53">
        <f t="shared" ca="1" si="48"/>
        <v>-651.08491549065252</v>
      </c>
      <c r="K115" s="53">
        <f t="shared" ca="1" si="48"/>
        <v>-492.584261328499</v>
      </c>
      <c r="L115" s="53">
        <f t="shared" ca="1" si="48"/>
        <v>-511.13783479492304</v>
      </c>
      <c r="M115" s="53">
        <f t="shared" ca="1" si="48"/>
        <v>-491.73771297358149</v>
      </c>
      <c r="N115" s="53">
        <f t="shared" ca="1" si="48"/>
        <v>-417.48539215378457</v>
      </c>
      <c r="O115" s="53">
        <f t="shared" ca="1" si="48"/>
        <v>-45.568879519778676</v>
      </c>
      <c r="P115" s="53">
        <f t="shared" ca="1" si="48"/>
        <v>323.3240459239571</v>
      </c>
      <c r="Q115" s="53">
        <f t="shared" ca="1" si="48"/>
        <v>425.24735379909873</v>
      </c>
      <c r="R115" s="53">
        <f t="shared" ca="1" si="48"/>
        <v>409.8991236502502</v>
      </c>
      <c r="S115" s="53">
        <f t="shared" ca="1" si="48"/>
        <v>396.29600469579975</v>
      </c>
      <c r="T115" s="53">
        <f t="shared" ca="1" si="48"/>
        <v>846.62829614553948</v>
      </c>
      <c r="U115" s="53">
        <f t="shared" ca="1" si="48"/>
        <v>1040.4838680982955</v>
      </c>
      <c r="V115" s="53">
        <f t="shared" ca="1" si="48"/>
        <v>1411.6644821048592</v>
      </c>
      <c r="W115" s="53">
        <f t="shared" ca="1" si="48"/>
        <v>2112.509827800402</v>
      </c>
      <c r="X115" s="53">
        <f t="shared" ca="1" si="48"/>
        <v>2192.3722040999764</v>
      </c>
      <c r="Y115" s="53">
        <f t="shared" ca="1" si="48"/>
        <v>2228.6160701767662</v>
      </c>
      <c r="Z115" s="53">
        <f t="shared" ca="1" si="48"/>
        <v>24673.69842839945</v>
      </c>
      <c r="AA115" s="423">
        <f t="shared" ca="1" si="42"/>
        <v>29443.608788511057</v>
      </c>
      <c r="AB115" s="423">
        <f ca="1">SUM(AB104:AB114)</f>
        <v>-2917.2842601763964</v>
      </c>
      <c r="AC115" s="5"/>
    </row>
    <row r="116" spans="1:29" s="78" customFormat="1">
      <c r="A116" s="379"/>
      <c r="B116" s="8"/>
      <c r="C116" s="8"/>
      <c r="D116" s="29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  <c r="AA116" s="450"/>
      <c r="AB116" s="419"/>
      <c r="AC116" s="5"/>
    </row>
    <row r="117" spans="1:29">
      <c r="A117" s="379"/>
      <c r="B117" s="8" t="s">
        <v>207</v>
      </c>
      <c r="C117" s="8"/>
      <c r="D117" s="28"/>
      <c r="E117" s="53">
        <f ca="1">$E115</f>
        <v>-829.74626070618922</v>
      </c>
      <c r="F117" s="53">
        <f ca="1">$E115+NPV(Disc,$F115:F115)</f>
        <v>-3192.4083133933946</v>
      </c>
      <c r="G117" s="53">
        <f ca="1">$E115+NPV(Disc,$F115:G115)</f>
        <v>-3192.4083133933946</v>
      </c>
      <c r="H117" s="53">
        <f ca="1">$E115+NPV(Disc,$F115:H115)</f>
        <v>-3103.5867818287784</v>
      </c>
      <c r="I117" s="53">
        <f ca="1">$E115+NPV(Disc,$F115:I115)</f>
        <v>-3360.8481057262215</v>
      </c>
      <c r="J117" s="53">
        <f ca="1">$E115+NPV(Disc,$F115:J115)</f>
        <v>-3633.6848299852472</v>
      </c>
      <c r="K117" s="53">
        <f ca="1">$E115+NPV(Disc,$F115:K115)</f>
        <v>-3807.144598758543</v>
      </c>
      <c r="L117" s="53">
        <f ca="1">$E115+NPV(Disc,$F115:L115)</f>
        <v>-3958.3994452593897</v>
      </c>
      <c r="M117" s="53">
        <f ca="1">$E115+NPV(Disc,$F115:M115)</f>
        <v>-4080.6801198334988</v>
      </c>
      <c r="N117" s="53">
        <f ca="1">$E115+NPV(Disc,$F115:N115)</f>
        <v>-4167.9207173755613</v>
      </c>
      <c r="O117" s="53">
        <f ca="1">$E115+NPV(Disc,$F115:O115)</f>
        <v>-4175.9227208579769</v>
      </c>
      <c r="P117" s="53">
        <f ca="1">$E115+NPV(Disc,$F115:P115)</f>
        <v>-4128.2114011532422</v>
      </c>
      <c r="Q117" s="53">
        <f ca="1">$E115+NPV(Disc,$F115:Q115)</f>
        <v>-4075.4789349378157</v>
      </c>
      <c r="R117" s="53">
        <f ca="1">$E115+NPV(Disc,$F115:R115)</f>
        <v>-4032.7653039171105</v>
      </c>
      <c r="S117" s="53">
        <f ca="1">$E115+NPV(Disc,$F115:S115)</f>
        <v>-3998.062686329718</v>
      </c>
      <c r="T117" s="53">
        <f ca="1">$E115+NPV(Disc,$F115:T115)</f>
        <v>-3935.7626415883719</v>
      </c>
      <c r="U117" s="53">
        <f ca="1">$E115+NPV(Disc,$F115:U115)</f>
        <v>-3871.4222101269056</v>
      </c>
      <c r="V117" s="53">
        <f ca="1">$E115+NPV(Disc,$F115:V115)</f>
        <v>-3798.0666319976331</v>
      </c>
      <c r="W117" s="53">
        <f ca="1">$E115+NPV(Disc,$F115:W115)</f>
        <v>-3705.8193809798108</v>
      </c>
      <c r="X117" s="53">
        <f ca="1">$E115+NPV(Disc,$F115:X115)</f>
        <v>-3625.370127068838</v>
      </c>
      <c r="Y117" s="53">
        <f ca="1">$E115+NPV(Disc,$F115:Y115)</f>
        <v>-3556.6480891245828</v>
      </c>
      <c r="Z117" s="53">
        <f ca="1">$E115+NPV(Disc,$F115:Z115)</f>
        <v>-2917.2842601763973</v>
      </c>
      <c r="AA117" s="423"/>
      <c r="AB117" s="419"/>
    </row>
    <row r="118" spans="1:29">
      <c r="A118" s="379"/>
      <c r="B118" s="8" t="s">
        <v>208</v>
      </c>
      <c r="C118" s="8"/>
      <c r="D118" s="22"/>
      <c r="E118" s="22" t="e">
        <f ca="1">IRR($E115:E115,-0.9)</f>
        <v>#NUM!</v>
      </c>
      <c r="F118" s="22" t="e">
        <f ca="1">IRR($E115:F115,-0.9)</f>
        <v>#NUM!</v>
      </c>
      <c r="G118" s="22" t="e">
        <f ca="1">IRR($E115:G115,-0.9)</f>
        <v>#NUM!</v>
      </c>
      <c r="H118" s="22">
        <f ca="1">IRR($E115:H115,-0.9)</f>
        <v>-0.77652121279316555</v>
      </c>
      <c r="I118" s="22" t="e">
        <f ca="1">IRR($E115:I115,-0.9)</f>
        <v>#NUM!</v>
      </c>
      <c r="J118" s="22" t="e">
        <f ca="1">IRR($E115:J115,-0.9)</f>
        <v>#NUM!</v>
      </c>
      <c r="K118" s="22" t="e">
        <f ca="1">IRR($E115:K115,-0.9)</f>
        <v>#NUM!</v>
      </c>
      <c r="L118" s="22" t="e">
        <f ca="1">IRR($E115:L115,-0.9)</f>
        <v>#NUM!</v>
      </c>
      <c r="M118" s="22" t="e">
        <f ca="1">IRR($E115:M115,-0.9)</f>
        <v>#NUM!</v>
      </c>
      <c r="N118" s="22" t="e">
        <f ca="1">IRR($E115:N115,-0.9)</f>
        <v>#DIV/0!</v>
      </c>
      <c r="O118" s="22" t="e">
        <f ca="1">IRR($E115:O115,-0.9)</f>
        <v>#DIV/0!</v>
      </c>
      <c r="P118" s="22">
        <f ca="1">IRR($E115:P115,-0.9)</f>
        <v>-0.4575035301056406</v>
      </c>
      <c r="Q118" s="22">
        <f ca="1">IRR($E115:Q115,-0.9)</f>
        <v>-0.28164052287117575</v>
      </c>
      <c r="R118" s="22">
        <f ca="1">IRR($E115:R115,-0.9)</f>
        <v>-0.20460425307024549</v>
      </c>
      <c r="S118" s="22">
        <f ca="1">IRR($E115:S115,-0.9)</f>
        <v>-0.15803057981298768</v>
      </c>
      <c r="T118" s="22">
        <f ca="1">IRR($E115:T115,-0.9)</f>
        <v>-9.9907723725520009E-2</v>
      </c>
      <c r="U118" s="22">
        <f ca="1">IRR($E115:U115,-0.9)</f>
        <v>-5.9759270169801447E-2</v>
      </c>
      <c r="V118" s="22">
        <f ca="1">IRR($E115:V115,-0.9)</f>
        <v>-2.6466143717612967E-2</v>
      </c>
      <c r="W118" s="22">
        <f ca="1">IRR($E115:W115,-0.9)</f>
        <v>4.1022993316888242E-3</v>
      </c>
      <c r="X118" s="22">
        <f ca="1">IRR($E115:X115,-0.9)</f>
        <v>2.468148070608283E-2</v>
      </c>
      <c r="Y118" s="22">
        <f ca="1">IRR($E115:Y115,-0.9)</f>
        <v>3.9543751163609378E-2</v>
      </c>
      <c r="Z118" s="22">
        <f ca="1">IRR($E115:Z115,-0.9)</f>
        <v>0.10737349783260977</v>
      </c>
      <c r="AA118" s="419"/>
      <c r="AB118" s="661">
        <f ca="1">IRR(E115:Z115)</f>
        <v>0.10737349783261498</v>
      </c>
    </row>
    <row r="119" spans="1:29">
      <c r="A119" s="3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419"/>
      <c r="AB119" s="419"/>
    </row>
    <row r="120" spans="1:29">
      <c r="A120" s="379"/>
      <c r="B120" s="265" t="str">
        <f ca="1">CONCATENATE(Assm!$H$70," NPV @ ",TEXT(Disc,"0.0%"))</f>
        <v>Transredes NPV @ 19.0%</v>
      </c>
      <c r="C120" s="434">
        <f ca="1">AB115</f>
        <v>-2917.2842601763964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419"/>
      <c r="AB120" s="419"/>
    </row>
    <row r="121" spans="1:29">
      <c r="A121" s="442"/>
      <c r="B121" s="436" t="str">
        <f>CONCATENATE(Assm!$H$70," IRR")</f>
        <v>Transredes IRR</v>
      </c>
      <c r="C121" s="1167">
        <f ca="1">AB118</f>
        <v>0.10737349783261498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449"/>
      <c r="AB121" s="449"/>
    </row>
    <row r="122" spans="1:29">
      <c r="A122" s="379"/>
      <c r="B122" s="32"/>
      <c r="C122" s="32"/>
      <c r="D122" s="32"/>
      <c r="E122" s="8"/>
      <c r="F122" s="116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419"/>
      <c r="AB122" s="419"/>
    </row>
    <row r="123" spans="1:29">
      <c r="A123" s="444"/>
      <c r="B123" s="8" t="s">
        <v>877</v>
      </c>
      <c r="C123" s="8"/>
      <c r="D123" s="8"/>
      <c r="E123" s="53">
        <f ca="1">E115</f>
        <v>-829.74626070618922</v>
      </c>
      <c r="F123" s="53">
        <f t="shared" ref="F123:Z123" ca="1" si="49">F115</f>
        <v>-2811.5678426977743</v>
      </c>
      <c r="G123" s="53">
        <f t="shared" ca="1" si="49"/>
        <v>0</v>
      </c>
      <c r="H123" s="53">
        <f t="shared" ca="1" si="49"/>
        <v>149.67840330989728</v>
      </c>
      <c r="I123" s="53">
        <f t="shared" ca="1" si="49"/>
        <v>-515.89622002805311</v>
      </c>
      <c r="J123" s="53">
        <f t="shared" ca="1" si="49"/>
        <v>-651.08491549065252</v>
      </c>
      <c r="K123" s="53">
        <f t="shared" ca="1" si="49"/>
        <v>-492.584261328499</v>
      </c>
      <c r="L123" s="53">
        <f t="shared" ca="1" si="49"/>
        <v>-511.13783479492304</v>
      </c>
      <c r="M123" s="53">
        <f t="shared" ca="1" si="49"/>
        <v>-491.73771297358149</v>
      </c>
      <c r="N123" s="53">
        <f t="shared" ca="1" si="49"/>
        <v>-417.48539215378457</v>
      </c>
      <c r="O123" s="53">
        <f t="shared" ca="1" si="49"/>
        <v>-45.568879519778676</v>
      </c>
      <c r="P123" s="53">
        <f t="shared" ca="1" si="49"/>
        <v>323.3240459239571</v>
      </c>
      <c r="Q123" s="53">
        <f t="shared" ca="1" si="49"/>
        <v>425.24735379909873</v>
      </c>
      <c r="R123" s="53">
        <f t="shared" ca="1" si="49"/>
        <v>409.8991236502502</v>
      </c>
      <c r="S123" s="53">
        <f t="shared" ca="1" si="49"/>
        <v>396.29600469579975</v>
      </c>
      <c r="T123" s="53">
        <f t="shared" ca="1" si="49"/>
        <v>846.62829614553948</v>
      </c>
      <c r="U123" s="53">
        <f t="shared" ca="1" si="49"/>
        <v>1040.4838680982955</v>
      </c>
      <c r="V123" s="53">
        <f t="shared" ca="1" si="49"/>
        <v>1411.6644821048592</v>
      </c>
      <c r="W123" s="53">
        <f t="shared" ca="1" si="49"/>
        <v>2112.509827800402</v>
      </c>
      <c r="X123" s="53">
        <f t="shared" ca="1" si="49"/>
        <v>2192.3722040999764</v>
      </c>
      <c r="Y123" s="53">
        <f t="shared" ca="1" si="49"/>
        <v>2228.6160701767662</v>
      </c>
      <c r="Z123" s="183">
        <f t="shared" ca="1" si="49"/>
        <v>24673.69842839945</v>
      </c>
      <c r="AA123" s="423">
        <f t="shared" ref="AA123:AA129" ca="1" si="50">SUM(E123:Z123)</f>
        <v>29443.608788511057</v>
      </c>
      <c r="AB123" s="423">
        <f ca="1">$E123+NPV(Disc,$F123:Z123)</f>
        <v>-2917.2842601763973</v>
      </c>
    </row>
    <row r="124" spans="1:29">
      <c r="A124" s="443">
        <f>A105</f>
        <v>0.125</v>
      </c>
      <c r="B124" s="8" t="s">
        <v>354</v>
      </c>
      <c r="C124" s="8"/>
      <c r="D124" s="8"/>
      <c r="E124" s="53">
        <f ca="1">IF(E$7&lt;YEAR(Startconst),0,-HLOOKUP(DATE(E$7,12,31),Idc_Table,IDC!$AP$75)*$A124-SUM($D124:D124))</f>
        <v>0</v>
      </c>
      <c r="F124" s="53">
        <f ca="1">IF(F$7&lt;YEAR(Startconst),0,-HLOOKUP(DATE(F$7,12,31),Idc_Table,IDC!$AP$75)*$A124-SUM($D124:E124))</f>
        <v>-3402.2772630915269</v>
      </c>
      <c r="G124" s="53">
        <f ca="1">IF(G$7&lt;YEAR(Startconst),0,-HLOOKUP(DATE(G$7,12,31),Idc_Table,IDC!$AP$75)*$A124-SUM($D124:F124))</f>
        <v>-5770.7706757118676</v>
      </c>
      <c r="H124" s="53">
        <f ca="1">IF(H$7&lt;YEAR(Startconst),0,-HLOOKUP(DATE(H$7,12,31),Idc_Table,IDC!$AP$75)*$A124-SUM($D124:G124))</f>
        <v>0</v>
      </c>
      <c r="I124" s="53">
        <f ca="1">IF(I$7&lt;YEAR(Startconst),0,-HLOOKUP(DATE(I$7,12,31),Idc_Table,IDC!$AP$75)*$A124-SUM($D124:H124))</f>
        <v>0</v>
      </c>
      <c r="J124" s="53">
        <f ca="1">IF(J$7&lt;YEAR(Startconst),0,-HLOOKUP(DATE(J$7,12,31),Idc_Table,IDC!$AP$75)*$A124-SUM($D124:I124))</f>
        <v>0</v>
      </c>
      <c r="K124" s="53">
        <f ca="1">IF(K$7&lt;YEAR(Startconst),0,-HLOOKUP(DATE(K$7,12,31),Idc_Table,IDC!$AP$75)*$A124-SUM($D124:J124))</f>
        <v>0</v>
      </c>
      <c r="L124" s="53">
        <f ca="1">IF(L$7&lt;YEAR(Startconst),0,-HLOOKUP(DATE(L$7,12,31),Idc_Table,IDC!$AP$75)*$A124-SUM($D124:K124))</f>
        <v>0</v>
      </c>
      <c r="M124" s="53">
        <f ca="1">IF(M$7&lt;YEAR(Startconst),0,-HLOOKUP(DATE(M$7,12,31),Idc_Table,IDC!$AP$75)*$A124-SUM($D124:L124))</f>
        <v>0</v>
      </c>
      <c r="N124" s="53">
        <f ca="1">IF(N$7&lt;YEAR(Startconst),0,-HLOOKUP(DATE(N$7,12,31),Idc_Table,IDC!$AP$75)*$A124-SUM($D124:M124))</f>
        <v>0</v>
      </c>
      <c r="O124" s="53">
        <f ca="1">IF(O$7&lt;YEAR(Startconst),0,-HLOOKUP(DATE(O$7,12,31),Idc_Table,IDC!$AP$75)*$A124-SUM($D124:N124))</f>
        <v>0</v>
      </c>
      <c r="P124" s="53">
        <f ca="1">IF(P$7&lt;YEAR(Startconst),0,-HLOOKUP(DATE(P$7,12,31),Idc_Table,IDC!$AP$75)*$A124-SUM($D124:O124))</f>
        <v>0</v>
      </c>
      <c r="Q124" s="53">
        <f ca="1">IF(Q$7&lt;YEAR(Startconst),0,-HLOOKUP(DATE(Q$7,12,31),Idc_Table,IDC!$AP$75)*$A124-SUM($D124:P124))</f>
        <v>0</v>
      </c>
      <c r="R124" s="53">
        <f ca="1">IF(R$7&lt;YEAR(Startconst),0,-HLOOKUP(DATE(R$7,12,31),Idc_Table,IDC!$AP$75)*$A124-SUM($D124:Q124))</f>
        <v>0</v>
      </c>
      <c r="S124" s="53">
        <f ca="1">IF(S$7&lt;YEAR(Startconst),0,-HLOOKUP(DATE(S$7,12,31),Idc_Table,IDC!$AP$75)*$A124-SUM($D124:R124))</f>
        <v>0</v>
      </c>
      <c r="T124" s="53">
        <f ca="1">IF(T$7&lt;YEAR(Startconst),0,-HLOOKUP(DATE(T$7,12,31),Idc_Table,IDC!$AP$75)*$A124-SUM($D124:S124))</f>
        <v>0</v>
      </c>
      <c r="U124" s="53">
        <f ca="1">IF(U$7&lt;YEAR(Startconst),0,-HLOOKUP(DATE(U$7,12,31),Idc_Table,IDC!$AP$75)*$A124-SUM($D124:T124))</f>
        <v>0</v>
      </c>
      <c r="V124" s="53">
        <f ca="1">IF(V$7&lt;YEAR(Startconst),0,-HLOOKUP(DATE(V$7,12,31),Idc_Table,IDC!$AP$75)*$A124-SUM($D124:U124))</f>
        <v>0</v>
      </c>
      <c r="W124" s="53">
        <f ca="1">IF(W$7&lt;YEAR(Startconst),0,-HLOOKUP(DATE(W$7,12,31),Idc_Table,IDC!$AP$75)*$A124-SUM($D124:V124))</f>
        <v>0</v>
      </c>
      <c r="X124" s="53">
        <f ca="1">IF(X$7&lt;YEAR(Startconst),0,-HLOOKUP(DATE(X$7,12,31),Idc_Table,IDC!$AP$75)*$A124-SUM($D124:W124))</f>
        <v>0</v>
      </c>
      <c r="Y124" s="53">
        <f ca="1">IF(Y$7&lt;YEAR(Startconst),0,-HLOOKUP(DATE(Y$7,12,31),Idc_Table,IDC!$AP$75)*$A124-SUM($D124:X124))</f>
        <v>0</v>
      </c>
      <c r="Z124" s="183">
        <f ca="1">IF(Z$7&lt;YEAR(Startconst),0,-HLOOKUP(DATE(Z$7,12,31),Idc_Table,IDC!$AP$75)*$A124-SUM($D124:Y124))</f>
        <v>0</v>
      </c>
      <c r="AA124" s="423">
        <f t="shared" ca="1" si="50"/>
        <v>-9173.0479388033946</v>
      </c>
      <c r="AB124" s="423">
        <f ca="1">$E124+NPV(Disc,$F124:Z124)</f>
        <v>-6934.1717525533413</v>
      </c>
    </row>
    <row r="125" spans="1:29">
      <c r="A125" s="379"/>
      <c r="B125" s="8" t="s">
        <v>355</v>
      </c>
      <c r="C125" s="8"/>
      <c r="D125" s="8"/>
      <c r="E125" s="53">
        <f ca="1">IF(E$7=YEAR(Fin_Close),-SUM($D124:E124),0)</f>
        <v>0</v>
      </c>
      <c r="F125" s="53">
        <f ca="1">IF(F$7=YEAR(Fin_Close),-SUM($D124:F124),0)</f>
        <v>0</v>
      </c>
      <c r="G125" s="53">
        <f ca="1">IF(G$7=YEAR(Fin_Close),-SUM($D124:G124),0)</f>
        <v>9173.0479388033946</v>
      </c>
      <c r="H125" s="53">
        <f ca="1">IF(H$7=YEAR(Fin_Close),-SUM($D124:H124),0)</f>
        <v>0</v>
      </c>
      <c r="I125" s="53">
        <f ca="1">IF(I$7=YEAR(Fin_Close),-SUM($D124:I124),0)</f>
        <v>0</v>
      </c>
      <c r="J125" s="53">
        <f ca="1">IF(J$7=YEAR(Fin_Close),-SUM($D124:J124),0)</f>
        <v>0</v>
      </c>
      <c r="K125" s="53">
        <f ca="1">IF(K$7=YEAR(Fin_Close),-SUM($D124:K124),0)</f>
        <v>0</v>
      </c>
      <c r="L125" s="53">
        <f ca="1">IF(L$7=YEAR(Fin_Close),-SUM($D124:L124),0)</f>
        <v>0</v>
      </c>
      <c r="M125" s="53">
        <f ca="1">IF(M$7=YEAR(Fin_Close),-SUM($D124:M124),0)</f>
        <v>0</v>
      </c>
      <c r="N125" s="53">
        <f ca="1">IF(N$7=YEAR(Fin_Close),-SUM($D124:N124),0)</f>
        <v>0</v>
      </c>
      <c r="O125" s="53">
        <f ca="1">IF(O$7=YEAR(Fin_Close),-SUM($D124:O124),0)</f>
        <v>0</v>
      </c>
      <c r="P125" s="53">
        <f ca="1">IF(P$7=YEAR(Fin_Close),-SUM($D124:P124),0)</f>
        <v>0</v>
      </c>
      <c r="Q125" s="53">
        <f ca="1">IF(Q$7=YEAR(Fin_Close),-SUM($D124:Q124),0)</f>
        <v>0</v>
      </c>
      <c r="R125" s="53">
        <f ca="1">IF(R$7=YEAR(Fin_Close),-SUM($D124:R124),0)</f>
        <v>0</v>
      </c>
      <c r="S125" s="53">
        <f ca="1">IF(S$7=YEAR(Fin_Close),-SUM($D124:S124),0)</f>
        <v>0</v>
      </c>
      <c r="T125" s="53">
        <f ca="1">IF(T$7=YEAR(Fin_Close),-SUM($D124:T124),0)</f>
        <v>0</v>
      </c>
      <c r="U125" s="53">
        <f ca="1">IF(U$7=YEAR(Fin_Close),-SUM($D124:U124),0)</f>
        <v>0</v>
      </c>
      <c r="V125" s="53">
        <f ca="1">IF(V$7=YEAR(Fin_Close),-SUM($D124:V124),0)</f>
        <v>0</v>
      </c>
      <c r="W125" s="53">
        <f ca="1">IF(W$7=YEAR(Fin_Close),-SUM($D124:W124),0)</f>
        <v>0</v>
      </c>
      <c r="X125" s="53">
        <f ca="1">IF(X$7=YEAR(Fin_Close),-SUM($D124:X124),0)</f>
        <v>0</v>
      </c>
      <c r="Y125" s="53">
        <f ca="1">IF(Y$7=YEAR(Fin_Close),-SUM($D124:Y124),0)</f>
        <v>0</v>
      </c>
      <c r="Z125" s="53">
        <f ca="1">IF(Z$7=YEAR(Fin_Close),-SUM($D124:Z124),0)</f>
        <v>0</v>
      </c>
      <c r="AA125" s="423">
        <f t="shared" ca="1" si="50"/>
        <v>9173.0479388033946</v>
      </c>
      <c r="AB125" s="423">
        <f ca="1">$E125+NPV(Disc,$F125:Z125)</f>
        <v>6477.6837361792213</v>
      </c>
    </row>
    <row r="126" spans="1:29">
      <c r="A126" s="379"/>
      <c r="B126" s="8" t="s">
        <v>722</v>
      </c>
      <c r="C126" s="278" t="s">
        <v>362</v>
      </c>
      <c r="D126" s="8"/>
      <c r="E126" s="53">
        <f ca="1">IF(E$7&lt;YEAR(Startconst),0,(HLOOKUP(DATE(E$7,12,31),Idc_Table,IDC!$AP$73))*$A124-SUM($D126:D126))</f>
        <v>0</v>
      </c>
      <c r="F126" s="53">
        <f ca="1">IF(F$7&lt;YEAR(Startconst),0,(HLOOKUP(DATE(F$7,12,31),Idc_Table,IDC!$AP$73))*$A124-SUM($D126:E126))</f>
        <v>52.995790629567757</v>
      </c>
      <c r="G126" s="53">
        <f ca="1">IF(G$7&lt;YEAR(Startconst),0,(HLOOKUP(DATE(G$7,12,31),Idc_Table,IDC!$AP$73))*$A124-SUM($D126:F126))</f>
        <v>233.32887979548394</v>
      </c>
      <c r="H126" s="53">
        <f ca="1">IF(H$7&lt;YEAR(Startconst),0,(HLOOKUP(DATE(H$7,12,31),Idc_Table,IDC!$AP$73))*$A124-SUM($D126:G126))</f>
        <v>0</v>
      </c>
      <c r="I126" s="53">
        <f ca="1">IF(I$7&lt;YEAR(Startconst),0,(HLOOKUP(DATE(I$7,12,31),Idc_Table,IDC!$AP$73))*$A124-SUM($D126:H126))</f>
        <v>0</v>
      </c>
      <c r="J126" s="53">
        <f ca="1">IF(J$7&lt;YEAR(Startconst),0,(HLOOKUP(DATE(J$7,12,31),Idc_Table,IDC!$AP$73))*$A124-SUM($D126:I126))</f>
        <v>0</v>
      </c>
      <c r="K126" s="53">
        <f ca="1">IF(K$7&lt;YEAR(Startconst),0,(HLOOKUP(DATE(K$7,12,31),Idc_Table,IDC!$AP$73))*$A124-SUM($D126:J126))</f>
        <v>0</v>
      </c>
      <c r="L126" s="53">
        <f ca="1">IF(L$7&lt;YEAR(Startconst),0,(HLOOKUP(DATE(L$7,12,31),Idc_Table,IDC!$AP$73))*$A124-SUM($D126:K126))</f>
        <v>0</v>
      </c>
      <c r="M126" s="53">
        <f ca="1">IF(M$7&lt;YEAR(Startconst),0,(HLOOKUP(DATE(M$7,12,31),Idc_Table,IDC!$AP$73))*$A124-SUM($D126:L126))</f>
        <v>0</v>
      </c>
      <c r="N126" s="53">
        <f ca="1">IF(N$7&lt;YEAR(Startconst),0,(HLOOKUP(DATE(N$7,12,31),Idc_Table,IDC!$AP$73))*$A124-SUM($D126:M126))</f>
        <v>0</v>
      </c>
      <c r="O126" s="53">
        <f ca="1">IF(O$7&lt;YEAR(Startconst),0,(HLOOKUP(DATE(O$7,12,31),Idc_Table,IDC!$AP$73))*$A124-SUM($D126:N126))</f>
        <v>0</v>
      </c>
      <c r="P126" s="53">
        <f ca="1">IF(P$7&lt;YEAR(Startconst),0,(HLOOKUP(DATE(P$7,12,31),Idc_Table,IDC!$AP$73))*$A124-SUM($D126:O126))</f>
        <v>0</v>
      </c>
      <c r="Q126" s="53">
        <f ca="1">IF(Q$7&lt;YEAR(Startconst),0,(HLOOKUP(DATE(Q$7,12,31),Idc_Table,IDC!$AP$73))*$A124-SUM($D126:P126))</f>
        <v>0</v>
      </c>
      <c r="R126" s="53">
        <f ca="1">IF(R$7&lt;YEAR(Startconst),0,(HLOOKUP(DATE(R$7,12,31),Idc_Table,IDC!$AP$73))*$A124-SUM($D126:Q126))</f>
        <v>0</v>
      </c>
      <c r="S126" s="53">
        <f ca="1">IF(S$7&lt;YEAR(Startconst),0,(HLOOKUP(DATE(S$7,12,31),Idc_Table,IDC!$AP$73))*$A124-SUM($D126:R126))</f>
        <v>0</v>
      </c>
      <c r="T126" s="53">
        <f ca="1">IF(T$7&lt;YEAR(Startconst),0,(HLOOKUP(DATE(T$7,12,31),Idc_Table,IDC!$AP$73))*$A124-SUM($D126:S126))</f>
        <v>0</v>
      </c>
      <c r="U126" s="53">
        <f ca="1">IF(U$7&lt;YEAR(Startconst),0,(HLOOKUP(DATE(U$7,12,31),Idc_Table,IDC!$AP$73))*$A124-SUM($D126:T126))</f>
        <v>0</v>
      </c>
      <c r="V126" s="53">
        <f ca="1">IF(V$7&lt;YEAR(Startconst),0,(HLOOKUP(DATE(V$7,12,31),Idc_Table,IDC!$AP$73))*$A124-SUM($D126:U126))</f>
        <v>0</v>
      </c>
      <c r="W126" s="53">
        <f ca="1">IF(W$7&lt;YEAR(Startconst),0,(HLOOKUP(DATE(W$7,12,31),Idc_Table,IDC!$AP$73))*$A124-SUM($D126:V126))</f>
        <v>0</v>
      </c>
      <c r="X126" s="53">
        <f ca="1">IF(X$7&lt;YEAR(Startconst),0,(HLOOKUP(DATE(X$7,12,31),Idc_Table,IDC!$AP$73))*$A124-SUM($D126:W126))</f>
        <v>0</v>
      </c>
      <c r="Y126" s="53">
        <f ca="1">IF(Y$7&lt;YEAR(Startconst),0,(HLOOKUP(DATE(Y$7,12,31),Idc_Table,IDC!$AP$73))*$A124-SUM($D126:X126))</f>
        <v>0</v>
      </c>
      <c r="Z126" s="53">
        <f ca="1">IF(Z$7&lt;YEAR(Startconst),0,(HLOOKUP(DATE(Z$7,12,31),Idc_Table,IDC!$AP$73))*$A124-SUM($D126:Y126))</f>
        <v>0</v>
      </c>
      <c r="AA126" s="423">
        <f t="shared" ca="1" si="50"/>
        <v>286.32467042505169</v>
      </c>
      <c r="AB126" s="423">
        <f ca="1">$E126+NPV(Disc,$F126:Z126)</f>
        <v>209.30292397759308</v>
      </c>
    </row>
    <row r="127" spans="1:29">
      <c r="A127" s="379"/>
      <c r="B127" s="8" t="s">
        <v>604</v>
      </c>
      <c r="C127" s="278" t="s">
        <v>362</v>
      </c>
      <c r="D127" s="8"/>
      <c r="E127" s="53">
        <f ca="1">Wh_Int*-E126</f>
        <v>0</v>
      </c>
      <c r="F127" s="53">
        <f t="shared" ref="F127:Z127" ca="1" si="51">Wh_Int*-F126</f>
        <v>-7.9493685944351631</v>
      </c>
      <c r="G127" s="53">
        <f t="shared" ca="1" si="51"/>
        <v>-34.99933196932259</v>
      </c>
      <c r="H127" s="53">
        <f t="shared" ca="1" si="51"/>
        <v>0</v>
      </c>
      <c r="I127" s="53">
        <f t="shared" ca="1" si="51"/>
        <v>0</v>
      </c>
      <c r="J127" s="53">
        <f t="shared" ca="1" si="51"/>
        <v>0</v>
      </c>
      <c r="K127" s="53">
        <f t="shared" ca="1" si="51"/>
        <v>0</v>
      </c>
      <c r="L127" s="53">
        <f t="shared" ca="1" si="51"/>
        <v>0</v>
      </c>
      <c r="M127" s="53">
        <f t="shared" ca="1" si="51"/>
        <v>0</v>
      </c>
      <c r="N127" s="53">
        <f t="shared" ca="1" si="51"/>
        <v>0</v>
      </c>
      <c r="O127" s="53">
        <f t="shared" ca="1" si="51"/>
        <v>0</v>
      </c>
      <c r="P127" s="53">
        <f t="shared" ca="1" si="51"/>
        <v>0</v>
      </c>
      <c r="Q127" s="53">
        <f t="shared" ca="1" si="51"/>
        <v>0</v>
      </c>
      <c r="R127" s="53">
        <f t="shared" ca="1" si="51"/>
        <v>0</v>
      </c>
      <c r="S127" s="53">
        <f t="shared" ca="1" si="51"/>
        <v>0</v>
      </c>
      <c r="T127" s="53">
        <f t="shared" ca="1" si="51"/>
        <v>0</v>
      </c>
      <c r="U127" s="53">
        <f t="shared" ca="1" si="51"/>
        <v>0</v>
      </c>
      <c r="V127" s="53">
        <f t="shared" ca="1" si="51"/>
        <v>0</v>
      </c>
      <c r="W127" s="53">
        <f t="shared" ca="1" si="51"/>
        <v>0</v>
      </c>
      <c r="X127" s="53">
        <f t="shared" ca="1" si="51"/>
        <v>0</v>
      </c>
      <c r="Y127" s="53">
        <f t="shared" ca="1" si="51"/>
        <v>0</v>
      </c>
      <c r="Z127" s="53">
        <f t="shared" ca="1" si="51"/>
        <v>0</v>
      </c>
      <c r="AA127" s="423">
        <f t="shared" ca="1" si="50"/>
        <v>-42.948700563757754</v>
      </c>
      <c r="AB127" s="423">
        <f ca="1">$E127+NPV(Disc,$F127:Z127)</f>
        <v>-31.395438596638968</v>
      </c>
    </row>
    <row r="128" spans="1:29">
      <c r="A128" s="379"/>
      <c r="B128" s="8" t="s">
        <v>1033</v>
      </c>
      <c r="C128" s="8"/>
      <c r="D128" s="8"/>
      <c r="E128" s="228">
        <f ca="1">-(E126+E127)*USTax</f>
        <v>0</v>
      </c>
      <c r="F128" s="228">
        <f t="shared" ref="F128:Z128" ca="1" si="52">-(F126+F127)*USTax</f>
        <v>-16.667176152999058</v>
      </c>
      <c r="G128" s="228">
        <f t="shared" ca="1" si="52"/>
        <v>-73.381932695679708</v>
      </c>
      <c r="H128" s="228">
        <f t="shared" ca="1" si="52"/>
        <v>0</v>
      </c>
      <c r="I128" s="228">
        <f t="shared" ca="1" si="52"/>
        <v>0</v>
      </c>
      <c r="J128" s="228">
        <f t="shared" ca="1" si="52"/>
        <v>0</v>
      </c>
      <c r="K128" s="228">
        <f t="shared" ca="1" si="52"/>
        <v>0</v>
      </c>
      <c r="L128" s="228">
        <f t="shared" ca="1" si="52"/>
        <v>0</v>
      </c>
      <c r="M128" s="228">
        <f t="shared" ca="1" si="52"/>
        <v>0</v>
      </c>
      <c r="N128" s="228">
        <f t="shared" ca="1" si="52"/>
        <v>0</v>
      </c>
      <c r="O128" s="228">
        <f t="shared" ca="1" si="52"/>
        <v>0</v>
      </c>
      <c r="P128" s="228">
        <f t="shared" ca="1" si="52"/>
        <v>0</v>
      </c>
      <c r="Q128" s="228">
        <f t="shared" ca="1" si="52"/>
        <v>0</v>
      </c>
      <c r="R128" s="228">
        <f t="shared" ca="1" si="52"/>
        <v>0</v>
      </c>
      <c r="S128" s="228">
        <f t="shared" ca="1" si="52"/>
        <v>0</v>
      </c>
      <c r="T128" s="228">
        <f t="shared" ca="1" si="52"/>
        <v>0</v>
      </c>
      <c r="U128" s="228">
        <f t="shared" ca="1" si="52"/>
        <v>0</v>
      </c>
      <c r="V128" s="228">
        <f t="shared" ca="1" si="52"/>
        <v>0</v>
      </c>
      <c r="W128" s="228">
        <f t="shared" ca="1" si="52"/>
        <v>0</v>
      </c>
      <c r="X128" s="228">
        <f t="shared" ca="1" si="52"/>
        <v>0</v>
      </c>
      <c r="Y128" s="228">
        <f t="shared" ca="1" si="52"/>
        <v>0</v>
      </c>
      <c r="Z128" s="228">
        <f t="shared" ca="1" si="52"/>
        <v>0</v>
      </c>
      <c r="AA128" s="424">
        <f t="shared" ca="1" si="50"/>
        <v>-90.04910884867877</v>
      </c>
      <c r="AB128" s="424">
        <f ca="1">$E128+NPV(Disc,$F128:Z128)</f>
        <v>-65.825769590953044</v>
      </c>
    </row>
    <row r="129" spans="1:28">
      <c r="A129" s="379"/>
      <c r="B129" s="8" t="s">
        <v>723</v>
      </c>
      <c r="C129" s="8"/>
      <c r="D129" s="8"/>
      <c r="E129" s="53">
        <f ca="1">SUM(E123:E128)</f>
        <v>-829.74626070618922</v>
      </c>
      <c r="F129" s="53">
        <f t="shared" ref="F129:Z129" ca="1" si="53">SUM(F123:F128)</f>
        <v>-6185.4658599071681</v>
      </c>
      <c r="G129" s="53">
        <f t="shared" ca="1" si="53"/>
        <v>3527.2248782220086</v>
      </c>
      <c r="H129" s="53">
        <f t="shared" ca="1" si="53"/>
        <v>149.67840330989728</v>
      </c>
      <c r="I129" s="53">
        <f t="shared" ca="1" si="53"/>
        <v>-515.89622002805311</v>
      </c>
      <c r="J129" s="53">
        <f t="shared" ca="1" si="53"/>
        <v>-651.08491549065252</v>
      </c>
      <c r="K129" s="53">
        <f t="shared" ca="1" si="53"/>
        <v>-492.584261328499</v>
      </c>
      <c r="L129" s="53">
        <f t="shared" ca="1" si="53"/>
        <v>-511.13783479492304</v>
      </c>
      <c r="M129" s="53">
        <f t="shared" ca="1" si="53"/>
        <v>-491.73771297358149</v>
      </c>
      <c r="N129" s="53">
        <f t="shared" ca="1" si="53"/>
        <v>-417.48539215378457</v>
      </c>
      <c r="O129" s="53">
        <f t="shared" ca="1" si="53"/>
        <v>-45.568879519778676</v>
      </c>
      <c r="P129" s="53">
        <f t="shared" ca="1" si="53"/>
        <v>323.3240459239571</v>
      </c>
      <c r="Q129" s="53">
        <f t="shared" ca="1" si="53"/>
        <v>425.24735379909873</v>
      </c>
      <c r="R129" s="53">
        <f t="shared" ca="1" si="53"/>
        <v>409.8991236502502</v>
      </c>
      <c r="S129" s="53">
        <f t="shared" ca="1" si="53"/>
        <v>396.29600469579975</v>
      </c>
      <c r="T129" s="53">
        <f t="shared" ca="1" si="53"/>
        <v>846.62829614553948</v>
      </c>
      <c r="U129" s="53">
        <f t="shared" ca="1" si="53"/>
        <v>1040.4838680982955</v>
      </c>
      <c r="V129" s="53">
        <f t="shared" ca="1" si="53"/>
        <v>1411.6644821048592</v>
      </c>
      <c r="W129" s="53">
        <f t="shared" ca="1" si="53"/>
        <v>2112.509827800402</v>
      </c>
      <c r="X129" s="53">
        <f t="shared" ca="1" si="53"/>
        <v>2192.3722040999764</v>
      </c>
      <c r="Y129" s="53">
        <f t="shared" ca="1" si="53"/>
        <v>2228.6160701767662</v>
      </c>
      <c r="Z129" s="53">
        <f t="shared" ca="1" si="53"/>
        <v>24673.69842839945</v>
      </c>
      <c r="AA129" s="423">
        <f t="shared" ca="1" si="50"/>
        <v>29596.935649523672</v>
      </c>
      <c r="AB129" s="423">
        <f ca="1">SUM(AB123:AB128)</f>
        <v>-3261.6905607605163</v>
      </c>
    </row>
    <row r="130" spans="1:28">
      <c r="A130" s="3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419"/>
      <c r="AB130" s="419"/>
    </row>
    <row r="131" spans="1:28">
      <c r="A131" s="379"/>
      <c r="B131" s="8" t="s">
        <v>207</v>
      </c>
      <c r="C131" s="8"/>
      <c r="D131" s="8"/>
      <c r="E131" s="53">
        <f ca="1">$E129</f>
        <v>-829.74626070618922</v>
      </c>
      <c r="F131" s="53">
        <f ca="1">$E129+NPV(Disc,$F129:F129)</f>
        <v>-6027.6167312164143</v>
      </c>
      <c r="G131" s="53">
        <f ca="1">$E129+NPV(Disc,$F129:G129)</f>
        <v>-3536.8146139775131</v>
      </c>
      <c r="H131" s="53">
        <f ca="1">$E129+NPV(Disc,$F129:H129)</f>
        <v>-3447.9930824128969</v>
      </c>
      <c r="I131" s="53">
        <f ca="1">$E129+NPV(Disc,$F129:I129)</f>
        <v>-3705.2544063103401</v>
      </c>
      <c r="J131" s="53">
        <f ca="1">$E129+NPV(Disc,$F129:J129)</f>
        <v>-3978.0911305693653</v>
      </c>
      <c r="K131" s="53">
        <f ca="1">$E129+NPV(Disc,$F129:K129)</f>
        <v>-4151.5508993426611</v>
      </c>
      <c r="L131" s="53">
        <f ca="1">$E129+NPV(Disc,$F129:L129)</f>
        <v>-4302.8057458435087</v>
      </c>
      <c r="M131" s="53">
        <f ca="1">$E129+NPV(Disc,$F129:M129)</f>
        <v>-4425.0864204176178</v>
      </c>
      <c r="N131" s="53">
        <f ca="1">$E129+NPV(Disc,$F129:N129)</f>
        <v>-4512.3270179596802</v>
      </c>
      <c r="O131" s="53">
        <f ca="1">$E129+NPV(Disc,$F129:O129)</f>
        <v>-4520.3290214420949</v>
      </c>
      <c r="P131" s="53">
        <f ca="1">$E129+NPV(Disc,$F129:P129)</f>
        <v>-4472.6177017373602</v>
      </c>
      <c r="Q131" s="53">
        <f ca="1">$E129+NPV(Disc,$F129:Q129)</f>
        <v>-4419.8852355219333</v>
      </c>
      <c r="R131" s="53">
        <f ca="1">$E129+NPV(Disc,$F129:R129)</f>
        <v>-4377.1716045012281</v>
      </c>
      <c r="S131" s="53">
        <f ca="1">$E129+NPV(Disc,$F129:S129)</f>
        <v>-4342.4689869138347</v>
      </c>
      <c r="T131" s="53">
        <f ca="1">$E129+NPV(Disc,$F129:T129)</f>
        <v>-4280.1689421724886</v>
      </c>
      <c r="U131" s="53">
        <f ca="1">$E129+NPV(Disc,$F129:U129)</f>
        <v>-4215.8285107110223</v>
      </c>
      <c r="V131" s="53">
        <f ca="1">$E129+NPV(Disc,$F129:V129)</f>
        <v>-4142.4729325817498</v>
      </c>
      <c r="W131" s="53">
        <f ca="1">$E129+NPV(Disc,$F129:W129)</f>
        <v>-4050.2256815639275</v>
      </c>
      <c r="X131" s="53">
        <f ca="1">$E129+NPV(Disc,$F129:X129)</f>
        <v>-3969.7764276529547</v>
      </c>
      <c r="Y131" s="53">
        <f ca="1">$E129+NPV(Disc,$F129:Y129)</f>
        <v>-3901.0543897086995</v>
      </c>
      <c r="Z131" s="53">
        <f ca="1">$E129+NPV(Disc,$F129:Z129)</f>
        <v>-3261.690560760514</v>
      </c>
      <c r="AA131" s="419"/>
      <c r="AB131" s="419"/>
    </row>
    <row r="132" spans="1:28">
      <c r="A132" s="379"/>
      <c r="B132" s="8" t="s">
        <v>208</v>
      </c>
      <c r="C132" s="8"/>
      <c r="D132" s="8"/>
      <c r="E132" s="22" t="e">
        <f ca="1">IRR($E129:E129,-0.9)</f>
        <v>#NUM!</v>
      </c>
      <c r="F132" s="22" t="e">
        <f ca="1">IRR($E129:F129,-0.9)</f>
        <v>#NUM!</v>
      </c>
      <c r="G132" s="22">
        <f ca="1">IRR($E129:G129,-0.9)</f>
        <v>-0.4677568181700732</v>
      </c>
      <c r="H132" s="22">
        <f ca="1">IRR($E129:H129,-0.9)</f>
        <v>-0.43072200923548831</v>
      </c>
      <c r="I132" s="22" t="e">
        <f ca="1">IRR($E129:I129,-0.9)</f>
        <v>#NUM!</v>
      </c>
      <c r="J132" s="22" t="e">
        <f ca="1">IRR($E129:J129,-0.9)</f>
        <v>#NUM!</v>
      </c>
      <c r="K132" s="22" t="e">
        <f ca="1">IRR($E129:K129,-0.9)</f>
        <v>#NUM!</v>
      </c>
      <c r="L132" s="22" t="e">
        <f ca="1">IRR($E129:L129,-0.9)</f>
        <v>#NUM!</v>
      </c>
      <c r="M132" s="22" t="e">
        <f ca="1">IRR($E129:M129,-0.9)</f>
        <v>#DIV/0!</v>
      </c>
      <c r="N132" s="22" t="e">
        <f ca="1">IRR($E129:N129,-0.9)</f>
        <v>#DIV/0!</v>
      </c>
      <c r="O132" s="22" t="e">
        <f ca="1">IRR($E129:O129,-0.9)</f>
        <v>#DIV/0!</v>
      </c>
      <c r="P132" s="22">
        <f ca="1">IRR($E129:P129,-0.9)</f>
        <v>-0.45363132493924724</v>
      </c>
      <c r="Q132" s="22">
        <f ca="1">IRR($E129:Q129,-0.9)</f>
        <v>-0.27252436376315115</v>
      </c>
      <c r="R132" s="22">
        <f ca="1">IRR($E129:R129,-0.9)</f>
        <v>-0.19557589367178649</v>
      </c>
      <c r="S132" s="22">
        <f ca="1">IRR($E129:S129,-0.9)</f>
        <v>-0.15006857619849892</v>
      </c>
      <c r="T132" s="22">
        <f ca="1">IRR($E129:T129,-0.9)</f>
        <v>-9.3944233320801304E-2</v>
      </c>
      <c r="U132" s="22">
        <f ca="1">IRR($E129:U129,-0.9)</f>
        <v>-5.5417432599884443E-2</v>
      </c>
      <c r="V132" s="22">
        <f ca="1">IRR($E129:V129,-0.9)</f>
        <v>-2.3533924462023136E-2</v>
      </c>
      <c r="W132" s="22">
        <f ca="1">IRR($E129:W129,-0.9)</f>
        <v>5.7502763995826555E-3</v>
      </c>
      <c r="X132" s="22">
        <f ca="1">IRR($E129:X129,-0.9)</f>
        <v>2.5490352266341245E-2</v>
      </c>
      <c r="Y132" s="22">
        <f ca="1">IRR($E129:Y129,-0.9)</f>
        <v>3.9768457289407352E-2</v>
      </c>
      <c r="Z132" s="22">
        <f ca="1">IRR($E129:Z129,-0.9)</f>
        <v>0.10519582952001044</v>
      </c>
      <c r="AA132" s="419"/>
      <c r="AB132" s="661">
        <f ca="1">IRR($E129:Z129)</f>
        <v>0.10519582952001102</v>
      </c>
    </row>
    <row r="133" spans="1:28">
      <c r="A133" s="3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419"/>
      <c r="AB133" s="419"/>
    </row>
    <row r="134" spans="1:28">
      <c r="A134" s="379"/>
      <c r="B134" s="265" t="str">
        <f ca="1">CONCATENATE("Transredes NPV w/ Bridge Loan @ ",TEXT(Disc,"0.0%"))</f>
        <v>Transredes NPV w/ Bridge Loan @ 19.0%</v>
      </c>
      <c r="C134" s="434">
        <f ca="1">AB129</f>
        <v>-3261.6905607605163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419"/>
      <c r="AB134" s="419"/>
    </row>
    <row r="135" spans="1:28">
      <c r="A135" s="442"/>
      <c r="B135" s="436" t="s">
        <v>1034</v>
      </c>
      <c r="C135" s="1167">
        <f ca="1">AB132</f>
        <v>0.10519582952001102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449"/>
      <c r="AB135" s="449"/>
    </row>
    <row r="136" spans="1:28">
      <c r="A136" s="150"/>
      <c r="B136" s="126"/>
      <c r="C136" s="12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419"/>
      <c r="AB136" s="419"/>
    </row>
    <row r="137" spans="1:28">
      <c r="A137" s="444"/>
      <c r="B137" s="8" t="s">
        <v>30</v>
      </c>
      <c r="C137" s="8"/>
      <c r="D137" s="8"/>
      <c r="E137" s="53">
        <f ca="1">E129</f>
        <v>-829.74626070618922</v>
      </c>
      <c r="F137" s="53">
        <f t="shared" ref="F137:Z137" ca="1" si="54">F129</f>
        <v>-6185.4658599071681</v>
      </c>
      <c r="G137" s="53">
        <f t="shared" ca="1" si="54"/>
        <v>3527.2248782220086</v>
      </c>
      <c r="H137" s="53">
        <f t="shared" ca="1" si="54"/>
        <v>149.67840330989728</v>
      </c>
      <c r="I137" s="53">
        <f t="shared" ca="1" si="54"/>
        <v>-515.89622002805311</v>
      </c>
      <c r="J137" s="53">
        <f t="shared" ca="1" si="54"/>
        <v>-651.08491549065252</v>
      </c>
      <c r="K137" s="53">
        <f t="shared" ca="1" si="54"/>
        <v>-492.584261328499</v>
      </c>
      <c r="L137" s="53">
        <f t="shared" ca="1" si="54"/>
        <v>-511.13783479492304</v>
      </c>
      <c r="M137" s="53">
        <f t="shared" ca="1" si="54"/>
        <v>-491.73771297358149</v>
      </c>
      <c r="N137" s="53">
        <f t="shared" ca="1" si="54"/>
        <v>-417.48539215378457</v>
      </c>
      <c r="O137" s="53">
        <f t="shared" ca="1" si="54"/>
        <v>-45.568879519778676</v>
      </c>
      <c r="P137" s="53">
        <f t="shared" ca="1" si="54"/>
        <v>323.3240459239571</v>
      </c>
      <c r="Q137" s="53">
        <f t="shared" ca="1" si="54"/>
        <v>425.24735379909873</v>
      </c>
      <c r="R137" s="53">
        <f t="shared" ca="1" si="54"/>
        <v>409.8991236502502</v>
      </c>
      <c r="S137" s="53">
        <f t="shared" ca="1" si="54"/>
        <v>396.29600469579975</v>
      </c>
      <c r="T137" s="53">
        <f t="shared" ca="1" si="54"/>
        <v>846.62829614553948</v>
      </c>
      <c r="U137" s="53">
        <f t="shared" ca="1" si="54"/>
        <v>1040.4838680982955</v>
      </c>
      <c r="V137" s="53">
        <f t="shared" ca="1" si="54"/>
        <v>1411.6644821048592</v>
      </c>
      <c r="W137" s="53">
        <f t="shared" ca="1" si="54"/>
        <v>2112.509827800402</v>
      </c>
      <c r="X137" s="53">
        <f t="shared" ca="1" si="54"/>
        <v>2192.3722040999764</v>
      </c>
      <c r="Y137" s="53">
        <f t="shared" ca="1" si="54"/>
        <v>2228.6160701767662</v>
      </c>
      <c r="Z137" s="53">
        <f t="shared" ca="1" si="54"/>
        <v>24673.69842839945</v>
      </c>
      <c r="AA137" s="423">
        <f ca="1">SUM(E137:Z137)</f>
        <v>29596.935649523672</v>
      </c>
      <c r="AB137" s="423">
        <f ca="1">$E137+NPV(Disc,$F137:Z137)</f>
        <v>-3261.690560760514</v>
      </c>
    </row>
    <row r="138" spans="1:28">
      <c r="A138" s="443">
        <f>A105</f>
        <v>0.125</v>
      </c>
      <c r="B138" s="8" t="s">
        <v>31</v>
      </c>
      <c r="C138" s="8"/>
      <c r="D138" s="8"/>
      <c r="E138" s="53">
        <f ca="1">IF(E$7&lt;YEAR(Startconst),0,-HLOOKUP(DATE(E$7,12,31),Idc_Table,IDC!$AP$46)*$A138-SUM($D138:D138))</f>
        <v>0</v>
      </c>
      <c r="F138" s="53">
        <f ca="1">IF(F$7&lt;YEAR(Startconst),0,-HLOOKUP(DATE(F$7,12,31),Idc_Table,IDC!$AP$46)*$A138-SUM($D138:E138))</f>
        <v>0</v>
      </c>
      <c r="G138" s="53">
        <f ca="1">IF(G$7&lt;YEAR(Startconst),0,-HLOOKUP(DATE(G$7,12,31),Idc_Table,IDC!$AP$46)*$A138-SUM($D138:F138))</f>
        <v>-2633.8279460896797</v>
      </c>
      <c r="H138" s="53">
        <f ca="1">IF(H$7&lt;YEAR(Startconst),0,-HLOOKUP(DATE(H$7,12,31),Idc_Table,IDC!$AP$46)*$A138-SUM($D138:G138))</f>
        <v>-52.758182690977719</v>
      </c>
      <c r="I138" s="53">
        <f ca="1">IF(I$7&lt;YEAR(Startconst),0,-HLOOKUP(DATE(I$7,12,31),Idc_Table,IDC!$AP$46)*$A138-SUM($D138:H138))</f>
        <v>0</v>
      </c>
      <c r="J138" s="53">
        <f ca="1">IF(J$7&lt;YEAR(Startconst),0,-HLOOKUP(DATE(J$7,12,31),Idc_Table,IDC!$AP$46)*$A138-SUM($D138:I138))</f>
        <v>0</v>
      </c>
      <c r="K138" s="53">
        <f ca="1">IF(K$7&lt;YEAR(Startconst),0,-HLOOKUP(DATE(K$7,12,31),Idc_Table,IDC!$AP$46)*$A138-SUM($D138:J138))</f>
        <v>0</v>
      </c>
      <c r="L138" s="53">
        <f ca="1">IF(L$7&lt;YEAR(Startconst),0,-HLOOKUP(DATE(L$7,12,31),Idc_Table,IDC!$AP$46)*$A138-SUM($D138:K138))</f>
        <v>0</v>
      </c>
      <c r="M138" s="53">
        <f ca="1">IF(M$7&lt;YEAR(Startconst),0,-HLOOKUP(DATE(M$7,12,31),Idc_Table,IDC!$AP$46)*$A138-SUM($D138:L138))</f>
        <v>0</v>
      </c>
      <c r="N138" s="53">
        <f ca="1">IF(N$7&lt;YEAR(Startconst),0,-HLOOKUP(DATE(N$7,12,31),Idc_Table,IDC!$AP$46)*$A138-SUM($D138:M138))</f>
        <v>0</v>
      </c>
      <c r="O138" s="53">
        <f ca="1">IF(O$7&lt;YEAR(Startconst),0,-HLOOKUP(DATE(O$7,12,31),Idc_Table,IDC!$AP$46)*$A138-SUM($D138:N138))</f>
        <v>0</v>
      </c>
      <c r="P138" s="53">
        <f ca="1">IF(P$7&lt;YEAR(Startconst),0,-HLOOKUP(DATE(P$7,12,31),Idc_Table,IDC!$AP$46)*$A138-SUM($D138:O138))</f>
        <v>0</v>
      </c>
      <c r="Q138" s="53">
        <f ca="1">IF(Q$7&lt;YEAR(Startconst),0,-HLOOKUP(DATE(Q$7,12,31),Idc_Table,IDC!$AP$46)*$A138-SUM($D138:P138))</f>
        <v>0</v>
      </c>
      <c r="R138" s="53">
        <f ca="1">IF(R$7&lt;YEAR(Startconst),0,-HLOOKUP(DATE(R$7,12,31),Idc_Table,IDC!$AP$46)*$A138-SUM($D138:Q138))</f>
        <v>0</v>
      </c>
      <c r="S138" s="53">
        <f ca="1">IF(S$7&lt;YEAR(Startconst),0,-HLOOKUP(DATE(S$7,12,31),Idc_Table,IDC!$AP$46)*$A138-SUM($D138:R138))</f>
        <v>0</v>
      </c>
      <c r="T138" s="53">
        <f ca="1">IF(T$7&lt;YEAR(Startconst),0,-HLOOKUP(DATE(T$7,12,31),Idc_Table,IDC!$AP$46)*$A138-SUM($D138:S138))</f>
        <v>0</v>
      </c>
      <c r="U138" s="53">
        <f ca="1">IF(U$7&lt;YEAR(Startconst),0,-HLOOKUP(DATE(U$7,12,31),Idc_Table,IDC!$AP$46)*$A138-SUM($D138:T138))</f>
        <v>0</v>
      </c>
      <c r="V138" s="53">
        <f ca="1">IF(V$7&lt;YEAR(Startconst),0,-HLOOKUP(DATE(V$7,12,31),Idc_Table,IDC!$AP$46)*$A138-SUM($D138:U138))</f>
        <v>0</v>
      </c>
      <c r="W138" s="53">
        <f ca="1">IF(W$7&lt;YEAR(Startconst),0,-HLOOKUP(DATE(W$7,12,31),Idc_Table,IDC!$AP$46)*$A138-SUM($D138:V138))</f>
        <v>0</v>
      </c>
      <c r="X138" s="53">
        <f ca="1">IF(X$7&lt;YEAR(Startconst),0,-HLOOKUP(DATE(X$7,12,31),Idc_Table,IDC!$AP$46)*$A138-SUM($D138:W138))</f>
        <v>0</v>
      </c>
      <c r="Y138" s="53">
        <f ca="1">IF(Y$7&lt;YEAR(Startconst),0,-HLOOKUP(DATE(Y$7,12,31),Idc_Table,IDC!$AP$46)*$A138-SUM($D138:X138))</f>
        <v>0</v>
      </c>
      <c r="Z138" s="53">
        <f ca="1">IF(Z$7&lt;YEAR(Startconst),0,-HLOOKUP(DATE(Z$7,12,31),Idc_Table,IDC!$AP$46)*$A138-SUM($D138:Y138))</f>
        <v>0</v>
      </c>
      <c r="AA138" s="423">
        <f ca="1">SUM(D138:Z138)</f>
        <v>-2686.5861287806574</v>
      </c>
      <c r="AB138" s="423">
        <f ca="1">$E138+NPV(Disc,$F138:Z138)</f>
        <v>-1891.2241744177832</v>
      </c>
    </row>
    <row r="139" spans="1:28">
      <c r="A139" s="379"/>
      <c r="B139" s="8" t="s">
        <v>32</v>
      </c>
      <c r="C139" s="8"/>
      <c r="D139" s="8"/>
      <c r="E139" s="1168">
        <f ca="1">IF(E$7&lt;YEAR(Startops1),0,-HLOOKUP(E$7,CF_Table,CF!$AB$71)*$A138)</f>
        <v>0</v>
      </c>
      <c r="F139" s="1168">
        <f ca="1">IF(F$7&lt;YEAR(Startops1),0,-HLOOKUP(F$7,CF_Table,CF!$AB$71)*$A138)</f>
        <v>0</v>
      </c>
      <c r="G139" s="1168">
        <f ca="1">IF(G$7&lt;YEAR(Startops1),0,-HLOOKUP(G$7,CF_Table,CF!$AB$71)*$A138)</f>
        <v>0</v>
      </c>
      <c r="H139" s="1168">
        <f ca="1">IF(H$7&lt;YEAR(Startops1),0,-HLOOKUP(H$7,CF_Table,CF!$AB$71)*$A138)</f>
        <v>0</v>
      </c>
      <c r="I139" s="1168">
        <f ca="1">IF(I$7&lt;YEAR(Startops1),0,-HLOOKUP(I$7,CF_Table,CF!$AB$71)*$A138)</f>
        <v>120.33847104568042</v>
      </c>
      <c r="J139" s="1168">
        <f ca="1">IF(J$7&lt;YEAR(Startops1),0,-HLOOKUP(J$7,CF_Table,CF!$AB$71)*$A138)</f>
        <v>136.49090232178679</v>
      </c>
      <c r="K139" s="1168">
        <f ca="1">IF(K$7&lt;YEAR(Startops1),0,-HLOOKUP(K$7,CF_Table,CF!$AB$71)*$A138)</f>
        <v>154.81139368592861</v>
      </c>
      <c r="L139" s="1168">
        <f ca="1">IF(L$7&lt;YEAR(Startops1),0,-HLOOKUP(L$7,CF_Table,CF!$AB$71)*$A138)</f>
        <v>175.59095300342236</v>
      </c>
      <c r="M139" s="1168">
        <f ca="1">IF(M$7&lt;YEAR(Startops1),0,-HLOOKUP(M$7,CF_Table,CF!$AB$71)*$A138)</f>
        <v>199.15964867030664</v>
      </c>
      <c r="N139" s="1168">
        <f ca="1">IF(N$7&lt;YEAR(Startops1),0,-HLOOKUP(N$7,CF_Table,CF!$AB$71)*$A138)</f>
        <v>225.8918525130785</v>
      </c>
      <c r="O139" s="1168">
        <f ca="1">IF(O$7&lt;YEAR(Startops1),0,-HLOOKUP(O$7,CF_Table,CF!$AB$71)*$A138)</f>
        <v>256.21218641664626</v>
      </c>
      <c r="P139" s="1168">
        <f ca="1">IF(P$7&lt;YEAR(Startops1),0,-HLOOKUP(P$7,CF_Table,CF!$AB$71)*$A138)</f>
        <v>290.60226713842064</v>
      </c>
      <c r="Q139" s="1168">
        <f ca="1">IF(Q$7&lt;YEAR(Startops1),0,-HLOOKUP(Q$7,CF_Table,CF!$AB$71)*$A138)</f>
        <v>329.60835644507478</v>
      </c>
      <c r="R139" s="1168">
        <f ca="1">IF(R$7&lt;YEAR(Startops1),0,-HLOOKUP(R$7,CF_Table,CF!$AB$71)*$A138)</f>
        <v>373.85003808891474</v>
      </c>
      <c r="S139" s="1168">
        <f ca="1">IF(S$7&lt;YEAR(Startops1),0,-HLOOKUP(S$7,CF_Table,CF!$AB$71)*$A138)</f>
        <v>424.0300594513983</v>
      </c>
      <c r="T139" s="1168">
        <f ca="1">IF(T$7&lt;YEAR(Startops1),0,-HLOOKUP(T$7,CF_Table,CF!$AB$71)*$A138)</f>
        <v>0</v>
      </c>
      <c r="U139" s="1168">
        <f ca="1">IF(U$7&lt;YEAR(Startops1),0,-HLOOKUP(U$7,CF_Table,CF!$AB$71)*$A138)</f>
        <v>0</v>
      </c>
      <c r="V139" s="1168">
        <f ca="1">IF(V$7&lt;YEAR(Startops1),0,-HLOOKUP(V$7,CF_Table,CF!$AB$71)*$A138)</f>
        <v>0</v>
      </c>
      <c r="W139" s="1168">
        <f ca="1">IF(W$7&lt;YEAR(Startops1),0,-HLOOKUP(W$7,CF_Table,CF!$AB$71)*$A138)</f>
        <v>0</v>
      </c>
      <c r="X139" s="1168">
        <f ca="1">IF(X$7&lt;YEAR(Startops1),0,-HLOOKUP(X$7,CF_Table,CF!$AB$71)*$A138)</f>
        <v>0</v>
      </c>
      <c r="Y139" s="1168">
        <f ca="1">IF(Y$7&lt;YEAR(Startops1),0,-HLOOKUP(Y$7,CF_Table,CF!$AB$71)*$A138)</f>
        <v>0</v>
      </c>
      <c r="Z139" s="1168">
        <f ca="1">IF(Z$7&lt;YEAR(Startops1),0,-HLOOKUP(Z$7,CF_Table,CF!$AB$71)*$A138)</f>
        <v>0</v>
      </c>
      <c r="AA139" s="423">
        <f ca="1">SUM(D139:Z139)</f>
        <v>2686.5861287806583</v>
      </c>
      <c r="AB139" s="423">
        <f ca="1">$E139+NPV(Disc,$F139:Z139)</f>
        <v>525.24602458506331</v>
      </c>
    </row>
    <row r="140" spans="1:28">
      <c r="A140" s="379"/>
      <c r="B140" s="8" t="s">
        <v>33</v>
      </c>
      <c r="C140" s="278" t="s">
        <v>362</v>
      </c>
      <c r="D140" s="8"/>
      <c r="E140" s="1168">
        <f ca="1">IF(E$7&lt;YEAR(Startops1),0,-HLOOKUP(E$7,CF_Table,CF!$AB$48)*$A138)</f>
        <v>0</v>
      </c>
      <c r="F140" s="53">
        <f ca="1">IF(F$7&lt;YEAR(Startops1),0,-HLOOKUP(F$7,CF_Table,CF!$AB$48)*$A138)</f>
        <v>0</v>
      </c>
      <c r="G140" s="53">
        <f ca="1">IF(G$7&lt;YEAR(Startops1),0,-HLOOKUP(G$7,CF_Table,CF!$AB$48)*$A138)</f>
        <v>0</v>
      </c>
      <c r="H140" s="53">
        <f ca="1">IF(H$7&lt;YEAR(Startops1),0,-HLOOKUP(H$7,CF_Table,CF!$AB$48)*$A138)</f>
        <v>145.52341530895234</v>
      </c>
      <c r="I140" s="53">
        <f ca="1">IF(I$7&lt;YEAR(Startops1),0,-HLOOKUP(I$7,CF_Table,CF!$AB$48)*$A138)</f>
        <v>345.46830297975714</v>
      </c>
      <c r="J140" s="53">
        <f ca="1">IF(J$7&lt;YEAR(Startops1),0,-HLOOKUP(J$7,CF_Table,CF!$AB$48)*$A138)</f>
        <v>329.31587170365071</v>
      </c>
      <c r="K140" s="53">
        <f ca="1">IF(K$7&lt;YEAR(Startops1),0,-HLOOKUP(K$7,CF_Table,CF!$AB$48)*$A138)</f>
        <v>310.99538033950887</v>
      </c>
      <c r="L140" s="53">
        <f ca="1">IF(L$7&lt;YEAR(Startops1),0,-HLOOKUP(L$7,CF_Table,CF!$AB$48)*$A138)</f>
        <v>290.21582102201506</v>
      </c>
      <c r="M140" s="53">
        <f ca="1">IF(M$7&lt;YEAR(Startops1),0,-HLOOKUP(M$7,CF_Table,CF!$AB$48)*$A138)</f>
        <v>266.6471253551307</v>
      </c>
      <c r="N140" s="53">
        <f ca="1">IF(N$7&lt;YEAR(Startops1),0,-HLOOKUP(N$7,CF_Table,CF!$AB$48)*$A138)</f>
        <v>239.91492151235883</v>
      </c>
      <c r="O140" s="53">
        <f ca="1">IF(O$7&lt;YEAR(Startops1),0,-HLOOKUP(O$7,CF_Table,CF!$AB$48)*$A138)</f>
        <v>209.59458760879087</v>
      </c>
      <c r="P140" s="53">
        <f ca="1">IF(P$7&lt;YEAR(Startops1),0,-HLOOKUP(P$7,CF_Table,CF!$AB$48)*$A138)</f>
        <v>175.20450688701652</v>
      </c>
      <c r="Q140" s="53">
        <f ca="1">IF(Q$7&lt;YEAR(Startops1),0,-HLOOKUP(Q$7,CF_Table,CF!$AB$48)*$A138)</f>
        <v>136.19841758036199</v>
      </c>
      <c r="R140" s="53">
        <f ca="1">IF(R$7&lt;YEAR(Startops1),0,-HLOOKUP(R$7,CF_Table,CF!$AB$48)*$A138)</f>
        <v>91.956735936521824</v>
      </c>
      <c r="S140" s="53">
        <f ca="1">IF(S$7&lt;YEAR(Startops1),0,-HLOOKUP(S$7,CF_Table,CF!$AB$48)*$A138)</f>
        <v>41.776714574037264</v>
      </c>
      <c r="T140" s="53">
        <f ca="1">IF(T$7&lt;YEAR(Startops1),0,-HLOOKUP(T$7,CF_Table,CF!$AB$48)*$A138)</f>
        <v>0</v>
      </c>
      <c r="U140" s="53">
        <f ca="1">IF(U$7&lt;YEAR(Startops1),0,-HLOOKUP(U$7,CF_Table,CF!$AB$48)*$A138)</f>
        <v>0</v>
      </c>
      <c r="V140" s="53">
        <f ca="1">IF(V$7&lt;YEAR(Startops1),0,-HLOOKUP(V$7,CF_Table,CF!$AB$48)*$A138)</f>
        <v>0</v>
      </c>
      <c r="W140" s="53">
        <f ca="1">IF(W$7&lt;YEAR(Startops1),0,-HLOOKUP(W$7,CF_Table,CF!$AB$48)*$A138)</f>
        <v>0</v>
      </c>
      <c r="X140" s="53">
        <f ca="1">IF(X$7&lt;YEAR(Startops1),0,-HLOOKUP(X$7,CF_Table,CF!$AB$48)*$A138)</f>
        <v>0</v>
      </c>
      <c r="Y140" s="53">
        <f ca="1">IF(Y$7&lt;YEAR(Startops1),0,-HLOOKUP(Y$7,CF_Table,CF!$AB$48)*$A138)</f>
        <v>0</v>
      </c>
      <c r="Z140" s="53">
        <f ca="1">IF(Z$7&lt;YEAR(Startops1),0,-HLOOKUP(Z$7,CF_Table,CF!$AB$48)*$A138)</f>
        <v>0</v>
      </c>
      <c r="AA140" s="423">
        <f ca="1">SUM(D140:Z140)</f>
        <v>2582.8118008081019</v>
      </c>
      <c r="AB140" s="423">
        <f ca="1">$E140+NPV(Disc,$F140:Z140)</f>
        <v>801.25518681250446</v>
      </c>
    </row>
    <row r="141" spans="1:28">
      <c r="A141" s="379"/>
      <c r="B141" s="8" t="s">
        <v>606</v>
      </c>
      <c r="C141" s="278" t="s">
        <v>362</v>
      </c>
      <c r="D141" s="8"/>
      <c r="E141" s="1168">
        <f ca="1">Wh_Int*-E140</f>
        <v>0</v>
      </c>
      <c r="F141" s="1168">
        <f t="shared" ref="F141:Z141" ca="1" si="55">Wh_Int*-F140</f>
        <v>0</v>
      </c>
      <c r="G141" s="1168">
        <f t="shared" ca="1" si="55"/>
        <v>0</v>
      </c>
      <c r="H141" s="1168">
        <f t="shared" ca="1" si="55"/>
        <v>-21.828512296342851</v>
      </c>
      <c r="I141" s="1168">
        <f t="shared" ca="1" si="55"/>
        <v>-51.820245446963568</v>
      </c>
      <c r="J141" s="1168">
        <f t="shared" ca="1" si="55"/>
        <v>-49.397380755547609</v>
      </c>
      <c r="K141" s="1168">
        <f t="shared" ca="1" si="55"/>
        <v>-46.649307050926332</v>
      </c>
      <c r="L141" s="1168">
        <f t="shared" ca="1" si="55"/>
        <v>-43.53237315330226</v>
      </c>
      <c r="M141" s="1168">
        <f t="shared" ca="1" si="55"/>
        <v>-39.997068803269606</v>
      </c>
      <c r="N141" s="1168">
        <f t="shared" ca="1" si="55"/>
        <v>-35.987238226853826</v>
      </c>
      <c r="O141" s="1168">
        <f t="shared" ca="1" si="55"/>
        <v>-31.439188141318631</v>
      </c>
      <c r="P141" s="1168">
        <f t="shared" ca="1" si="55"/>
        <v>-26.280676033052476</v>
      </c>
      <c r="Q141" s="1168">
        <f t="shared" ca="1" si="55"/>
        <v>-20.429762637054299</v>
      </c>
      <c r="R141" s="1168">
        <f t="shared" ca="1" si="55"/>
        <v>-13.793510390478273</v>
      </c>
      <c r="S141" s="1168">
        <f t="shared" ca="1" si="55"/>
        <v>-6.2665071861055894</v>
      </c>
      <c r="T141" s="1168">
        <f t="shared" ca="1" si="55"/>
        <v>0</v>
      </c>
      <c r="U141" s="1168">
        <f t="shared" ca="1" si="55"/>
        <v>0</v>
      </c>
      <c r="V141" s="1168">
        <f t="shared" ca="1" si="55"/>
        <v>0</v>
      </c>
      <c r="W141" s="1168">
        <f t="shared" ca="1" si="55"/>
        <v>0</v>
      </c>
      <c r="X141" s="1168">
        <f t="shared" ca="1" si="55"/>
        <v>0</v>
      </c>
      <c r="Y141" s="1168">
        <f t="shared" ca="1" si="55"/>
        <v>0</v>
      </c>
      <c r="Z141" s="1168">
        <f t="shared" ca="1" si="55"/>
        <v>0</v>
      </c>
      <c r="AA141" s="423">
        <f ca="1">SUM(D141:Z141)</f>
        <v>-387.42177012121533</v>
      </c>
      <c r="AB141" s="423">
        <f ca="1">$E141+NPV(Disc,$F141:Z141)</f>
        <v>-120.18827802187567</v>
      </c>
    </row>
    <row r="142" spans="1:28">
      <c r="A142" s="379"/>
      <c r="B142" s="8" t="s">
        <v>1033</v>
      </c>
      <c r="C142" s="8"/>
      <c r="D142" s="8"/>
      <c r="E142" s="228">
        <f ca="1">-(E140+E141)*USTax</f>
        <v>0</v>
      </c>
      <c r="F142" s="228">
        <f t="shared" ref="F142:Z142" ca="1" si="56">-(F140+F141)*USTax</f>
        <v>0</v>
      </c>
      <c r="G142" s="228">
        <f t="shared" ca="1" si="56"/>
        <v>0</v>
      </c>
      <c r="H142" s="228">
        <f t="shared" ca="1" si="56"/>
        <v>-45.76711411466551</v>
      </c>
      <c r="I142" s="228">
        <f t="shared" ca="1" si="56"/>
        <v>-108.64978128713362</v>
      </c>
      <c r="J142" s="228">
        <f t="shared" ca="1" si="56"/>
        <v>-103.56984165079815</v>
      </c>
      <c r="K142" s="228">
        <f t="shared" ca="1" si="56"/>
        <v>-97.808047116775541</v>
      </c>
      <c r="L142" s="228">
        <f t="shared" ca="1" si="56"/>
        <v>-91.272875711423737</v>
      </c>
      <c r="M142" s="228">
        <f t="shared" ca="1" si="56"/>
        <v>-83.860520924188606</v>
      </c>
      <c r="N142" s="228">
        <f t="shared" ca="1" si="56"/>
        <v>-75.453242815636841</v>
      </c>
      <c r="O142" s="228">
        <f t="shared" ca="1" si="56"/>
        <v>-65.917497802964732</v>
      </c>
      <c r="P142" s="228">
        <f t="shared" ca="1" si="56"/>
        <v>-55.101817415966693</v>
      </c>
      <c r="Q142" s="228">
        <f t="shared" ca="1" si="56"/>
        <v>-42.834402329023845</v>
      </c>
      <c r="R142" s="228">
        <f t="shared" ca="1" si="56"/>
        <v>-28.920393452036112</v>
      </c>
      <c r="S142" s="228">
        <f t="shared" ca="1" si="56"/>
        <v>-13.138776733534719</v>
      </c>
      <c r="T142" s="228">
        <f t="shared" ca="1" si="56"/>
        <v>0</v>
      </c>
      <c r="U142" s="228">
        <f t="shared" ca="1" si="56"/>
        <v>0</v>
      </c>
      <c r="V142" s="228">
        <f t="shared" ca="1" si="56"/>
        <v>0</v>
      </c>
      <c r="W142" s="228">
        <f t="shared" ca="1" si="56"/>
        <v>0</v>
      </c>
      <c r="X142" s="228">
        <f t="shared" ca="1" si="56"/>
        <v>0</v>
      </c>
      <c r="Y142" s="228">
        <f t="shared" ca="1" si="56"/>
        <v>0</v>
      </c>
      <c r="Z142" s="228">
        <f t="shared" ca="1" si="56"/>
        <v>0</v>
      </c>
      <c r="AA142" s="424">
        <f ca="1">SUM(E142:Z142)</f>
        <v>-812.29431135414814</v>
      </c>
      <c r="AB142" s="424">
        <f ca="1">$E142+NPV(Disc,$F142:Z142)</f>
        <v>-251.99475625253274</v>
      </c>
    </row>
    <row r="143" spans="1:28">
      <c r="A143" s="379"/>
      <c r="B143" s="8" t="s">
        <v>35</v>
      </c>
      <c r="C143" s="8"/>
      <c r="D143" s="8"/>
      <c r="E143" s="53">
        <f ca="1">SUM(E137:E142)</f>
        <v>-829.74626070618922</v>
      </c>
      <c r="F143" s="53">
        <f t="shared" ref="F143:Z143" ca="1" si="57">SUM(F137:F142)</f>
        <v>-6185.4658599071681</v>
      </c>
      <c r="G143" s="53">
        <f t="shared" ca="1" si="57"/>
        <v>893.39693213232886</v>
      </c>
      <c r="H143" s="53">
        <f t="shared" ca="1" si="57"/>
        <v>174.84800951686356</v>
      </c>
      <c r="I143" s="53">
        <f t="shared" ca="1" si="57"/>
        <v>-210.55947273671273</v>
      </c>
      <c r="J143" s="53">
        <f t="shared" ca="1" si="57"/>
        <v>-338.24536387156081</v>
      </c>
      <c r="K143" s="53">
        <f t="shared" ca="1" si="57"/>
        <v>-171.2348414707634</v>
      </c>
      <c r="L143" s="53">
        <f t="shared" ca="1" si="57"/>
        <v>-180.13630963421164</v>
      </c>
      <c r="M143" s="53">
        <f t="shared" ca="1" si="57"/>
        <v>-149.78852867560238</v>
      </c>
      <c r="N143" s="53">
        <f t="shared" ca="1" si="57"/>
        <v>-63.119099170837906</v>
      </c>
      <c r="O143" s="53">
        <f t="shared" ca="1" si="57"/>
        <v>322.88120856137505</v>
      </c>
      <c r="P143" s="53">
        <f t="shared" ca="1" si="57"/>
        <v>707.74832650037501</v>
      </c>
      <c r="Q143" s="53">
        <f t="shared" ca="1" si="57"/>
        <v>827.78996285845733</v>
      </c>
      <c r="R143" s="53">
        <f t="shared" ca="1" si="57"/>
        <v>832.99199383317239</v>
      </c>
      <c r="S143" s="53">
        <f t="shared" ca="1" si="57"/>
        <v>842.69749480159487</v>
      </c>
      <c r="T143" s="53">
        <f t="shared" ca="1" si="57"/>
        <v>846.62829614553948</v>
      </c>
      <c r="U143" s="53">
        <f t="shared" ca="1" si="57"/>
        <v>1040.4838680982955</v>
      </c>
      <c r="V143" s="53">
        <f t="shared" ca="1" si="57"/>
        <v>1411.6644821048592</v>
      </c>
      <c r="W143" s="53">
        <f t="shared" ca="1" si="57"/>
        <v>2112.509827800402</v>
      </c>
      <c r="X143" s="53">
        <f t="shared" ca="1" si="57"/>
        <v>2192.3722040999764</v>
      </c>
      <c r="Y143" s="53">
        <f t="shared" ca="1" si="57"/>
        <v>2228.6160701767662</v>
      </c>
      <c r="Z143" s="53">
        <f t="shared" ca="1" si="57"/>
        <v>24673.69842839945</v>
      </c>
      <c r="AA143" s="423">
        <f ca="1">SUM(E143:Z143)</f>
        <v>30980.031368856409</v>
      </c>
      <c r="AB143" s="423">
        <f ca="1">SUM(AB137:AB142)</f>
        <v>-4198.5965580551383</v>
      </c>
    </row>
    <row r="144" spans="1:28">
      <c r="A144" s="3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419"/>
      <c r="AB144" s="419"/>
    </row>
    <row r="145" spans="1:28">
      <c r="A145" s="379"/>
      <c r="B145" s="8" t="s">
        <v>207</v>
      </c>
      <c r="C145" s="8"/>
      <c r="D145" s="8"/>
      <c r="E145" s="53">
        <f ca="1">$E143</f>
        <v>-829.74626070618922</v>
      </c>
      <c r="F145" s="53">
        <f ca="1">$E143+NPV(Disc,$F143:F143)</f>
        <v>-6027.6167312164143</v>
      </c>
      <c r="G145" s="53">
        <f ca="1">$E143+NPV(Disc,$F143:G143)</f>
        <v>-5396.7312484593149</v>
      </c>
      <c r="H145" s="53">
        <f ca="1">$E143+NPV(Disc,$F143:H143)</f>
        <v>-5292.9736745349182</v>
      </c>
      <c r="I145" s="53">
        <f ca="1">$E143+NPV(Disc,$F143:I143)</f>
        <v>-5397.9731039016397</v>
      </c>
      <c r="J145" s="53">
        <f ca="1">$E143+NPV(Disc,$F143:J143)</f>
        <v>-5539.7146108523466</v>
      </c>
      <c r="K145" s="53">
        <f ca="1">$E143+NPV(Disc,$F143:K143)</f>
        <v>-5600.0136466504928</v>
      </c>
      <c r="L145" s="53">
        <f ca="1">$E143+NPV(Disc,$F143:L143)</f>
        <v>-5653.3192092760482</v>
      </c>
      <c r="M145" s="53">
        <f ca="1">$E143+NPV(Disc,$F143:M143)</f>
        <v>-5690.5672011356846</v>
      </c>
      <c r="N145" s="53">
        <f ca="1">$E143+NPV(Disc,$F143:N143)</f>
        <v>-5703.7569989860303</v>
      </c>
      <c r="O145" s="53">
        <f ca="1">$E143+NPV(Disc,$F143:O143)</f>
        <v>-5647.058291830127</v>
      </c>
      <c r="P145" s="53">
        <f ca="1">$E143+NPV(Disc,$F143:P143)</f>
        <v>-5542.6193949962926</v>
      </c>
      <c r="Q145" s="53">
        <f ca="1">$E143+NPV(Disc,$F143:Q143)</f>
        <v>-5439.9699467165374</v>
      </c>
      <c r="R145" s="53">
        <f ca="1">$E143+NPV(Disc,$F143:R143)</f>
        <v>-5353.1678273293528</v>
      </c>
      <c r="S145" s="53">
        <f ca="1">$E143+NPV(Disc,$F143:S143)</f>
        <v>-5279.3749842084608</v>
      </c>
      <c r="T145" s="53">
        <f ca="1">$E143+NPV(Disc,$F143:T143)</f>
        <v>-5217.0749394671138</v>
      </c>
      <c r="U145" s="53">
        <f ca="1">$E143+NPV(Disc,$F143:U143)</f>
        <v>-5152.7345080056484</v>
      </c>
      <c r="V145" s="53">
        <f ca="1">$E143+NPV(Disc,$F143:V143)</f>
        <v>-5079.378929876375</v>
      </c>
      <c r="W145" s="53">
        <f ca="1">$E143+NPV(Disc,$F143:W143)</f>
        <v>-4987.1316788585527</v>
      </c>
      <c r="X145" s="53">
        <f ca="1">$E143+NPV(Disc,$F143:X143)</f>
        <v>-4906.6824249475803</v>
      </c>
      <c r="Y145" s="53">
        <f ca="1">$E143+NPV(Disc,$F143:Y143)</f>
        <v>-4837.9603870033243</v>
      </c>
      <c r="Z145" s="53">
        <f ca="1">$E143+NPV(Disc,$F143:Z143)</f>
        <v>-4198.5965580551392</v>
      </c>
      <c r="AA145" s="419"/>
      <c r="AB145" s="419"/>
    </row>
    <row r="146" spans="1:28">
      <c r="A146" s="379"/>
      <c r="B146" s="8" t="s">
        <v>208</v>
      </c>
      <c r="C146" s="8"/>
      <c r="D146" s="8"/>
      <c r="E146" s="22" t="e">
        <f ca="1">IRR($E143:E143,-0.9)</f>
        <v>#NUM!</v>
      </c>
      <c r="F146" s="22" t="e">
        <f ca="1">IRR($E143:F143,-0.9)</f>
        <v>#NUM!</v>
      </c>
      <c r="G146" s="22">
        <f ca="1">IRR($E143:G143,-0.9)</f>
        <v>-0.85826012305214949</v>
      </c>
      <c r="H146" s="22">
        <f ca="1">IRR($E143:H143,-0.9)</f>
        <v>-0.75057812495239384</v>
      </c>
      <c r="I146" s="22" t="e">
        <f ca="1">IRR($E143:I143,-0.9)</f>
        <v>#NUM!</v>
      </c>
      <c r="J146" s="22" t="e">
        <f ca="1">IRR($E143:J143,-0.9)</f>
        <v>#NUM!</v>
      </c>
      <c r="K146" s="22" t="e">
        <f ca="1">IRR($E143:K143,-0.9)</f>
        <v>#NUM!</v>
      </c>
      <c r="L146" s="22" t="e">
        <f ca="1">IRR($E143:L143,-0.9)</f>
        <v>#NUM!</v>
      </c>
      <c r="M146" s="22" t="e">
        <f ca="1">IRR($E143:M143,-0.9)</f>
        <v>#NUM!</v>
      </c>
      <c r="N146" s="22" t="e">
        <f ca="1">IRR($E143:N143,-0.9)</f>
        <v>#DIV/0!</v>
      </c>
      <c r="O146" s="22">
        <f ca="1">IRR($E143:O143,-0.9)</f>
        <v>-0.35742504754201776</v>
      </c>
      <c r="P146" s="22">
        <f ca="1">IRR($E143:P143,-0.9)</f>
        <v>-0.19999418600315433</v>
      </c>
      <c r="Q146" s="22">
        <f ca="1">IRR($E143:Q143,-0.9)</f>
        <v>-0.13119021060479519</v>
      </c>
      <c r="R146" s="22">
        <f ca="1">IRR($E143:R143,-0.9)</f>
        <v>-9.0546044420250105E-2</v>
      </c>
      <c r="S146" s="22">
        <f ca="1">IRR($E143:S143,-0.9)</f>
        <v>-6.2265252285571358E-2</v>
      </c>
      <c r="T146" s="22">
        <f ca="1">IRR($E143:T143,-0.9)</f>
        <v>-4.125120379707186E-2</v>
      </c>
      <c r="U146" s="22">
        <f ca="1">IRR($E143:U143,-0.9)</f>
        <v>-2.1835072366076708E-2</v>
      </c>
      <c r="V146" s="22">
        <f ca="1">IRR($E143:V143,-0.9)</f>
        <v>-2.5711534223307768E-3</v>
      </c>
      <c r="W146" s="22">
        <f ca="1">IRR($E143:W143,-0.9)</f>
        <v>1.7581254305243984E-2</v>
      </c>
      <c r="X146" s="22">
        <f ca="1">IRR($E143:X143,-0.9)</f>
        <v>3.2369609066557746E-2</v>
      </c>
      <c r="Y146" s="22">
        <f ca="1">IRR($E143:Y143,-0.9)</f>
        <v>4.3612546388188025E-2</v>
      </c>
      <c r="Z146" s="22">
        <f ca="1">IRR($E143:Z143,-0.9)</f>
        <v>9.988780629272305E-2</v>
      </c>
      <c r="AA146" s="419"/>
      <c r="AB146" s="661">
        <f ca="1">IRR($E143:Z143)</f>
        <v>9.9887806292646736E-2</v>
      </c>
    </row>
    <row r="147" spans="1:28">
      <c r="A147" s="3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419"/>
      <c r="AB147" s="419"/>
    </row>
    <row r="148" spans="1:28">
      <c r="A148" s="379"/>
      <c r="B148" s="265" t="str">
        <f ca="1">CONCATENATE("Transredes NPV w/ Subordinated Debt @ ",TEXT(Disc,"0.0%"))</f>
        <v>Transredes NPV w/ Subordinated Debt @ 19.0%</v>
      </c>
      <c r="C148" s="434">
        <f ca="1">AB143</f>
        <v>-4198.5965580551383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419"/>
      <c r="AB148" s="419"/>
    </row>
    <row r="149" spans="1:28" ht="13.8" thickBot="1">
      <c r="A149" s="386"/>
      <c r="B149" s="445" t="s">
        <v>1035</v>
      </c>
      <c r="C149" s="446">
        <f ca="1">AB146</f>
        <v>9.9887806292646736E-2</v>
      </c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433"/>
      <c r="AB149" s="433"/>
    </row>
  </sheetData>
  <printOptions horizontalCentered="1"/>
  <pageMargins left="0.25" right="0.25" top="0.5" bottom="0.5" header="0.25" footer="0.25"/>
  <pageSetup scale="1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B71"/>
  <sheetViews>
    <sheetView showGridLines="0" zoomScale="90" zoomScaleNormal="90" workbookViewId="0">
      <selection activeCell="A17" sqref="A17"/>
    </sheetView>
  </sheetViews>
  <sheetFormatPr defaultColWidth="9.109375" defaultRowHeight="13.2"/>
  <cols>
    <col min="1" max="1" width="1.6640625" style="5" customWidth="1"/>
    <col min="2" max="2" width="45.6640625" style="5" customWidth="1"/>
    <col min="3" max="4" width="9.109375" style="5"/>
    <col min="5" max="26" width="9.6640625" style="277" customWidth="1"/>
    <col min="27" max="27" width="11.6640625" style="150" customWidth="1"/>
    <col min="28" max="16384" width="9.109375" style="5"/>
  </cols>
  <sheetData>
    <row r="1" spans="1:28" s="242" customFormat="1" ht="15.6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83"/>
      <c r="AA1" s="279"/>
      <c r="AB1" s="24"/>
    </row>
    <row r="2" spans="1:28" s="242" customFormat="1" ht="15.6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83"/>
      <c r="AA2" s="279"/>
      <c r="AB2" s="24"/>
    </row>
    <row r="3" spans="1:28" s="242" customFormat="1" ht="15">
      <c r="A3" s="246" t="str">
        <f>Assm!A3</f>
        <v>ENRON INTERNATIONAL</v>
      </c>
      <c r="B3" s="246"/>
      <c r="C3" s="132"/>
      <c r="D3" s="24"/>
      <c r="E3" s="287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83"/>
      <c r="AA3" s="279"/>
      <c r="AB3" s="24"/>
    </row>
    <row r="4" spans="1:28" s="242" customFormat="1" ht="15">
      <c r="A4" s="818" t="s">
        <v>998</v>
      </c>
      <c r="B4" s="818"/>
      <c r="C4" s="132"/>
      <c r="D4" s="24"/>
      <c r="E4" s="287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79"/>
      <c r="AB4" s="24"/>
    </row>
    <row r="5" spans="1:28" s="242" customFormat="1" ht="13.8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</row>
    <row r="6" spans="1:28" s="8" customFormat="1">
      <c r="A6" s="400" t="s">
        <v>184</v>
      </c>
      <c r="B6" s="74"/>
      <c r="C6" s="74"/>
      <c r="D6" s="74"/>
      <c r="E6" s="457">
        <f>Returns!E6</f>
        <v>0</v>
      </c>
      <c r="F6" s="457">
        <f>Returns!F6</f>
        <v>0</v>
      </c>
      <c r="G6" s="457">
        <f>Returns!G6</f>
        <v>0</v>
      </c>
      <c r="H6" s="457">
        <f>Returns!H6</f>
        <v>1</v>
      </c>
      <c r="I6" s="457">
        <f>Returns!I6</f>
        <v>2</v>
      </c>
      <c r="J6" s="457">
        <f>Returns!J6</f>
        <v>3</v>
      </c>
      <c r="K6" s="457">
        <f>Returns!K6</f>
        <v>4</v>
      </c>
      <c r="L6" s="457">
        <f>Returns!L6</f>
        <v>5</v>
      </c>
      <c r="M6" s="457">
        <f>Returns!M6</f>
        <v>6</v>
      </c>
      <c r="N6" s="457">
        <f>Returns!N6</f>
        <v>7</v>
      </c>
      <c r="O6" s="457">
        <f>Returns!O6</f>
        <v>8</v>
      </c>
      <c r="P6" s="457">
        <f>Returns!P6</f>
        <v>9</v>
      </c>
      <c r="Q6" s="457">
        <f>Returns!Q6</f>
        <v>10</v>
      </c>
      <c r="R6" s="457">
        <f>Returns!R6</f>
        <v>11</v>
      </c>
      <c r="S6" s="457">
        <f>Returns!S6</f>
        <v>12</v>
      </c>
      <c r="T6" s="457">
        <f>Returns!T6</f>
        <v>13</v>
      </c>
      <c r="U6" s="457">
        <f>Returns!U6</f>
        <v>14</v>
      </c>
      <c r="V6" s="457">
        <f>Returns!V6</f>
        <v>15</v>
      </c>
      <c r="W6" s="457">
        <f>Returns!W6</f>
        <v>16</v>
      </c>
      <c r="X6" s="457">
        <f>Returns!X6</f>
        <v>17</v>
      </c>
      <c r="Y6" s="457">
        <f>Returns!Y6</f>
        <v>18</v>
      </c>
      <c r="Z6" s="457">
        <f>Returns!Z6</f>
        <v>19</v>
      </c>
      <c r="AA6" s="468"/>
    </row>
    <row r="7" spans="1:28" s="8" customFormat="1" ht="13.8" thickBot="1">
      <c r="A7" s="76" t="s">
        <v>185</v>
      </c>
      <c r="B7" s="77"/>
      <c r="C7" s="77"/>
      <c r="D7" s="77"/>
      <c r="E7" s="280">
        <f>Returns!E7</f>
        <v>1998</v>
      </c>
      <c r="F7" s="280">
        <f>Returns!F7</f>
        <v>1999</v>
      </c>
      <c r="G7" s="280">
        <f>Returns!G7</f>
        <v>2000</v>
      </c>
      <c r="H7" s="280">
        <f>Returns!H7</f>
        <v>2001</v>
      </c>
      <c r="I7" s="280">
        <f>Returns!I7</f>
        <v>2002</v>
      </c>
      <c r="J7" s="280">
        <f>Returns!J7</f>
        <v>2003</v>
      </c>
      <c r="K7" s="280">
        <f>Returns!K7</f>
        <v>2004</v>
      </c>
      <c r="L7" s="280">
        <f>Returns!L7</f>
        <v>2005</v>
      </c>
      <c r="M7" s="280">
        <f>Returns!M7</f>
        <v>2006</v>
      </c>
      <c r="N7" s="280">
        <f>Returns!N7</f>
        <v>2007</v>
      </c>
      <c r="O7" s="280">
        <f>Returns!O7</f>
        <v>2008</v>
      </c>
      <c r="P7" s="280">
        <f>Returns!P7</f>
        <v>2009</v>
      </c>
      <c r="Q7" s="280">
        <f>Returns!Q7</f>
        <v>2010</v>
      </c>
      <c r="R7" s="280">
        <f>Returns!R7</f>
        <v>2011</v>
      </c>
      <c r="S7" s="280">
        <f>Returns!S7</f>
        <v>2012</v>
      </c>
      <c r="T7" s="280">
        <f>Returns!T7</f>
        <v>2013</v>
      </c>
      <c r="U7" s="280">
        <f>Returns!U7</f>
        <v>2014</v>
      </c>
      <c r="V7" s="280">
        <f>Returns!V7</f>
        <v>2015</v>
      </c>
      <c r="W7" s="280">
        <f>Returns!W7</f>
        <v>2016</v>
      </c>
      <c r="X7" s="280">
        <f>Returns!X7</f>
        <v>2017</v>
      </c>
      <c r="Y7" s="280">
        <f>Returns!Y7</f>
        <v>2018</v>
      </c>
      <c r="Z7" s="280">
        <f>Returns!Z7</f>
        <v>2019</v>
      </c>
      <c r="AA7" s="417" t="str">
        <f>Returns!AA7</f>
        <v>Totals</v>
      </c>
    </row>
    <row r="8" spans="1:28" s="8" customFormat="1">
      <c r="A8" s="459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469"/>
    </row>
    <row r="9" spans="1:28" s="8" customFormat="1">
      <c r="A9" s="137" t="s">
        <v>340</v>
      </c>
      <c r="E9" s="150">
        <f ca="1">IF(E$7&lt;YEAR(Startops1),0,HLOOKUP(E$7,CF_Table,CF!$AB$9))</f>
        <v>0</v>
      </c>
      <c r="F9" s="150">
        <f ca="1">IF(F$7&lt;YEAR(Startops1),0,HLOOKUP(F$7,CF_Table,CF!$AB$9))</f>
        <v>0</v>
      </c>
      <c r="G9" s="150">
        <f ca="1">IF(G$7&lt;YEAR(Startops1),0,HLOOKUP(G$7,CF_Table,CF!$AB$9))</f>
        <v>0</v>
      </c>
      <c r="H9" s="150">
        <f ca="1">IF(H$7&lt;YEAR(Startops1),0,HLOOKUP(H$7,CF_Table,CF!$AB$9))</f>
        <v>10</v>
      </c>
      <c r="I9" s="150">
        <f ca="1">IF(I$7&lt;YEAR(Startops1),0,HLOOKUP(I$7,CF_Table,CF!$AB$9))</f>
        <v>12</v>
      </c>
      <c r="J9" s="150">
        <f ca="1">IF(J$7&lt;YEAR(Startops1),0,HLOOKUP(J$7,CF_Table,CF!$AB$9))</f>
        <v>12</v>
      </c>
      <c r="K9" s="150">
        <f ca="1">IF(K$7&lt;YEAR(Startops1),0,HLOOKUP(K$7,CF_Table,CF!$AB$9))</f>
        <v>12</v>
      </c>
      <c r="L9" s="150">
        <f ca="1">IF(L$7&lt;YEAR(Startops1),0,HLOOKUP(L$7,CF_Table,CF!$AB$9))</f>
        <v>12</v>
      </c>
      <c r="M9" s="150">
        <f ca="1">IF(M$7&lt;YEAR(Startops1),0,HLOOKUP(M$7,CF_Table,CF!$AB$9))</f>
        <v>12</v>
      </c>
      <c r="N9" s="150">
        <f ca="1">IF(N$7&lt;YEAR(Startops1),0,HLOOKUP(N$7,CF_Table,CF!$AB$9))</f>
        <v>12</v>
      </c>
      <c r="O9" s="150">
        <f ca="1">IF(O$7&lt;YEAR(Startops1),0,HLOOKUP(O$7,CF_Table,CF!$AB$9))</f>
        <v>12</v>
      </c>
      <c r="P9" s="150">
        <f ca="1">IF(P$7&lt;YEAR(Startops1),0,HLOOKUP(P$7,CF_Table,CF!$AB$9))</f>
        <v>12</v>
      </c>
      <c r="Q9" s="150">
        <f ca="1">IF(Q$7&lt;YEAR(Startops1),0,HLOOKUP(Q$7,CF_Table,CF!$AB$9))</f>
        <v>12</v>
      </c>
      <c r="R9" s="150">
        <f ca="1">IF(R$7&lt;YEAR(Startops1),0,HLOOKUP(R$7,CF_Table,CF!$AB$9))</f>
        <v>12</v>
      </c>
      <c r="S9" s="150">
        <f ca="1">IF(S$7&lt;YEAR(Startops1),0,HLOOKUP(S$7,CF_Table,CF!$AB$9))</f>
        <v>12</v>
      </c>
      <c r="T9" s="150">
        <f ca="1">IF(T$7&lt;YEAR(Startops1),0,HLOOKUP(T$7,CF_Table,CF!$AB$9))</f>
        <v>12</v>
      </c>
      <c r="U9" s="150">
        <f ca="1">IF(U$7&lt;YEAR(Startops1),0,HLOOKUP(U$7,CF_Table,CF!$AB$9))</f>
        <v>12</v>
      </c>
      <c r="V9" s="150">
        <f ca="1">IF(V$7&lt;YEAR(Startops1),0,HLOOKUP(V$7,CF_Table,CF!$AB$9))</f>
        <v>12</v>
      </c>
      <c r="W9" s="150">
        <f ca="1">IF(W$7&lt;YEAR(Startops1),0,HLOOKUP(W$7,CF_Table,CF!$AB$9))</f>
        <v>12</v>
      </c>
      <c r="X9" s="150">
        <f ca="1">IF(X$7&lt;YEAR(Startops1),0,HLOOKUP(X$7,CF_Table,CF!$AB$9))</f>
        <v>12</v>
      </c>
      <c r="Y9" s="150">
        <f ca="1">IF(Y$7&lt;YEAR(Startops1),0,HLOOKUP(Y$7,CF_Table,CF!$AB$9))</f>
        <v>12</v>
      </c>
      <c r="Z9" s="150">
        <f ca="1">IF(Z$7&lt;YEAR(Startops1),0,HLOOKUP(Z$7,CF_Table,CF!$AB$9))</f>
        <v>4</v>
      </c>
      <c r="AA9" s="470">
        <f ca="1">SUM(E9:Z9)</f>
        <v>218</v>
      </c>
    </row>
    <row r="10" spans="1:28" s="8" customFormat="1">
      <c r="A10" s="137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471"/>
    </row>
    <row r="11" spans="1:28" s="8" customFormat="1">
      <c r="A11" s="144" t="s">
        <v>638</v>
      </c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471"/>
    </row>
    <row r="12" spans="1:28" s="8" customFormat="1">
      <c r="A12" s="137" t="s">
        <v>363</v>
      </c>
      <c r="E12" s="153">
        <f ca="1">IF(E$7&lt;YEAR(Startops1),0,HLOOKUP(E$7,CF_Table,CF!$AB$43))</f>
        <v>0</v>
      </c>
      <c r="F12" s="153">
        <f ca="1">IF(F$7&lt;YEAR(Startops1),0,HLOOKUP(F$7,CF_Table,CF!$AB$43))</f>
        <v>0</v>
      </c>
      <c r="G12" s="153">
        <f ca="1">IF(G$7&lt;YEAR(Startops1),0,HLOOKUP(G$7,CF_Table,CF!$AB$43))</f>
        <v>0</v>
      </c>
      <c r="H12" s="153">
        <f ca="1">IF(H$7&lt;YEAR(Startops1),0,HLOOKUP(H$7,CF_Table,CF!$AB$43))</f>
        <v>5065.6980665294723</v>
      </c>
      <c r="I12" s="153">
        <f ca="1">IF(I$7&lt;YEAR(Startops1),0,HLOOKUP(I$7,CF_Table,CF!$AB$43))</f>
        <v>8103.0273687033459</v>
      </c>
      <c r="J12" s="153">
        <f ca="1">IF(J$7&lt;YEAR(Startops1),0,HLOOKUP(J$7,CF_Table,CF!$AB$43))</f>
        <v>7652.96520800094</v>
      </c>
      <c r="K12" s="153">
        <f ca="1">IF(K$7&lt;YEAR(Startops1),0,HLOOKUP(K$7,CF_Table,CF!$AB$43))</f>
        <v>12076.096375240726</v>
      </c>
      <c r="L12" s="153">
        <f ca="1">IF(L$7&lt;YEAR(Startops1),0,HLOOKUP(L$7,CF_Table,CF!$AB$43))</f>
        <v>12539.669253035134</v>
      </c>
      <c r="M12" s="153">
        <f ca="1">IF(M$7&lt;YEAR(Startops1),0,HLOOKUP(M$7,CF_Table,CF!$AB$43))</f>
        <v>12569.159436727305</v>
      </c>
      <c r="N12" s="153">
        <f ca="1">IF(N$7&lt;YEAR(Startops1),0,HLOOKUP(N$7,CF_Table,CF!$AB$43))</f>
        <v>12751.960675846753</v>
      </c>
      <c r="O12" s="153">
        <f ca="1">IF(O$7&lt;YEAR(Startops1),0,HLOOKUP(O$7,CF_Table,CF!$AB$43))</f>
        <v>12715.053345006339</v>
      </c>
      <c r="P12" s="153">
        <f ca="1">IF(P$7&lt;YEAR(Startops1),0,HLOOKUP(P$7,CF_Table,CF!$AB$43))</f>
        <v>13083.338115201666</v>
      </c>
      <c r="Q12" s="153">
        <f ca="1">IF(Q$7&lt;YEAR(Startops1),0,HLOOKUP(Q$7,CF_Table,CF!$AB$43))</f>
        <v>13341.833429499657</v>
      </c>
      <c r="R12" s="153">
        <f ca="1">IF(R$7&lt;YEAR(Startops1),0,HLOOKUP(R$7,CF_Table,CF!$AB$43))</f>
        <v>13880.419662020908</v>
      </c>
      <c r="S12" s="153">
        <f ca="1">IF(S$7&lt;YEAR(Startops1),0,HLOOKUP(S$7,CF_Table,CF!$AB$43))</f>
        <v>14371.679768858832</v>
      </c>
      <c r="T12" s="153">
        <f ca="1">IF(T$7&lt;YEAR(Startops1),0,HLOOKUP(T$7,CF_Table,CF!$AB$43))</f>
        <v>13501.587178515414</v>
      </c>
      <c r="U12" s="153">
        <f ca="1">IF(U$7&lt;YEAR(Startops1),0,HLOOKUP(U$7,CF_Table,CF!$AB$43))</f>
        <v>15264.817762375646</v>
      </c>
      <c r="V12" s="153">
        <f ca="1">IF(V$7&lt;YEAR(Startops1),0,HLOOKUP(V$7,CF_Table,CF!$AB$43))</f>
        <v>16100.395624536439</v>
      </c>
      <c r="W12" s="153">
        <f ca="1">IF(W$7&lt;YEAR(Startops1),0,HLOOKUP(W$7,CF_Table,CF!$AB$43))</f>
        <v>17025.9498931628</v>
      </c>
      <c r="X12" s="153">
        <f ca="1">IF(X$7&lt;YEAR(Startops1),0,HLOOKUP(X$7,CF_Table,CF!$AB$43))</f>
        <v>18121.446965798441</v>
      </c>
      <c r="Y12" s="153">
        <f ca="1">IF(Y$7&lt;YEAR(Startops1),0,HLOOKUP(Y$7,CF_Table,CF!$AB$43))</f>
        <v>19091.421196725478</v>
      </c>
      <c r="Z12" s="153">
        <f ca="1">IF(Z$7&lt;YEAR(Startops1),0,HLOOKUP(Z$7,CF_Table,CF!$AB$43))</f>
        <v>6402.9711653059658</v>
      </c>
      <c r="AA12" s="472">
        <f ca="1">SUM(E12:Z12)</f>
        <v>243659.49049109124</v>
      </c>
      <c r="AB12" s="297" t="str">
        <f ca="1">IF(SUM(AA12-CF!Z43)=0," ","Check")</f>
        <v xml:space="preserve"> </v>
      </c>
    </row>
    <row r="13" spans="1:28">
      <c r="A13" s="137" t="s">
        <v>37</v>
      </c>
      <c r="B13" s="8"/>
      <c r="C13" s="8"/>
      <c r="D13" s="8"/>
      <c r="E13" s="153">
        <f ca="1">IF(E$7&lt;YEAR(Startops1),0,HLOOKUP(E$7,CF_Table,CF!$AB$47))</f>
        <v>0</v>
      </c>
      <c r="F13" s="153">
        <f ca="1">IF(F$7&lt;YEAR(Startops1),0,HLOOKUP(F$7,CF_Table,CF!$AB$47))</f>
        <v>0</v>
      </c>
      <c r="G13" s="153">
        <f ca="1">IF(G$7&lt;YEAR(Startops1),0,HLOOKUP(G$7,CF_Table,CF!$AB$47))</f>
        <v>0</v>
      </c>
      <c r="H13" s="153">
        <f ca="1">IF(H$7&lt;YEAR(Startops1),0,HLOOKUP(H$7,CF_Table,CF!$AB$47))</f>
        <v>-3484.300065346657</v>
      </c>
      <c r="I13" s="153">
        <f ca="1">IF(I$7&lt;YEAR(Startops1),0,HLOOKUP(I$7,CF_Table,CF!$AB$47))</f>
        <v>-8330.9644427867697</v>
      </c>
      <c r="J13" s="153">
        <f ca="1">IF(J$7&lt;YEAR(Startops1),0,HLOOKUP(J$7,CF_Table,CF!$AB$47))</f>
        <v>-8183.736836797003</v>
      </c>
      <c r="K13" s="153">
        <f ca="1">IF(K$7&lt;YEAR(Startops1),0,HLOOKUP(K$7,CF_Table,CF!$AB$47))</f>
        <v>-7874.9282995768517</v>
      </c>
      <c r="L13" s="153">
        <f ca="1">IF(L$7&lt;YEAR(Startops1),0,HLOOKUP(L$7,CF_Table,CF!$AB$47))</f>
        <v>-7246.8861993410301</v>
      </c>
      <c r="M13" s="153">
        <f ca="1">IF(M$7&lt;YEAR(Startops1),0,HLOOKUP(M$7,CF_Table,CF!$AB$47))</f>
        <v>-6469.5707112199325</v>
      </c>
      <c r="N13" s="153">
        <f ca="1">IF(N$7&lt;YEAR(Startops1),0,HLOOKUP(N$7,CF_Table,CF!$AB$47))</f>
        <v>-5579.1548429776813</v>
      </c>
      <c r="O13" s="153">
        <f ca="1">IF(O$7&lt;YEAR(Startops1),0,HLOOKUP(O$7,CF_Table,CF!$AB$47))</f>
        <v>-4657.3802741473091</v>
      </c>
      <c r="P13" s="153">
        <f ca="1">IF(P$7&lt;YEAR(Startops1),0,HLOOKUP(P$7,CF_Table,CF!$AB$47))</f>
        <v>-4069.2622795745342</v>
      </c>
      <c r="Q13" s="153">
        <f ca="1">IF(Q$7&lt;YEAR(Startops1),0,HLOOKUP(Q$7,CF_Table,CF!$AB$47))</f>
        <v>-3592.3631430876248</v>
      </c>
      <c r="R13" s="153">
        <f ca="1">IF(R$7&lt;YEAR(Startops1),0,HLOOKUP(R$7,CF_Table,CF!$AB$47))</f>
        <v>-3115.464006600715</v>
      </c>
      <c r="S13" s="153">
        <f ca="1">IF(S$7&lt;YEAR(Startops1),0,HLOOKUP(S$7,CF_Table,CF!$AB$47))</f>
        <v>-2471.7365829850069</v>
      </c>
      <c r="T13" s="153">
        <f ca="1">IF(T$7&lt;YEAR(Startops1),0,HLOOKUP(T$7,CF_Table,CF!$AB$47))</f>
        <v>-1772.3997303263664</v>
      </c>
      <c r="U13" s="153">
        <f ca="1">IF(U$7&lt;YEAR(Startops1),0,HLOOKUP(U$7,CF_Table,CF!$AB$47))</f>
        <v>-1073.0628776677256</v>
      </c>
      <c r="V13" s="153">
        <f ca="1">IF(V$7&lt;YEAR(Startops1),0,HLOOKUP(V$7,CF_Table,CF!$AB$47))</f>
        <v>-326.68797412690321</v>
      </c>
      <c r="W13" s="153">
        <f ca="1">IF(W$7&lt;YEAR(Startops1),0,HLOOKUP(W$7,CF_Table,CF!$AB$47))</f>
        <v>0</v>
      </c>
      <c r="X13" s="153">
        <f ca="1">IF(X$7&lt;YEAR(Startops1),0,HLOOKUP(X$7,CF_Table,CF!$AB$47))</f>
        <v>0</v>
      </c>
      <c r="Y13" s="153">
        <f ca="1">IF(Y$7&lt;YEAR(Startops1),0,HLOOKUP(Y$7,CF_Table,CF!$AB$47))</f>
        <v>0</v>
      </c>
      <c r="Z13" s="153">
        <f ca="1">IF(Z$7&lt;YEAR(Startops1),0,HLOOKUP(Z$7,CF_Table,CF!$AB$47))</f>
        <v>0</v>
      </c>
      <c r="AA13" s="472">
        <f ca="1">SUM(E13:Z13)</f>
        <v>-68247.898266562115</v>
      </c>
      <c r="AB13" s="297" t="str">
        <f ca="1">IF(SUM(AA13+'Debt Amort'!AD12)=0," ","Check")</f>
        <v xml:space="preserve"> </v>
      </c>
    </row>
    <row r="14" spans="1:28">
      <c r="A14" s="137" t="s">
        <v>38</v>
      </c>
      <c r="B14" s="8"/>
      <c r="C14" s="8"/>
      <c r="D14" s="8"/>
      <c r="E14" s="153">
        <f ca="1">IF(E$7&lt;YEAR(Startops1),0,HLOOKUP(E$7,CF_Table,CF!$AB$48))</f>
        <v>0</v>
      </c>
      <c r="F14" s="153">
        <f ca="1">IF(F$7&lt;YEAR(Startops1),0,HLOOKUP(F$7,CF_Table,CF!$AB$48))</f>
        <v>0</v>
      </c>
      <c r="G14" s="153">
        <f ca="1">IF(G$7&lt;YEAR(Startops1),0,HLOOKUP(G$7,CF_Table,CF!$AB$48))</f>
        <v>0</v>
      </c>
      <c r="H14" s="153">
        <f ca="1">IF(H$7&lt;YEAR(Startops1),0,HLOOKUP(H$7,CF_Table,CF!$AB$48))</f>
        <v>-1164.1873224716187</v>
      </c>
      <c r="I14" s="153">
        <f ca="1">IF(I$7&lt;YEAR(Startops1),0,HLOOKUP(I$7,CF_Table,CF!$AB$48))</f>
        <v>-2763.7464238380571</v>
      </c>
      <c r="J14" s="153">
        <f ca="1">IF(J$7&lt;YEAR(Startops1),0,HLOOKUP(J$7,CF_Table,CF!$AB$48))</f>
        <v>-2634.5269736292057</v>
      </c>
      <c r="K14" s="153">
        <f ca="1">IF(K$7&lt;YEAR(Startops1),0,HLOOKUP(K$7,CF_Table,CF!$AB$48))</f>
        <v>-2487.963042716071</v>
      </c>
      <c r="L14" s="153">
        <f ca="1">IF(L$7&lt;YEAR(Startops1),0,HLOOKUP(L$7,CF_Table,CF!$AB$48))</f>
        <v>-2321.7265681761205</v>
      </c>
      <c r="M14" s="153">
        <f ca="1">IF(M$7&lt;YEAR(Startops1),0,HLOOKUP(M$7,CF_Table,CF!$AB$48))</f>
        <v>-2133.1770028410456</v>
      </c>
      <c r="N14" s="153">
        <f ca="1">IF(N$7&lt;YEAR(Startops1),0,HLOOKUP(N$7,CF_Table,CF!$AB$48))</f>
        <v>-1919.3193720988706</v>
      </c>
      <c r="O14" s="153">
        <f ca="1">IF(O$7&lt;YEAR(Startops1),0,HLOOKUP(O$7,CF_Table,CF!$AB$48))</f>
        <v>-1676.756700870327</v>
      </c>
      <c r="P14" s="153">
        <f ca="1">IF(P$7&lt;YEAR(Startops1),0,HLOOKUP(P$7,CF_Table,CF!$AB$48))</f>
        <v>-1401.6360550961322</v>
      </c>
      <c r="Q14" s="153">
        <f ca="1">IF(Q$7&lt;YEAR(Startops1),0,HLOOKUP(Q$7,CF_Table,CF!$AB$48))</f>
        <v>-1089.5873406428959</v>
      </c>
      <c r="R14" s="153">
        <f ca="1">IF(R$7&lt;YEAR(Startops1),0,HLOOKUP(R$7,CF_Table,CF!$AB$48))</f>
        <v>-735.65388749217459</v>
      </c>
      <c r="S14" s="153">
        <f ca="1">IF(S$7&lt;YEAR(Startops1),0,HLOOKUP(S$7,CF_Table,CF!$AB$48))</f>
        <v>-334.21371659229811</v>
      </c>
      <c r="T14" s="153">
        <f ca="1">IF(T$7&lt;YEAR(Startops1),0,HLOOKUP(T$7,CF_Table,CF!$AB$48))</f>
        <v>0</v>
      </c>
      <c r="U14" s="153">
        <f ca="1">IF(U$7&lt;YEAR(Startops1),0,HLOOKUP(U$7,CF_Table,CF!$AB$48))</f>
        <v>0</v>
      </c>
      <c r="V14" s="153">
        <f ca="1">IF(V$7&lt;YEAR(Startops1),0,HLOOKUP(V$7,CF_Table,CF!$AB$48))</f>
        <v>0</v>
      </c>
      <c r="W14" s="153">
        <f ca="1">IF(W$7&lt;YEAR(Startops1),0,HLOOKUP(W$7,CF_Table,CF!$AB$48))</f>
        <v>0</v>
      </c>
      <c r="X14" s="153">
        <f ca="1">IF(X$7&lt;YEAR(Startops1),0,HLOOKUP(X$7,CF_Table,CF!$AB$48))</f>
        <v>0</v>
      </c>
      <c r="Y14" s="153">
        <f ca="1">IF(Y$7&lt;YEAR(Startops1),0,HLOOKUP(Y$7,CF_Table,CF!$AB$48))</f>
        <v>0</v>
      </c>
      <c r="Z14" s="153">
        <f ca="1">IF(Z$7&lt;YEAR(Startops1),0,HLOOKUP(Z$7,CF_Table,CF!$AB$48))</f>
        <v>0</v>
      </c>
      <c r="AA14" s="472">
        <f ca="1">SUM(E14:Z14)</f>
        <v>-20662.494406464815</v>
      </c>
      <c r="AB14" s="297" t="str">
        <f ca="1">IF(SUM(AA14+'Debt Amort'!AD20)=0," ","Check")</f>
        <v xml:space="preserve"> </v>
      </c>
    </row>
    <row r="15" spans="1:28">
      <c r="A15" s="137" t="s">
        <v>216</v>
      </c>
      <c r="B15" s="8"/>
      <c r="C15" s="8"/>
      <c r="D15" s="8"/>
      <c r="E15" s="293">
        <f ca="1">IF(E$7&lt;YEAR(Startops1),0,HLOOKUP(E$7,CF_Table,CF!$AB$44))</f>
        <v>0</v>
      </c>
      <c r="F15" s="293">
        <f ca="1">IF(F$7&lt;YEAR(Startops1),0,HLOOKUP(F$7,CF_Table,CF!$AB$44))</f>
        <v>0</v>
      </c>
      <c r="G15" s="293">
        <f ca="1">IF(G$7&lt;YEAR(Startops1),0,HLOOKUP(G$7,CF_Table,CF!$AB$44))</f>
        <v>0</v>
      </c>
      <c r="H15" s="293">
        <f ca="1">IF(H$7&lt;YEAR(Startops1),0,HLOOKUP(H$7,CF_Table,CF!$AB$44))</f>
        <v>-5267.1668601538513</v>
      </c>
      <c r="I15" s="293">
        <f ca="1">IF(I$7&lt;YEAR(Startops1),0,HLOOKUP(I$7,CF_Table,CF!$AB$44))</f>
        <v>-6320.6002321846217</v>
      </c>
      <c r="J15" s="293">
        <f ca="1">IF(J$7&lt;YEAR(Startops1),0,HLOOKUP(J$7,CF_Table,CF!$AB$44))</f>
        <v>-6320.6002321846217</v>
      </c>
      <c r="K15" s="293">
        <f ca="1">IF(K$7&lt;YEAR(Startops1),0,HLOOKUP(K$7,CF_Table,CF!$AB$44))</f>
        <v>-6320.6002321846217</v>
      </c>
      <c r="L15" s="293">
        <f ca="1">IF(L$7&lt;YEAR(Startops1),0,HLOOKUP(L$7,CF_Table,CF!$AB$44))</f>
        <v>-6320.6002321846217</v>
      </c>
      <c r="M15" s="293">
        <f ca="1">IF(M$7&lt;YEAR(Startops1),0,HLOOKUP(M$7,CF_Table,CF!$AB$44))</f>
        <v>-6320.6002321846217</v>
      </c>
      <c r="N15" s="293">
        <f ca="1">IF(N$7&lt;YEAR(Startops1),0,HLOOKUP(N$7,CF_Table,CF!$AB$44))</f>
        <v>-6320.6002321846217</v>
      </c>
      <c r="O15" s="293">
        <f ca="1">IF(O$7&lt;YEAR(Startops1),0,HLOOKUP(O$7,CF_Table,CF!$AB$44))</f>
        <v>-6320.6002321846217</v>
      </c>
      <c r="P15" s="293">
        <f ca="1">IF(P$7&lt;YEAR(Startops1),0,HLOOKUP(P$7,CF_Table,CF!$AB$44))</f>
        <v>-6320.6002321846217</v>
      </c>
      <c r="Q15" s="293">
        <f ca="1">IF(Q$7&lt;YEAR(Startops1),0,HLOOKUP(Q$7,CF_Table,CF!$AB$44))</f>
        <v>-6320.6002321846217</v>
      </c>
      <c r="R15" s="293">
        <f ca="1">IF(R$7&lt;YEAR(Startops1),0,HLOOKUP(R$7,CF_Table,CF!$AB$44))</f>
        <v>-6320.6002321846217</v>
      </c>
      <c r="S15" s="293">
        <f ca="1">IF(S$7&lt;YEAR(Startops1),0,HLOOKUP(S$7,CF_Table,CF!$AB$44))</f>
        <v>-6320.6002321846217</v>
      </c>
      <c r="T15" s="293">
        <f ca="1">IF(T$7&lt;YEAR(Startops1),0,HLOOKUP(T$7,CF_Table,CF!$AB$44))</f>
        <v>-6320.6002321846217</v>
      </c>
      <c r="U15" s="293">
        <f ca="1">IF(U$7&lt;YEAR(Startops1),0,HLOOKUP(U$7,CF_Table,CF!$AB$44))</f>
        <v>-6320.6002321846217</v>
      </c>
      <c r="V15" s="293">
        <f ca="1">IF(V$7&lt;YEAR(Startops1),0,HLOOKUP(V$7,CF_Table,CF!$AB$44))</f>
        <v>-6320.6002321846217</v>
      </c>
      <c r="W15" s="293">
        <f ca="1">IF(W$7&lt;YEAR(Startops1),0,HLOOKUP(W$7,CF_Table,CF!$AB$44))</f>
        <v>-6320.6002321846217</v>
      </c>
      <c r="X15" s="293">
        <f ca="1">IF(X$7&lt;YEAR(Startops1),0,HLOOKUP(X$7,CF_Table,CF!$AB$44))</f>
        <v>-6320.6002321846217</v>
      </c>
      <c r="Y15" s="293">
        <f ca="1">IF(Y$7&lt;YEAR(Startops1),0,HLOOKUP(Y$7,CF_Table,CF!$AB$44))</f>
        <v>-6320.6002321846217</v>
      </c>
      <c r="Z15" s="293">
        <f ca="1">IF(Z$7&lt;YEAR(Startops1),0,HLOOKUP(Z$7,CF_Table,CF!$AB$44))</f>
        <v>-2106.8667440615404</v>
      </c>
      <c r="AA15" s="473">
        <f ca="1">SUM(E15:Z15)</f>
        <v>-114824.23755135393</v>
      </c>
      <c r="AB15" s="297" t="str">
        <f ca="1">IF(SUM(AA15+Depr!AC41)=0," ","Check")</f>
        <v xml:space="preserve"> </v>
      </c>
    </row>
    <row r="16" spans="1:28">
      <c r="A16" s="137" t="s">
        <v>367</v>
      </c>
      <c r="B16" s="8"/>
      <c r="C16" s="8"/>
      <c r="D16" s="8"/>
      <c r="E16" s="294">
        <f ca="1">SUM(E11:E15)</f>
        <v>0</v>
      </c>
      <c r="F16" s="294">
        <f t="shared" ref="F16:Z16" ca="1" si="0">SUM(F11:F15)</f>
        <v>0</v>
      </c>
      <c r="G16" s="294">
        <f t="shared" ca="1" si="0"/>
        <v>0</v>
      </c>
      <c r="H16" s="294">
        <f t="shared" ca="1" si="0"/>
        <v>-4849.9561814426543</v>
      </c>
      <c r="I16" s="294">
        <f t="shared" ca="1" si="0"/>
        <v>-9312.2837301061027</v>
      </c>
      <c r="J16" s="294">
        <f t="shared" ca="1" si="0"/>
        <v>-9485.8988346098904</v>
      </c>
      <c r="K16" s="294">
        <f t="shared" ca="1" si="0"/>
        <v>-4607.3951992368184</v>
      </c>
      <c r="L16" s="294">
        <f t="shared" ca="1" si="0"/>
        <v>-3349.5437466666385</v>
      </c>
      <c r="M16" s="294">
        <f t="shared" ca="1" si="0"/>
        <v>-2354.1885095182952</v>
      </c>
      <c r="N16" s="294">
        <f t="shared" ca="1" si="0"/>
        <v>-1067.1137714144215</v>
      </c>
      <c r="O16" s="294">
        <f t="shared" ca="1" si="0"/>
        <v>60.316137804081336</v>
      </c>
      <c r="P16" s="294">
        <f t="shared" ca="1" si="0"/>
        <v>1291.8395483463783</v>
      </c>
      <c r="Q16" s="294">
        <f t="shared" ca="1" si="0"/>
        <v>2339.2827135845137</v>
      </c>
      <c r="R16" s="294">
        <f t="shared" ca="1" si="0"/>
        <v>3708.7015357433947</v>
      </c>
      <c r="S16" s="294">
        <f t="shared" ca="1" si="0"/>
        <v>5245.1292370969049</v>
      </c>
      <c r="T16" s="294">
        <f t="shared" ca="1" si="0"/>
        <v>5408.5872160044264</v>
      </c>
      <c r="U16" s="294">
        <f t="shared" ca="1" si="0"/>
        <v>7871.154652523298</v>
      </c>
      <c r="V16" s="294">
        <f t="shared" ca="1" si="0"/>
        <v>9453.107418224914</v>
      </c>
      <c r="W16" s="294">
        <f t="shared" ca="1" si="0"/>
        <v>10705.34966097818</v>
      </c>
      <c r="X16" s="294">
        <f t="shared" ca="1" si="0"/>
        <v>11800.84673361382</v>
      </c>
      <c r="Y16" s="294">
        <f t="shared" ca="1" si="0"/>
        <v>12770.820964540857</v>
      </c>
      <c r="Z16" s="294">
        <f t="shared" ca="1" si="0"/>
        <v>4296.1044212444249</v>
      </c>
      <c r="AA16" s="472">
        <f ca="1">SUM(E16:Z16)</f>
        <v>39924.860266710384</v>
      </c>
    </row>
    <row r="17" spans="1:28">
      <c r="A17" s="137" t="s">
        <v>368</v>
      </c>
      <c r="B17" s="8"/>
      <c r="C17" s="18">
        <f>Tax+Add_Tax+Soc_Tax</f>
        <v>0.33</v>
      </c>
      <c r="D17" s="8"/>
      <c r="E17" s="700">
        <f>$C17</f>
        <v>0.33</v>
      </c>
      <c r="F17" s="701">
        <f t="shared" ref="F17:AA17" si="1">$C17</f>
        <v>0.33</v>
      </c>
      <c r="G17" s="701">
        <f t="shared" si="1"/>
        <v>0.33</v>
      </c>
      <c r="H17" s="701">
        <f t="shared" si="1"/>
        <v>0.33</v>
      </c>
      <c r="I17" s="701">
        <f t="shared" si="1"/>
        <v>0.33</v>
      </c>
      <c r="J17" s="701">
        <f t="shared" si="1"/>
        <v>0.33</v>
      </c>
      <c r="K17" s="701">
        <f t="shared" si="1"/>
        <v>0.33</v>
      </c>
      <c r="L17" s="701">
        <f t="shared" si="1"/>
        <v>0.33</v>
      </c>
      <c r="M17" s="701">
        <f t="shared" si="1"/>
        <v>0.33</v>
      </c>
      <c r="N17" s="701">
        <f t="shared" si="1"/>
        <v>0.33</v>
      </c>
      <c r="O17" s="701">
        <f t="shared" si="1"/>
        <v>0.33</v>
      </c>
      <c r="P17" s="701">
        <f t="shared" si="1"/>
        <v>0.33</v>
      </c>
      <c r="Q17" s="701">
        <f t="shared" si="1"/>
        <v>0.33</v>
      </c>
      <c r="R17" s="701">
        <f t="shared" si="1"/>
        <v>0.33</v>
      </c>
      <c r="S17" s="701">
        <f t="shared" si="1"/>
        <v>0.33</v>
      </c>
      <c r="T17" s="701">
        <f t="shared" si="1"/>
        <v>0.33</v>
      </c>
      <c r="U17" s="701">
        <f t="shared" si="1"/>
        <v>0.33</v>
      </c>
      <c r="V17" s="701">
        <f t="shared" si="1"/>
        <v>0.33</v>
      </c>
      <c r="W17" s="701">
        <f t="shared" si="1"/>
        <v>0.33</v>
      </c>
      <c r="X17" s="701">
        <f t="shared" si="1"/>
        <v>0.33</v>
      </c>
      <c r="Y17" s="701">
        <f t="shared" si="1"/>
        <v>0.33</v>
      </c>
      <c r="Z17" s="701">
        <f t="shared" si="1"/>
        <v>0.33</v>
      </c>
      <c r="AA17" s="702">
        <f t="shared" si="1"/>
        <v>0.33</v>
      </c>
    </row>
    <row r="18" spans="1:28">
      <c r="A18" s="137" t="s">
        <v>217</v>
      </c>
      <c r="B18" s="8"/>
      <c r="C18" s="8"/>
      <c r="D18" s="8"/>
      <c r="E18" s="295">
        <f ca="1">-E16*E17</f>
        <v>0</v>
      </c>
      <c r="F18" s="295">
        <f t="shared" ref="F18:X18" ca="1" si="2">-F16*F17</f>
        <v>0</v>
      </c>
      <c r="G18" s="295">
        <f t="shared" ca="1" si="2"/>
        <v>0</v>
      </c>
      <c r="H18" s="295">
        <f t="shared" ca="1" si="2"/>
        <v>1600.485539876076</v>
      </c>
      <c r="I18" s="295">
        <f t="shared" ca="1" si="2"/>
        <v>3073.0536309350141</v>
      </c>
      <c r="J18" s="295">
        <f t="shared" ca="1" si="2"/>
        <v>3130.3466154212638</v>
      </c>
      <c r="K18" s="295">
        <f t="shared" ca="1" si="2"/>
        <v>1520.4404157481501</v>
      </c>
      <c r="L18" s="295">
        <f t="shared" ca="1" si="2"/>
        <v>1105.3494363999907</v>
      </c>
      <c r="M18" s="295">
        <f t="shared" ca="1" si="2"/>
        <v>776.88220814103749</v>
      </c>
      <c r="N18" s="295">
        <f t="shared" ca="1" si="2"/>
        <v>352.14754456675911</v>
      </c>
      <c r="O18" s="295">
        <f t="shared" ca="1" si="2"/>
        <v>-19.904325475346841</v>
      </c>
      <c r="P18" s="295">
        <f t="shared" ca="1" si="2"/>
        <v>-426.30705095430483</v>
      </c>
      <c r="Q18" s="295">
        <f t="shared" ca="1" si="2"/>
        <v>-771.96329548288952</v>
      </c>
      <c r="R18" s="295">
        <f t="shared" ca="1" si="2"/>
        <v>-1223.8715067953203</v>
      </c>
      <c r="S18" s="295">
        <f t="shared" ca="1" si="2"/>
        <v>-1730.8926482419788</v>
      </c>
      <c r="T18" s="295">
        <f t="shared" ca="1" si="2"/>
        <v>-1784.8337812814607</v>
      </c>
      <c r="U18" s="295">
        <f t="shared" ca="1" si="2"/>
        <v>-2597.4810353326884</v>
      </c>
      <c r="V18" s="295">
        <f t="shared" ca="1" si="2"/>
        <v>-3119.5254480142216</v>
      </c>
      <c r="W18" s="295">
        <f t="shared" ca="1" si="2"/>
        <v>-3532.7653881227993</v>
      </c>
      <c r="X18" s="295">
        <f t="shared" ca="1" si="2"/>
        <v>-3894.2794220925607</v>
      </c>
      <c r="Y18" s="295">
        <f ca="1">-Y16*Y17</f>
        <v>-4214.370918298483</v>
      </c>
      <c r="Z18" s="295">
        <f ca="1">-Z16*Z17</f>
        <v>-1417.7144590106602</v>
      </c>
      <c r="AA18" s="473">
        <f ca="1">SUM(E18:Z18)</f>
        <v>-13175.203888014423</v>
      </c>
    </row>
    <row r="19" spans="1:28">
      <c r="A19" s="137" t="s">
        <v>369</v>
      </c>
      <c r="B19" s="8"/>
      <c r="C19" s="8"/>
      <c r="D19" s="8"/>
      <c r="E19" s="153">
        <f ca="1">SUM(E16,E18)</f>
        <v>0</v>
      </c>
      <c r="F19" s="153">
        <f t="shared" ref="F19:X19" ca="1" si="3">SUM(F16,F18)</f>
        <v>0</v>
      </c>
      <c r="G19" s="153">
        <f t="shared" ca="1" si="3"/>
        <v>0</v>
      </c>
      <c r="H19" s="153">
        <f t="shared" ca="1" si="3"/>
        <v>-3249.4706415665783</v>
      </c>
      <c r="I19" s="153">
        <f t="shared" ca="1" si="3"/>
        <v>-6239.230099171089</v>
      </c>
      <c r="J19" s="153">
        <f t="shared" ca="1" si="3"/>
        <v>-6355.5522191886266</v>
      </c>
      <c r="K19" s="153">
        <f t="shared" ca="1" si="3"/>
        <v>-3086.954783488668</v>
      </c>
      <c r="L19" s="153">
        <f t="shared" ca="1" si="3"/>
        <v>-2244.1943102666478</v>
      </c>
      <c r="M19" s="153">
        <f t="shared" ca="1" si="3"/>
        <v>-1577.3063013772576</v>
      </c>
      <c r="N19" s="153">
        <f t="shared" ca="1" si="3"/>
        <v>-714.96622684766248</v>
      </c>
      <c r="O19" s="153">
        <f t="shared" ca="1" si="3"/>
        <v>40.411812328734499</v>
      </c>
      <c r="P19" s="153">
        <f t="shared" ca="1" si="3"/>
        <v>865.53249739207342</v>
      </c>
      <c r="Q19" s="153">
        <f t="shared" ca="1" si="3"/>
        <v>1567.3194181016243</v>
      </c>
      <c r="R19" s="153">
        <f t="shared" ca="1" si="3"/>
        <v>2484.8300289480744</v>
      </c>
      <c r="S19" s="153">
        <f t="shared" ca="1" si="3"/>
        <v>3514.2365888549261</v>
      </c>
      <c r="T19" s="153">
        <f t="shared" ca="1" si="3"/>
        <v>3623.7534347229657</v>
      </c>
      <c r="U19" s="153">
        <f t="shared" ca="1" si="3"/>
        <v>5273.6736171906095</v>
      </c>
      <c r="V19" s="153">
        <f t="shared" ca="1" si="3"/>
        <v>6333.5819702106928</v>
      </c>
      <c r="W19" s="153">
        <f t="shared" ca="1" si="3"/>
        <v>7172.5842728553798</v>
      </c>
      <c r="X19" s="153">
        <f t="shared" ca="1" si="3"/>
        <v>7906.5673115212594</v>
      </c>
      <c r="Y19" s="153">
        <f ca="1">SUM(Y16,Y18)</f>
        <v>8556.4500462423748</v>
      </c>
      <c r="Z19" s="153">
        <f ca="1">SUM(Z16,Z18)</f>
        <v>2878.3899622337649</v>
      </c>
      <c r="AA19" s="472">
        <f ca="1">SUM(E19:Z19)</f>
        <v>26749.656378695945</v>
      </c>
    </row>
    <row r="20" spans="1:28">
      <c r="A20" s="137" t="s">
        <v>364</v>
      </c>
      <c r="B20" s="8"/>
      <c r="C20" s="8"/>
      <c r="D20" s="8"/>
      <c r="E20" s="289">
        <f>Assm!$L$68</f>
        <v>0.5</v>
      </c>
      <c r="F20" s="289">
        <f>Assm!$L$68</f>
        <v>0.5</v>
      </c>
      <c r="G20" s="289">
        <f>Assm!$L$68</f>
        <v>0.5</v>
      </c>
      <c r="H20" s="289">
        <f>Assm!$L$68</f>
        <v>0.5</v>
      </c>
      <c r="I20" s="289">
        <f>Assm!$L$68</f>
        <v>0.5</v>
      </c>
      <c r="J20" s="289">
        <f>Assm!$L$68</f>
        <v>0.5</v>
      </c>
      <c r="K20" s="289">
        <f>Assm!$L$68</f>
        <v>0.5</v>
      </c>
      <c r="L20" s="289">
        <f>Assm!$L$68</f>
        <v>0.5</v>
      </c>
      <c r="M20" s="289">
        <f>Assm!$L$68</f>
        <v>0.5</v>
      </c>
      <c r="N20" s="289">
        <f>Assm!$L$68</f>
        <v>0.5</v>
      </c>
      <c r="O20" s="289">
        <f>Assm!$L$68</f>
        <v>0.5</v>
      </c>
      <c r="P20" s="289">
        <f>Assm!$L$68</f>
        <v>0.5</v>
      </c>
      <c r="Q20" s="289">
        <f>Assm!$L$68</f>
        <v>0.5</v>
      </c>
      <c r="R20" s="289">
        <f>Assm!$L$68</f>
        <v>0.5</v>
      </c>
      <c r="S20" s="289">
        <f>Assm!$L$68</f>
        <v>0.5</v>
      </c>
      <c r="T20" s="289">
        <f>Assm!$L$68</f>
        <v>0.5</v>
      </c>
      <c r="U20" s="289">
        <f>Assm!$L$68</f>
        <v>0.5</v>
      </c>
      <c r="V20" s="289">
        <f>Assm!$L$68</f>
        <v>0.5</v>
      </c>
      <c r="W20" s="289">
        <f>Assm!$L$68</f>
        <v>0.5</v>
      </c>
      <c r="X20" s="289">
        <f>Assm!$L$68</f>
        <v>0.5</v>
      </c>
      <c r="Y20" s="289">
        <f>Assm!$L$68</f>
        <v>0.5</v>
      </c>
      <c r="Z20" s="289">
        <f>Assm!$L$68</f>
        <v>0.5</v>
      </c>
      <c r="AA20" s="474"/>
    </row>
    <row r="21" spans="1:28">
      <c r="A21" s="137"/>
      <c r="B21" s="8" t="s">
        <v>635</v>
      </c>
      <c r="C21" s="8"/>
      <c r="D21" s="8"/>
      <c r="E21" s="294">
        <f ca="1">E19*E20</f>
        <v>0</v>
      </c>
      <c r="F21" s="294">
        <f t="shared" ref="F21:Z21" ca="1" si="4">F19*F20</f>
        <v>0</v>
      </c>
      <c r="G21" s="294">
        <f t="shared" ca="1" si="4"/>
        <v>0</v>
      </c>
      <c r="H21" s="294">
        <f t="shared" ca="1" si="4"/>
        <v>-1624.7353207832891</v>
      </c>
      <c r="I21" s="294">
        <f t="shared" ca="1" si="4"/>
        <v>-3119.6150495855445</v>
      </c>
      <c r="J21" s="294">
        <f t="shared" ca="1" si="4"/>
        <v>-3177.7761095943133</v>
      </c>
      <c r="K21" s="294">
        <f t="shared" ca="1" si="4"/>
        <v>-1543.477391744334</v>
      </c>
      <c r="L21" s="294">
        <f t="shared" ca="1" si="4"/>
        <v>-1122.0971551333239</v>
      </c>
      <c r="M21" s="294">
        <f t="shared" ca="1" si="4"/>
        <v>-788.65315068862878</v>
      </c>
      <c r="N21" s="294">
        <f t="shared" ca="1" si="4"/>
        <v>-357.48311342383124</v>
      </c>
      <c r="O21" s="294">
        <f t="shared" ca="1" si="4"/>
        <v>20.205906164367249</v>
      </c>
      <c r="P21" s="294">
        <f t="shared" ca="1" si="4"/>
        <v>432.76624869603671</v>
      </c>
      <c r="Q21" s="294">
        <f t="shared" ca="1" si="4"/>
        <v>783.65970905081213</v>
      </c>
      <c r="R21" s="294">
        <f t="shared" ca="1" si="4"/>
        <v>1242.4150144740372</v>
      </c>
      <c r="S21" s="294">
        <f t="shared" ca="1" si="4"/>
        <v>1757.1182944274631</v>
      </c>
      <c r="T21" s="294">
        <f t="shared" ca="1" si="4"/>
        <v>1811.8767173614829</v>
      </c>
      <c r="U21" s="294">
        <f t="shared" ca="1" si="4"/>
        <v>2636.8368085953048</v>
      </c>
      <c r="V21" s="294">
        <f t="shared" ca="1" si="4"/>
        <v>3166.7909851053464</v>
      </c>
      <c r="W21" s="294">
        <f t="shared" ca="1" si="4"/>
        <v>3586.2921364276899</v>
      </c>
      <c r="X21" s="294">
        <f t="shared" ca="1" si="4"/>
        <v>3953.2836557606297</v>
      </c>
      <c r="Y21" s="294">
        <f t="shared" ca="1" si="4"/>
        <v>4278.2250231211874</v>
      </c>
      <c r="Z21" s="294">
        <f t="shared" ca="1" si="4"/>
        <v>1439.1949811168824</v>
      </c>
      <c r="AA21" s="472">
        <f ca="1">SUM(E21:Z21)</f>
        <v>13374.828189347973</v>
      </c>
    </row>
    <row r="22" spans="1:28">
      <c r="A22" s="137"/>
      <c r="B22" s="8"/>
      <c r="C22" s="8"/>
      <c r="D22" s="8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474"/>
    </row>
    <row r="23" spans="1:28">
      <c r="A23" s="144" t="s">
        <v>639</v>
      </c>
      <c r="B23" s="8"/>
      <c r="C23" s="8"/>
      <c r="D23" s="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474"/>
    </row>
    <row r="24" spans="1:28">
      <c r="A24" s="137" t="s">
        <v>357</v>
      </c>
      <c r="B24" s="8"/>
      <c r="C24" s="8"/>
      <c r="D24" s="8"/>
      <c r="E24" s="294">
        <f ca="1">Returns!E28</f>
        <v>0</v>
      </c>
      <c r="F24" s="294">
        <f ca="1">Returns!F28</f>
        <v>0</v>
      </c>
      <c r="G24" s="294">
        <f ca="1">Returns!G28</f>
        <v>0</v>
      </c>
      <c r="H24" s="294">
        <f ca="1">Returns!H28</f>
        <v>0</v>
      </c>
      <c r="I24" s="294">
        <f ca="1">Returns!I28</f>
        <v>0</v>
      </c>
      <c r="J24" s="294">
        <f ca="1">Returns!J28</f>
        <v>0</v>
      </c>
      <c r="K24" s="294">
        <f ca="1">Returns!K28</f>
        <v>0</v>
      </c>
      <c r="L24" s="294">
        <f ca="1">Returns!L28</f>
        <v>0</v>
      </c>
      <c r="M24" s="294">
        <f ca="1">Returns!M28</f>
        <v>0</v>
      </c>
      <c r="N24" s="294">
        <f ca="1">Returns!N28</f>
        <v>0</v>
      </c>
      <c r="O24" s="294">
        <f ca="1">Returns!O28</f>
        <v>0</v>
      </c>
      <c r="P24" s="294">
        <f ca="1">Returns!P28</f>
        <v>0</v>
      </c>
      <c r="Q24" s="294">
        <f ca="1">Returns!Q28</f>
        <v>0</v>
      </c>
      <c r="R24" s="294">
        <f ca="1">Returns!R28</f>
        <v>0</v>
      </c>
      <c r="S24" s="294">
        <f ca="1">Returns!S28</f>
        <v>0</v>
      </c>
      <c r="T24" s="294">
        <f ca="1">Returns!T28</f>
        <v>0</v>
      </c>
      <c r="U24" s="294">
        <f ca="1">Returns!U28</f>
        <v>0</v>
      </c>
      <c r="V24" s="294">
        <f ca="1">Returns!V28</f>
        <v>0</v>
      </c>
      <c r="W24" s="294">
        <f ca="1">Returns!W28</f>
        <v>0</v>
      </c>
      <c r="X24" s="294">
        <f ca="1">Returns!X28</f>
        <v>0</v>
      </c>
      <c r="Y24" s="294">
        <f ca="1">Returns!Y28</f>
        <v>0</v>
      </c>
      <c r="Z24" s="294">
        <f ca="1">Returns!Z28</f>
        <v>0</v>
      </c>
      <c r="AA24" s="472">
        <f t="shared" ref="AA24:AA37" ca="1" si="5">SUM(E24:Z24)</f>
        <v>0</v>
      </c>
      <c r="AB24" s="297" t="str">
        <f ca="1">IF(SUM(AA24-Returns!AA28)=0," ","Check")</f>
        <v xml:space="preserve"> </v>
      </c>
    </row>
    <row r="25" spans="1:28">
      <c r="A25" s="463" t="s">
        <v>361</v>
      </c>
      <c r="B25" s="8"/>
      <c r="C25" s="71"/>
      <c r="D25" s="278" t="s">
        <v>211</v>
      </c>
      <c r="E25" s="296">
        <f>Returns!E31</f>
        <v>0</v>
      </c>
      <c r="F25" s="296">
        <f>Returns!F31</f>
        <v>0</v>
      </c>
      <c r="G25" s="296">
        <f>Returns!G31</f>
        <v>0</v>
      </c>
      <c r="H25" s="296">
        <f ca="1">Returns!H31</f>
        <v>0</v>
      </c>
      <c r="I25" s="296">
        <f ca="1">Returns!I31</f>
        <v>0</v>
      </c>
      <c r="J25" s="296">
        <f ca="1">Returns!J31</f>
        <v>-12.516320361335909</v>
      </c>
      <c r="K25" s="296">
        <f ca="1">Returns!K31</f>
        <v>-12.516320361335909</v>
      </c>
      <c r="L25" s="296">
        <f ca="1">Returns!L31</f>
        <v>140.28282453237793</v>
      </c>
      <c r="M25" s="296">
        <f ca="1">Returns!M31</f>
        <v>325.92700585927764</v>
      </c>
      <c r="N25" s="296">
        <f ca="1">Returns!N31</f>
        <v>474.4030238973566</v>
      </c>
      <c r="O25" s="296">
        <f ca="1">Returns!O31</f>
        <v>633.985110769362</v>
      </c>
      <c r="P25" s="296">
        <f ca="1">Returns!P31</f>
        <v>796.81345869418635</v>
      </c>
      <c r="Q25" s="296">
        <f ca="1">Returns!Q31</f>
        <v>948.32210608299681</v>
      </c>
      <c r="R25" s="296">
        <f ca="1">Returns!R31</f>
        <v>975.08340318515104</v>
      </c>
      <c r="S25" s="296">
        <f ca="1">Returns!S31</f>
        <v>933.11820622021844</v>
      </c>
      <c r="T25" s="296">
        <f ca="1">Returns!T31</f>
        <v>901.9668311660439</v>
      </c>
      <c r="U25" s="296">
        <f ca="1">Returns!U31</f>
        <v>880.91548147931496</v>
      </c>
      <c r="V25" s="296">
        <f ca="1">Returns!V31</f>
        <v>761.99316228940609</v>
      </c>
      <c r="W25" s="296">
        <f ca="1">Returns!W31</f>
        <v>606.56330267181477</v>
      </c>
      <c r="X25" s="296">
        <f ca="1">Returns!X31</f>
        <v>372.41010886877422</v>
      </c>
      <c r="Y25" s="296">
        <f ca="1">Returns!Y31</f>
        <v>-18.812718014888613</v>
      </c>
      <c r="Z25" s="296">
        <f ca="1">Returns!Z31</f>
        <v>-295.32648962769474</v>
      </c>
      <c r="AA25" s="472">
        <f t="shared" ca="1" si="5"/>
        <v>8412.6121773510258</v>
      </c>
      <c r="AB25" s="297" t="str">
        <f ca="1">IF(SUM(AA25,-Returns!AA31)=0," ","Check")</f>
        <v xml:space="preserve"> </v>
      </c>
    </row>
    <row r="26" spans="1:28">
      <c r="A26" s="137" t="s">
        <v>371</v>
      </c>
      <c r="B26" s="8"/>
      <c r="C26" s="8"/>
      <c r="D26" s="278" t="s">
        <v>211</v>
      </c>
      <c r="E26" s="296">
        <f ca="1">(Returns!$AA$34-$AA$27)/Term*E$9/12</f>
        <v>0</v>
      </c>
      <c r="F26" s="296">
        <f ca="1">(Returns!$AA$34-$AA$27)/Term*F$9/12</f>
        <v>0</v>
      </c>
      <c r="G26" s="296">
        <f ca="1">(Returns!$AA$34-$AA$27)/Term*G$9/12</f>
        <v>0</v>
      </c>
      <c r="H26" s="296">
        <f ca="1">(Returns!$AA$34-$AA$27)/Term*H$9/12</f>
        <v>0</v>
      </c>
      <c r="I26" s="296">
        <f ca="1">(Returns!$AA$34-$AA$27)/Term*I$9/12</f>
        <v>0</v>
      </c>
      <c r="J26" s="296">
        <f ca="1">(Returns!$AA$34-$AA$27)/Term*J$9/12</f>
        <v>0</v>
      </c>
      <c r="K26" s="296">
        <f ca="1">(Returns!$AA$34-$AA$27)/Term*K$9/12</f>
        <v>0</v>
      </c>
      <c r="L26" s="296">
        <f ca="1">(Returns!$AA$34-$AA$27)/Term*L$9/12</f>
        <v>0</v>
      </c>
      <c r="M26" s="296">
        <f ca="1">(Returns!$AA$34-$AA$27)/Term*M$9/12</f>
        <v>0</v>
      </c>
      <c r="N26" s="296">
        <f ca="1">(Returns!$AA$34-$AA$27)/Term*N$9/12</f>
        <v>0</v>
      </c>
      <c r="O26" s="296">
        <f ca="1">(Returns!$AA$34-$AA$27)/Term*O$9/12</f>
        <v>0</v>
      </c>
      <c r="P26" s="296">
        <f ca="1">(Returns!$AA$34-$AA$27)/Term*P$9/12</f>
        <v>0</v>
      </c>
      <c r="Q26" s="296">
        <f ca="1">(Returns!$AA$34-$AA$27)/Term*Q$9/12</f>
        <v>0</v>
      </c>
      <c r="R26" s="296">
        <f ca="1">(Returns!$AA$34-$AA$27)/Term*R$9/12</f>
        <v>0</v>
      </c>
      <c r="S26" s="296">
        <f ca="1">(Returns!$AA$34-$AA$27)/Term*S$9/12</f>
        <v>0</v>
      </c>
      <c r="T26" s="296">
        <f ca="1">(Returns!$AA$34-$AA$27)/Term*T$9/12</f>
        <v>0</v>
      </c>
      <c r="U26" s="296">
        <f ca="1">(Returns!$AA$34-$AA$27)/Term*U$9/12</f>
        <v>0</v>
      </c>
      <c r="V26" s="296">
        <f ca="1">(Returns!$AA$34-$AA$27)/Term*V$9/12</f>
        <v>0</v>
      </c>
      <c r="W26" s="296">
        <f ca="1">(Returns!$AA$34-$AA$27)/Term*W$9/12</f>
        <v>0</v>
      </c>
      <c r="X26" s="296">
        <f ca="1">(Returns!$AA$34-$AA$27)/Term*X$9/12</f>
        <v>0</v>
      </c>
      <c r="Y26" s="296">
        <f ca="1">(Returns!$AA$34-$AA$27)/Term*Y$9/12</f>
        <v>0</v>
      </c>
      <c r="Z26" s="296">
        <f ca="1">(Returns!$AA$34-$AA$27)/Term*Z$9/12</f>
        <v>0</v>
      </c>
      <c r="AA26" s="472">
        <f t="shared" ca="1" si="5"/>
        <v>0</v>
      </c>
      <c r="AB26" s="297" t="str">
        <f ca="1">IF(SUM(AA26,AA26,-Returns!AA34)=0," ","Check")</f>
        <v xml:space="preserve"> </v>
      </c>
    </row>
    <row r="27" spans="1:28">
      <c r="A27" s="137" t="s">
        <v>370</v>
      </c>
      <c r="B27" s="8"/>
      <c r="C27" s="8"/>
      <c r="D27" s="278" t="s">
        <v>211</v>
      </c>
      <c r="E27" s="153">
        <f>Returns!E34*(1-Returns!$A$27)</f>
        <v>0</v>
      </c>
      <c r="F27" s="153">
        <f>Returns!F34*(1-Returns!$A$27)</f>
        <v>0</v>
      </c>
      <c r="G27" s="153">
        <f>Returns!G34*(1-Returns!$A$27)</f>
        <v>0</v>
      </c>
      <c r="H27" s="153">
        <f>Returns!H34*(1-Returns!$A$27)</f>
        <v>0</v>
      </c>
      <c r="I27" s="153">
        <f>Returns!I34*(1-Returns!$A$27)</f>
        <v>0</v>
      </c>
      <c r="J27" s="153">
        <f>Returns!J34*(1-Returns!$A$27)</f>
        <v>0</v>
      </c>
      <c r="K27" s="153">
        <f>Returns!K34*(1-Returns!$A$27)</f>
        <v>0</v>
      </c>
      <c r="L27" s="153">
        <f>Returns!L34*(1-Returns!$A$27)</f>
        <v>0</v>
      </c>
      <c r="M27" s="153">
        <f>Returns!M34*(1-Returns!$A$27)</f>
        <v>0</v>
      </c>
      <c r="N27" s="153">
        <f>Returns!N34*(1-Returns!$A$27)</f>
        <v>0</v>
      </c>
      <c r="O27" s="153">
        <f>Returns!O34*(1-Returns!$A$27)</f>
        <v>0</v>
      </c>
      <c r="P27" s="153">
        <f>Returns!P34*(1-Returns!$A$27)</f>
        <v>0</v>
      </c>
      <c r="Q27" s="153">
        <f>Returns!Q34*(1-Returns!$A$27)</f>
        <v>0</v>
      </c>
      <c r="R27" s="153">
        <f>Returns!R34*(1-Returns!$A$27)</f>
        <v>0</v>
      </c>
      <c r="S27" s="153">
        <f>Returns!S34*(1-Returns!$A$27)</f>
        <v>0</v>
      </c>
      <c r="T27" s="153">
        <f>Returns!T34*(1-Returns!$A$27)</f>
        <v>0</v>
      </c>
      <c r="U27" s="153">
        <f>Returns!U34*(1-Returns!$A$27)</f>
        <v>0</v>
      </c>
      <c r="V27" s="153">
        <f>Returns!V34*(1-Returns!$A$27)</f>
        <v>0</v>
      </c>
      <c r="W27" s="153">
        <f>Returns!W34*(1-Returns!$A$27)</f>
        <v>0</v>
      </c>
      <c r="X27" s="153">
        <f>Returns!X34*(1-Returns!$A$27)</f>
        <v>0</v>
      </c>
      <c r="Y27" s="153">
        <f>Returns!Y34*(1-Returns!$A$27)</f>
        <v>0</v>
      </c>
      <c r="Z27" s="153">
        <f>Returns!Z34*(1-Returns!$A$27)</f>
        <v>0</v>
      </c>
      <c r="AA27" s="472">
        <f t="shared" si="5"/>
        <v>0</v>
      </c>
    </row>
    <row r="28" spans="1:28">
      <c r="A28" s="463" t="s">
        <v>212</v>
      </c>
      <c r="B28" s="8"/>
      <c r="C28" s="71"/>
      <c r="D28" s="278" t="s">
        <v>211</v>
      </c>
      <c r="E28" s="153">
        <f ca="1">IF(E$7&lt;YEAR(Startops1),0,HLOOKUP(E$7,CF_Table,CF!$AB$28))</f>
        <v>0</v>
      </c>
      <c r="F28" s="153">
        <f ca="1">IF(F$7&lt;YEAR(Startops1),0,HLOOKUP(F$7,CF_Table,CF!$AB$28))</f>
        <v>0</v>
      </c>
      <c r="G28" s="153">
        <f ca="1">IF(G$7&lt;YEAR(Startops1),0,HLOOKUP(G$7,CF_Table,CF!$AB$28))</f>
        <v>0</v>
      </c>
      <c r="H28" s="153">
        <f ca="1">IF(H$7&lt;YEAR(Startops1),0,HLOOKUP(H$7,CF_Table,CF!$AB$28))</f>
        <v>154.80487058888517</v>
      </c>
      <c r="I28" s="153">
        <f ca="1">IF(I$7&lt;YEAR(Startops1),0,HLOOKUP(I$7,CF_Table,CF!$AB$28))</f>
        <v>191.69346618373743</v>
      </c>
      <c r="J28" s="153">
        <f ca="1">IF(J$7&lt;YEAR(Startops1),0,HLOOKUP(J$7,CF_Table,CF!$AB$28))</f>
        <v>197.46639232011634</v>
      </c>
      <c r="K28" s="153">
        <f ca="1">IF(K$7&lt;YEAR(Startops1),0,HLOOKUP(K$7,CF_Table,CF!$AB$28))</f>
        <v>203.23354648741855</v>
      </c>
      <c r="L28" s="153">
        <f ca="1">IF(L$7&lt;YEAR(Startops1),0,HLOOKUP(L$7,CF_Table,CF!$AB$28))</f>
        <v>209.03647985383603</v>
      </c>
      <c r="M28" s="153">
        <f ca="1">IF(M$7&lt;YEAR(Startops1),0,HLOOKUP(M$7,CF_Table,CF!$AB$28))</f>
        <v>214.8892591910319</v>
      </c>
      <c r="N28" s="153">
        <f ca="1">IF(N$7&lt;YEAR(Startops1),0,HLOOKUP(N$7,CF_Table,CF!$AB$28))</f>
        <v>220.7653370937972</v>
      </c>
      <c r="O28" s="153">
        <f ca="1">IF(O$7&lt;YEAR(Startops1),0,HLOOKUP(O$7,CF_Table,CF!$AB$28))</f>
        <v>226.67148221110611</v>
      </c>
      <c r="P28" s="153">
        <f ca="1">IF(P$7&lt;YEAR(Startops1),0,HLOOKUP(P$7,CF_Table,CF!$AB$28))</f>
        <v>232.62639416595195</v>
      </c>
      <c r="Q28" s="153">
        <f ca="1">IF(Q$7&lt;YEAR(Startops1),0,HLOOKUP(Q$7,CF_Table,CF!$AB$28))</f>
        <v>238.63759215026303</v>
      </c>
      <c r="R28" s="153">
        <f ca="1">IF(R$7&lt;YEAR(Startops1),0,HLOOKUP(R$7,CF_Table,CF!$AB$28))</f>
        <v>244.717288449503</v>
      </c>
      <c r="S28" s="153">
        <f ca="1">IF(S$7&lt;YEAR(Startops1),0,HLOOKUP(S$7,CF_Table,CF!$AB$28))</f>
        <v>250.88797946283364</v>
      </c>
      <c r="T28" s="153">
        <f ca="1">IF(T$7&lt;YEAR(Startops1),0,HLOOKUP(T$7,CF_Table,CF!$AB$28))</f>
        <v>257.18674114412937</v>
      </c>
      <c r="U28" s="153">
        <f ca="1">IF(U$7&lt;YEAR(Startops1),0,HLOOKUP(U$7,CF_Table,CF!$AB$28))</f>
        <v>263.68614165385588</v>
      </c>
      <c r="V28" s="153">
        <f ca="1">IF(V$7&lt;YEAR(Startops1),0,HLOOKUP(V$7,CF_Table,CF!$AB$28))</f>
        <v>270.44720438706617</v>
      </c>
      <c r="W28" s="153">
        <f ca="1">IF(W$7&lt;YEAR(Startops1),0,HLOOKUP(W$7,CF_Table,CF!$AB$28))</f>
        <v>277.49956496025374</v>
      </c>
      <c r="X28" s="153">
        <f ca="1">IF(X$7&lt;YEAR(Startops1),0,HLOOKUP(X$7,CF_Table,CF!$AB$28))</f>
        <v>284.87534665641482</v>
      </c>
      <c r="Y28" s="153">
        <f ca="1">IF(Y$7&lt;YEAR(Startops1),0,HLOOKUP(Y$7,CF_Table,CF!$AB$28))</f>
        <v>292.57339247805976</v>
      </c>
      <c r="Z28" s="153">
        <f ca="1">IF(Z$7&lt;YEAR(Startops1),0,HLOOKUP(Z$7,CF_Table,CF!$AB$28))</f>
        <v>100.20085805548266</v>
      </c>
      <c r="AA28" s="472">
        <f t="shared" ca="1" si="5"/>
        <v>4331.8993374937436</v>
      </c>
    </row>
    <row r="29" spans="1:28" s="242" customFormat="1">
      <c r="A29" s="1123" t="s">
        <v>1101</v>
      </c>
      <c r="B29" s="24"/>
      <c r="C29" s="1124"/>
      <c r="D29" s="1125" t="s">
        <v>211</v>
      </c>
      <c r="E29" s="389">
        <f ca="1">IF(E$7&gt;=YEAR(Startops1),-Assm!$R$82/$AA$9*E9,0)</f>
        <v>0</v>
      </c>
      <c r="F29" s="389">
        <f ca="1">IF(F$7&gt;=YEAR(Startops1),-Assm!$R$82/$AA$9*F9,0)</f>
        <v>0</v>
      </c>
      <c r="G29" s="389">
        <f ca="1">IF(G$7&gt;=YEAR(Startops1),-Assm!$R$82/$AA$9*G9,0)</f>
        <v>0</v>
      </c>
      <c r="H29" s="389">
        <f ca="1">IF(H$7&gt;=YEAR(Startops1),-Assm!$R$82/$AA$9*H9,0)</f>
        <v>-5.2979892446979502</v>
      </c>
      <c r="I29" s="389">
        <f ca="1">IF(I$7&gt;=YEAR(Startops1),-Assm!$R$82/$AA$9*I9,0)</f>
        <v>-6.3575870936375409</v>
      </c>
      <c r="J29" s="389">
        <f ca="1">IF(J$7&gt;=YEAR(Startops1),-Assm!$R$82/$AA$9*J9,0)</f>
        <v>-6.3575870936375409</v>
      </c>
      <c r="K29" s="389">
        <f ca="1">IF(K$7&gt;=YEAR(Startops1),-Assm!$R$82/$AA$9*K9,0)</f>
        <v>-6.3575870936375409</v>
      </c>
      <c r="L29" s="389">
        <f ca="1">IF(L$7&gt;=YEAR(Startops1),-Assm!$R$82/$AA$9*L9,0)</f>
        <v>-6.3575870936375409</v>
      </c>
      <c r="M29" s="389">
        <f ca="1">IF(M$7&gt;=YEAR(Startops1),-Assm!$R$82/$AA$9*M9,0)</f>
        <v>-6.3575870936375409</v>
      </c>
      <c r="N29" s="389">
        <f ca="1">IF(N$7&gt;=YEAR(Startops1),-Assm!$R$82/$AA$9*N9,0)</f>
        <v>-6.3575870936375409</v>
      </c>
      <c r="O29" s="389">
        <f ca="1">IF(O$7&gt;=YEAR(Startops1),-Assm!$R$82/$AA$9*O9,0)</f>
        <v>-6.3575870936375409</v>
      </c>
      <c r="P29" s="389">
        <f ca="1">IF(P$7&gt;=YEAR(Startops1),-Assm!$R$82/$AA$9*P9,0)</f>
        <v>-6.3575870936375409</v>
      </c>
      <c r="Q29" s="389">
        <f ca="1">IF(Q$7&gt;=YEAR(Startops1),-Assm!$R$82/$AA$9*Q9,0)</f>
        <v>-6.3575870936375409</v>
      </c>
      <c r="R29" s="389">
        <f ca="1">IF(R$7&gt;=YEAR(Startops1),-Assm!$R$82/$AA$9*R9,0)</f>
        <v>-6.3575870936375409</v>
      </c>
      <c r="S29" s="389">
        <f ca="1">IF(S$7&gt;=YEAR(Startops1),-Assm!$R$82/$AA$9*S9,0)</f>
        <v>-6.3575870936375409</v>
      </c>
      <c r="T29" s="389">
        <f ca="1">IF(T$7&gt;=YEAR(Startops1),-Assm!$R$82/$AA$9*T9,0)</f>
        <v>-6.3575870936375409</v>
      </c>
      <c r="U29" s="389">
        <f ca="1">IF(U$7&gt;=YEAR(Startops1),-Assm!$R$82/$AA$9*U9,0)</f>
        <v>-6.3575870936375409</v>
      </c>
      <c r="V29" s="389">
        <f ca="1">IF(V$7&gt;=YEAR(Startops1),-Assm!$R$82/$AA$9*V9,0)</f>
        <v>-6.3575870936375409</v>
      </c>
      <c r="W29" s="389">
        <f ca="1">IF(W$7&gt;=YEAR(Startops1),-Assm!$R$82/$AA$9*W9,0)</f>
        <v>-6.3575870936375409</v>
      </c>
      <c r="X29" s="389">
        <f ca="1">IF(X$7&gt;=YEAR(Startops1),-Assm!$R$82/$AA$9*X9,0)</f>
        <v>-6.3575870936375409</v>
      </c>
      <c r="Y29" s="389">
        <f ca="1">IF(Y$7&gt;=YEAR(Startops1),-Assm!$R$82/$AA$9*Y9,0)</f>
        <v>-6.3575870936375409</v>
      </c>
      <c r="Z29" s="389">
        <f ca="1">IF(Z$7&gt;=YEAR(Startops1),-Assm!$R$82/$AA$9*Z9,0)</f>
        <v>-2.1191956978791802</v>
      </c>
      <c r="AA29" s="476">
        <f ca="1">SUM(E29:Z29)</f>
        <v>-115.49616553441527</v>
      </c>
    </row>
    <row r="30" spans="1:28" s="242" customFormat="1">
      <c r="A30" s="1123" t="s">
        <v>1102</v>
      </c>
      <c r="B30" s="24"/>
      <c r="C30" s="1124"/>
      <c r="D30" s="1125" t="s">
        <v>211</v>
      </c>
      <c r="E30" s="389">
        <f ca="1">IF(E$7&gt;=YEAR(Startops1),-Assm!$R$83/$AA$9*E9,0)</f>
        <v>0</v>
      </c>
      <c r="F30" s="389">
        <f ca="1">IF(F$7&gt;=YEAR(Startops1),-Assm!$R$83/$AA$9*F9,0)</f>
        <v>0</v>
      </c>
      <c r="G30" s="389">
        <f ca="1">IF(G$7&gt;=YEAR(Startops1),-Assm!$R$83/$AA$9*G9,0)</f>
        <v>0</v>
      </c>
      <c r="H30" s="389">
        <f ca="1">IF(H$7&gt;=YEAR(Startops1),-Assm!$R$83/$AA$9*H9,0)</f>
        <v>-40.458715596330279</v>
      </c>
      <c r="I30" s="389">
        <f ca="1">IF(I$7&gt;=YEAR(Startops1),-Assm!$R$83/$AA$9*I9,0)</f>
        <v>-48.550458715596335</v>
      </c>
      <c r="J30" s="389">
        <f ca="1">IF(J$7&gt;=YEAR(Startops1),-Assm!$R$83/$AA$9*J9,0)</f>
        <v>-48.550458715596335</v>
      </c>
      <c r="K30" s="389">
        <f ca="1">IF(K$7&gt;=YEAR(Startops1),-Assm!$R$83/$AA$9*K9,0)</f>
        <v>-48.550458715596335</v>
      </c>
      <c r="L30" s="389">
        <f ca="1">IF(L$7&gt;=YEAR(Startops1),-Assm!$R$83/$AA$9*L9,0)</f>
        <v>-48.550458715596335</v>
      </c>
      <c r="M30" s="389">
        <f ca="1">IF(M$7&gt;=YEAR(Startops1),-Assm!$R$83/$AA$9*M9,0)</f>
        <v>-48.550458715596335</v>
      </c>
      <c r="N30" s="389">
        <f ca="1">IF(N$7&gt;=YEAR(Startops1),-Assm!$R$83/$AA$9*N9,0)</f>
        <v>-48.550458715596335</v>
      </c>
      <c r="O30" s="389">
        <f ca="1">IF(O$7&gt;=YEAR(Startops1),-Assm!$R$83/$AA$9*O9,0)</f>
        <v>-48.550458715596335</v>
      </c>
      <c r="P30" s="389">
        <f ca="1">IF(P$7&gt;=YEAR(Startops1),-Assm!$R$83/$AA$9*P9,0)</f>
        <v>-48.550458715596335</v>
      </c>
      <c r="Q30" s="389">
        <f ca="1">IF(Q$7&gt;=YEAR(Startops1),-Assm!$R$83/$AA$9*Q9,0)</f>
        <v>-48.550458715596335</v>
      </c>
      <c r="R30" s="389">
        <f ca="1">IF(R$7&gt;=YEAR(Startops1),-Assm!$R$83/$AA$9*R9,0)</f>
        <v>-48.550458715596335</v>
      </c>
      <c r="S30" s="389">
        <f ca="1">IF(S$7&gt;=YEAR(Startops1),-Assm!$R$83/$AA$9*S9,0)</f>
        <v>-48.550458715596335</v>
      </c>
      <c r="T30" s="389">
        <f ca="1">IF(T$7&gt;=YEAR(Startops1),-Assm!$R$83/$AA$9*T9,0)</f>
        <v>-48.550458715596335</v>
      </c>
      <c r="U30" s="389">
        <f ca="1">IF(U$7&gt;=YEAR(Startops1),-Assm!$R$83/$AA$9*U9,0)</f>
        <v>-48.550458715596335</v>
      </c>
      <c r="V30" s="389">
        <f ca="1">IF(V$7&gt;=YEAR(Startops1),-Assm!$R$83/$AA$9*V9,0)</f>
        <v>-48.550458715596335</v>
      </c>
      <c r="W30" s="389">
        <f ca="1">IF(W$7&gt;=YEAR(Startops1),-Assm!$R$83/$AA$9*W9,0)</f>
        <v>-48.550458715596335</v>
      </c>
      <c r="X30" s="389">
        <f ca="1">IF(X$7&gt;=YEAR(Startops1),-Assm!$R$83/$AA$9*X9,0)</f>
        <v>-48.550458715596335</v>
      </c>
      <c r="Y30" s="389">
        <f ca="1">IF(Y$7&gt;=YEAR(Startops1),-Assm!$R$83/$AA$9*Y9,0)</f>
        <v>-48.550458715596335</v>
      </c>
      <c r="Z30" s="389">
        <f ca="1">IF(Z$7&gt;=YEAR(Startops1),-Assm!$R$83/$AA$9*Z9,0)</f>
        <v>-16.183486238532112</v>
      </c>
      <c r="AA30" s="476">
        <f ca="1">SUM(E30:Z30)</f>
        <v>-881.99999999999977</v>
      </c>
    </row>
    <row r="31" spans="1:28">
      <c r="A31" s="137" t="s">
        <v>365</v>
      </c>
      <c r="B31" s="8"/>
      <c r="C31" s="8"/>
      <c r="D31" s="278" t="s">
        <v>211</v>
      </c>
      <c r="E31" s="294">
        <f ca="1">IF(E$7&lt;YEAR(Startops1),0,(Returns!$AA$38-$AA$32)/$AA$9*E$9)</f>
        <v>0</v>
      </c>
      <c r="F31" s="294">
        <f ca="1">IF(F$7&lt;YEAR(Startops1),0,(Returns!$AA$38-$AA$32)/$AA$9*F$9)</f>
        <v>0</v>
      </c>
      <c r="G31" s="294">
        <f ca="1">IF(G$7&lt;YEAR(Startops1),0,(Returns!$AA$38-$AA$32)/$AA$9*G$9)</f>
        <v>0</v>
      </c>
      <c r="H31" s="294">
        <f ca="1">IF(H$7&lt;YEAR(Startops1),0,(Returns!$AA$38-$AA$32)/$AA$9*H$9)</f>
        <v>-17.232668825140141</v>
      </c>
      <c r="I31" s="294">
        <f ca="1">IF(I$7&lt;YEAR(Startops1),0,(Returns!$AA$38-$AA$32)/$AA$9*I$9)</f>
        <v>-20.679202590168167</v>
      </c>
      <c r="J31" s="294">
        <f ca="1">IF(J$7&lt;YEAR(Startops1),0,(Returns!$AA$38-$AA$32)/$AA$9*J$9)</f>
        <v>-20.679202590168167</v>
      </c>
      <c r="K31" s="294">
        <f ca="1">IF(K$7&lt;YEAR(Startops1),0,(Returns!$AA$38-$AA$32)/$AA$9*K$9)</f>
        <v>-20.679202590168167</v>
      </c>
      <c r="L31" s="294">
        <f ca="1">IF(L$7&lt;YEAR(Startops1),0,(Returns!$AA$38-$AA$32)/$AA$9*L$9)</f>
        <v>-20.679202590168167</v>
      </c>
      <c r="M31" s="294">
        <f ca="1">IF(M$7&lt;YEAR(Startops1),0,(Returns!$AA$38-$AA$32)/$AA$9*M$9)</f>
        <v>-20.679202590168167</v>
      </c>
      <c r="N31" s="294">
        <f ca="1">IF(N$7&lt;YEAR(Startops1),0,(Returns!$AA$38-$AA$32)/$AA$9*N$9)</f>
        <v>-20.679202590168167</v>
      </c>
      <c r="O31" s="294">
        <f ca="1">IF(O$7&lt;YEAR(Startops1),0,(Returns!$AA$38-$AA$32)/$AA$9*O$9)</f>
        <v>-20.679202590168167</v>
      </c>
      <c r="P31" s="294">
        <f ca="1">IF(P$7&lt;YEAR(Startops1),0,(Returns!$AA$38-$AA$32)/$AA$9*P$9)</f>
        <v>-20.679202590168167</v>
      </c>
      <c r="Q31" s="294">
        <f ca="1">IF(Q$7&lt;YEAR(Startops1),0,(Returns!$AA$38-$AA$32)/$AA$9*Q$9)</f>
        <v>-20.679202590168167</v>
      </c>
      <c r="R31" s="294">
        <f ca="1">IF(R$7&lt;YEAR(Startops1),0,(Returns!$AA$38-$AA$32)/$AA$9*R$9)</f>
        <v>-20.679202590168167</v>
      </c>
      <c r="S31" s="294">
        <f ca="1">IF(S$7&lt;YEAR(Startops1),0,(Returns!$AA$38-$AA$32)/$AA$9*S$9)</f>
        <v>-20.679202590168167</v>
      </c>
      <c r="T31" s="294">
        <f ca="1">IF(T$7&lt;YEAR(Startops1),0,(Returns!$AA$38-$AA$32)/$AA$9*T$9)</f>
        <v>-20.679202590168167</v>
      </c>
      <c r="U31" s="294">
        <f ca="1">IF(U$7&lt;YEAR(Startops1),0,(Returns!$AA$38-$AA$32)/$AA$9*U$9)</f>
        <v>-20.679202590168167</v>
      </c>
      <c r="V31" s="294">
        <f ca="1">IF(V$7&lt;YEAR(Startops1),0,(Returns!$AA$38-$AA$32)/$AA$9*V$9)</f>
        <v>-20.679202590168167</v>
      </c>
      <c r="W31" s="294">
        <f ca="1">IF(W$7&lt;YEAR(Startops1),0,(Returns!$AA$38-$AA$32)/$AA$9*W$9)</f>
        <v>-20.679202590168167</v>
      </c>
      <c r="X31" s="294">
        <f ca="1">IF(X$7&lt;YEAR(Startops1),0,(Returns!$AA$38-$AA$32)/$AA$9*X$9)</f>
        <v>-20.679202590168167</v>
      </c>
      <c r="Y31" s="294">
        <f ca="1">IF(Y$7&lt;YEAR(Startops1),0,(Returns!$AA$38-$AA$32)/$AA$9*Y$9)</f>
        <v>-20.679202590168167</v>
      </c>
      <c r="Z31" s="294">
        <f ca="1">IF(Z$7&lt;YEAR(Startops1),0,(Returns!$AA$38-$AA$32)/$AA$9*Z$9)</f>
        <v>-6.8930675300560562</v>
      </c>
      <c r="AA31" s="475">
        <f t="shared" ca="1" si="5"/>
        <v>-375.6721803880551</v>
      </c>
      <c r="AB31" s="297" t="str">
        <f ca="1">IF(SUM(AA31+AA32-Returns!AA38)=0," ","Check")</f>
        <v xml:space="preserve"> </v>
      </c>
    </row>
    <row r="32" spans="1:28">
      <c r="A32" s="137" t="s">
        <v>366</v>
      </c>
      <c r="B32" s="8"/>
      <c r="C32" s="8"/>
      <c r="D32" s="278" t="s">
        <v>211</v>
      </c>
      <c r="E32" s="294">
        <f ca="1">IF(E$7&lt;YEAR(Startops1),0,Returns!E38)*E$9/12</f>
        <v>0</v>
      </c>
      <c r="F32" s="294">
        <f ca="1">IF(F$7&lt;YEAR(Startops1),0,Returns!F38)*F$9/12</f>
        <v>0</v>
      </c>
      <c r="G32" s="294">
        <f ca="1">IF(G$7&lt;YEAR(Startops1),0,Returns!G38)*G$9/12</f>
        <v>0</v>
      </c>
      <c r="H32" s="294">
        <f ca="1">IF(H$7&lt;YEAR(Startops1),0,Returns!H38)*H$9/12</f>
        <v>-114.64108652812843</v>
      </c>
      <c r="I32" s="294">
        <f ca="1">IF(I$7&lt;YEAR(Startops1),0,Returns!I38)*I$9/12</f>
        <v>-105.88231034543509</v>
      </c>
      <c r="J32" s="294">
        <f ca="1">IF(J$7&lt;YEAR(Startops1),0,Returns!J38)*J$9/12</f>
        <v>-59.03153318739826</v>
      </c>
      <c r="K32" s="294">
        <f ca="1">IF(K$7&lt;YEAR(Startops1),0,Returns!K38)*K$9/12</f>
        <v>-19.732878406637262</v>
      </c>
      <c r="L32" s="294">
        <f ca="1">IF(L$7&lt;YEAR(Startops1),0,Returns!L38)*L$9/12</f>
        <v>-2.916596272787471</v>
      </c>
      <c r="M32" s="294">
        <f ca="1">IF(M$7&lt;YEAR(Startops1),0,Returns!M38)*M$9/12</f>
        <v>0</v>
      </c>
      <c r="N32" s="294">
        <f ca="1">IF(N$7&lt;YEAR(Startops1),0,Returns!N38)*N$9/12</f>
        <v>0</v>
      </c>
      <c r="O32" s="294">
        <f ca="1">IF(O$7&lt;YEAR(Startops1),0,Returns!O38)*O$9/12</f>
        <v>0</v>
      </c>
      <c r="P32" s="294">
        <f ca="1">IF(P$7&lt;YEAR(Startops1),0,Returns!P38)*P$9/12</f>
        <v>0</v>
      </c>
      <c r="Q32" s="294">
        <f ca="1">IF(Q$7&lt;YEAR(Startops1),0,Returns!Q38)*Q$9/12</f>
        <v>0</v>
      </c>
      <c r="R32" s="294">
        <f ca="1">IF(R$7&lt;YEAR(Startops1),0,Returns!R38)*R$9/12</f>
        <v>-1.1157656867428174</v>
      </c>
      <c r="S32" s="294">
        <f ca="1">IF(S$7&lt;YEAR(Startops1),0,Returns!S38)*S$9/12</f>
        <v>-15.312772262916312</v>
      </c>
      <c r="T32" s="294">
        <f ca="1">IF(T$7&lt;YEAR(Startops1),0,Returns!T38)*T$9/12</f>
        <v>-34.983090341168996</v>
      </c>
      <c r="U32" s="294">
        <f ca="1">IF(U$7&lt;YEAR(Startops1),0,Returns!U38)*U$9/12</f>
        <v>-59.490826821269224</v>
      </c>
      <c r="V32" s="294">
        <f ca="1">IF(V$7&lt;YEAR(Startops1),0,Returns!V38)*V$9/12</f>
        <v>-89.371459160234494</v>
      </c>
      <c r="W32" s="294">
        <f ca="1">IF(W$7&lt;YEAR(Startops1),0,Returns!W38)*W$9/12</f>
        <v>-122.14544334233385</v>
      </c>
      <c r="X32" s="294">
        <f ca="1">IF(X$7&lt;YEAR(Startops1),0,Returns!X38)*X$9/12</f>
        <v>-141.54256680591033</v>
      </c>
      <c r="Y32" s="294">
        <f ca="1">IF(Y$7&lt;YEAR(Startops1),0,Returns!Y38)*Y$9/12</f>
        <v>-145.65256413615847</v>
      </c>
      <c r="Z32" s="294">
        <f ca="1">IF(Z$7&lt;YEAR(Startops1),0,Returns!Z38)*Z$9/12</f>
        <v>-38.399919546958756</v>
      </c>
      <c r="AA32" s="472">
        <f t="shared" ca="1" si="5"/>
        <v>-950.21881284407982</v>
      </c>
    </row>
    <row r="33" spans="1:28">
      <c r="A33" s="137" t="s">
        <v>500</v>
      </c>
      <c r="B33" s="8"/>
      <c r="C33" s="8"/>
      <c r="D33" s="278" t="s">
        <v>211</v>
      </c>
      <c r="E33" s="153">
        <f ca="1">(Returns!$AA$39-$AA$34)/$AA$9*E$9</f>
        <v>0</v>
      </c>
      <c r="F33" s="153">
        <f ca="1">(Returns!$AA$39-$AA$34)/$AA$9*F$9</f>
        <v>0</v>
      </c>
      <c r="G33" s="153">
        <f ca="1">(Returns!$AA$39-$AA$34)/$AA$9*G$9</f>
        <v>0</v>
      </c>
      <c r="H33" s="153">
        <f ca="1">(Returns!$AA$39-$AA$34)/$AA$9*H$9</f>
        <v>112.11467889908256</v>
      </c>
      <c r="I33" s="153">
        <f ca="1">(Returns!$AA$39-$AA$34)/$AA$9*I$9</f>
        <v>134.53761467889908</v>
      </c>
      <c r="J33" s="153">
        <f ca="1">(Returns!$AA$39-$AA$34)/$AA$9*J$9</f>
        <v>134.53761467889908</v>
      </c>
      <c r="K33" s="153">
        <f ca="1">(Returns!$AA$39-$AA$34)/$AA$9*K$9</f>
        <v>134.53761467889908</v>
      </c>
      <c r="L33" s="153">
        <f ca="1">(Returns!$AA$39-$AA$34)/$AA$9*L$9</f>
        <v>134.53761467889908</v>
      </c>
      <c r="M33" s="153">
        <f ca="1">(Returns!$AA$39-$AA$34)/$AA$9*M$9</f>
        <v>134.53761467889908</v>
      </c>
      <c r="N33" s="153">
        <f ca="1">(Returns!$AA$39-$AA$34)/$AA$9*N$9</f>
        <v>134.53761467889908</v>
      </c>
      <c r="O33" s="153">
        <f ca="1">(Returns!$AA$39-$AA$34)/$AA$9*O$9</f>
        <v>134.53761467889908</v>
      </c>
      <c r="P33" s="153">
        <f ca="1">(Returns!$AA$39-$AA$34)/$AA$9*P$9</f>
        <v>134.53761467889908</v>
      </c>
      <c r="Q33" s="153">
        <f ca="1">(Returns!$AA$39-$AA$34)/$AA$9*Q$9</f>
        <v>134.53761467889908</v>
      </c>
      <c r="R33" s="153">
        <f ca="1">(Returns!$AA$39-$AA$34)/$AA$9*R$9</f>
        <v>134.53761467889908</v>
      </c>
      <c r="S33" s="153">
        <f ca="1">(Returns!$AA$39-$AA$34)/$AA$9*S$9</f>
        <v>134.53761467889908</v>
      </c>
      <c r="T33" s="153">
        <f ca="1">(Returns!$AA$39-$AA$34)/$AA$9*T$9</f>
        <v>134.53761467889908</v>
      </c>
      <c r="U33" s="153">
        <f ca="1">(Returns!$AA$39-$AA$34)/$AA$9*U$9</f>
        <v>134.53761467889908</v>
      </c>
      <c r="V33" s="153">
        <f ca="1">(Returns!$AA$39-$AA$34)/$AA$9*V$9</f>
        <v>134.53761467889908</v>
      </c>
      <c r="W33" s="153">
        <f ca="1">(Returns!$AA$39-$AA$34)/$AA$9*W$9</f>
        <v>134.53761467889908</v>
      </c>
      <c r="X33" s="153">
        <f ca="1">(Returns!$AA$39-$AA$34)/$AA$9*X$9</f>
        <v>134.53761467889908</v>
      </c>
      <c r="Y33" s="153">
        <f ca="1">(Returns!$AA$39-$AA$34)/$AA$9*Y$9</f>
        <v>134.53761467889908</v>
      </c>
      <c r="Z33" s="153">
        <f ca="1">(Returns!$AA$39-$AA$34)/$AA$9*Z$9</f>
        <v>44.845871559633025</v>
      </c>
      <c r="AA33" s="472">
        <f t="shared" ca="1" si="5"/>
        <v>2444.099999999999</v>
      </c>
      <c r="AB33" s="297" t="str">
        <f ca="1">IF(SUM(AA33,AA34,-Returns!AA39)=0," ","Check")</f>
        <v xml:space="preserve"> </v>
      </c>
    </row>
    <row r="34" spans="1:28">
      <c r="A34" s="137" t="s">
        <v>219</v>
      </c>
      <c r="B34" s="8"/>
      <c r="C34" s="8"/>
      <c r="D34" s="278" t="s">
        <v>211</v>
      </c>
      <c r="E34" s="153">
        <f ca="1">Returns!E39*(1-Returns!$A$27)</f>
        <v>496.26948451640845</v>
      </c>
      <c r="F34" s="153">
        <f ca="1">Returns!F39*(1-Returns!$A$27)</f>
        <v>1913.8937083003204</v>
      </c>
      <c r="G34" s="153">
        <f ca="1">Returns!G39*(1-Returns!$A$27)</f>
        <v>33.936807183270957</v>
      </c>
      <c r="H34" s="153">
        <f ca="1">Returns!H39*(1-Returns!$A$27)</f>
        <v>0</v>
      </c>
      <c r="I34" s="153">
        <f ca="1">Returns!I39*(1-Returns!$A$27)</f>
        <v>0</v>
      </c>
      <c r="J34" s="153">
        <f ca="1">Returns!J39*(1-Returns!$A$27)</f>
        <v>0</v>
      </c>
      <c r="K34" s="153">
        <f ca="1">Returns!K39*(1-Returns!$A$27)</f>
        <v>0</v>
      </c>
      <c r="L34" s="153">
        <f ca="1">Returns!L39*(1-Returns!$A$27)</f>
        <v>0</v>
      </c>
      <c r="M34" s="153">
        <f ca="1">Returns!M39*(1-Returns!$A$27)</f>
        <v>0</v>
      </c>
      <c r="N34" s="153">
        <f ca="1">Returns!N39*(1-Returns!$A$27)</f>
        <v>0</v>
      </c>
      <c r="O34" s="153">
        <f ca="1">Returns!O39*(1-Returns!$A$27)</f>
        <v>0</v>
      </c>
      <c r="P34" s="153">
        <f ca="1">Returns!P39*(1-Returns!$A$27)</f>
        <v>0</v>
      </c>
      <c r="Q34" s="153">
        <f ca="1">Returns!Q39*(1-Returns!$A$27)</f>
        <v>0</v>
      </c>
      <c r="R34" s="153">
        <f ca="1">Returns!R39*(1-Returns!$A$27)</f>
        <v>0</v>
      </c>
      <c r="S34" s="153">
        <f ca="1">Returns!S39*(1-Returns!$A$27)</f>
        <v>0</v>
      </c>
      <c r="T34" s="153">
        <f ca="1">Returns!T39*(1-Returns!$A$27)</f>
        <v>0</v>
      </c>
      <c r="U34" s="153">
        <f ca="1">Returns!U39*(1-Returns!$A$27)</f>
        <v>0</v>
      </c>
      <c r="V34" s="153">
        <f ca="1">Returns!V39*(1-Returns!$A$27)</f>
        <v>0</v>
      </c>
      <c r="W34" s="153">
        <f ca="1">Returns!W39*(1-Returns!$A$27)</f>
        <v>0</v>
      </c>
      <c r="X34" s="153">
        <f ca="1">Returns!X39*(1-Returns!$A$27)</f>
        <v>0</v>
      </c>
      <c r="Y34" s="153">
        <f ca="1">Returns!Y39*(1-Returns!$A$27)</f>
        <v>0</v>
      </c>
      <c r="Z34" s="153">
        <f ca="1">Returns!Z39*(1-Returns!$A$27)</f>
        <v>0</v>
      </c>
      <c r="AA34" s="472">
        <f t="shared" ca="1" si="5"/>
        <v>2444.1</v>
      </c>
    </row>
    <row r="35" spans="1:28">
      <c r="A35" s="137" t="s">
        <v>305</v>
      </c>
      <c r="B35" s="8"/>
      <c r="C35" s="8"/>
      <c r="D35" s="278" t="s">
        <v>211</v>
      </c>
      <c r="E35" s="389">
        <f ca="1">-SUM(E33:E34)*Wh_Serv</f>
        <v>-74.440422677461271</v>
      </c>
      <c r="F35" s="389">
        <f t="shared" ref="F35:X35" ca="1" si="6">-SUM(F33:F34)*Wh_Serv</f>
        <v>-287.08405624504803</v>
      </c>
      <c r="G35" s="389">
        <f t="shared" ca="1" si="6"/>
        <v>-5.0905210774906431</v>
      </c>
      <c r="H35" s="389">
        <f t="shared" ca="1" si="6"/>
        <v>-16.817201834862384</v>
      </c>
      <c r="I35" s="389">
        <f t="shared" ca="1" si="6"/>
        <v>-20.180642201834861</v>
      </c>
      <c r="J35" s="389">
        <f t="shared" ca="1" si="6"/>
        <v>-20.180642201834861</v>
      </c>
      <c r="K35" s="389">
        <f t="shared" ca="1" si="6"/>
        <v>-20.180642201834861</v>
      </c>
      <c r="L35" s="389">
        <f t="shared" ca="1" si="6"/>
        <v>-20.180642201834861</v>
      </c>
      <c r="M35" s="389">
        <f t="shared" ca="1" si="6"/>
        <v>-20.180642201834861</v>
      </c>
      <c r="N35" s="389">
        <f t="shared" ca="1" si="6"/>
        <v>-20.180642201834861</v>
      </c>
      <c r="O35" s="389">
        <f t="shared" ca="1" si="6"/>
        <v>-20.180642201834861</v>
      </c>
      <c r="P35" s="389">
        <f t="shared" ca="1" si="6"/>
        <v>-20.180642201834861</v>
      </c>
      <c r="Q35" s="389">
        <f t="shared" ca="1" si="6"/>
        <v>-20.180642201834861</v>
      </c>
      <c r="R35" s="389">
        <f t="shared" ca="1" si="6"/>
        <v>-20.180642201834861</v>
      </c>
      <c r="S35" s="389">
        <f t="shared" ca="1" si="6"/>
        <v>-20.180642201834861</v>
      </c>
      <c r="T35" s="389">
        <f t="shared" ca="1" si="6"/>
        <v>-20.180642201834861</v>
      </c>
      <c r="U35" s="389">
        <f t="shared" ca="1" si="6"/>
        <v>-20.180642201834861</v>
      </c>
      <c r="V35" s="389">
        <f t="shared" ca="1" si="6"/>
        <v>-20.180642201834861</v>
      </c>
      <c r="W35" s="389">
        <f t="shared" ca="1" si="6"/>
        <v>-20.180642201834861</v>
      </c>
      <c r="X35" s="389">
        <f t="shared" ca="1" si="6"/>
        <v>-20.180642201834861</v>
      </c>
      <c r="Y35" s="389">
        <f ca="1">-SUM(Y33:Y34)*Wh_Serv</f>
        <v>-20.180642201834861</v>
      </c>
      <c r="Z35" s="389">
        <f ca="1">-SUM(Z33:Z34)*Wh_Serv</f>
        <v>-6.7268807339449532</v>
      </c>
      <c r="AA35" s="476">
        <f t="shared" ca="1" si="5"/>
        <v>-733.23</v>
      </c>
      <c r="AB35" s="297" t="str">
        <f ca="1">IF(ROUND(SUM(AA35,-Returns!AA40),2)=0," ","Check")</f>
        <v xml:space="preserve"> </v>
      </c>
    </row>
    <row r="36" spans="1:28">
      <c r="A36" s="137" t="s">
        <v>725</v>
      </c>
      <c r="B36" s="8"/>
      <c r="C36" s="8"/>
      <c r="D36" s="8"/>
      <c r="E36" s="293">
        <f ca="1">-SUM(E25:E35)*USTax</f>
        <v>-156.07675288041045</v>
      </c>
      <c r="F36" s="293">
        <f t="shared" ref="F36:Z36" ca="1" si="7">-SUM(F25:F35)*USTax</f>
        <v>-601.91957126045077</v>
      </c>
      <c r="G36" s="293">
        <f t="shared" ca="1" si="7"/>
        <v>-10.673125859138716</v>
      </c>
      <c r="H36" s="293">
        <f t="shared" ca="1" si="7"/>
        <v>-26.81459835975916</v>
      </c>
      <c r="I36" s="293">
        <f t="shared" ca="1" si="7"/>
        <v>-46.094925568906874</v>
      </c>
      <c r="J36" s="293">
        <f t="shared" ca="1" si="7"/>
        <v>-60.934657254146408</v>
      </c>
      <c r="K36" s="293">
        <f t="shared" ca="1" si="7"/>
        <v>-77.609006564929786</v>
      </c>
      <c r="L36" s="293">
        <f t="shared" ca="1" si="7"/>
        <v>-142.5137999107028</v>
      </c>
      <c r="M36" s="293">
        <f t="shared" ca="1" si="7"/>
        <v>-214.4468159773495</v>
      </c>
      <c r="N36" s="293">
        <f t="shared" ca="1" si="7"/>
        <v>-271.5570914754619</v>
      </c>
      <c r="O36" s="293">
        <f t="shared" ca="1" si="7"/>
        <v>-332.78773731150818</v>
      </c>
      <c r="P36" s="293">
        <f t="shared" ca="1" si="7"/>
        <v>-395.23754346698604</v>
      </c>
      <c r="Q36" s="293">
        <f t="shared" ca="1" si="7"/>
        <v>-453.51988625504111</v>
      </c>
      <c r="R36" s="293">
        <f t="shared" ca="1" si="7"/>
        <v>-465.25822050946209</v>
      </c>
      <c r="S36" s="293">
        <f t="shared" ca="1" si="7"/>
        <v>-446.76136087418524</v>
      </c>
      <c r="T36" s="293">
        <f t="shared" ca="1" si="7"/>
        <v>-430.28787623726663</v>
      </c>
      <c r="U36" s="293">
        <f t="shared" ca="1" si="7"/>
        <v>-415.83579254413871</v>
      </c>
      <c r="V36" s="293">
        <f t="shared" ca="1" si="7"/>
        <v>-363.28029368974302</v>
      </c>
      <c r="W36" s="293">
        <f t="shared" ca="1" si="7"/>
        <v>-296.25424489593678</v>
      </c>
      <c r="X36" s="293">
        <f t="shared" ca="1" si="7"/>
        <v>-205.16966673486806</v>
      </c>
      <c r="Y36" s="293">
        <f t="shared" ca="1" si="7"/>
        <v>-61.744798729729681</v>
      </c>
      <c r="Z36" s="293">
        <f t="shared" ca="1" si="7"/>
        <v>81.622854611181538</v>
      </c>
      <c r="AA36" s="473">
        <f t="shared" ca="1" si="5"/>
        <v>-5393.1549117489412</v>
      </c>
    </row>
    <row r="37" spans="1:28">
      <c r="A37" s="137"/>
      <c r="B37" s="8" t="s">
        <v>636</v>
      </c>
      <c r="C37" s="8"/>
      <c r="D37" s="8"/>
      <c r="E37" s="153">
        <f ca="1">SUM(E23:E36)</f>
        <v>265.75230895853667</v>
      </c>
      <c r="F37" s="153">
        <f t="shared" ref="F37:Z37" ca="1" si="8">SUM(F23:F36)</f>
        <v>1024.8900807948216</v>
      </c>
      <c r="G37" s="153">
        <f t="shared" ca="1" si="8"/>
        <v>18.173160246641601</v>
      </c>
      <c r="H37" s="153">
        <f t="shared" ca="1" si="8"/>
        <v>45.657289099049379</v>
      </c>
      <c r="I37" s="153">
        <f t="shared" ca="1" si="8"/>
        <v>78.485954347057657</v>
      </c>
      <c r="J37" s="153">
        <f t="shared" ca="1" si="8"/>
        <v>103.75360559489795</v>
      </c>
      <c r="K37" s="153">
        <f t="shared" ca="1" si="8"/>
        <v>132.14506523217776</v>
      </c>
      <c r="L37" s="153">
        <f t="shared" ca="1" si="8"/>
        <v>242.65863228038586</v>
      </c>
      <c r="M37" s="153">
        <f t="shared" ca="1" si="8"/>
        <v>365.13917315062213</v>
      </c>
      <c r="N37" s="153">
        <f t="shared" ca="1" si="8"/>
        <v>462.38099359335399</v>
      </c>
      <c r="O37" s="153">
        <f t="shared" ca="1" si="8"/>
        <v>566.63857974662199</v>
      </c>
      <c r="P37" s="153">
        <f t="shared" ca="1" si="8"/>
        <v>672.97203347081415</v>
      </c>
      <c r="Q37" s="153">
        <f t="shared" ca="1" si="8"/>
        <v>772.2095360558809</v>
      </c>
      <c r="R37" s="153">
        <f t="shared" ca="1" si="8"/>
        <v>792.19642951611127</v>
      </c>
      <c r="S37" s="153">
        <f t="shared" ca="1" si="8"/>
        <v>760.70177662361277</v>
      </c>
      <c r="T37" s="153">
        <f t="shared" ca="1" si="8"/>
        <v>732.65232980940004</v>
      </c>
      <c r="U37" s="153">
        <f t="shared" ca="1" si="8"/>
        <v>708.04472784542531</v>
      </c>
      <c r="V37" s="153">
        <f t="shared" ca="1" si="8"/>
        <v>618.55833790415704</v>
      </c>
      <c r="W37" s="153">
        <f t="shared" ca="1" si="8"/>
        <v>504.43290347145995</v>
      </c>
      <c r="X37" s="153">
        <f t="shared" ca="1" si="8"/>
        <v>349.34294606207266</v>
      </c>
      <c r="Y37" s="153">
        <f t="shared" ca="1" si="8"/>
        <v>105.13303567494513</v>
      </c>
      <c r="Z37" s="153">
        <f t="shared" ca="1" si="8"/>
        <v>-138.97945514876858</v>
      </c>
      <c r="AA37" s="472">
        <f t="shared" ca="1" si="5"/>
        <v>9182.9394443292767</v>
      </c>
    </row>
    <row r="38" spans="1:28">
      <c r="A38" s="137"/>
      <c r="B38" s="8"/>
      <c r="C38" s="8"/>
      <c r="D38" s="8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474"/>
    </row>
    <row r="39" spans="1:28">
      <c r="A39" s="144" t="s">
        <v>640</v>
      </c>
      <c r="B39" s="8"/>
      <c r="C39" s="8"/>
      <c r="D39" s="8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474"/>
    </row>
    <row r="40" spans="1:28">
      <c r="A40" s="137" t="str">
        <f>CONCATENATE("Plus: Interest Income - ",TEXT(Int_BL,"0.00%"))</f>
        <v>Plus: Interest Income - 6.00%</v>
      </c>
      <c r="B40" s="8"/>
      <c r="C40" s="8"/>
      <c r="D40" s="278" t="s">
        <v>362</v>
      </c>
      <c r="E40" s="153">
        <f ca="1">Returns!E54</f>
        <v>0</v>
      </c>
      <c r="F40" s="153">
        <f ca="1">Returns!F54</f>
        <v>211.98316251827103</v>
      </c>
      <c r="G40" s="153">
        <f ca="1">Returns!G54</f>
        <v>933.31551918193577</v>
      </c>
      <c r="H40" s="153">
        <f ca="1">Returns!H54</f>
        <v>0</v>
      </c>
      <c r="I40" s="153">
        <f ca="1">Returns!I54</f>
        <v>0</v>
      </c>
      <c r="J40" s="153">
        <f ca="1">Returns!J54</f>
        <v>0</v>
      </c>
      <c r="K40" s="153">
        <f ca="1">Returns!K54</f>
        <v>0</v>
      </c>
      <c r="L40" s="153">
        <f ca="1">Returns!L54</f>
        <v>0</v>
      </c>
      <c r="M40" s="153">
        <f ca="1">Returns!M54</f>
        <v>0</v>
      </c>
      <c r="N40" s="153">
        <f ca="1">Returns!N54</f>
        <v>0</v>
      </c>
      <c r="O40" s="153">
        <f ca="1">Returns!O54</f>
        <v>0</v>
      </c>
      <c r="P40" s="153">
        <f ca="1">Returns!P54</f>
        <v>0</v>
      </c>
      <c r="Q40" s="153">
        <f ca="1">Returns!Q54</f>
        <v>0</v>
      </c>
      <c r="R40" s="153">
        <f ca="1">Returns!R54</f>
        <v>0</v>
      </c>
      <c r="S40" s="153">
        <f ca="1">Returns!S54</f>
        <v>0</v>
      </c>
      <c r="T40" s="153">
        <f ca="1">Returns!T54</f>
        <v>0</v>
      </c>
      <c r="U40" s="153">
        <f ca="1">Returns!U54</f>
        <v>0</v>
      </c>
      <c r="V40" s="153">
        <f ca="1">Returns!V54</f>
        <v>0</v>
      </c>
      <c r="W40" s="153">
        <f ca="1">Returns!W54</f>
        <v>0</v>
      </c>
      <c r="X40" s="153">
        <f ca="1">Returns!X54</f>
        <v>0</v>
      </c>
      <c r="Y40" s="153">
        <f ca="1">Returns!Y54</f>
        <v>0</v>
      </c>
      <c r="Z40" s="153">
        <f ca="1">Returns!Z54</f>
        <v>0</v>
      </c>
      <c r="AA40" s="472">
        <f ca="1">SUM(E40:Z40)</f>
        <v>1145.2986817002068</v>
      </c>
    </row>
    <row r="41" spans="1:28">
      <c r="A41" s="137" t="str">
        <f>CONCATENATE("Less: Enron Cost Of Funds - ",TEXT(Ecf,"0.00%"))</f>
        <v>Less: Enron Cost Of Funds - 6.50%</v>
      </c>
      <c r="B41" s="8"/>
      <c r="C41" s="8"/>
      <c r="D41" s="278" t="s">
        <v>362</v>
      </c>
      <c r="E41" s="153">
        <f ca="1">-E40/Int_BL*Ecf</f>
        <v>0</v>
      </c>
      <c r="F41" s="153">
        <f t="shared" ref="F41:X41" ca="1" si="9">-F40/Int_BL*Ecf</f>
        <v>-229.6484260614603</v>
      </c>
      <c r="G41" s="153">
        <f t="shared" ca="1" si="9"/>
        <v>-1011.0918124470973</v>
      </c>
      <c r="H41" s="153">
        <f t="shared" ca="1" si="9"/>
        <v>0</v>
      </c>
      <c r="I41" s="153">
        <f t="shared" ca="1" si="9"/>
        <v>0</v>
      </c>
      <c r="J41" s="153">
        <f t="shared" ca="1" si="9"/>
        <v>0</v>
      </c>
      <c r="K41" s="153">
        <f t="shared" ca="1" si="9"/>
        <v>0</v>
      </c>
      <c r="L41" s="153">
        <f t="shared" ca="1" si="9"/>
        <v>0</v>
      </c>
      <c r="M41" s="153">
        <f t="shared" ca="1" si="9"/>
        <v>0</v>
      </c>
      <c r="N41" s="153">
        <f t="shared" ca="1" si="9"/>
        <v>0</v>
      </c>
      <c r="O41" s="153">
        <f t="shared" ca="1" si="9"/>
        <v>0</v>
      </c>
      <c r="P41" s="153">
        <f t="shared" ca="1" si="9"/>
        <v>0</v>
      </c>
      <c r="Q41" s="153">
        <f t="shared" ca="1" si="9"/>
        <v>0</v>
      </c>
      <c r="R41" s="153">
        <f t="shared" ca="1" si="9"/>
        <v>0</v>
      </c>
      <c r="S41" s="153">
        <f t="shared" ca="1" si="9"/>
        <v>0</v>
      </c>
      <c r="T41" s="153">
        <f t="shared" ca="1" si="9"/>
        <v>0</v>
      </c>
      <c r="U41" s="153">
        <f t="shared" ca="1" si="9"/>
        <v>0</v>
      </c>
      <c r="V41" s="153">
        <f t="shared" ca="1" si="9"/>
        <v>0</v>
      </c>
      <c r="W41" s="153">
        <f t="shared" ca="1" si="9"/>
        <v>0</v>
      </c>
      <c r="X41" s="153">
        <f t="shared" ca="1" si="9"/>
        <v>0</v>
      </c>
      <c r="Y41" s="153">
        <f ca="1">-Y40/Int_BL*Ecf</f>
        <v>0</v>
      </c>
      <c r="Z41" s="153">
        <f ca="1">-Z40/Int_BL*Ecf</f>
        <v>0</v>
      </c>
      <c r="AA41" s="472">
        <f ca="1">SUM(E41:Z41)</f>
        <v>-1240.7402385085575</v>
      </c>
    </row>
    <row r="42" spans="1:28">
      <c r="A42" s="137" t="str">
        <f>CONCATENATE("Less: Political Risk Insurance - ",TEXT(Opic,"0.00%"))</f>
        <v>Less: Political Risk Insurance - 1.00%</v>
      </c>
      <c r="B42" s="8"/>
      <c r="C42" s="8"/>
      <c r="D42" s="278" t="s">
        <v>362</v>
      </c>
      <c r="E42" s="153">
        <f ca="1">Returns!E56</f>
        <v>0</v>
      </c>
      <c r="F42" s="153">
        <f ca="1">Returns!F56</f>
        <v>-90.72739368244072</v>
      </c>
      <c r="G42" s="153">
        <f ca="1">Returns!G56</f>
        <v>-90.72739368244072</v>
      </c>
      <c r="H42" s="153">
        <f ca="1">Returns!H56</f>
        <v>0</v>
      </c>
      <c r="I42" s="153">
        <f ca="1">Returns!I56</f>
        <v>0</v>
      </c>
      <c r="J42" s="153">
        <f ca="1">Returns!J56</f>
        <v>0</v>
      </c>
      <c r="K42" s="153">
        <f ca="1">Returns!K56</f>
        <v>0</v>
      </c>
      <c r="L42" s="153">
        <f ca="1">Returns!L56</f>
        <v>0</v>
      </c>
      <c r="M42" s="153">
        <f ca="1">Returns!M56</f>
        <v>0</v>
      </c>
      <c r="N42" s="153">
        <f ca="1">Returns!N56</f>
        <v>0</v>
      </c>
      <c r="O42" s="153">
        <f ca="1">Returns!O56</f>
        <v>0</v>
      </c>
      <c r="P42" s="153">
        <f ca="1">Returns!P56</f>
        <v>0</v>
      </c>
      <c r="Q42" s="153">
        <f ca="1">Returns!Q56</f>
        <v>0</v>
      </c>
      <c r="R42" s="153">
        <f ca="1">Returns!R56</f>
        <v>0</v>
      </c>
      <c r="S42" s="153">
        <f ca="1">Returns!S56</f>
        <v>0</v>
      </c>
      <c r="T42" s="153">
        <f ca="1">Returns!T56</f>
        <v>0</v>
      </c>
      <c r="U42" s="153">
        <f ca="1">Returns!U56</f>
        <v>0</v>
      </c>
      <c r="V42" s="153">
        <f ca="1">Returns!V56</f>
        <v>0</v>
      </c>
      <c r="W42" s="153">
        <f ca="1">Returns!W56</f>
        <v>0</v>
      </c>
      <c r="X42" s="153">
        <f ca="1">Returns!X56</f>
        <v>0</v>
      </c>
      <c r="Y42" s="153">
        <f ca="1">Returns!Y56</f>
        <v>0</v>
      </c>
      <c r="Z42" s="153">
        <f ca="1">Returns!Z56</f>
        <v>0</v>
      </c>
      <c r="AA42" s="472">
        <f ca="1">SUM(E42:Z42)</f>
        <v>-181.45478736488144</v>
      </c>
    </row>
    <row r="43" spans="1:28">
      <c r="A43" s="137" t="s">
        <v>726</v>
      </c>
      <c r="B43" s="8"/>
      <c r="C43" s="8"/>
      <c r="D43" s="8"/>
      <c r="E43" s="293">
        <f ca="1">USTax*-SUM(E40:E42)</f>
        <v>0</v>
      </c>
      <c r="F43" s="293">
        <f t="shared" ref="F43:X43" ca="1" si="10">USTax*-SUM(F40:F42)</f>
        <v>40.105283173483095</v>
      </c>
      <c r="G43" s="293">
        <f t="shared" ca="1" si="10"/>
        <v>62.346364170612816</v>
      </c>
      <c r="H43" s="293">
        <f t="shared" ca="1" si="10"/>
        <v>0</v>
      </c>
      <c r="I43" s="293">
        <f t="shared" ca="1" si="10"/>
        <v>0</v>
      </c>
      <c r="J43" s="293">
        <f t="shared" ca="1" si="10"/>
        <v>0</v>
      </c>
      <c r="K43" s="293">
        <f t="shared" ca="1" si="10"/>
        <v>0</v>
      </c>
      <c r="L43" s="293">
        <f t="shared" ca="1" si="10"/>
        <v>0</v>
      </c>
      <c r="M43" s="293">
        <f t="shared" ca="1" si="10"/>
        <v>0</v>
      </c>
      <c r="N43" s="293">
        <f t="shared" ca="1" si="10"/>
        <v>0</v>
      </c>
      <c r="O43" s="293">
        <f t="shared" ca="1" si="10"/>
        <v>0</v>
      </c>
      <c r="P43" s="293">
        <f t="shared" ca="1" si="10"/>
        <v>0</v>
      </c>
      <c r="Q43" s="293">
        <f t="shared" ca="1" si="10"/>
        <v>0</v>
      </c>
      <c r="R43" s="293">
        <f t="shared" ca="1" si="10"/>
        <v>0</v>
      </c>
      <c r="S43" s="293">
        <f t="shared" ca="1" si="10"/>
        <v>0</v>
      </c>
      <c r="T43" s="293">
        <f t="shared" ca="1" si="10"/>
        <v>0</v>
      </c>
      <c r="U43" s="293">
        <f t="shared" ca="1" si="10"/>
        <v>0</v>
      </c>
      <c r="V43" s="293">
        <f t="shared" ca="1" si="10"/>
        <v>0</v>
      </c>
      <c r="W43" s="293">
        <f t="shared" ca="1" si="10"/>
        <v>0</v>
      </c>
      <c r="X43" s="293">
        <f t="shared" ca="1" si="10"/>
        <v>0</v>
      </c>
      <c r="Y43" s="293">
        <f ca="1">USTax*-SUM(Y40:Y42)</f>
        <v>0</v>
      </c>
      <c r="Z43" s="293">
        <f ca="1">USTax*-SUM(Z40:Z42)</f>
        <v>0</v>
      </c>
      <c r="AA43" s="473">
        <f ca="1">SUM(E43:Z43)</f>
        <v>102.4516473440959</v>
      </c>
    </row>
    <row r="44" spans="1:28">
      <c r="A44" s="137"/>
      <c r="B44" s="8" t="s">
        <v>637</v>
      </c>
      <c r="C44" s="8"/>
      <c r="D44" s="8"/>
      <c r="E44" s="153">
        <f ca="1">SUM(E39:E43)</f>
        <v>0</v>
      </c>
      <c r="F44" s="153">
        <f t="shared" ref="F44:Z44" ca="1" si="11">SUM(F39:F43)</f>
        <v>-68.287374052146902</v>
      </c>
      <c r="G44" s="153">
        <f t="shared" ca="1" si="11"/>
        <v>-106.15732277698939</v>
      </c>
      <c r="H44" s="153">
        <f t="shared" ca="1" si="11"/>
        <v>0</v>
      </c>
      <c r="I44" s="153">
        <f t="shared" ca="1" si="11"/>
        <v>0</v>
      </c>
      <c r="J44" s="153">
        <f t="shared" ca="1" si="11"/>
        <v>0</v>
      </c>
      <c r="K44" s="153">
        <f t="shared" ca="1" si="11"/>
        <v>0</v>
      </c>
      <c r="L44" s="153">
        <f t="shared" ca="1" si="11"/>
        <v>0</v>
      </c>
      <c r="M44" s="153">
        <f t="shared" ca="1" si="11"/>
        <v>0</v>
      </c>
      <c r="N44" s="153">
        <f t="shared" ca="1" si="11"/>
        <v>0</v>
      </c>
      <c r="O44" s="153">
        <f t="shared" ca="1" si="11"/>
        <v>0</v>
      </c>
      <c r="P44" s="153">
        <f t="shared" ca="1" si="11"/>
        <v>0</v>
      </c>
      <c r="Q44" s="153">
        <f t="shared" ca="1" si="11"/>
        <v>0</v>
      </c>
      <c r="R44" s="153">
        <f t="shared" ca="1" si="11"/>
        <v>0</v>
      </c>
      <c r="S44" s="153">
        <f t="shared" ca="1" si="11"/>
        <v>0</v>
      </c>
      <c r="T44" s="153">
        <f t="shared" ca="1" si="11"/>
        <v>0</v>
      </c>
      <c r="U44" s="153">
        <f t="shared" ca="1" si="11"/>
        <v>0</v>
      </c>
      <c r="V44" s="153">
        <f t="shared" ca="1" si="11"/>
        <v>0</v>
      </c>
      <c r="W44" s="153">
        <f t="shared" ca="1" si="11"/>
        <v>0</v>
      </c>
      <c r="X44" s="153">
        <f t="shared" ca="1" si="11"/>
        <v>0</v>
      </c>
      <c r="Y44" s="153">
        <f t="shared" ca="1" si="11"/>
        <v>0</v>
      </c>
      <c r="Z44" s="153">
        <f t="shared" ca="1" si="11"/>
        <v>0</v>
      </c>
      <c r="AA44" s="472">
        <f ca="1">SUM(E44:Z44)</f>
        <v>-174.44469682913629</v>
      </c>
    </row>
    <row r="45" spans="1:28">
      <c r="A45" s="137"/>
      <c r="B45" s="8"/>
      <c r="C45" s="8"/>
      <c r="D45" s="8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474"/>
    </row>
    <row r="46" spans="1:28">
      <c r="A46" s="144" t="s">
        <v>672</v>
      </c>
      <c r="B46" s="8"/>
      <c r="C46" s="8"/>
      <c r="D46" s="8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474"/>
    </row>
    <row r="47" spans="1:28">
      <c r="A47" s="137"/>
      <c r="B47" s="8" t="s">
        <v>372</v>
      </c>
      <c r="C47" s="8"/>
      <c r="D47" s="8"/>
      <c r="E47" s="153">
        <f ca="1">E21</f>
        <v>0</v>
      </c>
      <c r="F47" s="153">
        <f t="shared" ref="F47:X47" ca="1" si="12">F21</f>
        <v>0</v>
      </c>
      <c r="G47" s="153">
        <f t="shared" ca="1" si="12"/>
        <v>0</v>
      </c>
      <c r="H47" s="153">
        <f t="shared" ca="1" si="12"/>
        <v>-1624.7353207832891</v>
      </c>
      <c r="I47" s="153">
        <f t="shared" ca="1" si="12"/>
        <v>-3119.6150495855445</v>
      </c>
      <c r="J47" s="153">
        <f t="shared" ca="1" si="12"/>
        <v>-3177.7761095943133</v>
      </c>
      <c r="K47" s="153">
        <f t="shared" ca="1" si="12"/>
        <v>-1543.477391744334</v>
      </c>
      <c r="L47" s="153">
        <f t="shared" ca="1" si="12"/>
        <v>-1122.0971551333239</v>
      </c>
      <c r="M47" s="153">
        <f t="shared" ca="1" si="12"/>
        <v>-788.65315068862878</v>
      </c>
      <c r="N47" s="153">
        <f t="shared" ca="1" si="12"/>
        <v>-357.48311342383124</v>
      </c>
      <c r="O47" s="153">
        <f t="shared" ca="1" si="12"/>
        <v>20.205906164367249</v>
      </c>
      <c r="P47" s="153">
        <f t="shared" ca="1" si="12"/>
        <v>432.76624869603671</v>
      </c>
      <c r="Q47" s="153">
        <f t="shared" ca="1" si="12"/>
        <v>783.65970905081213</v>
      </c>
      <c r="R47" s="153">
        <f t="shared" ca="1" si="12"/>
        <v>1242.4150144740372</v>
      </c>
      <c r="S47" s="153">
        <f t="shared" ca="1" si="12"/>
        <v>1757.1182944274631</v>
      </c>
      <c r="T47" s="153">
        <f t="shared" ca="1" si="12"/>
        <v>1811.8767173614829</v>
      </c>
      <c r="U47" s="153">
        <f t="shared" ca="1" si="12"/>
        <v>2636.8368085953048</v>
      </c>
      <c r="V47" s="153">
        <f t="shared" ca="1" si="12"/>
        <v>3166.7909851053464</v>
      </c>
      <c r="W47" s="153">
        <f t="shared" ca="1" si="12"/>
        <v>3586.2921364276899</v>
      </c>
      <c r="X47" s="153">
        <f t="shared" ca="1" si="12"/>
        <v>3953.2836557606297</v>
      </c>
      <c r="Y47" s="153">
        <f ca="1">Y21</f>
        <v>4278.2250231211874</v>
      </c>
      <c r="Z47" s="153">
        <f ca="1">Z21</f>
        <v>1439.1949811168824</v>
      </c>
      <c r="AA47" s="472">
        <f t="shared" ref="AA47:AA54" ca="1" si="13">SUM(E47:Z47)</f>
        <v>13374.828189347973</v>
      </c>
    </row>
    <row r="48" spans="1:28">
      <c r="A48" s="137"/>
      <c r="B48" s="8" t="s">
        <v>374</v>
      </c>
      <c r="C48" s="8"/>
      <c r="D48" s="8"/>
      <c r="E48" s="153">
        <f t="shared" ref="E48:X48" ca="1" si="14">E37</f>
        <v>265.75230895853667</v>
      </c>
      <c r="F48" s="153">
        <f t="shared" ca="1" si="14"/>
        <v>1024.8900807948216</v>
      </c>
      <c r="G48" s="153">
        <f t="shared" ca="1" si="14"/>
        <v>18.173160246641601</v>
      </c>
      <c r="H48" s="153">
        <f t="shared" ca="1" si="14"/>
        <v>45.657289099049379</v>
      </c>
      <c r="I48" s="153">
        <f t="shared" ca="1" si="14"/>
        <v>78.485954347057657</v>
      </c>
      <c r="J48" s="153">
        <f t="shared" ca="1" si="14"/>
        <v>103.75360559489795</v>
      </c>
      <c r="K48" s="153">
        <f t="shared" ca="1" si="14"/>
        <v>132.14506523217776</v>
      </c>
      <c r="L48" s="153">
        <f t="shared" ca="1" si="14"/>
        <v>242.65863228038586</v>
      </c>
      <c r="M48" s="153">
        <f t="shared" ca="1" si="14"/>
        <v>365.13917315062213</v>
      </c>
      <c r="N48" s="153">
        <f t="shared" ca="1" si="14"/>
        <v>462.38099359335399</v>
      </c>
      <c r="O48" s="153">
        <f t="shared" ca="1" si="14"/>
        <v>566.63857974662199</v>
      </c>
      <c r="P48" s="153">
        <f t="shared" ca="1" si="14"/>
        <v>672.97203347081415</v>
      </c>
      <c r="Q48" s="153">
        <f t="shared" ca="1" si="14"/>
        <v>772.2095360558809</v>
      </c>
      <c r="R48" s="153">
        <f t="shared" ca="1" si="14"/>
        <v>792.19642951611127</v>
      </c>
      <c r="S48" s="153">
        <f t="shared" ca="1" si="14"/>
        <v>760.70177662361277</v>
      </c>
      <c r="T48" s="153">
        <f t="shared" ca="1" si="14"/>
        <v>732.65232980940004</v>
      </c>
      <c r="U48" s="153">
        <f t="shared" ca="1" si="14"/>
        <v>708.04472784542531</v>
      </c>
      <c r="V48" s="153">
        <f t="shared" ca="1" si="14"/>
        <v>618.55833790415704</v>
      </c>
      <c r="W48" s="153">
        <f t="shared" ca="1" si="14"/>
        <v>504.43290347145995</v>
      </c>
      <c r="X48" s="153">
        <f t="shared" ca="1" si="14"/>
        <v>349.34294606207266</v>
      </c>
      <c r="Y48" s="153">
        <f ca="1">Y37</f>
        <v>105.13303567494513</v>
      </c>
      <c r="Z48" s="153">
        <f ca="1">Z37</f>
        <v>-138.97945514876858</v>
      </c>
      <c r="AA48" s="472">
        <f t="shared" ca="1" si="13"/>
        <v>9182.9394443292767</v>
      </c>
    </row>
    <row r="49" spans="1:28">
      <c r="A49" s="137"/>
      <c r="B49" s="8" t="s">
        <v>373</v>
      </c>
      <c r="C49" s="8"/>
      <c r="D49" s="8"/>
      <c r="E49" s="293">
        <f ca="1">E44</f>
        <v>0</v>
      </c>
      <c r="F49" s="293">
        <f t="shared" ref="F49:X49" ca="1" si="15">F44</f>
        <v>-68.287374052146902</v>
      </c>
      <c r="G49" s="293">
        <f t="shared" ca="1" si="15"/>
        <v>-106.15732277698939</v>
      </c>
      <c r="H49" s="293">
        <f t="shared" ca="1" si="15"/>
        <v>0</v>
      </c>
      <c r="I49" s="293">
        <f t="shared" ca="1" si="15"/>
        <v>0</v>
      </c>
      <c r="J49" s="293">
        <f t="shared" ca="1" si="15"/>
        <v>0</v>
      </c>
      <c r="K49" s="293">
        <f t="shared" ca="1" si="15"/>
        <v>0</v>
      </c>
      <c r="L49" s="293">
        <f t="shared" ca="1" si="15"/>
        <v>0</v>
      </c>
      <c r="M49" s="293">
        <f t="shared" ca="1" si="15"/>
        <v>0</v>
      </c>
      <c r="N49" s="293">
        <f t="shared" ca="1" si="15"/>
        <v>0</v>
      </c>
      <c r="O49" s="293">
        <f t="shared" ca="1" si="15"/>
        <v>0</v>
      </c>
      <c r="P49" s="293">
        <f t="shared" ca="1" si="15"/>
        <v>0</v>
      </c>
      <c r="Q49" s="293">
        <f t="shared" ca="1" si="15"/>
        <v>0</v>
      </c>
      <c r="R49" s="293">
        <f t="shared" ca="1" si="15"/>
        <v>0</v>
      </c>
      <c r="S49" s="293">
        <f t="shared" ca="1" si="15"/>
        <v>0</v>
      </c>
      <c r="T49" s="293">
        <f t="shared" ca="1" si="15"/>
        <v>0</v>
      </c>
      <c r="U49" s="293">
        <f t="shared" ca="1" si="15"/>
        <v>0</v>
      </c>
      <c r="V49" s="293">
        <f t="shared" ca="1" si="15"/>
        <v>0</v>
      </c>
      <c r="W49" s="293">
        <f t="shared" ca="1" si="15"/>
        <v>0</v>
      </c>
      <c r="X49" s="293">
        <f t="shared" ca="1" si="15"/>
        <v>0</v>
      </c>
      <c r="Y49" s="293">
        <f ca="1">Y44</f>
        <v>0</v>
      </c>
      <c r="Z49" s="293">
        <f ca="1">Z44</f>
        <v>0</v>
      </c>
      <c r="AA49" s="473">
        <f t="shared" ca="1" si="13"/>
        <v>-174.44469682913629</v>
      </c>
    </row>
    <row r="50" spans="1:28">
      <c r="A50" s="137"/>
      <c r="B50" s="32" t="s">
        <v>678</v>
      </c>
      <c r="C50" s="8"/>
      <c r="D50" s="8"/>
      <c r="E50" s="153">
        <f ca="1">SUM(E46:E49)</f>
        <v>265.75230895853667</v>
      </c>
      <c r="F50" s="153">
        <f t="shared" ref="F50:Z50" ca="1" si="16">SUM(F46:F49)</f>
        <v>956.60270674267474</v>
      </c>
      <c r="G50" s="153">
        <f t="shared" ca="1" si="16"/>
        <v>-87.984162530347788</v>
      </c>
      <c r="H50" s="153">
        <f t="shared" ca="1" si="16"/>
        <v>-1579.0780316842397</v>
      </c>
      <c r="I50" s="153">
        <f t="shared" ca="1" si="16"/>
        <v>-3041.129095238487</v>
      </c>
      <c r="J50" s="153">
        <f t="shared" ca="1" si="16"/>
        <v>-3074.0225039994152</v>
      </c>
      <c r="K50" s="153">
        <f t="shared" ca="1" si="16"/>
        <v>-1411.3323265121562</v>
      </c>
      <c r="L50" s="153">
        <f t="shared" ca="1" si="16"/>
        <v>-879.43852285293804</v>
      </c>
      <c r="M50" s="153">
        <f t="shared" ca="1" si="16"/>
        <v>-423.51397753800666</v>
      </c>
      <c r="N50" s="153">
        <f t="shared" ca="1" si="16"/>
        <v>104.89788016952275</v>
      </c>
      <c r="O50" s="153">
        <f t="shared" ca="1" si="16"/>
        <v>586.84448591098919</v>
      </c>
      <c r="P50" s="153">
        <f t="shared" ca="1" si="16"/>
        <v>1105.7382821668509</v>
      </c>
      <c r="Q50" s="153">
        <f t="shared" ca="1" si="16"/>
        <v>1555.8692451066931</v>
      </c>
      <c r="R50" s="153">
        <f t="shared" ca="1" si="16"/>
        <v>2034.6114439901485</v>
      </c>
      <c r="S50" s="153">
        <f t="shared" ca="1" si="16"/>
        <v>2517.820071051076</v>
      </c>
      <c r="T50" s="153">
        <f t="shared" ca="1" si="16"/>
        <v>2544.5290471708831</v>
      </c>
      <c r="U50" s="153">
        <f t="shared" ca="1" si="16"/>
        <v>3344.8815364407301</v>
      </c>
      <c r="V50" s="153">
        <f t="shared" ca="1" si="16"/>
        <v>3785.3493230095037</v>
      </c>
      <c r="W50" s="153">
        <f t="shared" ca="1" si="16"/>
        <v>4090.72503989915</v>
      </c>
      <c r="X50" s="153">
        <f t="shared" ca="1" si="16"/>
        <v>4302.6266018227025</v>
      </c>
      <c r="Y50" s="153">
        <f t="shared" ca="1" si="16"/>
        <v>4383.3580587961324</v>
      </c>
      <c r="Z50" s="153">
        <f t="shared" ca="1" si="16"/>
        <v>1300.215525968114</v>
      </c>
      <c r="AA50" s="472">
        <f t="shared" ca="1" si="13"/>
        <v>22383.322936848119</v>
      </c>
    </row>
    <row r="51" spans="1:28">
      <c r="A51" s="137"/>
      <c r="B51" s="8" t="s">
        <v>675</v>
      </c>
      <c r="C51" s="8"/>
      <c r="D51" s="278" t="s">
        <v>218</v>
      </c>
      <c r="E51" s="153">
        <f t="shared" ref="E51:Z51" si="17">IF(E$7&lt;YEAR(Startops1),0,-E69)</f>
        <v>0</v>
      </c>
      <c r="F51" s="153">
        <f t="shared" si="17"/>
        <v>0</v>
      </c>
      <c r="G51" s="153">
        <f t="shared" si="17"/>
        <v>0</v>
      </c>
      <c r="H51" s="153">
        <f t="shared" ca="1" si="17"/>
        <v>-818.94340411163262</v>
      </c>
      <c r="I51" s="153">
        <f t="shared" ca="1" si="17"/>
        <v>-986.5632072125801</v>
      </c>
      <c r="J51" s="153">
        <f t="shared" ca="1" si="17"/>
        <v>-1188.3591371103207</v>
      </c>
      <c r="K51" s="153">
        <f t="shared" ca="1" si="17"/>
        <v>-1348.2802768652334</v>
      </c>
      <c r="L51" s="153">
        <f t="shared" ca="1" si="17"/>
        <v>-1513.287239453454</v>
      </c>
      <c r="M51" s="153">
        <f t="shared" ca="1" si="17"/>
        <v>-1674.0894210061881</v>
      </c>
      <c r="N51" s="153">
        <f t="shared" ca="1" si="17"/>
        <v>-1816.548500706248</v>
      </c>
      <c r="O51" s="153">
        <f t="shared" ca="1" si="17"/>
        <v>-1863.2767136916816</v>
      </c>
      <c r="P51" s="153">
        <f t="shared" ca="1" si="17"/>
        <v>-1815.0681806399475</v>
      </c>
      <c r="Q51" s="153">
        <f t="shared" ca="1" si="17"/>
        <v>-1741.3442217705067</v>
      </c>
      <c r="R51" s="153">
        <f t="shared" ca="1" si="17"/>
        <v>-1672.6523475984543</v>
      </c>
      <c r="S51" s="153">
        <f t="shared" ca="1" si="17"/>
        <v>-1609.0894109618366</v>
      </c>
      <c r="T51" s="153">
        <f t="shared" ca="1" si="17"/>
        <v>-1430.2773152369875</v>
      </c>
      <c r="U51" s="153">
        <f t="shared" ca="1" si="17"/>
        <v>-1203.1309644167752</v>
      </c>
      <c r="V51" s="153">
        <f t="shared" ca="1" si="17"/>
        <v>-881.80872792483694</v>
      </c>
      <c r="W51" s="153">
        <f t="shared" ca="1" si="17"/>
        <v>-380.76397286620238</v>
      </c>
      <c r="X51" s="153">
        <f t="shared" ca="1" si="17"/>
        <v>139.04253478265528</v>
      </c>
      <c r="Y51" s="153">
        <f t="shared" ca="1" si="17"/>
        <v>666.84320331522019</v>
      </c>
      <c r="Z51" s="153">
        <f t="shared" ca="1" si="17"/>
        <v>7061.6239588585495</v>
      </c>
      <c r="AA51" s="472">
        <f t="shared" ca="1" si="13"/>
        <v>-14075.973344616461</v>
      </c>
      <c r="AB51" s="297" t="s">
        <v>128</v>
      </c>
    </row>
    <row r="52" spans="1:28">
      <c r="A52" s="137"/>
      <c r="B52" s="8" t="s">
        <v>676</v>
      </c>
      <c r="C52" s="8"/>
      <c r="D52" s="278" t="s">
        <v>218</v>
      </c>
      <c r="E52" s="296">
        <f t="shared" ref="E52:Z52" ca="1" si="18">IF(E$7&gt;=YEAR(Startops1),-($AA69+$AA51)*E$9/$AA$9,0)</f>
        <v>0</v>
      </c>
      <c r="F52" s="296">
        <f t="shared" ca="1" si="18"/>
        <v>0</v>
      </c>
      <c r="G52" s="296">
        <f t="shared" ca="1" si="18"/>
        <v>0</v>
      </c>
      <c r="H52" s="296">
        <f t="shared" ca="1" si="18"/>
        <v>-80.471626761059483</v>
      </c>
      <c r="I52" s="296">
        <f t="shared" ca="1" si="18"/>
        <v>-96.565952113271379</v>
      </c>
      <c r="J52" s="296">
        <f t="shared" ca="1" si="18"/>
        <v>-96.565952113271379</v>
      </c>
      <c r="K52" s="296">
        <f t="shared" ca="1" si="18"/>
        <v>-96.565952113271379</v>
      </c>
      <c r="L52" s="296">
        <f t="shared" ca="1" si="18"/>
        <v>-96.565952113271379</v>
      </c>
      <c r="M52" s="296">
        <f t="shared" ca="1" si="18"/>
        <v>-96.565952113271379</v>
      </c>
      <c r="N52" s="296">
        <f t="shared" ca="1" si="18"/>
        <v>-96.565952113271379</v>
      </c>
      <c r="O52" s="296">
        <f t="shared" ca="1" si="18"/>
        <v>-96.565952113271379</v>
      </c>
      <c r="P52" s="296">
        <f t="shared" ca="1" si="18"/>
        <v>-96.565952113271379</v>
      </c>
      <c r="Q52" s="296">
        <f t="shared" ca="1" si="18"/>
        <v>-96.565952113271379</v>
      </c>
      <c r="R52" s="296">
        <f t="shared" ca="1" si="18"/>
        <v>-96.565952113271379</v>
      </c>
      <c r="S52" s="296">
        <f t="shared" ca="1" si="18"/>
        <v>-96.565952113271379</v>
      </c>
      <c r="T52" s="296">
        <f t="shared" ca="1" si="18"/>
        <v>-96.565952113271379</v>
      </c>
      <c r="U52" s="296">
        <f t="shared" ca="1" si="18"/>
        <v>-96.565952113271379</v>
      </c>
      <c r="V52" s="296">
        <f t="shared" ca="1" si="18"/>
        <v>-96.565952113271379</v>
      </c>
      <c r="W52" s="296">
        <f t="shared" ca="1" si="18"/>
        <v>-96.565952113271379</v>
      </c>
      <c r="X52" s="296">
        <f t="shared" ca="1" si="18"/>
        <v>-96.565952113271379</v>
      </c>
      <c r="Y52" s="296">
        <f t="shared" ca="1" si="18"/>
        <v>-96.565952113271379</v>
      </c>
      <c r="Z52" s="296">
        <f t="shared" ca="1" si="18"/>
        <v>-32.188650704423793</v>
      </c>
      <c r="AA52" s="472">
        <f t="shared" ca="1" si="13"/>
        <v>-1754.2814633910962</v>
      </c>
      <c r="AB52" s="27"/>
    </row>
    <row r="53" spans="1:28">
      <c r="A53" s="137"/>
      <c r="B53" s="8" t="s">
        <v>641</v>
      </c>
      <c r="C53" s="8"/>
      <c r="D53" s="8"/>
      <c r="E53" s="293">
        <f ca="1">-SUM(E51:E52)*USTax</f>
        <v>0</v>
      </c>
      <c r="F53" s="293">
        <f t="shared" ref="F53:Z53" ca="1" si="19">-SUM(F51:F52)*USTax</f>
        <v>0</v>
      </c>
      <c r="G53" s="293">
        <f t="shared" ca="1" si="19"/>
        <v>0</v>
      </c>
      <c r="H53" s="293">
        <f t="shared" ca="1" si="19"/>
        <v>332.78356142289607</v>
      </c>
      <c r="I53" s="293">
        <f t="shared" ca="1" si="19"/>
        <v>400.7577889505651</v>
      </c>
      <c r="J53" s="293">
        <f t="shared" ca="1" si="19"/>
        <v>475.42228301272905</v>
      </c>
      <c r="K53" s="293">
        <f t="shared" ca="1" si="19"/>
        <v>534.59310472204675</v>
      </c>
      <c r="L53" s="293">
        <f t="shared" ca="1" si="19"/>
        <v>595.64568087968837</v>
      </c>
      <c r="M53" s="293">
        <f t="shared" ca="1" si="19"/>
        <v>655.14248805420004</v>
      </c>
      <c r="N53" s="293">
        <f t="shared" ca="1" si="19"/>
        <v>707.85234754322209</v>
      </c>
      <c r="O53" s="293">
        <f t="shared" ca="1" si="19"/>
        <v>725.14178634783264</v>
      </c>
      <c r="P53" s="293">
        <f t="shared" ca="1" si="19"/>
        <v>707.30462911869097</v>
      </c>
      <c r="Q53" s="293">
        <f t="shared" ca="1" si="19"/>
        <v>680.02676433699787</v>
      </c>
      <c r="R53" s="293">
        <f t="shared" ca="1" si="19"/>
        <v>654.61077089333844</v>
      </c>
      <c r="S53" s="293">
        <f t="shared" ca="1" si="19"/>
        <v>631.09248433778998</v>
      </c>
      <c r="T53" s="293">
        <f t="shared" ca="1" si="19"/>
        <v>564.93200891959577</v>
      </c>
      <c r="U53" s="293">
        <f t="shared" ca="1" si="19"/>
        <v>480.88785911611723</v>
      </c>
      <c r="V53" s="293">
        <f t="shared" ca="1" si="19"/>
        <v>361.99863161410008</v>
      </c>
      <c r="W53" s="293">
        <f t="shared" ca="1" si="19"/>
        <v>176.61207224240528</v>
      </c>
      <c r="X53" s="293">
        <f t="shared" ca="1" si="19"/>
        <v>-15.716335587672043</v>
      </c>
      <c r="Y53" s="293">
        <f t="shared" ca="1" si="19"/>
        <v>-211.00258294472107</v>
      </c>
      <c r="Z53" s="293">
        <f t="shared" ca="1" si="19"/>
        <v>-2600.8910640170266</v>
      </c>
      <c r="AA53" s="473">
        <f t="shared" ca="1" si="13"/>
        <v>5857.1942789627974</v>
      </c>
    </row>
    <row r="54" spans="1:28">
      <c r="A54" s="137"/>
      <c r="B54" s="32" t="s">
        <v>677</v>
      </c>
      <c r="C54" s="8"/>
      <c r="D54" s="8"/>
      <c r="E54" s="153">
        <f ca="1">SUM(E50:E53)</f>
        <v>265.75230895853667</v>
      </c>
      <c r="F54" s="153">
        <f t="shared" ref="F54:Z54" ca="1" si="20">SUM(F50:F53)</f>
        <v>956.60270674267474</v>
      </c>
      <c r="G54" s="153">
        <f t="shared" ca="1" si="20"/>
        <v>-87.984162530347788</v>
      </c>
      <c r="H54" s="153">
        <f t="shared" ca="1" si="20"/>
        <v>-2145.7095011340352</v>
      </c>
      <c r="I54" s="153">
        <f t="shared" ca="1" si="20"/>
        <v>-3723.500465613773</v>
      </c>
      <c r="J54" s="153">
        <f t="shared" ca="1" si="20"/>
        <v>-3883.5253102102779</v>
      </c>
      <c r="K54" s="153">
        <f t="shared" ca="1" si="20"/>
        <v>-2321.5854507686145</v>
      </c>
      <c r="L54" s="153">
        <f t="shared" ca="1" si="20"/>
        <v>-1893.6460335399752</v>
      </c>
      <c r="M54" s="153">
        <f t="shared" ca="1" si="20"/>
        <v>-1539.0268626032662</v>
      </c>
      <c r="N54" s="153">
        <f t="shared" ca="1" si="20"/>
        <v>-1100.3642251067745</v>
      </c>
      <c r="O54" s="153">
        <f t="shared" ca="1" si="20"/>
        <v>-647.85639354613102</v>
      </c>
      <c r="P54" s="153">
        <f t="shared" ca="1" si="20"/>
        <v>-98.591221467676974</v>
      </c>
      <c r="Q54" s="153">
        <f t="shared" ca="1" si="20"/>
        <v>397.98583555991297</v>
      </c>
      <c r="R54" s="153">
        <f t="shared" ca="1" si="20"/>
        <v>920.00391517176126</v>
      </c>
      <c r="S54" s="153">
        <f t="shared" ca="1" si="20"/>
        <v>1443.257192313758</v>
      </c>
      <c r="T54" s="153">
        <f t="shared" ca="1" si="20"/>
        <v>1582.61778874022</v>
      </c>
      <c r="U54" s="153">
        <f t="shared" ca="1" si="20"/>
        <v>2526.0724790268009</v>
      </c>
      <c r="V54" s="153">
        <f t="shared" ca="1" si="20"/>
        <v>3168.9732745854953</v>
      </c>
      <c r="W54" s="153">
        <f t="shared" ca="1" si="20"/>
        <v>3790.0071871620812</v>
      </c>
      <c r="X54" s="153">
        <f t="shared" ca="1" si="20"/>
        <v>4329.3868489044144</v>
      </c>
      <c r="Y54" s="153">
        <f t="shared" ca="1" si="20"/>
        <v>4742.6327270533602</v>
      </c>
      <c r="Z54" s="153">
        <f t="shared" ca="1" si="20"/>
        <v>5728.7597701052127</v>
      </c>
      <c r="AA54" s="472">
        <f t="shared" ca="1" si="13"/>
        <v>12410.262407803359</v>
      </c>
    </row>
    <row r="55" spans="1:28">
      <c r="A55" s="137"/>
      <c r="B55" s="8"/>
      <c r="C55" s="8"/>
      <c r="D55" s="8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477"/>
    </row>
    <row r="56" spans="1:28">
      <c r="A56" s="137"/>
      <c r="B56" s="20" t="s">
        <v>727</v>
      </c>
      <c r="C56" s="8"/>
      <c r="D56" s="8"/>
      <c r="E56" s="153">
        <f ca="1">SUM($E50:E50)</f>
        <v>265.75230895853667</v>
      </c>
      <c r="F56" s="153">
        <f ca="1">SUM($E50:F50)</f>
        <v>1222.3550157012114</v>
      </c>
      <c r="G56" s="153">
        <f ca="1">SUM($E50:G50)</f>
        <v>1134.3708531708637</v>
      </c>
      <c r="H56" s="153">
        <f ca="1">SUM($E50:H50)</f>
        <v>-444.70717851337599</v>
      </c>
      <c r="I56" s="153">
        <f ca="1">SUM($E50:I50)</f>
        <v>-3485.8362737518628</v>
      </c>
      <c r="J56" s="153">
        <f ca="1">SUM($E50:J50)</f>
        <v>-6559.8587777512785</v>
      </c>
      <c r="K56" s="153">
        <f ca="1">SUM($E50:K50)</f>
        <v>-7971.1911042634347</v>
      </c>
      <c r="L56" s="153">
        <f ca="1">SUM($E50:L50)</f>
        <v>-8850.6296271163719</v>
      </c>
      <c r="M56" s="153">
        <f ca="1">SUM($E50:M50)</f>
        <v>-9274.1436046543786</v>
      </c>
      <c r="N56" s="153">
        <f ca="1">SUM($E50:N50)</f>
        <v>-9169.2457244848556</v>
      </c>
      <c r="O56" s="153">
        <f ca="1">SUM($E50:O50)</f>
        <v>-8582.4012385738661</v>
      </c>
      <c r="P56" s="153">
        <f ca="1">SUM($E50:P50)</f>
        <v>-7476.6629564070154</v>
      </c>
      <c r="Q56" s="153">
        <f ca="1">SUM($E50:Q50)</f>
        <v>-5920.7937113003227</v>
      </c>
      <c r="R56" s="153">
        <f ca="1">SUM($E50:R50)</f>
        <v>-3886.1822673101742</v>
      </c>
      <c r="S56" s="153">
        <f ca="1">SUM($E50:S50)</f>
        <v>-1368.3621962590983</v>
      </c>
      <c r="T56" s="153">
        <f ca="1">SUM($E50:T50)</f>
        <v>1176.1668509117849</v>
      </c>
      <c r="U56" s="153">
        <f ca="1">SUM($E50:U50)</f>
        <v>4521.0483873525154</v>
      </c>
      <c r="V56" s="153">
        <f ca="1">SUM($E50:V50)</f>
        <v>8306.39771036202</v>
      </c>
      <c r="W56" s="153">
        <f ca="1">SUM($E50:W50)</f>
        <v>12397.122750261169</v>
      </c>
      <c r="X56" s="153">
        <f ca="1">SUM($E50:X50)</f>
        <v>16699.749352083873</v>
      </c>
      <c r="Y56" s="153">
        <f ca="1">SUM($E50:Y50)</f>
        <v>21083.107410880006</v>
      </c>
      <c r="Z56" s="153">
        <f ca="1">SUM($E50:Z50)</f>
        <v>22383.322936848119</v>
      </c>
      <c r="AA56" s="472"/>
    </row>
    <row r="57" spans="1:28">
      <c r="A57" s="137"/>
      <c r="B57" s="20" t="s">
        <v>728</v>
      </c>
      <c r="C57" s="8"/>
      <c r="D57" s="8"/>
      <c r="E57" s="153">
        <f ca="1">SUM($E54:E54)</f>
        <v>265.75230895853667</v>
      </c>
      <c r="F57" s="153">
        <f ca="1">SUM($E54:F54)</f>
        <v>1222.3550157012114</v>
      </c>
      <c r="G57" s="153">
        <f ca="1">SUM($E54:G54)</f>
        <v>1134.3708531708637</v>
      </c>
      <c r="H57" s="153">
        <f ca="1">SUM($E54:H54)</f>
        <v>-1011.3386479631715</v>
      </c>
      <c r="I57" s="153">
        <f ca="1">SUM($E54:I54)</f>
        <v>-4734.8391135769443</v>
      </c>
      <c r="J57" s="153">
        <f ca="1">SUM($E54:J54)</f>
        <v>-8618.3644237872213</v>
      </c>
      <c r="K57" s="153">
        <f ca="1">SUM($E54:K54)</f>
        <v>-10939.949874555836</v>
      </c>
      <c r="L57" s="153">
        <f ca="1">SUM($E54:L54)</f>
        <v>-12833.595908095811</v>
      </c>
      <c r="M57" s="153">
        <f ca="1">SUM($E54:M54)</f>
        <v>-14372.622770699078</v>
      </c>
      <c r="N57" s="153">
        <f ca="1">SUM($E54:N54)</f>
        <v>-15472.986995805852</v>
      </c>
      <c r="O57" s="153">
        <f ca="1">SUM($E54:O54)</f>
        <v>-16120.843389351983</v>
      </c>
      <c r="P57" s="153">
        <f ca="1">SUM($E54:P54)</f>
        <v>-16219.434610819661</v>
      </c>
      <c r="Q57" s="153">
        <f ca="1">SUM($E54:Q54)</f>
        <v>-15821.448775259747</v>
      </c>
      <c r="R57" s="153">
        <f ca="1">SUM($E54:R54)</f>
        <v>-14901.444860087986</v>
      </c>
      <c r="S57" s="153">
        <f ca="1">SUM($E54:S54)</f>
        <v>-13458.187667774228</v>
      </c>
      <c r="T57" s="153">
        <f ca="1">SUM($E54:T54)</f>
        <v>-11875.569879034007</v>
      </c>
      <c r="U57" s="153">
        <f ca="1">SUM($E54:U54)</f>
        <v>-9349.4974000072052</v>
      </c>
      <c r="V57" s="153">
        <f ca="1">SUM($E54:V54)</f>
        <v>-6180.5241254217099</v>
      </c>
      <c r="W57" s="153">
        <f ca="1">SUM($E54:W54)</f>
        <v>-2390.5169382596287</v>
      </c>
      <c r="X57" s="153">
        <f ca="1">SUM($E54:X54)</f>
        <v>1938.8699106447857</v>
      </c>
      <c r="Y57" s="153">
        <f ca="1">SUM($E54:Y54)</f>
        <v>6681.5026376981459</v>
      </c>
      <c r="Z57" s="153">
        <f ca="1">SUM($E54:Z54)</f>
        <v>12410.262407803359</v>
      </c>
      <c r="AA57" s="472"/>
    </row>
    <row r="58" spans="1:28">
      <c r="A58" s="137"/>
      <c r="B58" s="8"/>
      <c r="C58" s="8"/>
      <c r="D58" s="8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470"/>
    </row>
    <row r="59" spans="1:28">
      <c r="A59" s="464"/>
      <c r="B59" s="269"/>
      <c r="C59" s="395" t="s">
        <v>673</v>
      </c>
      <c r="D59" s="452" t="s">
        <v>674</v>
      </c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470"/>
    </row>
    <row r="60" spans="1:28">
      <c r="A60" s="465" t="s">
        <v>501</v>
      </c>
      <c r="B60" s="274"/>
      <c r="C60" s="396">
        <f ca="1">AVERAGE(G50:K50)</f>
        <v>-1838.7092239929291</v>
      </c>
      <c r="D60" s="453">
        <f ca="1">AVERAGE(G54:K54)</f>
        <v>-2432.4609780514097</v>
      </c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470"/>
    </row>
    <row r="61" spans="1:28">
      <c r="A61" s="465" t="s">
        <v>642</v>
      </c>
      <c r="B61" s="274"/>
      <c r="C61" s="396">
        <f ca="1">AVERAGE(G50:Z50)</f>
        <v>1058.0483960573454</v>
      </c>
      <c r="D61" s="453">
        <f ca="1">AVERAGE(G54:Z54)</f>
        <v>559.39536960510725</v>
      </c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  <c r="AA61" s="470"/>
    </row>
    <row r="62" spans="1:28">
      <c r="A62" s="466" t="s">
        <v>502</v>
      </c>
      <c r="B62" s="454"/>
      <c r="C62" s="455"/>
      <c r="D62" s="456">
        <f ca="1">MAX(E62:Z62)</f>
        <v>0</v>
      </c>
      <c r="E62" s="292">
        <f ca="1">IF(AND(E57&gt;Equity*Assm!$K$68,D57&lt;Equity*Assm!$K$68),E$6,0)</f>
        <v>0</v>
      </c>
      <c r="F62" s="292">
        <f ca="1">IF(AND(F57&gt;Equity*Assm!$K$68,E57&lt;Equity*Assm!$K$68),F$6,0)</f>
        <v>0</v>
      </c>
      <c r="G62" s="292">
        <f ca="1">IF(AND(G57&gt;Equity*Assm!$K$68,F57&lt;Equity*Assm!$K$68),G$6,0)</f>
        <v>0</v>
      </c>
      <c r="H62" s="292">
        <f ca="1">IF(AND(H57&gt;Equity*Assm!$K$68,G57&lt;Equity*Assm!$K$68),H$6,0)</f>
        <v>0</v>
      </c>
      <c r="I62" s="292">
        <f ca="1">IF(AND(I57&gt;Equity*Assm!$K$68,H57&lt;Equity*Assm!$K$68),I$6,0)</f>
        <v>0</v>
      </c>
      <c r="J62" s="292">
        <f ca="1">IF(AND(J57&gt;Equity*Assm!$K$68,I57&lt;Equity*Assm!$K$68),J$6,0)</f>
        <v>0</v>
      </c>
      <c r="K62" s="292">
        <f ca="1">IF(AND(K57&gt;Equity*Assm!$K$68,J57&lt;Equity*Assm!$K$68),K$6,0)</f>
        <v>0</v>
      </c>
      <c r="L62" s="292">
        <f ca="1">IF(AND(L57&gt;Equity*Assm!$K$68,K57&lt;Equity*Assm!$K$68),L$6,0)</f>
        <v>0</v>
      </c>
      <c r="M62" s="292">
        <f ca="1">IF(AND(M57&gt;Equity*Assm!$K$68,L57&lt;Equity*Assm!$K$68),M$6,0)</f>
        <v>0</v>
      </c>
      <c r="N62" s="292">
        <f ca="1">IF(AND(N57&gt;Equity*Assm!$K$68,M57&lt;Equity*Assm!$K$68),N$6,0)</f>
        <v>0</v>
      </c>
      <c r="O62" s="292">
        <f ca="1">IF(AND(O57&gt;Equity*Assm!$K$68,N57&lt;Equity*Assm!$K$68),O$6,0)</f>
        <v>0</v>
      </c>
      <c r="P62" s="292">
        <f ca="1">IF(AND(P57&gt;Equity*Assm!$K$68,O57&lt;Equity*Assm!$K$68),P$6,0)</f>
        <v>0</v>
      </c>
      <c r="Q62" s="292">
        <f ca="1">IF(AND(Q57&gt;Equity*Assm!$K$68,P57&lt;Equity*Assm!$K$68),Q$6,0)</f>
        <v>0</v>
      </c>
      <c r="R62" s="292">
        <f ca="1">IF(AND(R57&gt;Equity*Assm!$K$68,Q57&lt;Equity*Assm!$K$68),R$6,0)</f>
        <v>0</v>
      </c>
      <c r="S62" s="292">
        <f ca="1">IF(AND(S57&gt;Equity*Assm!$K$68,R57&lt;Equity*Assm!$K$68),S$6,0)</f>
        <v>0</v>
      </c>
      <c r="T62" s="292">
        <f ca="1">IF(AND(T57&gt;Equity*Assm!$K$68,S57&lt;Equity*Assm!$K$68),T$6,0)</f>
        <v>0</v>
      </c>
      <c r="U62" s="292">
        <f ca="1">IF(AND(U57&gt;Equity*Assm!$K$68,T57&lt;Equity*Assm!$K$68),U$6,0)</f>
        <v>0</v>
      </c>
      <c r="V62" s="292">
        <f ca="1">IF(AND(V57&gt;Equity*Assm!$K$68,U57&lt;Equity*Assm!$K$68),V$6,0)</f>
        <v>0</v>
      </c>
      <c r="W62" s="292">
        <f ca="1">IF(AND(W57&gt;Equity*Assm!$K$68,V57&lt;Equity*Assm!$K$68),W$6,0)</f>
        <v>0</v>
      </c>
      <c r="X62" s="292">
        <f ca="1">IF(AND(X57&gt;Equity*Assm!$K$68,W57&lt;Equity*Assm!$K$68),X$6,0)</f>
        <v>0</v>
      </c>
      <c r="Y62" s="292">
        <f ca="1">IF(AND(Y57&gt;Equity*Assm!$K$68,X57&lt;Equity*Assm!$K$68),Y$6,0)</f>
        <v>0</v>
      </c>
      <c r="Z62" s="292">
        <f ca="1">IF(AND(Z57&gt;Equity*Assm!$K$68,Y57&lt;Equity*Assm!$K$68),Z$6,0)</f>
        <v>0</v>
      </c>
      <c r="AA62" s="478"/>
    </row>
    <row r="63" spans="1:28">
      <c r="A63" s="137"/>
      <c r="B63" s="8"/>
      <c r="C63" s="8"/>
      <c r="D63" s="8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470"/>
    </row>
    <row r="64" spans="1:28">
      <c r="A64" s="144" t="s">
        <v>665</v>
      </c>
      <c r="B64" s="8"/>
      <c r="C64" s="8"/>
      <c r="D64" s="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451"/>
      <c r="AB64" s="28"/>
    </row>
    <row r="65" spans="1:27">
      <c r="A65" s="137" t="s">
        <v>666</v>
      </c>
      <c r="B65" s="8"/>
      <c r="C65" s="8"/>
      <c r="D65" s="8"/>
      <c r="E65" s="53">
        <f ca="1">-SUM(Returns!$E26:E26)</f>
        <v>3318.9850428247569</v>
      </c>
      <c r="F65" s="53">
        <f ca="1">-SUM(Returns!$E26:F26)</f>
        <v>14565.256413615854</v>
      </c>
      <c r="G65" s="53">
        <f ca="1">-SUM(Returns!$E26:G26)</f>
        <v>14565.256413615854</v>
      </c>
      <c r="H65" s="53">
        <f ca="1">-SUM(Returns!$E26:H26)</f>
        <v>14565.256413615854</v>
      </c>
      <c r="I65" s="53">
        <f ca="1">-SUM(Returns!$E26:I26)</f>
        <v>14565.256413615854</v>
      </c>
      <c r="J65" s="53">
        <f ca="1">-SUM(Returns!$E26:J26)</f>
        <v>14565.256413615854</v>
      </c>
      <c r="K65" s="53">
        <f ca="1">-SUM(Returns!$E26:K26)</f>
        <v>14565.256413615854</v>
      </c>
      <c r="L65" s="53">
        <f ca="1">-SUM(Returns!$E26:L26)</f>
        <v>14565.256413615854</v>
      </c>
      <c r="M65" s="53">
        <f ca="1">-SUM(Returns!$E26:M26)</f>
        <v>14565.256413615854</v>
      </c>
      <c r="N65" s="53">
        <f ca="1">-SUM(Returns!$E26:N26)</f>
        <v>14565.256413615854</v>
      </c>
      <c r="O65" s="53">
        <f ca="1">-SUM(Returns!$E26:O26)</f>
        <v>14565.256413615854</v>
      </c>
      <c r="P65" s="53">
        <f ca="1">-SUM(Returns!$E26:P26)</f>
        <v>14565.256413615854</v>
      </c>
      <c r="Q65" s="53">
        <f ca="1">-SUM(Returns!$E26:Q26)</f>
        <v>14565.256413615854</v>
      </c>
      <c r="R65" s="53">
        <f ca="1">-SUM(Returns!$E26:R26)</f>
        <v>14565.256413615854</v>
      </c>
      <c r="S65" s="53">
        <f ca="1">-SUM(Returns!$E26:S26)</f>
        <v>14565.256413615854</v>
      </c>
      <c r="T65" s="53">
        <f ca="1">-SUM(Returns!$E26:T26)</f>
        <v>14565.256413615854</v>
      </c>
      <c r="U65" s="53">
        <f ca="1">-SUM(Returns!$E26:U26)</f>
        <v>14565.256413615854</v>
      </c>
      <c r="V65" s="53">
        <f ca="1">-SUM(Returns!$E26:V26)</f>
        <v>14565.256413615854</v>
      </c>
      <c r="W65" s="53">
        <f ca="1">-SUM(Returns!$E26:W26)</f>
        <v>14565.256413615854</v>
      </c>
      <c r="X65" s="53">
        <f ca="1">-SUM(Returns!$E26:X26)</f>
        <v>14565.256413615854</v>
      </c>
      <c r="Y65" s="53">
        <f ca="1">-SUM(Returns!$E26:Y26)</f>
        <v>14565.256413615854</v>
      </c>
      <c r="Z65" s="53">
        <f ca="1">-SUM(Returns!$E26:Z26)</f>
        <v>14565.256413615854</v>
      </c>
      <c r="AA65" s="423">
        <f ca="1">SUM(E65:Z65)</f>
        <v>309189.36972875771</v>
      </c>
    </row>
    <row r="66" spans="1:27">
      <c r="A66" s="137" t="s">
        <v>667</v>
      </c>
      <c r="B66" s="8"/>
      <c r="C66" s="8"/>
      <c r="D66" s="8"/>
      <c r="E66" s="228">
        <f ca="1">-SUM(Returns!$E27:E41)</f>
        <v>-517.56488073720948</v>
      </c>
      <c r="F66" s="228">
        <f ca="1">-SUM(Returns!$E27:F41)</f>
        <v>-2499.2010967997339</v>
      </c>
      <c r="G66" s="228">
        <f ca="1">-SUM(Returns!$E27:G41)</f>
        <v>-2443.7863018872376</v>
      </c>
      <c r="H66" s="228">
        <f ca="1">-SUM(Returns!$E27:H41)</f>
        <v>-1966.127119590737</v>
      </c>
      <c r="I66" s="228">
        <f ca="1">-SUM(Returns!$E27:I41)</f>
        <v>612.63908196230022</v>
      </c>
      <c r="J66" s="228">
        <f ca="1">-SUM(Returns!$E27:J41)</f>
        <v>3717.1918496198482</v>
      </c>
      <c r="K66" s="228">
        <f ca="1">-SUM(Returns!$E27:K41)</f>
        <v>6177.5170766185056</v>
      </c>
      <c r="L66" s="228">
        <f ca="1">-SUM(Returns!$E27:L41)</f>
        <v>8716.0857318219005</v>
      </c>
      <c r="M66" s="228">
        <f ca="1">-SUM(Returns!$E27:M41)</f>
        <v>11189.965448017807</v>
      </c>
      <c r="N66" s="228">
        <f ca="1">-SUM(Returns!$E27:N41)</f>
        <v>13381.643597249498</v>
      </c>
      <c r="O66" s="228">
        <f ca="1">-SUM(Returns!$E27:O41)</f>
        <v>14100.539181640786</v>
      </c>
      <c r="P66" s="228">
        <f ca="1">-SUM(Returns!$E27:P41)</f>
        <v>13358.869442383337</v>
      </c>
      <c r="Q66" s="228">
        <f ca="1">-SUM(Returns!$E27:Q41)</f>
        <v>12224.654690545785</v>
      </c>
      <c r="R66" s="228">
        <f ca="1">-SUM(Returns!$E27:R41)</f>
        <v>11167.856626360364</v>
      </c>
      <c r="S66" s="228">
        <f ca="1">-SUM(Returns!$E27:S41)</f>
        <v>10189.965293489326</v>
      </c>
      <c r="T66" s="228">
        <f ca="1">-SUM(Returns!$E27:T41)</f>
        <v>7439.0099746454916</v>
      </c>
      <c r="U66" s="228">
        <f ca="1">-SUM(Returns!$E27:U41)</f>
        <v>3944.4507312576106</v>
      </c>
      <c r="V66" s="228">
        <f ca="1">-SUM(Returns!$E27:V41)</f>
        <v>-998.96829169528621</v>
      </c>
      <c r="W66" s="228">
        <f ca="1">-SUM(Returns!$E27:W41)</f>
        <v>-8707.3491387512022</v>
      </c>
      <c r="X66" s="228">
        <f ca="1">-SUM(Returns!$E27:X41)</f>
        <v>-16704.372333349012</v>
      </c>
      <c r="Y66" s="228">
        <f ca="1">-SUM(Returns!$E27:Y41)</f>
        <v>-24824.382618465395</v>
      </c>
      <c r="Z66" s="228">
        <f ca="1">-SUM(Returns!$E27:Z41)</f>
        <v>-123205.6250114397</v>
      </c>
      <c r="AA66" s="424">
        <f ca="1">SUM(E66:Z66)</f>
        <v>-65646.988067102939</v>
      </c>
    </row>
    <row r="67" spans="1:27">
      <c r="A67" s="137" t="s">
        <v>668</v>
      </c>
      <c r="B67" s="8"/>
      <c r="C67" s="8"/>
      <c r="D67" s="8"/>
      <c r="E67" s="53">
        <f ca="1">SUM(E65:E66)</f>
        <v>2801.4201620875474</v>
      </c>
      <c r="F67" s="53">
        <f t="shared" ref="F67:Z67" ca="1" si="21">SUM(F65:F66)</f>
        <v>12066.05531681612</v>
      </c>
      <c r="G67" s="53">
        <f t="shared" ca="1" si="21"/>
        <v>12121.470111728617</v>
      </c>
      <c r="H67" s="53">
        <f t="shared" ca="1" si="21"/>
        <v>12599.129294025117</v>
      </c>
      <c r="I67" s="53">
        <f t="shared" ca="1" si="21"/>
        <v>15177.895495578156</v>
      </c>
      <c r="J67" s="53">
        <f t="shared" ca="1" si="21"/>
        <v>18282.448263235703</v>
      </c>
      <c r="K67" s="53">
        <f t="shared" ca="1" si="21"/>
        <v>20742.773490234358</v>
      </c>
      <c r="L67" s="53">
        <f t="shared" ca="1" si="21"/>
        <v>23281.342145437753</v>
      </c>
      <c r="M67" s="53">
        <f t="shared" ca="1" si="21"/>
        <v>25755.221861633661</v>
      </c>
      <c r="N67" s="53">
        <f t="shared" ca="1" si="21"/>
        <v>27946.900010865353</v>
      </c>
      <c r="O67" s="53">
        <f t="shared" ca="1" si="21"/>
        <v>28665.795595256641</v>
      </c>
      <c r="P67" s="53">
        <f t="shared" ca="1" si="21"/>
        <v>27924.125855999191</v>
      </c>
      <c r="Q67" s="53">
        <f t="shared" ca="1" si="21"/>
        <v>26789.911104161642</v>
      </c>
      <c r="R67" s="53">
        <f t="shared" ca="1" si="21"/>
        <v>25733.113039976219</v>
      </c>
      <c r="S67" s="53">
        <f t="shared" ca="1" si="21"/>
        <v>24755.221707105178</v>
      </c>
      <c r="T67" s="53">
        <f t="shared" ca="1" si="21"/>
        <v>22004.266388261345</v>
      </c>
      <c r="U67" s="53">
        <f t="shared" ca="1" si="21"/>
        <v>18509.707144873464</v>
      </c>
      <c r="V67" s="53">
        <f t="shared" ca="1" si="21"/>
        <v>13566.288121920568</v>
      </c>
      <c r="W67" s="53">
        <f t="shared" ca="1" si="21"/>
        <v>5857.9072748646522</v>
      </c>
      <c r="X67" s="53">
        <f t="shared" ca="1" si="21"/>
        <v>-2139.1159197331581</v>
      </c>
      <c r="Y67" s="53">
        <f t="shared" ca="1" si="21"/>
        <v>-10259.126204849541</v>
      </c>
      <c r="Z67" s="53">
        <f t="shared" ca="1" si="21"/>
        <v>-108640.36859782384</v>
      </c>
      <c r="AA67" s="423">
        <f ca="1">SUM(E67:Z67)</f>
        <v>243542.38166165474</v>
      </c>
    </row>
    <row r="68" spans="1:27">
      <c r="A68" s="137" t="s">
        <v>669</v>
      </c>
      <c r="B68" s="8"/>
      <c r="C68" s="8"/>
      <c r="D68" s="8"/>
      <c r="E68" s="35">
        <f>Ecf</f>
        <v>6.5000000000000002E-2</v>
      </c>
      <c r="F68" s="35">
        <f t="shared" ref="F68:Z68" si="22">Ecf</f>
        <v>6.5000000000000002E-2</v>
      </c>
      <c r="G68" s="35">
        <f t="shared" si="22"/>
        <v>6.5000000000000002E-2</v>
      </c>
      <c r="H68" s="35">
        <f t="shared" si="22"/>
        <v>6.5000000000000002E-2</v>
      </c>
      <c r="I68" s="35">
        <f t="shared" si="22"/>
        <v>6.5000000000000002E-2</v>
      </c>
      <c r="J68" s="35">
        <f t="shared" si="22"/>
        <v>6.5000000000000002E-2</v>
      </c>
      <c r="K68" s="35">
        <f t="shared" si="22"/>
        <v>6.5000000000000002E-2</v>
      </c>
      <c r="L68" s="35">
        <f t="shared" si="22"/>
        <v>6.5000000000000002E-2</v>
      </c>
      <c r="M68" s="35">
        <f t="shared" si="22"/>
        <v>6.5000000000000002E-2</v>
      </c>
      <c r="N68" s="35">
        <f t="shared" si="22"/>
        <v>6.5000000000000002E-2</v>
      </c>
      <c r="O68" s="35">
        <f t="shared" si="22"/>
        <v>6.5000000000000002E-2</v>
      </c>
      <c r="P68" s="35">
        <f t="shared" si="22"/>
        <v>6.5000000000000002E-2</v>
      </c>
      <c r="Q68" s="35">
        <f t="shared" si="22"/>
        <v>6.5000000000000002E-2</v>
      </c>
      <c r="R68" s="35">
        <f t="shared" si="22"/>
        <v>6.5000000000000002E-2</v>
      </c>
      <c r="S68" s="35">
        <f t="shared" si="22"/>
        <v>6.5000000000000002E-2</v>
      </c>
      <c r="T68" s="35">
        <f t="shared" si="22"/>
        <v>6.5000000000000002E-2</v>
      </c>
      <c r="U68" s="35">
        <f t="shared" si="22"/>
        <v>6.5000000000000002E-2</v>
      </c>
      <c r="V68" s="35">
        <f t="shared" si="22"/>
        <v>6.5000000000000002E-2</v>
      </c>
      <c r="W68" s="35">
        <f t="shared" si="22"/>
        <v>6.5000000000000002E-2</v>
      </c>
      <c r="X68" s="35">
        <f t="shared" si="22"/>
        <v>6.5000000000000002E-2</v>
      </c>
      <c r="Y68" s="35">
        <f t="shared" si="22"/>
        <v>6.5000000000000002E-2</v>
      </c>
      <c r="Z68" s="35">
        <f t="shared" si="22"/>
        <v>6.5000000000000002E-2</v>
      </c>
      <c r="AA68" s="479"/>
    </row>
    <row r="69" spans="1:27">
      <c r="A69" s="137"/>
      <c r="B69" s="8" t="s">
        <v>670</v>
      </c>
      <c r="C69" s="8"/>
      <c r="D69" s="8"/>
      <c r="E69" s="53">
        <f ca="1">E67*E68</f>
        <v>182.09231053569059</v>
      </c>
      <c r="F69" s="53">
        <f t="shared" ref="F69:Z69" ca="1" si="23">F67*F68</f>
        <v>784.29359559304783</v>
      </c>
      <c r="G69" s="53">
        <f t="shared" ca="1" si="23"/>
        <v>787.89555726236017</v>
      </c>
      <c r="H69" s="53">
        <f t="shared" ca="1" si="23"/>
        <v>818.94340411163262</v>
      </c>
      <c r="I69" s="53">
        <f t="shared" ca="1" si="23"/>
        <v>986.5632072125801</v>
      </c>
      <c r="J69" s="53">
        <f t="shared" ca="1" si="23"/>
        <v>1188.3591371103207</v>
      </c>
      <c r="K69" s="53">
        <f t="shared" ca="1" si="23"/>
        <v>1348.2802768652334</v>
      </c>
      <c r="L69" s="53">
        <f t="shared" ca="1" si="23"/>
        <v>1513.287239453454</v>
      </c>
      <c r="M69" s="53">
        <f t="shared" ca="1" si="23"/>
        <v>1674.0894210061881</v>
      </c>
      <c r="N69" s="53">
        <f t="shared" ca="1" si="23"/>
        <v>1816.548500706248</v>
      </c>
      <c r="O69" s="53">
        <f t="shared" ca="1" si="23"/>
        <v>1863.2767136916816</v>
      </c>
      <c r="P69" s="53">
        <f t="shared" ca="1" si="23"/>
        <v>1815.0681806399475</v>
      </c>
      <c r="Q69" s="53">
        <f t="shared" ca="1" si="23"/>
        <v>1741.3442217705067</v>
      </c>
      <c r="R69" s="53">
        <f t="shared" ca="1" si="23"/>
        <v>1672.6523475984543</v>
      </c>
      <c r="S69" s="53">
        <f t="shared" ca="1" si="23"/>
        <v>1609.0894109618366</v>
      </c>
      <c r="T69" s="53">
        <f t="shared" ca="1" si="23"/>
        <v>1430.2773152369875</v>
      </c>
      <c r="U69" s="53">
        <f t="shared" ca="1" si="23"/>
        <v>1203.1309644167752</v>
      </c>
      <c r="V69" s="53">
        <f t="shared" ca="1" si="23"/>
        <v>881.80872792483694</v>
      </c>
      <c r="W69" s="53">
        <f t="shared" ca="1" si="23"/>
        <v>380.76397286620238</v>
      </c>
      <c r="X69" s="53">
        <f t="shared" ca="1" si="23"/>
        <v>-139.04253478265528</v>
      </c>
      <c r="Y69" s="53">
        <f t="shared" ca="1" si="23"/>
        <v>-666.84320331522019</v>
      </c>
      <c r="Z69" s="53">
        <f t="shared" ca="1" si="23"/>
        <v>-7061.6239588585495</v>
      </c>
      <c r="AA69" s="423">
        <f ca="1">SUM(E69:Z69)</f>
        <v>15830.254808007558</v>
      </c>
    </row>
    <row r="70" spans="1:27">
      <c r="A70" s="13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419"/>
    </row>
    <row r="71" spans="1:27" ht="13.8" thickBot="1">
      <c r="A71" s="139"/>
      <c r="B71" s="145" t="s">
        <v>671</v>
      </c>
      <c r="C71" s="77"/>
      <c r="D71" s="77"/>
      <c r="E71" s="467">
        <f ca="1">SUM($E69:E69)</f>
        <v>182.09231053569059</v>
      </c>
      <c r="F71" s="467">
        <f ca="1">SUM($E69:F69)</f>
        <v>966.38590612873838</v>
      </c>
      <c r="G71" s="467">
        <f ca="1">SUM($E69:G69)</f>
        <v>1754.2814633910984</v>
      </c>
      <c r="H71" s="467">
        <f ca="1">SUM($E69:H69)</f>
        <v>2573.2248675027313</v>
      </c>
      <c r="I71" s="467">
        <f ca="1">SUM($E69:I69)</f>
        <v>3559.7880747153113</v>
      </c>
      <c r="J71" s="467">
        <f ca="1">SUM($E69:J69)</f>
        <v>4748.1472118256315</v>
      </c>
      <c r="K71" s="467">
        <f ca="1">SUM($E69:K69)</f>
        <v>6096.4274886908652</v>
      </c>
      <c r="L71" s="467">
        <f ca="1">SUM($E69:L69)</f>
        <v>7609.7147281443195</v>
      </c>
      <c r="M71" s="467">
        <f ca="1">SUM($E69:M69)</f>
        <v>9283.8041491505082</v>
      </c>
      <c r="N71" s="467">
        <f ca="1">SUM($E69:N69)</f>
        <v>11100.352649856755</v>
      </c>
      <c r="O71" s="467">
        <f ca="1">SUM($E69:O69)</f>
        <v>12963.629363548436</v>
      </c>
      <c r="P71" s="467">
        <f ca="1">SUM($E69:P69)</f>
        <v>14778.697544188384</v>
      </c>
      <c r="Q71" s="467">
        <f ca="1">SUM($E69:Q69)</f>
        <v>16520.041765958889</v>
      </c>
      <c r="R71" s="467">
        <f ca="1">SUM($E69:R69)</f>
        <v>18192.694113557343</v>
      </c>
      <c r="S71" s="467">
        <f ca="1">SUM($E69:S69)</f>
        <v>19801.783524519182</v>
      </c>
      <c r="T71" s="467">
        <f ca="1">SUM($E69:T69)</f>
        <v>21232.06083975617</v>
      </c>
      <c r="U71" s="467">
        <f ca="1">SUM($E69:U69)</f>
        <v>22435.191804172944</v>
      </c>
      <c r="V71" s="467">
        <f ca="1">SUM($E69:V69)</f>
        <v>23317.00053209778</v>
      </c>
      <c r="W71" s="467">
        <f ca="1">SUM($E69:W69)</f>
        <v>23697.764504963983</v>
      </c>
      <c r="X71" s="467">
        <f ca="1">SUM($E69:X69)</f>
        <v>23558.721970181326</v>
      </c>
      <c r="Y71" s="467">
        <f ca="1">SUM($E69:Y69)</f>
        <v>22891.878766866106</v>
      </c>
      <c r="Z71" s="467">
        <f ca="1">SUM($E69:Z69)</f>
        <v>15830.254808007558</v>
      </c>
      <c r="AA71" s="433"/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B66"/>
  <sheetViews>
    <sheetView showGridLines="0" zoomScale="90" zoomScaleNormal="90" workbookViewId="0"/>
  </sheetViews>
  <sheetFormatPr defaultColWidth="9.109375" defaultRowHeight="13.2"/>
  <cols>
    <col min="1" max="1" width="1.6640625" style="5" customWidth="1"/>
    <col min="2" max="2" width="40.6640625" style="5" customWidth="1"/>
    <col min="3" max="4" width="9.109375" style="5"/>
    <col min="5" max="5" width="9.5546875" style="277" bestFit="1" customWidth="1"/>
    <col min="6" max="9" width="9.109375" style="277"/>
    <col min="10" max="10" width="9.88671875" style="277" customWidth="1"/>
    <col min="11" max="26" width="9.109375" style="277"/>
    <col min="27" max="27" width="11.88671875" style="150" customWidth="1"/>
    <col min="28" max="16384" width="9.109375" style="5"/>
  </cols>
  <sheetData>
    <row r="1" spans="1:28" s="242" customFormat="1" ht="15.6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83"/>
      <c r="AA1" s="279"/>
      <c r="AB1" s="24"/>
    </row>
    <row r="2" spans="1:28" s="242" customFormat="1" ht="15.6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83"/>
      <c r="AA2" s="279"/>
      <c r="AB2" s="24"/>
    </row>
    <row r="3" spans="1:28" s="242" customFormat="1" ht="15">
      <c r="A3" s="246" t="str">
        <f>Assm!A3</f>
        <v>ENRON INTERNATIONAL</v>
      </c>
      <c r="B3" s="246"/>
      <c r="C3" s="132"/>
      <c r="D3" s="24"/>
      <c r="E3" s="287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83"/>
      <c r="AA3" s="279"/>
      <c r="AB3" s="24"/>
    </row>
    <row r="4" spans="1:28" s="242" customFormat="1" ht="15">
      <c r="A4" s="818" t="s">
        <v>999</v>
      </c>
      <c r="B4" s="818"/>
      <c r="C4" s="864"/>
      <c r="D4" s="24"/>
      <c r="E4" s="287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79"/>
      <c r="AB4" s="24"/>
    </row>
    <row r="5" spans="1:28" s="242" customFormat="1" ht="13.8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</row>
    <row r="6" spans="1:28" s="8" customFormat="1">
      <c r="A6" s="400" t="s">
        <v>184</v>
      </c>
      <c r="B6" s="74"/>
      <c r="C6" s="74"/>
      <c r="D6" s="74"/>
      <c r="E6" s="457">
        <f>EINC!E6</f>
        <v>0</v>
      </c>
      <c r="F6" s="457">
        <f>EINC!F6</f>
        <v>0</v>
      </c>
      <c r="G6" s="457">
        <f>EINC!G6</f>
        <v>0</v>
      </c>
      <c r="H6" s="457">
        <f>EINC!H6</f>
        <v>1</v>
      </c>
      <c r="I6" s="457">
        <f>EINC!I6</f>
        <v>2</v>
      </c>
      <c r="J6" s="457">
        <f>EINC!J6</f>
        <v>3</v>
      </c>
      <c r="K6" s="457">
        <f>EINC!K6</f>
        <v>4</v>
      </c>
      <c r="L6" s="457">
        <f>EINC!L6</f>
        <v>5</v>
      </c>
      <c r="M6" s="457">
        <f>EINC!M6</f>
        <v>6</v>
      </c>
      <c r="N6" s="457">
        <f>EINC!N6</f>
        <v>7</v>
      </c>
      <c r="O6" s="457">
        <f>EINC!O6</f>
        <v>8</v>
      </c>
      <c r="P6" s="457">
        <f>EINC!P6</f>
        <v>9</v>
      </c>
      <c r="Q6" s="457">
        <f>EINC!Q6</f>
        <v>10</v>
      </c>
      <c r="R6" s="457">
        <f>EINC!R6</f>
        <v>11</v>
      </c>
      <c r="S6" s="457">
        <f>EINC!S6</f>
        <v>12</v>
      </c>
      <c r="T6" s="457">
        <f>EINC!T6</f>
        <v>13</v>
      </c>
      <c r="U6" s="457">
        <f>EINC!U6</f>
        <v>14</v>
      </c>
      <c r="V6" s="457">
        <f>EINC!V6</f>
        <v>15</v>
      </c>
      <c r="W6" s="457">
        <f>EINC!W6</f>
        <v>16</v>
      </c>
      <c r="X6" s="457">
        <f>EINC!X6</f>
        <v>17</v>
      </c>
      <c r="Y6" s="457">
        <f>EINC!Y6</f>
        <v>18</v>
      </c>
      <c r="Z6" s="457">
        <f>EINC!Z6</f>
        <v>19</v>
      </c>
      <c r="AA6" s="458"/>
    </row>
    <row r="7" spans="1:28" s="8" customFormat="1" ht="13.8" thickBot="1">
      <c r="A7" s="76" t="s">
        <v>185</v>
      </c>
      <c r="B7" s="77"/>
      <c r="C7" s="77"/>
      <c r="D7" s="77"/>
      <c r="E7" s="280">
        <f>EINC!E7</f>
        <v>1998</v>
      </c>
      <c r="F7" s="280">
        <f>EINC!F7</f>
        <v>1999</v>
      </c>
      <c r="G7" s="280">
        <f>EINC!G7</f>
        <v>2000</v>
      </c>
      <c r="H7" s="280">
        <f>EINC!H7</f>
        <v>2001</v>
      </c>
      <c r="I7" s="280">
        <f>EINC!I7</f>
        <v>2002</v>
      </c>
      <c r="J7" s="280">
        <f>EINC!J7</f>
        <v>2003</v>
      </c>
      <c r="K7" s="280">
        <f>EINC!K7</f>
        <v>2004</v>
      </c>
      <c r="L7" s="280">
        <f>EINC!L7</f>
        <v>2005</v>
      </c>
      <c r="M7" s="280">
        <f>EINC!M7</f>
        <v>2006</v>
      </c>
      <c r="N7" s="280">
        <f>EINC!N7</f>
        <v>2007</v>
      </c>
      <c r="O7" s="280">
        <f>EINC!O7</f>
        <v>2008</v>
      </c>
      <c r="P7" s="280">
        <f>EINC!P7</f>
        <v>2009</v>
      </c>
      <c r="Q7" s="280">
        <f>EINC!Q7</f>
        <v>2010</v>
      </c>
      <c r="R7" s="280">
        <f>EINC!R7</f>
        <v>2011</v>
      </c>
      <c r="S7" s="280">
        <f>EINC!S7</f>
        <v>2012</v>
      </c>
      <c r="T7" s="280">
        <f>EINC!T7</f>
        <v>2013</v>
      </c>
      <c r="U7" s="280">
        <f>EINC!U7</f>
        <v>2014</v>
      </c>
      <c r="V7" s="280">
        <f>EINC!V7</f>
        <v>2015</v>
      </c>
      <c r="W7" s="280">
        <f>EINC!W7</f>
        <v>2016</v>
      </c>
      <c r="X7" s="280">
        <f>EINC!X7</f>
        <v>2017</v>
      </c>
      <c r="Y7" s="280">
        <f>EINC!Y7</f>
        <v>2018</v>
      </c>
      <c r="Z7" s="280">
        <f>EINC!Z7</f>
        <v>2019</v>
      </c>
      <c r="AA7" s="402" t="str">
        <f>Returns!AA7</f>
        <v>Totals</v>
      </c>
    </row>
    <row r="8" spans="1:28" s="8" customFormat="1">
      <c r="A8" s="459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460"/>
    </row>
    <row r="9" spans="1:28" s="8" customFormat="1">
      <c r="A9" s="137" t="s">
        <v>340</v>
      </c>
      <c r="E9" s="150">
        <f ca="1">EINC!E9</f>
        <v>0</v>
      </c>
      <c r="F9" s="150">
        <f ca="1">EINC!F9</f>
        <v>0</v>
      </c>
      <c r="G9" s="150">
        <f ca="1">EINC!G9</f>
        <v>0</v>
      </c>
      <c r="H9" s="150">
        <f ca="1">EINC!H9</f>
        <v>10</v>
      </c>
      <c r="I9" s="150">
        <f ca="1">EINC!I9</f>
        <v>12</v>
      </c>
      <c r="J9" s="150">
        <f ca="1">EINC!J9</f>
        <v>12</v>
      </c>
      <c r="K9" s="150">
        <f ca="1">EINC!K9</f>
        <v>12</v>
      </c>
      <c r="L9" s="150">
        <f ca="1">EINC!L9</f>
        <v>12</v>
      </c>
      <c r="M9" s="150">
        <f ca="1">EINC!M9</f>
        <v>12</v>
      </c>
      <c r="N9" s="150">
        <f ca="1">EINC!N9</f>
        <v>12</v>
      </c>
      <c r="O9" s="150">
        <f ca="1">EINC!O9</f>
        <v>12</v>
      </c>
      <c r="P9" s="150">
        <f ca="1">EINC!P9</f>
        <v>12</v>
      </c>
      <c r="Q9" s="150">
        <f ca="1">EINC!Q9</f>
        <v>12</v>
      </c>
      <c r="R9" s="150">
        <f ca="1">EINC!R9</f>
        <v>12</v>
      </c>
      <c r="S9" s="150">
        <f ca="1">EINC!S9</f>
        <v>12</v>
      </c>
      <c r="T9" s="150">
        <f ca="1">EINC!T9</f>
        <v>12</v>
      </c>
      <c r="U9" s="150">
        <f ca="1">EINC!U9</f>
        <v>12</v>
      </c>
      <c r="V9" s="150">
        <f ca="1">EINC!V9</f>
        <v>12</v>
      </c>
      <c r="W9" s="150">
        <f ca="1">EINC!W9</f>
        <v>12</v>
      </c>
      <c r="X9" s="150">
        <f ca="1">EINC!X9</f>
        <v>12</v>
      </c>
      <c r="Y9" s="150">
        <f ca="1">EINC!Y9</f>
        <v>12</v>
      </c>
      <c r="Z9" s="150">
        <f ca="1">EINC!Z9</f>
        <v>4</v>
      </c>
      <c r="AA9" s="461">
        <f ca="1">SUM(E9:Z9)</f>
        <v>218</v>
      </c>
    </row>
    <row r="10" spans="1:28" s="8" customFormat="1">
      <c r="A10" s="137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462"/>
    </row>
    <row r="11" spans="1:28" s="8" customFormat="1">
      <c r="A11" s="986" t="s">
        <v>404</v>
      </c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404"/>
    </row>
    <row r="12" spans="1:28">
      <c r="A12" s="379"/>
      <c r="B12" s="8" t="s">
        <v>198</v>
      </c>
      <c r="C12" s="8"/>
      <c r="D12" s="126"/>
      <c r="E12" s="53">
        <f>D16</f>
        <v>0</v>
      </c>
      <c r="F12" s="53">
        <f t="shared" ref="F12:Z12" ca="1" si="0">E16</f>
        <v>6637.9700856495137</v>
      </c>
      <c r="G12" s="53">
        <f t="shared" ca="1" si="0"/>
        <v>29130.512827231709</v>
      </c>
      <c r="H12" s="53">
        <f t="shared" ca="1" si="0"/>
        <v>29130.512827231709</v>
      </c>
      <c r="I12" s="53">
        <f t="shared" ca="1" si="0"/>
        <v>24280.556645789053</v>
      </c>
      <c r="J12" s="53">
        <f t="shared" ca="1" si="0"/>
        <v>14968.27291568295</v>
      </c>
      <c r="K12" s="53">
        <f t="shared" ca="1" si="0"/>
        <v>5482.3740810730578</v>
      </c>
      <c r="L12" s="53">
        <f t="shared" ca="1" si="0"/>
        <v>874.97888183624127</v>
      </c>
      <c r="M12" s="53">
        <f t="shared" ca="1" si="0"/>
        <v>-2474.5648648303977</v>
      </c>
      <c r="N12" s="53">
        <f t="shared" ca="1" si="0"/>
        <v>-4828.7533743486947</v>
      </c>
      <c r="O12" s="53">
        <f t="shared" ca="1" si="0"/>
        <v>-6022.2498810277411</v>
      </c>
      <c r="P12" s="53">
        <f t="shared" ca="1" si="0"/>
        <v>-5784.6080777080124</v>
      </c>
      <c r="Q12" s="53">
        <f t="shared" ca="1" si="0"/>
        <v>-4640.9457240023348</v>
      </c>
      <c r="R12" s="53">
        <f t="shared" ca="1" si="0"/>
        <v>-2601.9576596384745</v>
      </c>
      <c r="S12" s="53">
        <f t="shared" ca="1" si="0"/>
        <v>334.72970602284522</v>
      </c>
      <c r="T12" s="53">
        <f t="shared" ca="1" si="0"/>
        <v>4426.4668258634711</v>
      </c>
      <c r="U12" s="53">
        <f t="shared" ca="1" si="0"/>
        <v>8281.6936894189639</v>
      </c>
      <c r="V12" s="53">
        <f t="shared" ca="1" si="0"/>
        <v>13706.401201671282</v>
      </c>
      <c r="W12" s="53">
        <f t="shared" ca="1" si="0"/>
        <v>19958.237147234711</v>
      </c>
      <c r="X12" s="53">
        <f t="shared" ca="1" si="0"/>
        <v>26664.514429082799</v>
      </c>
      <c r="Y12" s="53">
        <f t="shared" ca="1" si="0"/>
        <v>29130.512827231694</v>
      </c>
      <c r="Z12" s="53">
        <f t="shared" ca="1" si="0"/>
        <v>29130.512827231694</v>
      </c>
      <c r="AA12" s="664">
        <f>E12</f>
        <v>0</v>
      </c>
      <c r="AB12" s="8"/>
    </row>
    <row r="13" spans="1:28">
      <c r="A13" s="379"/>
      <c r="B13" s="8" t="s">
        <v>729</v>
      </c>
      <c r="C13" s="8"/>
      <c r="D13" s="126"/>
      <c r="E13" s="53">
        <f ca="1">BS_IS!G64</f>
        <v>6637.9700856495137</v>
      </c>
      <c r="F13" s="53">
        <f ca="1">BS_IS!H64</f>
        <v>22492.542741582194</v>
      </c>
      <c r="G13" s="53">
        <f ca="1">BS_IS!I64</f>
        <v>0</v>
      </c>
      <c r="H13" s="53">
        <f ca="1">BS_IS!J64</f>
        <v>0</v>
      </c>
      <c r="I13" s="53">
        <f ca="1">BS_IS!K64</f>
        <v>0</v>
      </c>
      <c r="J13" s="53">
        <f ca="1">BS_IS!L64</f>
        <v>0</v>
      </c>
      <c r="K13" s="53">
        <f ca="1">BS_IS!M64</f>
        <v>0</v>
      </c>
      <c r="L13" s="53">
        <f ca="1">BS_IS!N64</f>
        <v>0</v>
      </c>
      <c r="M13" s="53">
        <f ca="1">BS_IS!O64</f>
        <v>0</v>
      </c>
      <c r="N13" s="53">
        <f ca="1">BS_IS!P64</f>
        <v>0</v>
      </c>
      <c r="O13" s="53">
        <f ca="1">BS_IS!Q64</f>
        <v>0</v>
      </c>
      <c r="P13" s="53">
        <f ca="1">BS_IS!R64</f>
        <v>0</v>
      </c>
      <c r="Q13" s="53">
        <f ca="1">BS_IS!S64</f>
        <v>0</v>
      </c>
      <c r="R13" s="53">
        <f ca="1">BS_IS!T64</f>
        <v>0</v>
      </c>
      <c r="S13" s="53">
        <f ca="1">BS_IS!U64</f>
        <v>0</v>
      </c>
      <c r="T13" s="53">
        <f ca="1">BS_IS!V64</f>
        <v>0</v>
      </c>
      <c r="U13" s="53">
        <f ca="1">BS_IS!W64</f>
        <v>0</v>
      </c>
      <c r="V13" s="53">
        <f ca="1">BS_IS!X64</f>
        <v>0</v>
      </c>
      <c r="W13" s="53">
        <f ca="1">BS_IS!Y64</f>
        <v>0</v>
      </c>
      <c r="X13" s="53">
        <f ca="1">BS_IS!Z64</f>
        <v>0</v>
      </c>
      <c r="Y13" s="53">
        <f ca="1">BS_IS!AA64</f>
        <v>0</v>
      </c>
      <c r="Z13" s="53">
        <f ca="1">BS_IS!AB64</f>
        <v>0</v>
      </c>
      <c r="AA13" s="664">
        <f ca="1">SUM(E13:Z13)</f>
        <v>29130.512827231709</v>
      </c>
      <c r="AB13" s="8"/>
    </row>
    <row r="14" spans="1:28">
      <c r="A14" s="379"/>
      <c r="B14" s="8" t="s">
        <v>196</v>
      </c>
      <c r="C14" s="8"/>
      <c r="D14" s="126"/>
      <c r="E14" s="53">
        <f ca="1">BS_IS!G53</f>
        <v>0</v>
      </c>
      <c r="F14" s="53">
        <f ca="1">BS_IS!H53</f>
        <v>0</v>
      </c>
      <c r="G14" s="53">
        <f ca="1">BS_IS!I53</f>
        <v>0</v>
      </c>
      <c r="H14" s="53">
        <f ca="1">BS_IS!J53</f>
        <v>-4849.9561814426543</v>
      </c>
      <c r="I14" s="53">
        <f ca="1">BS_IS!K53</f>
        <v>-9312.2837301061027</v>
      </c>
      <c r="J14" s="53">
        <f ca="1">BS_IS!L53</f>
        <v>-9485.8988346098922</v>
      </c>
      <c r="K14" s="53">
        <f ca="1">BS_IS!M53</f>
        <v>-4607.3951992368166</v>
      </c>
      <c r="L14" s="53">
        <f ca="1">BS_IS!N53</f>
        <v>-3349.543746666639</v>
      </c>
      <c r="M14" s="53">
        <f ca="1">BS_IS!O53</f>
        <v>-2354.188509518297</v>
      </c>
      <c r="N14" s="53">
        <f ca="1">BS_IS!P53</f>
        <v>-1193.4965066790462</v>
      </c>
      <c r="O14" s="53">
        <f ca="1">BS_IS!Q53</f>
        <v>237.6418033197285</v>
      </c>
      <c r="P14" s="53">
        <f ca="1">BS_IS!R53</f>
        <v>1143.6623537056785</v>
      </c>
      <c r="Q14" s="53">
        <f ca="1">BS_IS!S53</f>
        <v>2038.9880643638598</v>
      </c>
      <c r="R14" s="53">
        <f ca="1">BS_IS!T53</f>
        <v>2936.6873656613207</v>
      </c>
      <c r="S14" s="53">
        <f ca="1">BS_IS!U53</f>
        <v>4091.7371198406272</v>
      </c>
      <c r="T14" s="53">
        <f ca="1">BS_IS!V53</f>
        <v>3855.2268635554929</v>
      </c>
      <c r="U14" s="53">
        <f ca="1">BS_IS!W53</f>
        <v>5424.7075122523165</v>
      </c>
      <c r="V14" s="53">
        <f ca="1">BS_IS!X53</f>
        <v>6251.8359455634281</v>
      </c>
      <c r="W14" s="53">
        <f ca="1">BS_IS!Y53</f>
        <v>6706.2772818480889</v>
      </c>
      <c r="X14" s="53">
        <f ca="1">BS_IS!Z53</f>
        <v>6616.3580997268136</v>
      </c>
      <c r="Y14" s="53">
        <f ca="1">BS_IS!AA53</f>
        <v>7581.3688655241513</v>
      </c>
      <c r="Z14" s="53">
        <f ca="1">BS_IS!AB53</f>
        <v>2235.3202461814585</v>
      </c>
      <c r="AA14" s="664">
        <f ca="1">SUM(E14:Z14)</f>
        <v>13967.048813283518</v>
      </c>
      <c r="AB14" s="8"/>
    </row>
    <row r="15" spans="1:28">
      <c r="A15" s="379"/>
      <c r="B15" s="8" t="s">
        <v>730</v>
      </c>
      <c r="C15" s="8"/>
      <c r="D15" s="126"/>
      <c r="E15" s="228">
        <f ca="1">BS_IS!G82</f>
        <v>0</v>
      </c>
      <c r="F15" s="228">
        <f ca="1">BS_IS!H82</f>
        <v>0</v>
      </c>
      <c r="G15" s="228">
        <f ca="1">BS_IS!I82</f>
        <v>0</v>
      </c>
      <c r="H15" s="228">
        <f ca="1">BS_IS!J82</f>
        <v>0</v>
      </c>
      <c r="I15" s="228">
        <f ca="1">BS_IS!K82</f>
        <v>0</v>
      </c>
      <c r="J15" s="228">
        <f ca="1">BS_IS!L82</f>
        <v>0</v>
      </c>
      <c r="K15" s="228">
        <f ca="1">BS_IS!M82</f>
        <v>0</v>
      </c>
      <c r="L15" s="228">
        <f ca="1">BS_IS!N82</f>
        <v>0</v>
      </c>
      <c r="M15" s="228">
        <f ca="1">BS_IS!O82</f>
        <v>0</v>
      </c>
      <c r="N15" s="228">
        <f ca="1">BS_IS!P82</f>
        <v>0</v>
      </c>
      <c r="O15" s="228">
        <f ca="1">BS_IS!Q82</f>
        <v>0</v>
      </c>
      <c r="P15" s="228">
        <f ca="1">BS_IS!R82</f>
        <v>-9.0949470177292824E-13</v>
      </c>
      <c r="Q15" s="228">
        <f ca="1">BS_IS!S82</f>
        <v>4.5474735088646412E-13</v>
      </c>
      <c r="R15" s="228">
        <f ca="1">BS_IS!T82</f>
        <v>-9.0949470177292824E-13</v>
      </c>
      <c r="S15" s="228">
        <f ca="1">BS_IS!U82</f>
        <v>-9.0949470177292824E-13</v>
      </c>
      <c r="T15" s="228">
        <f ca="1">BS_IS!V82</f>
        <v>-9.0949470177292824E-13</v>
      </c>
      <c r="U15" s="228">
        <f ca="1">BS_IS!W82</f>
        <v>1.8189894035458565E-12</v>
      </c>
      <c r="V15" s="228">
        <f ca="1">BS_IS!X82</f>
        <v>0</v>
      </c>
      <c r="W15" s="228">
        <f ca="1">BS_IS!Y82</f>
        <v>0</v>
      </c>
      <c r="X15" s="228">
        <f ca="1">BS_IS!Z82</f>
        <v>-4150.359701577916</v>
      </c>
      <c r="Y15" s="228">
        <f ca="1">BS_IS!AA82</f>
        <v>-7581.3688655241513</v>
      </c>
      <c r="Z15" s="228">
        <f ca="1">BS_IS!AB82</f>
        <v>-20507.00354335078</v>
      </c>
      <c r="AA15" s="665">
        <f ca="1">SUM(E15:Z15)</f>
        <v>-32238.732110452849</v>
      </c>
      <c r="AB15" s="8"/>
    </row>
    <row r="16" spans="1:28">
      <c r="A16" s="442"/>
      <c r="B16" s="10" t="s">
        <v>204</v>
      </c>
      <c r="C16" s="10"/>
      <c r="D16" s="129"/>
      <c r="E16" s="64">
        <f ca="1">SUM(E12:E15)</f>
        <v>6637.9700856495137</v>
      </c>
      <c r="F16" s="64">
        <f t="shared" ref="F16:Z16" ca="1" si="1">SUM(F12:F15)</f>
        <v>29130.512827231709</v>
      </c>
      <c r="G16" s="64">
        <f t="shared" ca="1" si="1"/>
        <v>29130.512827231709</v>
      </c>
      <c r="H16" s="64">
        <f t="shared" ca="1" si="1"/>
        <v>24280.556645789053</v>
      </c>
      <c r="I16" s="64">
        <f t="shared" ca="1" si="1"/>
        <v>14968.27291568295</v>
      </c>
      <c r="J16" s="64">
        <f t="shared" ca="1" si="1"/>
        <v>5482.3740810730578</v>
      </c>
      <c r="K16" s="64">
        <f t="shared" ca="1" si="1"/>
        <v>874.97888183624127</v>
      </c>
      <c r="L16" s="64">
        <f t="shared" ca="1" si="1"/>
        <v>-2474.5648648303977</v>
      </c>
      <c r="M16" s="64">
        <f t="shared" ca="1" si="1"/>
        <v>-4828.7533743486947</v>
      </c>
      <c r="N16" s="64">
        <f t="shared" ca="1" si="1"/>
        <v>-6022.2498810277411</v>
      </c>
      <c r="O16" s="64">
        <f t="shared" ca="1" si="1"/>
        <v>-5784.6080777080124</v>
      </c>
      <c r="P16" s="64">
        <f t="shared" ca="1" si="1"/>
        <v>-4640.9457240023348</v>
      </c>
      <c r="Q16" s="64">
        <f t="shared" ca="1" si="1"/>
        <v>-2601.9576596384745</v>
      </c>
      <c r="R16" s="64">
        <f t="shared" ca="1" si="1"/>
        <v>334.72970602284522</v>
      </c>
      <c r="S16" s="64">
        <f t="shared" ca="1" si="1"/>
        <v>4426.4668258634711</v>
      </c>
      <c r="T16" s="64">
        <f t="shared" ca="1" si="1"/>
        <v>8281.6936894189639</v>
      </c>
      <c r="U16" s="64">
        <f t="shared" ca="1" si="1"/>
        <v>13706.401201671282</v>
      </c>
      <c r="V16" s="64">
        <f t="shared" ca="1" si="1"/>
        <v>19958.237147234711</v>
      </c>
      <c r="W16" s="64">
        <f t="shared" ca="1" si="1"/>
        <v>26664.514429082799</v>
      </c>
      <c r="X16" s="64">
        <f t="shared" ca="1" si="1"/>
        <v>29130.512827231694</v>
      </c>
      <c r="Y16" s="64">
        <f t="shared" ca="1" si="1"/>
        <v>29130.512827231694</v>
      </c>
      <c r="Z16" s="64">
        <f t="shared" ca="1" si="1"/>
        <v>10858.829530062372</v>
      </c>
      <c r="AA16" s="480">
        <f ca="1">SUM(AA12:AA15)</f>
        <v>10858.829530062376</v>
      </c>
      <c r="AB16" s="8"/>
    </row>
    <row r="17" spans="1:28" s="8" customFormat="1">
      <c r="A17" s="137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462"/>
    </row>
    <row r="18" spans="1:28" s="8" customFormat="1">
      <c r="A18" s="440" t="s">
        <v>614</v>
      </c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404"/>
    </row>
    <row r="19" spans="1:28">
      <c r="A19" s="379"/>
      <c r="B19" s="8" t="s">
        <v>615</v>
      </c>
      <c r="C19" s="8"/>
      <c r="D19" s="126"/>
      <c r="E19" s="53">
        <f>E12</f>
        <v>0</v>
      </c>
      <c r="F19" s="53">
        <f t="shared" ref="F19:Z19" ca="1" si="2">F12</f>
        <v>6637.9700856495137</v>
      </c>
      <c r="G19" s="53">
        <f t="shared" ca="1" si="2"/>
        <v>29130.512827231709</v>
      </c>
      <c r="H19" s="53">
        <f t="shared" ca="1" si="2"/>
        <v>29130.512827231709</v>
      </c>
      <c r="I19" s="53">
        <f t="shared" ca="1" si="2"/>
        <v>24280.556645789053</v>
      </c>
      <c r="J19" s="53">
        <f t="shared" ca="1" si="2"/>
        <v>14968.27291568295</v>
      </c>
      <c r="K19" s="53">
        <f t="shared" ca="1" si="2"/>
        <v>5482.3740810730578</v>
      </c>
      <c r="L19" s="53">
        <f t="shared" ca="1" si="2"/>
        <v>874.97888183624127</v>
      </c>
      <c r="M19" s="53">
        <f t="shared" ca="1" si="2"/>
        <v>-2474.5648648303977</v>
      </c>
      <c r="N19" s="53">
        <f t="shared" ca="1" si="2"/>
        <v>-4828.7533743486947</v>
      </c>
      <c r="O19" s="53">
        <f t="shared" ca="1" si="2"/>
        <v>-6022.2498810277411</v>
      </c>
      <c r="P19" s="53">
        <f t="shared" ca="1" si="2"/>
        <v>-5784.6080777080124</v>
      </c>
      <c r="Q19" s="53">
        <f t="shared" ca="1" si="2"/>
        <v>-4640.9457240023348</v>
      </c>
      <c r="R19" s="53">
        <f t="shared" ca="1" si="2"/>
        <v>-2601.9576596384745</v>
      </c>
      <c r="S19" s="53">
        <f t="shared" ca="1" si="2"/>
        <v>334.72970602284522</v>
      </c>
      <c r="T19" s="53">
        <f t="shared" ca="1" si="2"/>
        <v>4426.4668258634711</v>
      </c>
      <c r="U19" s="53">
        <f t="shared" ca="1" si="2"/>
        <v>8281.6936894189639</v>
      </c>
      <c r="V19" s="53">
        <f t="shared" ca="1" si="2"/>
        <v>13706.401201671282</v>
      </c>
      <c r="W19" s="53">
        <f t="shared" ca="1" si="2"/>
        <v>19958.237147234711</v>
      </c>
      <c r="X19" s="53">
        <f t="shared" ca="1" si="2"/>
        <v>26664.514429082799</v>
      </c>
      <c r="Y19" s="53">
        <f t="shared" ca="1" si="2"/>
        <v>29130.512827231694</v>
      </c>
      <c r="Z19" s="53">
        <f t="shared" ca="1" si="2"/>
        <v>29130.512827231694</v>
      </c>
      <c r="AA19" s="404"/>
      <c r="AB19" s="8"/>
    </row>
    <row r="20" spans="1:28">
      <c r="A20" s="379"/>
      <c r="B20" s="8" t="s">
        <v>616</v>
      </c>
      <c r="C20" s="8"/>
      <c r="D20" s="126"/>
      <c r="E20" s="36">
        <f>Assm!$K$68</f>
        <v>0.5</v>
      </c>
      <c r="F20" s="36">
        <f>Assm!$K$68</f>
        <v>0.5</v>
      </c>
      <c r="G20" s="36">
        <f>Assm!$K$68</f>
        <v>0.5</v>
      </c>
      <c r="H20" s="36">
        <f>Assm!$K$68</f>
        <v>0.5</v>
      </c>
      <c r="I20" s="36">
        <f>Assm!$K$68</f>
        <v>0.5</v>
      </c>
      <c r="J20" s="36">
        <f>Assm!$K$68</f>
        <v>0.5</v>
      </c>
      <c r="K20" s="36">
        <f>Assm!$K$68</f>
        <v>0.5</v>
      </c>
      <c r="L20" s="36">
        <f>Assm!$K$68</f>
        <v>0.5</v>
      </c>
      <c r="M20" s="36">
        <f>Assm!$K$68</f>
        <v>0.5</v>
      </c>
      <c r="N20" s="36">
        <f>Assm!$K$68</f>
        <v>0.5</v>
      </c>
      <c r="O20" s="36">
        <f>Assm!$K$68</f>
        <v>0.5</v>
      </c>
      <c r="P20" s="36">
        <f>Assm!$K$68</f>
        <v>0.5</v>
      </c>
      <c r="Q20" s="36">
        <f>Assm!$K$68</f>
        <v>0.5</v>
      </c>
      <c r="R20" s="36">
        <f>Assm!$K$68</f>
        <v>0.5</v>
      </c>
      <c r="S20" s="36">
        <f>Assm!$K$68</f>
        <v>0.5</v>
      </c>
      <c r="T20" s="36">
        <f>Assm!$K$68</f>
        <v>0.5</v>
      </c>
      <c r="U20" s="36">
        <f>Assm!$K$68</f>
        <v>0.5</v>
      </c>
      <c r="V20" s="36">
        <f>Assm!$K$68</f>
        <v>0.5</v>
      </c>
      <c r="W20" s="36">
        <f>Assm!$K$68</f>
        <v>0.5</v>
      </c>
      <c r="X20" s="36">
        <f>Assm!$K$68</f>
        <v>0.5</v>
      </c>
      <c r="Y20" s="36">
        <f>Assm!$K$68</f>
        <v>0.5</v>
      </c>
      <c r="Z20" s="36">
        <f>Assm!$K$68</f>
        <v>0.5</v>
      </c>
      <c r="AA20" s="404"/>
      <c r="AB20" s="8"/>
    </row>
    <row r="21" spans="1:28">
      <c r="A21" s="379"/>
      <c r="B21" s="8" t="s">
        <v>617</v>
      </c>
      <c r="C21" s="8"/>
      <c r="D21" s="20" t="s">
        <v>618</v>
      </c>
      <c r="E21" s="53">
        <f t="shared" ref="E21:W21" si="3">E19*E20</f>
        <v>0</v>
      </c>
      <c r="F21" s="53">
        <f t="shared" ca="1" si="3"/>
        <v>3318.9850428247569</v>
      </c>
      <c r="G21" s="53">
        <f t="shared" ca="1" si="3"/>
        <v>14565.256413615854</v>
      </c>
      <c r="H21" s="53">
        <f t="shared" ca="1" si="3"/>
        <v>14565.256413615854</v>
      </c>
      <c r="I21" s="53">
        <f t="shared" ca="1" si="3"/>
        <v>12140.278322894526</v>
      </c>
      <c r="J21" s="53">
        <f t="shared" ca="1" si="3"/>
        <v>7484.136457841475</v>
      </c>
      <c r="K21" s="53">
        <f t="shared" ca="1" si="3"/>
        <v>2741.1870405365289</v>
      </c>
      <c r="L21" s="53">
        <f t="shared" ca="1" si="3"/>
        <v>437.48944091812064</v>
      </c>
      <c r="M21" s="53">
        <f t="shared" ca="1" si="3"/>
        <v>-1237.2824324151989</v>
      </c>
      <c r="N21" s="53">
        <f t="shared" ca="1" si="3"/>
        <v>-2414.3766871743474</v>
      </c>
      <c r="O21" s="53">
        <f t="shared" ca="1" si="3"/>
        <v>-3011.1249405138706</v>
      </c>
      <c r="P21" s="53">
        <f t="shared" ca="1" si="3"/>
        <v>-2892.3040388540062</v>
      </c>
      <c r="Q21" s="53">
        <f t="shared" ca="1" si="3"/>
        <v>-2320.4728620011674</v>
      </c>
      <c r="R21" s="53">
        <f t="shared" ca="1" si="3"/>
        <v>-1300.9788298192373</v>
      </c>
      <c r="S21" s="53">
        <f t="shared" ca="1" si="3"/>
        <v>167.36485301142261</v>
      </c>
      <c r="T21" s="53">
        <f t="shared" ca="1" si="3"/>
        <v>2213.2334129317355</v>
      </c>
      <c r="U21" s="53">
        <f t="shared" ca="1" si="3"/>
        <v>4140.846844709482</v>
      </c>
      <c r="V21" s="53">
        <f t="shared" ca="1" si="3"/>
        <v>6853.2006008356411</v>
      </c>
      <c r="W21" s="53">
        <f t="shared" ca="1" si="3"/>
        <v>9979.1185736173557</v>
      </c>
      <c r="X21" s="53">
        <f ca="1">X19*X20</f>
        <v>13332.2572145414</v>
      </c>
      <c r="Y21" s="53">
        <f ca="1">Y19*Y20</f>
        <v>14565.256413615847</v>
      </c>
      <c r="Z21" s="53">
        <f ca="1">Z19*Z20</f>
        <v>14565.256413615847</v>
      </c>
      <c r="AA21" s="404"/>
      <c r="AB21" s="8"/>
    </row>
    <row r="22" spans="1:28">
      <c r="A22" s="379"/>
      <c r="B22" s="8"/>
      <c r="C22" s="8"/>
      <c r="D22" s="12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404"/>
      <c r="AB22" s="8"/>
    </row>
    <row r="23" spans="1:28">
      <c r="A23" s="379"/>
      <c r="B23" s="8" t="s">
        <v>619</v>
      </c>
      <c r="C23" s="8"/>
      <c r="D23" s="126"/>
      <c r="E23" s="53">
        <f ca="1">E16</f>
        <v>6637.9700856495137</v>
      </c>
      <c r="F23" s="53">
        <f t="shared" ref="F23:Z23" ca="1" si="4">F16</f>
        <v>29130.512827231709</v>
      </c>
      <c r="G23" s="53">
        <f t="shared" ca="1" si="4"/>
        <v>29130.512827231709</v>
      </c>
      <c r="H23" s="53">
        <f t="shared" ca="1" si="4"/>
        <v>24280.556645789053</v>
      </c>
      <c r="I23" s="53">
        <f t="shared" ca="1" si="4"/>
        <v>14968.27291568295</v>
      </c>
      <c r="J23" s="53">
        <f t="shared" ca="1" si="4"/>
        <v>5482.3740810730578</v>
      </c>
      <c r="K23" s="53">
        <f t="shared" ca="1" si="4"/>
        <v>874.97888183624127</v>
      </c>
      <c r="L23" s="53">
        <f t="shared" ca="1" si="4"/>
        <v>-2474.5648648303977</v>
      </c>
      <c r="M23" s="53">
        <f t="shared" ca="1" si="4"/>
        <v>-4828.7533743486947</v>
      </c>
      <c r="N23" s="53">
        <f t="shared" ca="1" si="4"/>
        <v>-6022.2498810277411</v>
      </c>
      <c r="O23" s="53">
        <f t="shared" ca="1" si="4"/>
        <v>-5784.6080777080124</v>
      </c>
      <c r="P23" s="53">
        <f t="shared" ca="1" si="4"/>
        <v>-4640.9457240023348</v>
      </c>
      <c r="Q23" s="53">
        <f t="shared" ca="1" si="4"/>
        <v>-2601.9576596384745</v>
      </c>
      <c r="R23" s="53">
        <f t="shared" ca="1" si="4"/>
        <v>334.72970602284522</v>
      </c>
      <c r="S23" s="53">
        <f t="shared" ca="1" si="4"/>
        <v>4426.4668258634711</v>
      </c>
      <c r="T23" s="53">
        <f t="shared" ca="1" si="4"/>
        <v>8281.6936894189639</v>
      </c>
      <c r="U23" s="53">
        <f t="shared" ca="1" si="4"/>
        <v>13706.401201671282</v>
      </c>
      <c r="V23" s="53">
        <f t="shared" ca="1" si="4"/>
        <v>19958.237147234711</v>
      </c>
      <c r="W23" s="53">
        <f t="shared" ca="1" si="4"/>
        <v>26664.514429082799</v>
      </c>
      <c r="X23" s="53">
        <f t="shared" ca="1" si="4"/>
        <v>29130.512827231694</v>
      </c>
      <c r="Y23" s="53">
        <f t="shared" ca="1" si="4"/>
        <v>29130.512827231694</v>
      </c>
      <c r="Z23" s="53">
        <f t="shared" ca="1" si="4"/>
        <v>10858.829530062372</v>
      </c>
      <c r="AA23" s="404"/>
      <c r="AB23" s="8"/>
    </row>
    <row r="24" spans="1:28">
      <c r="A24" s="379"/>
      <c r="B24" s="8" t="s">
        <v>616</v>
      </c>
      <c r="C24" s="8"/>
      <c r="D24" s="126"/>
      <c r="E24" s="36">
        <f>Assm!$K$68</f>
        <v>0.5</v>
      </c>
      <c r="F24" s="36">
        <f>Assm!$K$68</f>
        <v>0.5</v>
      </c>
      <c r="G24" s="36">
        <f>Assm!$K$68</f>
        <v>0.5</v>
      </c>
      <c r="H24" s="36">
        <f>Assm!$K$68</f>
        <v>0.5</v>
      </c>
      <c r="I24" s="36">
        <f>Assm!$K$68</f>
        <v>0.5</v>
      </c>
      <c r="J24" s="36">
        <f>Assm!$K$68</f>
        <v>0.5</v>
      </c>
      <c r="K24" s="36">
        <f>Assm!$K$68</f>
        <v>0.5</v>
      </c>
      <c r="L24" s="36">
        <f>Assm!$K$68</f>
        <v>0.5</v>
      </c>
      <c r="M24" s="36">
        <f>Assm!$K$68</f>
        <v>0.5</v>
      </c>
      <c r="N24" s="36">
        <f>Assm!$K$68</f>
        <v>0.5</v>
      </c>
      <c r="O24" s="36">
        <f>Assm!$K$68</f>
        <v>0.5</v>
      </c>
      <c r="P24" s="36">
        <f>Assm!$K$68</f>
        <v>0.5</v>
      </c>
      <c r="Q24" s="36">
        <f>Assm!$K$68</f>
        <v>0.5</v>
      </c>
      <c r="R24" s="36">
        <f>Assm!$K$68</f>
        <v>0.5</v>
      </c>
      <c r="S24" s="36">
        <f>Assm!$K$68</f>
        <v>0.5</v>
      </c>
      <c r="T24" s="36">
        <f>Assm!$K$68</f>
        <v>0.5</v>
      </c>
      <c r="U24" s="36">
        <f>Assm!$K$68</f>
        <v>0.5</v>
      </c>
      <c r="V24" s="36">
        <f>Assm!$K$68</f>
        <v>0.5</v>
      </c>
      <c r="W24" s="36">
        <f>Assm!$K$68</f>
        <v>0.5</v>
      </c>
      <c r="X24" s="36">
        <f>Assm!$K$68</f>
        <v>0.5</v>
      </c>
      <c r="Y24" s="36">
        <f>Assm!$K$68</f>
        <v>0.5</v>
      </c>
      <c r="Z24" s="36">
        <f>Assm!$K$68</f>
        <v>0.5</v>
      </c>
      <c r="AA24" s="404"/>
      <c r="AB24" s="8"/>
    </row>
    <row r="25" spans="1:28">
      <c r="A25" s="379"/>
      <c r="B25" s="8" t="s">
        <v>620</v>
      </c>
      <c r="C25" s="8"/>
      <c r="D25" s="20" t="s">
        <v>621</v>
      </c>
      <c r="E25" s="53">
        <f t="shared" ref="E25:W25" ca="1" si="5">E23*E24</f>
        <v>3318.9850428247569</v>
      </c>
      <c r="F25" s="53">
        <f t="shared" ca="1" si="5"/>
        <v>14565.256413615854</v>
      </c>
      <c r="G25" s="53">
        <f t="shared" ca="1" si="5"/>
        <v>14565.256413615854</v>
      </c>
      <c r="H25" s="53">
        <f t="shared" ca="1" si="5"/>
        <v>12140.278322894526</v>
      </c>
      <c r="I25" s="53">
        <f t="shared" ca="1" si="5"/>
        <v>7484.136457841475</v>
      </c>
      <c r="J25" s="53">
        <f t="shared" ca="1" si="5"/>
        <v>2741.1870405365289</v>
      </c>
      <c r="K25" s="53">
        <f t="shared" ca="1" si="5"/>
        <v>437.48944091812064</v>
      </c>
      <c r="L25" s="53">
        <f t="shared" ca="1" si="5"/>
        <v>-1237.2824324151989</v>
      </c>
      <c r="M25" s="53">
        <f t="shared" ca="1" si="5"/>
        <v>-2414.3766871743474</v>
      </c>
      <c r="N25" s="53">
        <f t="shared" ca="1" si="5"/>
        <v>-3011.1249405138706</v>
      </c>
      <c r="O25" s="53">
        <f t="shared" ca="1" si="5"/>
        <v>-2892.3040388540062</v>
      </c>
      <c r="P25" s="53">
        <f t="shared" ca="1" si="5"/>
        <v>-2320.4728620011674</v>
      </c>
      <c r="Q25" s="53">
        <f t="shared" ca="1" si="5"/>
        <v>-1300.9788298192373</v>
      </c>
      <c r="R25" s="53">
        <f t="shared" ca="1" si="5"/>
        <v>167.36485301142261</v>
      </c>
      <c r="S25" s="53">
        <f t="shared" ca="1" si="5"/>
        <v>2213.2334129317355</v>
      </c>
      <c r="T25" s="53">
        <f t="shared" ca="1" si="5"/>
        <v>4140.846844709482</v>
      </c>
      <c r="U25" s="53">
        <f t="shared" ca="1" si="5"/>
        <v>6853.2006008356411</v>
      </c>
      <c r="V25" s="53">
        <f t="shared" ca="1" si="5"/>
        <v>9979.1185736173557</v>
      </c>
      <c r="W25" s="53">
        <f t="shared" ca="1" si="5"/>
        <v>13332.2572145414</v>
      </c>
      <c r="X25" s="53">
        <f ca="1">X23*X24</f>
        <v>14565.256413615847</v>
      </c>
      <c r="Y25" s="53">
        <f ca="1">Y23*Y24</f>
        <v>14565.256413615847</v>
      </c>
      <c r="Z25" s="53">
        <f ca="1">Z23*Z24</f>
        <v>5429.4147650311861</v>
      </c>
      <c r="AA25" s="404"/>
      <c r="AB25" s="8"/>
    </row>
    <row r="26" spans="1:28">
      <c r="A26" s="379"/>
      <c r="B26" s="8"/>
      <c r="C26" s="8"/>
      <c r="D26" s="126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404"/>
      <c r="AB26" s="8"/>
    </row>
    <row r="27" spans="1:28">
      <c r="A27" s="379"/>
      <c r="B27" s="8" t="s">
        <v>622</v>
      </c>
      <c r="C27" s="8"/>
      <c r="D27" s="20" t="s">
        <v>623</v>
      </c>
      <c r="E27" s="53">
        <f t="shared" ref="E27:Z27" ca="1" si="6">IF(MAX(E$21,E$25)&lt;0,0,MAX(E$21,E$25))</f>
        <v>3318.9850428247569</v>
      </c>
      <c r="F27" s="53">
        <f t="shared" ca="1" si="6"/>
        <v>14565.256413615854</v>
      </c>
      <c r="G27" s="53">
        <f t="shared" ca="1" si="6"/>
        <v>14565.256413615854</v>
      </c>
      <c r="H27" s="53">
        <f t="shared" ca="1" si="6"/>
        <v>14565.256413615854</v>
      </c>
      <c r="I27" s="53">
        <f t="shared" ca="1" si="6"/>
        <v>12140.278322894526</v>
      </c>
      <c r="J27" s="53">
        <f t="shared" ca="1" si="6"/>
        <v>7484.136457841475</v>
      </c>
      <c r="K27" s="53">
        <f t="shared" ca="1" si="6"/>
        <v>2741.1870405365289</v>
      </c>
      <c r="L27" s="53">
        <f t="shared" ca="1" si="6"/>
        <v>437.48944091812064</v>
      </c>
      <c r="M27" s="53">
        <f t="shared" ca="1" si="6"/>
        <v>0</v>
      </c>
      <c r="N27" s="53">
        <f t="shared" ca="1" si="6"/>
        <v>0</v>
      </c>
      <c r="O27" s="53">
        <f t="shared" ca="1" si="6"/>
        <v>0</v>
      </c>
      <c r="P27" s="53">
        <f t="shared" ca="1" si="6"/>
        <v>0</v>
      </c>
      <c r="Q27" s="53">
        <f t="shared" ca="1" si="6"/>
        <v>0</v>
      </c>
      <c r="R27" s="53">
        <f t="shared" ca="1" si="6"/>
        <v>167.36485301142261</v>
      </c>
      <c r="S27" s="53">
        <f t="shared" ca="1" si="6"/>
        <v>2213.2334129317355</v>
      </c>
      <c r="T27" s="53">
        <f t="shared" ca="1" si="6"/>
        <v>4140.846844709482</v>
      </c>
      <c r="U27" s="53">
        <f t="shared" ca="1" si="6"/>
        <v>6853.2006008356411</v>
      </c>
      <c r="V27" s="53">
        <f t="shared" ca="1" si="6"/>
        <v>9979.1185736173557</v>
      </c>
      <c r="W27" s="53">
        <f t="shared" ca="1" si="6"/>
        <v>13332.2572145414</v>
      </c>
      <c r="X27" s="53">
        <f t="shared" ca="1" si="6"/>
        <v>14565.256413615847</v>
      </c>
      <c r="Y27" s="53">
        <f t="shared" ca="1" si="6"/>
        <v>14565.256413615847</v>
      </c>
      <c r="Z27" s="53">
        <f t="shared" ca="1" si="6"/>
        <v>14565.256413615847</v>
      </c>
      <c r="AA27" s="404"/>
      <c r="AB27" s="8"/>
    </row>
    <row r="28" spans="1:28">
      <c r="A28" s="379"/>
      <c r="B28" s="8" t="s">
        <v>624</v>
      </c>
      <c r="C28" s="8"/>
      <c r="D28" s="20" t="s">
        <v>625</v>
      </c>
      <c r="E28" s="53">
        <f t="shared" ref="E28:Z28" ca="1" si="7">IF(MIN(E$21,E$25)&lt;0,0,MIN(E$21,E$25))</f>
        <v>0</v>
      </c>
      <c r="F28" s="53">
        <f t="shared" ca="1" si="7"/>
        <v>3318.9850428247569</v>
      </c>
      <c r="G28" s="53">
        <f t="shared" ca="1" si="7"/>
        <v>14565.256413615854</v>
      </c>
      <c r="H28" s="53">
        <f t="shared" ca="1" si="7"/>
        <v>12140.278322894526</v>
      </c>
      <c r="I28" s="53">
        <f t="shared" ca="1" si="7"/>
        <v>7484.136457841475</v>
      </c>
      <c r="J28" s="53">
        <f t="shared" ca="1" si="7"/>
        <v>2741.1870405365289</v>
      </c>
      <c r="K28" s="53">
        <f t="shared" ca="1" si="7"/>
        <v>437.48944091812064</v>
      </c>
      <c r="L28" s="53">
        <f t="shared" ca="1" si="7"/>
        <v>0</v>
      </c>
      <c r="M28" s="53">
        <f t="shared" ca="1" si="7"/>
        <v>0</v>
      </c>
      <c r="N28" s="53">
        <f t="shared" ca="1" si="7"/>
        <v>0</v>
      </c>
      <c r="O28" s="53">
        <f t="shared" ca="1" si="7"/>
        <v>0</v>
      </c>
      <c r="P28" s="53">
        <f t="shared" ca="1" si="7"/>
        <v>0</v>
      </c>
      <c r="Q28" s="53">
        <f t="shared" ca="1" si="7"/>
        <v>0</v>
      </c>
      <c r="R28" s="53">
        <f t="shared" ca="1" si="7"/>
        <v>0</v>
      </c>
      <c r="S28" s="53">
        <f t="shared" ca="1" si="7"/>
        <v>167.36485301142261</v>
      </c>
      <c r="T28" s="53">
        <f t="shared" ca="1" si="7"/>
        <v>2213.2334129317355</v>
      </c>
      <c r="U28" s="53">
        <f t="shared" ca="1" si="7"/>
        <v>4140.846844709482</v>
      </c>
      <c r="V28" s="53">
        <f t="shared" ca="1" si="7"/>
        <v>6853.2006008356411</v>
      </c>
      <c r="W28" s="53">
        <f t="shared" ca="1" si="7"/>
        <v>9979.1185736173557</v>
      </c>
      <c r="X28" s="53">
        <f t="shared" ca="1" si="7"/>
        <v>13332.2572145414</v>
      </c>
      <c r="Y28" s="53">
        <f t="shared" ca="1" si="7"/>
        <v>14565.256413615847</v>
      </c>
      <c r="Z28" s="53">
        <f t="shared" ca="1" si="7"/>
        <v>5429.4147650311861</v>
      </c>
      <c r="AA28" s="404"/>
      <c r="AB28" s="8"/>
    </row>
    <row r="29" spans="1:28">
      <c r="A29" s="13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404"/>
    </row>
    <row r="30" spans="1:28">
      <c r="A30" s="379"/>
      <c r="B30" s="8" t="s">
        <v>626</v>
      </c>
      <c r="C30" s="8"/>
      <c r="D30" s="126"/>
      <c r="E30" s="53">
        <f t="shared" ref="E30:W30" ca="1" si="8">((E27*2)+E28)/3</f>
        <v>2212.6566952165044</v>
      </c>
      <c r="F30" s="53">
        <f t="shared" ca="1" si="8"/>
        <v>10816.499290018821</v>
      </c>
      <c r="G30" s="53">
        <f t="shared" ca="1" si="8"/>
        <v>14565.256413615854</v>
      </c>
      <c r="H30" s="53">
        <f t="shared" ca="1" si="8"/>
        <v>13756.930383375411</v>
      </c>
      <c r="I30" s="53">
        <f t="shared" ca="1" si="8"/>
        <v>10588.231034543509</v>
      </c>
      <c r="J30" s="53">
        <f t="shared" ca="1" si="8"/>
        <v>5903.1533187398263</v>
      </c>
      <c r="K30" s="53">
        <f t="shared" ca="1" si="8"/>
        <v>1973.2878406637262</v>
      </c>
      <c r="L30" s="53">
        <f t="shared" ca="1" si="8"/>
        <v>291.65962727874711</v>
      </c>
      <c r="M30" s="53">
        <f t="shared" ca="1" si="8"/>
        <v>0</v>
      </c>
      <c r="N30" s="53">
        <f t="shared" ca="1" si="8"/>
        <v>0</v>
      </c>
      <c r="O30" s="53">
        <f t="shared" ca="1" si="8"/>
        <v>0</v>
      </c>
      <c r="P30" s="53">
        <f t="shared" ca="1" si="8"/>
        <v>0</v>
      </c>
      <c r="Q30" s="53">
        <f t="shared" ca="1" si="8"/>
        <v>0</v>
      </c>
      <c r="R30" s="53">
        <f t="shared" ca="1" si="8"/>
        <v>111.57656867428175</v>
      </c>
      <c r="S30" s="53">
        <f t="shared" ca="1" si="8"/>
        <v>1531.2772262916312</v>
      </c>
      <c r="T30" s="53">
        <f t="shared" ca="1" si="8"/>
        <v>3498.3090341168995</v>
      </c>
      <c r="U30" s="53">
        <f t="shared" ca="1" si="8"/>
        <v>5949.082682126922</v>
      </c>
      <c r="V30" s="53">
        <f t="shared" ca="1" si="8"/>
        <v>8937.1459160234499</v>
      </c>
      <c r="W30" s="53">
        <f t="shared" ca="1" si="8"/>
        <v>12214.544334233384</v>
      </c>
      <c r="X30" s="53">
        <f ca="1">((X27*2)+X28)/3</f>
        <v>14154.256680591032</v>
      </c>
      <c r="Y30" s="53">
        <f ca="1">((Y27*2)+Y28)/3</f>
        <v>14565.256413615847</v>
      </c>
      <c r="Z30" s="53">
        <f ca="1">((Z27*2)+Z28)/3</f>
        <v>11519.975864087626</v>
      </c>
      <c r="AA30" s="404"/>
      <c r="AB30" s="8"/>
    </row>
    <row r="31" spans="1:28">
      <c r="A31" s="379"/>
      <c r="B31" s="8" t="s">
        <v>627</v>
      </c>
      <c r="C31" s="18">
        <f>Opic</f>
        <v>0.01</v>
      </c>
      <c r="D31" s="126"/>
      <c r="E31" s="37">
        <f t="shared" ref="E31:Z31" si="9">$C31</f>
        <v>0.01</v>
      </c>
      <c r="F31" s="37">
        <f t="shared" si="9"/>
        <v>0.01</v>
      </c>
      <c r="G31" s="37">
        <f t="shared" si="9"/>
        <v>0.01</v>
      </c>
      <c r="H31" s="37">
        <f t="shared" si="9"/>
        <v>0.01</v>
      </c>
      <c r="I31" s="37">
        <f t="shared" si="9"/>
        <v>0.01</v>
      </c>
      <c r="J31" s="37">
        <f t="shared" si="9"/>
        <v>0.01</v>
      </c>
      <c r="K31" s="37">
        <f t="shared" si="9"/>
        <v>0.01</v>
      </c>
      <c r="L31" s="37">
        <f t="shared" si="9"/>
        <v>0.01</v>
      </c>
      <c r="M31" s="37">
        <f t="shared" si="9"/>
        <v>0.01</v>
      </c>
      <c r="N31" s="37">
        <f t="shared" si="9"/>
        <v>0.01</v>
      </c>
      <c r="O31" s="37">
        <f t="shared" si="9"/>
        <v>0.01</v>
      </c>
      <c r="P31" s="37">
        <f t="shared" si="9"/>
        <v>0.01</v>
      </c>
      <c r="Q31" s="37">
        <f t="shared" si="9"/>
        <v>0.01</v>
      </c>
      <c r="R31" s="37">
        <f t="shared" si="9"/>
        <v>0.01</v>
      </c>
      <c r="S31" s="37">
        <f t="shared" si="9"/>
        <v>0.01</v>
      </c>
      <c r="T31" s="37">
        <f t="shared" si="9"/>
        <v>0.01</v>
      </c>
      <c r="U31" s="37">
        <f t="shared" si="9"/>
        <v>0.01</v>
      </c>
      <c r="V31" s="37">
        <f t="shared" si="9"/>
        <v>0.01</v>
      </c>
      <c r="W31" s="37">
        <f t="shared" si="9"/>
        <v>0.01</v>
      </c>
      <c r="X31" s="37">
        <f t="shared" si="9"/>
        <v>0.01</v>
      </c>
      <c r="Y31" s="37">
        <f t="shared" si="9"/>
        <v>0.01</v>
      </c>
      <c r="Z31" s="37">
        <f t="shared" si="9"/>
        <v>0.01</v>
      </c>
      <c r="AA31" s="404"/>
      <c r="AB31" s="8"/>
    </row>
    <row r="32" spans="1:28">
      <c r="A32" s="442"/>
      <c r="B32" s="10" t="s">
        <v>643</v>
      </c>
      <c r="C32" s="10"/>
      <c r="D32" s="129"/>
      <c r="E32" s="64">
        <f t="shared" ref="E32:W32" ca="1" si="10">E30*E31</f>
        <v>22.126566952165046</v>
      </c>
      <c r="F32" s="64">
        <f t="shared" ca="1" si="10"/>
        <v>108.16499290018821</v>
      </c>
      <c r="G32" s="64">
        <f t="shared" ca="1" si="10"/>
        <v>145.65256413615856</v>
      </c>
      <c r="H32" s="64">
        <f t="shared" ca="1" si="10"/>
        <v>137.56930383375411</v>
      </c>
      <c r="I32" s="64">
        <f t="shared" ca="1" si="10"/>
        <v>105.88231034543509</v>
      </c>
      <c r="J32" s="64">
        <f t="shared" ca="1" si="10"/>
        <v>59.031533187398267</v>
      </c>
      <c r="K32" s="64">
        <f t="shared" ca="1" si="10"/>
        <v>19.732878406637262</v>
      </c>
      <c r="L32" s="64">
        <f t="shared" ca="1" si="10"/>
        <v>2.916596272787471</v>
      </c>
      <c r="M32" s="64">
        <f t="shared" ca="1" si="10"/>
        <v>0</v>
      </c>
      <c r="N32" s="64">
        <f t="shared" ca="1" si="10"/>
        <v>0</v>
      </c>
      <c r="O32" s="64">
        <f t="shared" ca="1" si="10"/>
        <v>0</v>
      </c>
      <c r="P32" s="64">
        <f t="shared" ca="1" si="10"/>
        <v>0</v>
      </c>
      <c r="Q32" s="64">
        <f t="shared" ca="1" si="10"/>
        <v>0</v>
      </c>
      <c r="R32" s="64">
        <f t="shared" ca="1" si="10"/>
        <v>1.1157656867428174</v>
      </c>
      <c r="S32" s="64">
        <f t="shared" ca="1" si="10"/>
        <v>15.312772262916312</v>
      </c>
      <c r="T32" s="64">
        <f t="shared" ca="1" si="10"/>
        <v>34.983090341168996</v>
      </c>
      <c r="U32" s="64">
        <f t="shared" ca="1" si="10"/>
        <v>59.490826821269224</v>
      </c>
      <c r="V32" s="64">
        <f t="shared" ca="1" si="10"/>
        <v>89.371459160234494</v>
      </c>
      <c r="W32" s="64">
        <f t="shared" ca="1" si="10"/>
        <v>122.14544334233383</v>
      </c>
      <c r="X32" s="64">
        <f ca="1">X30*X31</f>
        <v>141.54256680591033</v>
      </c>
      <c r="Y32" s="64">
        <f ca="1">Y30*Y31</f>
        <v>145.65256413615847</v>
      </c>
      <c r="Z32" s="64">
        <f ca="1">Z30*Z31</f>
        <v>115.19975864087627</v>
      </c>
      <c r="AA32" s="480">
        <f ca="1">SUM(E32:Z32)</f>
        <v>1325.8909932321349</v>
      </c>
      <c r="AB32" s="8"/>
    </row>
    <row r="33" spans="1:28">
      <c r="A33" s="13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404"/>
    </row>
    <row r="34" spans="1:28" s="8" customFormat="1">
      <c r="A34" s="440" t="s">
        <v>628</v>
      </c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404"/>
    </row>
    <row r="35" spans="1:28">
      <c r="A35" s="379"/>
      <c r="B35" s="8" t="s">
        <v>629</v>
      </c>
      <c r="C35" s="8"/>
      <c r="D35" s="20" t="s">
        <v>618</v>
      </c>
      <c r="E35" s="53">
        <f>-SUM(Returns!$D$52:D$53)</f>
        <v>0</v>
      </c>
      <c r="F35" s="53">
        <f ca="1">-SUM(Returns!$D$52:E$53)</f>
        <v>0</v>
      </c>
      <c r="G35" s="53">
        <f ca="1">-SUM(Returns!$D$52:F$53)</f>
        <v>13609.109052366108</v>
      </c>
      <c r="H35" s="53">
        <f ca="1">-SUM(Returns!$D$52:G$53)</f>
        <v>0</v>
      </c>
      <c r="I35" s="53">
        <f ca="1">-SUM(Returns!$D$52:H$53)</f>
        <v>0</v>
      </c>
      <c r="J35" s="53">
        <f ca="1">-SUM(Returns!$D$52:I$53)</f>
        <v>0</v>
      </c>
      <c r="K35" s="53">
        <f ca="1">-SUM(Returns!$D$52:J$53)</f>
        <v>0</v>
      </c>
      <c r="L35" s="53">
        <f ca="1">-SUM(Returns!$D$52:K$53)</f>
        <v>0</v>
      </c>
      <c r="M35" s="53">
        <f ca="1">-SUM(Returns!$D$52:L$53)</f>
        <v>0</v>
      </c>
      <c r="N35" s="53">
        <f ca="1">-SUM(Returns!$D$52:M$53)</f>
        <v>0</v>
      </c>
      <c r="O35" s="53">
        <f ca="1">-SUM(Returns!$D$52:N$53)</f>
        <v>0</v>
      </c>
      <c r="P35" s="53">
        <f ca="1">-SUM(Returns!$D$52:O$53)</f>
        <v>0</v>
      </c>
      <c r="Q35" s="53">
        <f ca="1">-SUM(Returns!$D$52:P$53)</f>
        <v>0</v>
      </c>
      <c r="R35" s="53">
        <f ca="1">-SUM(Returns!$D$52:Q$53)</f>
        <v>0</v>
      </c>
      <c r="S35" s="53">
        <f ca="1">-SUM(Returns!$D$52:R$53)</f>
        <v>0</v>
      </c>
      <c r="T35" s="53">
        <f ca="1">-SUM(Returns!$D$52:S$53)</f>
        <v>0</v>
      </c>
      <c r="U35" s="53">
        <f ca="1">-SUM(Returns!$D$52:T$53)</f>
        <v>0</v>
      </c>
      <c r="V35" s="53">
        <f ca="1">-SUM(Returns!$D$52:U$53)</f>
        <v>0</v>
      </c>
      <c r="W35" s="53">
        <f ca="1">-SUM(Returns!$D$52:V$53)</f>
        <v>0</v>
      </c>
      <c r="X35" s="53">
        <f ca="1">-SUM(Returns!$D$52:W$53)</f>
        <v>0</v>
      </c>
      <c r="Y35" s="53">
        <f ca="1">-SUM(Returns!$D$52:X$53)</f>
        <v>0</v>
      </c>
      <c r="Z35" s="53">
        <f ca="1">-SUM(Returns!$D$52:Y$53)</f>
        <v>0</v>
      </c>
      <c r="AA35" s="404"/>
      <c r="AB35" s="8"/>
    </row>
    <row r="36" spans="1:28">
      <c r="A36" s="379"/>
      <c r="B36" s="8" t="s">
        <v>630</v>
      </c>
      <c r="C36" s="8"/>
      <c r="D36" s="20" t="s">
        <v>621</v>
      </c>
      <c r="E36" s="53">
        <f ca="1">-SUM(Returns!$E$52:E$53)</f>
        <v>0</v>
      </c>
      <c r="F36" s="53">
        <f ca="1">-SUM(Returns!$E$52:F$53)</f>
        <v>13609.109052366108</v>
      </c>
      <c r="G36" s="53">
        <f ca="1">-SUM(Returns!$E$52:G$53)</f>
        <v>0</v>
      </c>
      <c r="H36" s="53">
        <f ca="1">-SUM(Returns!$E$52:H$53)</f>
        <v>0</v>
      </c>
      <c r="I36" s="53">
        <f ca="1">-SUM(Returns!$E$52:I$53)</f>
        <v>0</v>
      </c>
      <c r="J36" s="53">
        <f ca="1">-SUM(Returns!$E$52:J$53)</f>
        <v>0</v>
      </c>
      <c r="K36" s="53">
        <f ca="1">-SUM(Returns!$E$52:K$53)</f>
        <v>0</v>
      </c>
      <c r="L36" s="53">
        <f ca="1">-SUM(Returns!$E$52:L$53)</f>
        <v>0</v>
      </c>
      <c r="M36" s="53">
        <f ca="1">-SUM(Returns!$E$52:M$53)</f>
        <v>0</v>
      </c>
      <c r="N36" s="53">
        <f ca="1">-SUM(Returns!$E$52:N$53)</f>
        <v>0</v>
      </c>
      <c r="O36" s="53">
        <f ca="1">-SUM(Returns!$E$52:O$53)</f>
        <v>0</v>
      </c>
      <c r="P36" s="53">
        <f ca="1">-SUM(Returns!$E$52:P$53)</f>
        <v>0</v>
      </c>
      <c r="Q36" s="53">
        <f ca="1">-SUM(Returns!$E$52:Q$53)</f>
        <v>0</v>
      </c>
      <c r="R36" s="53">
        <f ca="1">-SUM(Returns!$E$52:R$53)</f>
        <v>0</v>
      </c>
      <c r="S36" s="53">
        <f ca="1">-SUM(Returns!$E$52:S$53)</f>
        <v>0</v>
      </c>
      <c r="T36" s="53">
        <f ca="1">-SUM(Returns!$E$52:T$53)</f>
        <v>0</v>
      </c>
      <c r="U36" s="53">
        <f ca="1">-SUM(Returns!$E$52:U$53)</f>
        <v>0</v>
      </c>
      <c r="V36" s="53">
        <f ca="1">-SUM(Returns!$E$52:V$53)</f>
        <v>0</v>
      </c>
      <c r="W36" s="53">
        <f ca="1">-SUM(Returns!$E$52:W$53)</f>
        <v>0</v>
      </c>
      <c r="X36" s="53">
        <f ca="1">-SUM(Returns!$E$52:X$53)</f>
        <v>0</v>
      </c>
      <c r="Y36" s="53">
        <f ca="1">-SUM(Returns!$E$52:Y$53)</f>
        <v>0</v>
      </c>
      <c r="Z36" s="53">
        <f ca="1">-SUM(Returns!$E$52:Z$53)</f>
        <v>0</v>
      </c>
      <c r="AA36" s="404"/>
      <c r="AB36" s="8"/>
    </row>
    <row r="37" spans="1:28">
      <c r="A37" s="379"/>
      <c r="B37" s="8"/>
      <c r="C37" s="8"/>
      <c r="D37" s="126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404"/>
      <c r="AB37" s="8"/>
    </row>
    <row r="38" spans="1:28">
      <c r="A38" s="379"/>
      <c r="B38" s="8" t="s">
        <v>622</v>
      </c>
      <c r="C38" s="8"/>
      <c r="D38" s="20" t="s">
        <v>623</v>
      </c>
      <c r="E38" s="53">
        <f t="shared" ref="E38:Z38" ca="1" si="11">IF(MAX(E$35,E$36)&lt;0,0,MAX(E$35,E$36))</f>
        <v>0</v>
      </c>
      <c r="F38" s="53">
        <f t="shared" ca="1" si="11"/>
        <v>13609.109052366108</v>
      </c>
      <c r="G38" s="53">
        <f t="shared" ca="1" si="11"/>
        <v>13609.109052366108</v>
      </c>
      <c r="H38" s="53">
        <f t="shared" ca="1" si="11"/>
        <v>0</v>
      </c>
      <c r="I38" s="53">
        <f t="shared" ca="1" si="11"/>
        <v>0</v>
      </c>
      <c r="J38" s="53">
        <f t="shared" ca="1" si="11"/>
        <v>0</v>
      </c>
      <c r="K38" s="53">
        <f t="shared" ca="1" si="11"/>
        <v>0</v>
      </c>
      <c r="L38" s="53">
        <f t="shared" ca="1" si="11"/>
        <v>0</v>
      </c>
      <c r="M38" s="53">
        <f t="shared" ca="1" si="11"/>
        <v>0</v>
      </c>
      <c r="N38" s="53">
        <f t="shared" ca="1" si="11"/>
        <v>0</v>
      </c>
      <c r="O38" s="53">
        <f t="shared" ca="1" si="11"/>
        <v>0</v>
      </c>
      <c r="P38" s="53">
        <f t="shared" ca="1" si="11"/>
        <v>0</v>
      </c>
      <c r="Q38" s="53">
        <f t="shared" ca="1" si="11"/>
        <v>0</v>
      </c>
      <c r="R38" s="53">
        <f t="shared" ca="1" si="11"/>
        <v>0</v>
      </c>
      <c r="S38" s="53">
        <f t="shared" ca="1" si="11"/>
        <v>0</v>
      </c>
      <c r="T38" s="53">
        <f t="shared" ca="1" si="11"/>
        <v>0</v>
      </c>
      <c r="U38" s="53">
        <f t="shared" ca="1" si="11"/>
        <v>0</v>
      </c>
      <c r="V38" s="53">
        <f t="shared" ca="1" si="11"/>
        <v>0</v>
      </c>
      <c r="W38" s="53">
        <f t="shared" ca="1" si="11"/>
        <v>0</v>
      </c>
      <c r="X38" s="53">
        <f t="shared" ca="1" si="11"/>
        <v>0</v>
      </c>
      <c r="Y38" s="53">
        <f t="shared" ca="1" si="11"/>
        <v>0</v>
      </c>
      <c r="Z38" s="53">
        <f t="shared" ca="1" si="11"/>
        <v>0</v>
      </c>
      <c r="AA38" s="404"/>
      <c r="AB38" s="8"/>
    </row>
    <row r="39" spans="1:28">
      <c r="A39" s="379"/>
      <c r="B39" s="8" t="s">
        <v>624</v>
      </c>
      <c r="C39" s="8"/>
      <c r="D39" s="20" t="s">
        <v>625</v>
      </c>
      <c r="E39" s="53">
        <f t="shared" ref="E39:Z39" ca="1" si="12">IF(MIN(E$35,E$36)&lt;0,0,MIN(E$35,E$36))</f>
        <v>0</v>
      </c>
      <c r="F39" s="53">
        <f t="shared" ca="1" si="12"/>
        <v>0</v>
      </c>
      <c r="G39" s="53">
        <f t="shared" ca="1" si="12"/>
        <v>0</v>
      </c>
      <c r="H39" s="53">
        <f t="shared" ca="1" si="12"/>
        <v>0</v>
      </c>
      <c r="I39" s="53">
        <f t="shared" ca="1" si="12"/>
        <v>0</v>
      </c>
      <c r="J39" s="53">
        <f t="shared" ca="1" si="12"/>
        <v>0</v>
      </c>
      <c r="K39" s="53">
        <f t="shared" ca="1" si="12"/>
        <v>0</v>
      </c>
      <c r="L39" s="53">
        <f t="shared" ca="1" si="12"/>
        <v>0</v>
      </c>
      <c r="M39" s="53">
        <f t="shared" ca="1" si="12"/>
        <v>0</v>
      </c>
      <c r="N39" s="53">
        <f t="shared" ca="1" si="12"/>
        <v>0</v>
      </c>
      <c r="O39" s="53">
        <f t="shared" ca="1" si="12"/>
        <v>0</v>
      </c>
      <c r="P39" s="53">
        <f t="shared" ca="1" si="12"/>
        <v>0</v>
      </c>
      <c r="Q39" s="53">
        <f t="shared" ca="1" si="12"/>
        <v>0</v>
      </c>
      <c r="R39" s="53">
        <f t="shared" ca="1" si="12"/>
        <v>0</v>
      </c>
      <c r="S39" s="53">
        <f t="shared" ca="1" si="12"/>
        <v>0</v>
      </c>
      <c r="T39" s="53">
        <f t="shared" ca="1" si="12"/>
        <v>0</v>
      </c>
      <c r="U39" s="53">
        <f t="shared" ca="1" si="12"/>
        <v>0</v>
      </c>
      <c r="V39" s="53">
        <f t="shared" ca="1" si="12"/>
        <v>0</v>
      </c>
      <c r="W39" s="53">
        <f t="shared" ca="1" si="12"/>
        <v>0</v>
      </c>
      <c r="X39" s="53">
        <f t="shared" ca="1" si="12"/>
        <v>0</v>
      </c>
      <c r="Y39" s="53">
        <f t="shared" ca="1" si="12"/>
        <v>0</v>
      </c>
      <c r="Z39" s="53">
        <f t="shared" ca="1" si="12"/>
        <v>0</v>
      </c>
      <c r="AA39" s="404"/>
      <c r="AB39" s="8"/>
    </row>
    <row r="40" spans="1:28">
      <c r="A40" s="13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404"/>
    </row>
    <row r="41" spans="1:28">
      <c r="A41" s="379"/>
      <c r="B41" s="8" t="s">
        <v>626</v>
      </c>
      <c r="C41" s="8"/>
      <c r="D41" s="126"/>
      <c r="E41" s="53">
        <f t="shared" ref="E41:W41" ca="1" si="13">((E38*2)+E39)/3</f>
        <v>0</v>
      </c>
      <c r="F41" s="53">
        <f t="shared" ca="1" si="13"/>
        <v>9072.7393682440725</v>
      </c>
      <c r="G41" s="53">
        <f t="shared" ca="1" si="13"/>
        <v>9072.7393682440725</v>
      </c>
      <c r="H41" s="53">
        <f t="shared" ca="1" si="13"/>
        <v>0</v>
      </c>
      <c r="I41" s="53">
        <f t="shared" ca="1" si="13"/>
        <v>0</v>
      </c>
      <c r="J41" s="53">
        <f t="shared" ca="1" si="13"/>
        <v>0</v>
      </c>
      <c r="K41" s="53">
        <f t="shared" ca="1" si="13"/>
        <v>0</v>
      </c>
      <c r="L41" s="53">
        <f t="shared" ca="1" si="13"/>
        <v>0</v>
      </c>
      <c r="M41" s="53">
        <f t="shared" ca="1" si="13"/>
        <v>0</v>
      </c>
      <c r="N41" s="53">
        <f t="shared" ca="1" si="13"/>
        <v>0</v>
      </c>
      <c r="O41" s="53">
        <f t="shared" ca="1" si="13"/>
        <v>0</v>
      </c>
      <c r="P41" s="53">
        <f t="shared" ca="1" si="13"/>
        <v>0</v>
      </c>
      <c r="Q41" s="53">
        <f t="shared" ca="1" si="13"/>
        <v>0</v>
      </c>
      <c r="R41" s="53">
        <f t="shared" ca="1" si="13"/>
        <v>0</v>
      </c>
      <c r="S41" s="53">
        <f t="shared" ca="1" si="13"/>
        <v>0</v>
      </c>
      <c r="T41" s="53">
        <f t="shared" ca="1" si="13"/>
        <v>0</v>
      </c>
      <c r="U41" s="53">
        <f t="shared" ca="1" si="13"/>
        <v>0</v>
      </c>
      <c r="V41" s="53">
        <f t="shared" ca="1" si="13"/>
        <v>0</v>
      </c>
      <c r="W41" s="53">
        <f t="shared" ca="1" si="13"/>
        <v>0</v>
      </c>
      <c r="X41" s="53">
        <f ca="1">((X38*2)+X39)/3</f>
        <v>0</v>
      </c>
      <c r="Y41" s="53">
        <f ca="1">((Y38*2)+Y39)/3</f>
        <v>0</v>
      </c>
      <c r="Z41" s="53">
        <f ca="1">((Z38*2)+Z39)/3</f>
        <v>0</v>
      </c>
      <c r="AA41" s="404"/>
      <c r="AB41" s="8"/>
    </row>
    <row r="42" spans="1:28">
      <c r="A42" s="379"/>
      <c r="B42" s="8" t="s">
        <v>627</v>
      </c>
      <c r="C42" s="18">
        <f>Opic</f>
        <v>0.01</v>
      </c>
      <c r="D42" s="126"/>
      <c r="E42" s="37">
        <f t="shared" ref="E42:Z42" si="14">$C42</f>
        <v>0.01</v>
      </c>
      <c r="F42" s="37">
        <f t="shared" si="14"/>
        <v>0.01</v>
      </c>
      <c r="G42" s="37">
        <f t="shared" si="14"/>
        <v>0.01</v>
      </c>
      <c r="H42" s="37">
        <f t="shared" si="14"/>
        <v>0.01</v>
      </c>
      <c r="I42" s="37">
        <f t="shared" si="14"/>
        <v>0.01</v>
      </c>
      <c r="J42" s="37">
        <f t="shared" si="14"/>
        <v>0.01</v>
      </c>
      <c r="K42" s="37">
        <f t="shared" si="14"/>
        <v>0.01</v>
      </c>
      <c r="L42" s="37">
        <f t="shared" si="14"/>
        <v>0.01</v>
      </c>
      <c r="M42" s="37">
        <f t="shared" si="14"/>
        <v>0.01</v>
      </c>
      <c r="N42" s="37">
        <f t="shared" si="14"/>
        <v>0.01</v>
      </c>
      <c r="O42" s="37">
        <f t="shared" si="14"/>
        <v>0.01</v>
      </c>
      <c r="P42" s="37">
        <f t="shared" si="14"/>
        <v>0.01</v>
      </c>
      <c r="Q42" s="37">
        <f t="shared" si="14"/>
        <v>0.01</v>
      </c>
      <c r="R42" s="37">
        <f t="shared" si="14"/>
        <v>0.01</v>
      </c>
      <c r="S42" s="37">
        <f t="shared" si="14"/>
        <v>0.01</v>
      </c>
      <c r="T42" s="37">
        <f t="shared" si="14"/>
        <v>0.01</v>
      </c>
      <c r="U42" s="37">
        <f t="shared" si="14"/>
        <v>0.01</v>
      </c>
      <c r="V42" s="37">
        <f t="shared" si="14"/>
        <v>0.01</v>
      </c>
      <c r="W42" s="37">
        <f t="shared" si="14"/>
        <v>0.01</v>
      </c>
      <c r="X42" s="37">
        <f t="shared" si="14"/>
        <v>0.01</v>
      </c>
      <c r="Y42" s="37">
        <f t="shared" si="14"/>
        <v>0.01</v>
      </c>
      <c r="Z42" s="37">
        <f t="shared" si="14"/>
        <v>0.01</v>
      </c>
      <c r="AA42" s="404"/>
      <c r="AB42" s="8"/>
    </row>
    <row r="43" spans="1:28">
      <c r="A43" s="442"/>
      <c r="B43" s="10" t="s">
        <v>644</v>
      </c>
      <c r="C43" s="10"/>
      <c r="D43" s="129"/>
      <c r="E43" s="64">
        <f t="shared" ref="E43:W43" ca="1" si="15">E41*E42</f>
        <v>0</v>
      </c>
      <c r="F43" s="64">
        <f t="shared" ca="1" si="15"/>
        <v>90.72739368244072</v>
      </c>
      <c r="G43" s="64">
        <f t="shared" ca="1" si="15"/>
        <v>90.72739368244072</v>
      </c>
      <c r="H43" s="64">
        <f t="shared" ca="1" si="15"/>
        <v>0</v>
      </c>
      <c r="I43" s="64">
        <f t="shared" ca="1" si="15"/>
        <v>0</v>
      </c>
      <c r="J43" s="64">
        <f t="shared" ca="1" si="15"/>
        <v>0</v>
      </c>
      <c r="K43" s="64">
        <f t="shared" ca="1" si="15"/>
        <v>0</v>
      </c>
      <c r="L43" s="64">
        <f t="shared" ca="1" si="15"/>
        <v>0</v>
      </c>
      <c r="M43" s="64">
        <f t="shared" ca="1" si="15"/>
        <v>0</v>
      </c>
      <c r="N43" s="64">
        <f t="shared" ca="1" si="15"/>
        <v>0</v>
      </c>
      <c r="O43" s="64">
        <f t="shared" ca="1" si="15"/>
        <v>0</v>
      </c>
      <c r="P43" s="64">
        <f t="shared" ca="1" si="15"/>
        <v>0</v>
      </c>
      <c r="Q43" s="64">
        <f t="shared" ca="1" si="15"/>
        <v>0</v>
      </c>
      <c r="R43" s="64">
        <f t="shared" ca="1" si="15"/>
        <v>0</v>
      </c>
      <c r="S43" s="64">
        <f t="shared" ca="1" si="15"/>
        <v>0</v>
      </c>
      <c r="T43" s="64">
        <f t="shared" ca="1" si="15"/>
        <v>0</v>
      </c>
      <c r="U43" s="64">
        <f t="shared" ca="1" si="15"/>
        <v>0</v>
      </c>
      <c r="V43" s="64">
        <f t="shared" ca="1" si="15"/>
        <v>0</v>
      </c>
      <c r="W43" s="64">
        <f t="shared" ca="1" si="15"/>
        <v>0</v>
      </c>
      <c r="X43" s="64">
        <f ca="1">X41*X42</f>
        <v>0</v>
      </c>
      <c r="Y43" s="64">
        <f ca="1">Y41*Y42</f>
        <v>0</v>
      </c>
      <c r="Z43" s="64">
        <f ca="1">Z41*Z42</f>
        <v>0</v>
      </c>
      <c r="AA43" s="480">
        <f ca="1">SUM(E43:Z43)</f>
        <v>181.45478736488144</v>
      </c>
      <c r="AB43" s="8"/>
    </row>
    <row r="44" spans="1:28">
      <c r="A44" s="13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404"/>
      <c r="AB44" s="8"/>
    </row>
    <row r="45" spans="1:28">
      <c r="A45" s="440" t="s">
        <v>26</v>
      </c>
      <c r="B45" s="8"/>
      <c r="C45" s="8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404"/>
      <c r="AB45" s="8"/>
    </row>
    <row r="46" spans="1:28">
      <c r="A46" s="379"/>
      <c r="B46" s="8" t="s">
        <v>28</v>
      </c>
      <c r="C46" s="8"/>
      <c r="D46" s="20" t="s">
        <v>618</v>
      </c>
      <c r="E46" s="53">
        <f>-SUM(Returns!$D$52:D$53)</f>
        <v>0</v>
      </c>
      <c r="F46" s="53">
        <f ca="1">-SUM(Returns!$D$52:E$53)</f>
        <v>0</v>
      </c>
      <c r="G46" s="53">
        <f ca="1">-SUM(Returns!$D$52:F$53)</f>
        <v>13609.109052366108</v>
      </c>
      <c r="H46" s="53">
        <f ca="1">-SUM(Returns!$D$52:G$53)</f>
        <v>0</v>
      </c>
      <c r="I46" s="53">
        <f ca="1">-SUM(Returns!$D$52:H$53)</f>
        <v>0</v>
      </c>
      <c r="J46" s="53">
        <f ca="1">-SUM(Returns!$D$52:I$53)</f>
        <v>0</v>
      </c>
      <c r="K46" s="53">
        <f ca="1">-SUM(Returns!$D$52:J$53)</f>
        <v>0</v>
      </c>
      <c r="L46" s="53">
        <f ca="1">-SUM(Returns!$D$52:K$53)</f>
        <v>0</v>
      </c>
      <c r="M46" s="53">
        <f ca="1">-SUM(Returns!$D$52:L$53)</f>
        <v>0</v>
      </c>
      <c r="N46" s="53">
        <f ca="1">-SUM(Returns!$D$52:M$53)</f>
        <v>0</v>
      </c>
      <c r="O46" s="53">
        <f ca="1">-SUM(Returns!$D$52:N$53)</f>
        <v>0</v>
      </c>
      <c r="P46" s="53">
        <f ca="1">-SUM(Returns!$D$52:O$53)</f>
        <v>0</v>
      </c>
      <c r="Q46" s="53">
        <f ca="1">-SUM(Returns!$D$52:P$53)</f>
        <v>0</v>
      </c>
      <c r="R46" s="53">
        <f ca="1">-SUM(Returns!$D$52:Q$53)</f>
        <v>0</v>
      </c>
      <c r="S46" s="53">
        <f ca="1">-SUM(Returns!$D$52:R$53)</f>
        <v>0</v>
      </c>
      <c r="T46" s="53">
        <f ca="1">-SUM(Returns!$D$52:S$53)</f>
        <v>0</v>
      </c>
      <c r="U46" s="53">
        <f ca="1">-SUM(Returns!$D$52:T$53)</f>
        <v>0</v>
      </c>
      <c r="V46" s="53">
        <f ca="1">-SUM(Returns!$D$52:U$53)</f>
        <v>0</v>
      </c>
      <c r="W46" s="53">
        <f ca="1">-SUM(Returns!$D$52:V$53)</f>
        <v>0</v>
      </c>
      <c r="X46" s="53">
        <f ca="1">-SUM(Returns!$D$52:W$53)</f>
        <v>0</v>
      </c>
      <c r="Y46" s="53">
        <f ca="1">-SUM(Returns!$D$52:X$53)</f>
        <v>0</v>
      </c>
      <c r="Z46" s="53">
        <f ca="1">-SUM(Returns!$D$52:Y$53)</f>
        <v>0</v>
      </c>
      <c r="AA46" s="404"/>
      <c r="AB46" s="8"/>
    </row>
    <row r="47" spans="1:28">
      <c r="A47" s="379"/>
      <c r="B47" s="8" t="s">
        <v>29</v>
      </c>
      <c r="C47" s="8"/>
      <c r="D47" s="20" t="s">
        <v>621</v>
      </c>
      <c r="E47" s="53">
        <f ca="1">-SUM(Returns!$E$52:E$53)</f>
        <v>0</v>
      </c>
      <c r="F47" s="53">
        <f ca="1">-SUM(Returns!$E$52:F$53)</f>
        <v>13609.109052366108</v>
      </c>
      <c r="G47" s="53">
        <f ca="1">-SUM(Returns!$E$52:G$53)</f>
        <v>0</v>
      </c>
      <c r="H47" s="53">
        <f ca="1">-SUM(Returns!$E$52:H$53)</f>
        <v>0</v>
      </c>
      <c r="I47" s="53">
        <f ca="1">-SUM(Returns!$E$52:I$53)</f>
        <v>0</v>
      </c>
      <c r="J47" s="53">
        <f ca="1">-SUM(Returns!$E$52:J$53)</f>
        <v>0</v>
      </c>
      <c r="K47" s="53">
        <f ca="1">-SUM(Returns!$E$52:K$53)</f>
        <v>0</v>
      </c>
      <c r="L47" s="53">
        <f ca="1">-SUM(Returns!$E$52:L$53)</f>
        <v>0</v>
      </c>
      <c r="M47" s="53">
        <f ca="1">-SUM(Returns!$E$52:M$53)</f>
        <v>0</v>
      </c>
      <c r="N47" s="53">
        <f ca="1">-SUM(Returns!$E$52:N$53)</f>
        <v>0</v>
      </c>
      <c r="O47" s="53">
        <f ca="1">-SUM(Returns!$E$52:O$53)</f>
        <v>0</v>
      </c>
      <c r="P47" s="53">
        <f ca="1">-SUM(Returns!$E$52:P$53)</f>
        <v>0</v>
      </c>
      <c r="Q47" s="53">
        <f ca="1">-SUM(Returns!$E$52:Q$53)</f>
        <v>0</v>
      </c>
      <c r="R47" s="53">
        <f ca="1">-SUM(Returns!$E$52:R$53)</f>
        <v>0</v>
      </c>
      <c r="S47" s="53">
        <f ca="1">-SUM(Returns!$E$52:S$53)</f>
        <v>0</v>
      </c>
      <c r="T47" s="53">
        <f ca="1">-SUM(Returns!$E$52:T$53)</f>
        <v>0</v>
      </c>
      <c r="U47" s="53">
        <f ca="1">-SUM(Returns!$E$52:U$53)</f>
        <v>0</v>
      </c>
      <c r="V47" s="53">
        <f ca="1">-SUM(Returns!$E$52:V$53)</f>
        <v>0</v>
      </c>
      <c r="W47" s="53">
        <f ca="1">-SUM(Returns!$E$52:W$53)</f>
        <v>0</v>
      </c>
      <c r="X47" s="53">
        <f ca="1">-SUM(Returns!$E$52:X$53)</f>
        <v>0</v>
      </c>
      <c r="Y47" s="53">
        <f ca="1">-SUM(Returns!$E$52:Y$53)</f>
        <v>0</v>
      </c>
      <c r="Z47" s="53">
        <f ca="1">-SUM(Returns!$E$52:Z$53)</f>
        <v>0</v>
      </c>
      <c r="AA47" s="404"/>
      <c r="AB47" s="8"/>
    </row>
    <row r="48" spans="1:28">
      <c r="A48" s="379"/>
      <c r="B48" s="8"/>
      <c r="C48" s="8"/>
      <c r="D48" s="126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404"/>
      <c r="AB48" s="8"/>
    </row>
    <row r="49" spans="1:28">
      <c r="A49" s="379"/>
      <c r="B49" s="8" t="s">
        <v>622</v>
      </c>
      <c r="C49" s="8"/>
      <c r="D49" s="20" t="s">
        <v>623</v>
      </c>
      <c r="E49" s="53">
        <f t="shared" ref="E49:Z49" ca="1" si="16">IF(MAX(E$35,E$36)&lt;0,0,MAX(E$35,E$36))</f>
        <v>0</v>
      </c>
      <c r="F49" s="53">
        <f t="shared" ca="1" si="16"/>
        <v>13609.109052366108</v>
      </c>
      <c r="G49" s="53">
        <f t="shared" ca="1" si="16"/>
        <v>13609.109052366108</v>
      </c>
      <c r="H49" s="53">
        <f t="shared" ca="1" si="16"/>
        <v>0</v>
      </c>
      <c r="I49" s="53">
        <f t="shared" ca="1" si="16"/>
        <v>0</v>
      </c>
      <c r="J49" s="53">
        <f t="shared" ca="1" si="16"/>
        <v>0</v>
      </c>
      <c r="K49" s="53">
        <f t="shared" ca="1" si="16"/>
        <v>0</v>
      </c>
      <c r="L49" s="53">
        <f t="shared" ca="1" si="16"/>
        <v>0</v>
      </c>
      <c r="M49" s="53">
        <f t="shared" ca="1" si="16"/>
        <v>0</v>
      </c>
      <c r="N49" s="53">
        <f t="shared" ca="1" si="16"/>
        <v>0</v>
      </c>
      <c r="O49" s="53">
        <f t="shared" ca="1" si="16"/>
        <v>0</v>
      </c>
      <c r="P49" s="53">
        <f t="shared" ca="1" si="16"/>
        <v>0</v>
      </c>
      <c r="Q49" s="53">
        <f t="shared" ca="1" si="16"/>
        <v>0</v>
      </c>
      <c r="R49" s="53">
        <f t="shared" ca="1" si="16"/>
        <v>0</v>
      </c>
      <c r="S49" s="53">
        <f t="shared" ca="1" si="16"/>
        <v>0</v>
      </c>
      <c r="T49" s="53">
        <f t="shared" ca="1" si="16"/>
        <v>0</v>
      </c>
      <c r="U49" s="53">
        <f t="shared" ca="1" si="16"/>
        <v>0</v>
      </c>
      <c r="V49" s="53">
        <f t="shared" ca="1" si="16"/>
        <v>0</v>
      </c>
      <c r="W49" s="53">
        <f t="shared" ca="1" si="16"/>
        <v>0</v>
      </c>
      <c r="X49" s="53">
        <f t="shared" ca="1" si="16"/>
        <v>0</v>
      </c>
      <c r="Y49" s="53">
        <f t="shared" ca="1" si="16"/>
        <v>0</v>
      </c>
      <c r="Z49" s="53">
        <f t="shared" ca="1" si="16"/>
        <v>0</v>
      </c>
      <c r="AA49" s="404"/>
      <c r="AB49" s="8"/>
    </row>
    <row r="50" spans="1:28">
      <c r="A50" s="379"/>
      <c r="B50" s="8" t="s">
        <v>624</v>
      </c>
      <c r="C50" s="8"/>
      <c r="D50" s="20" t="s">
        <v>625</v>
      </c>
      <c r="E50" s="53">
        <f t="shared" ref="E50:Z50" ca="1" si="17">IF(MIN(E$35,E$36)&lt;0,0,MIN(E$35,E$36))</f>
        <v>0</v>
      </c>
      <c r="F50" s="53">
        <f t="shared" ca="1" si="17"/>
        <v>0</v>
      </c>
      <c r="G50" s="53">
        <f t="shared" ca="1" si="17"/>
        <v>0</v>
      </c>
      <c r="H50" s="53">
        <f t="shared" ca="1" si="17"/>
        <v>0</v>
      </c>
      <c r="I50" s="53">
        <f t="shared" ca="1" si="17"/>
        <v>0</v>
      </c>
      <c r="J50" s="53">
        <f t="shared" ca="1" si="17"/>
        <v>0</v>
      </c>
      <c r="K50" s="53">
        <f t="shared" ca="1" si="17"/>
        <v>0</v>
      </c>
      <c r="L50" s="53">
        <f t="shared" ca="1" si="17"/>
        <v>0</v>
      </c>
      <c r="M50" s="53">
        <f t="shared" ca="1" si="17"/>
        <v>0</v>
      </c>
      <c r="N50" s="53">
        <f t="shared" ca="1" si="17"/>
        <v>0</v>
      </c>
      <c r="O50" s="53">
        <f t="shared" ca="1" si="17"/>
        <v>0</v>
      </c>
      <c r="P50" s="53">
        <f t="shared" ca="1" si="17"/>
        <v>0</v>
      </c>
      <c r="Q50" s="53">
        <f t="shared" ca="1" si="17"/>
        <v>0</v>
      </c>
      <c r="R50" s="53">
        <f t="shared" ca="1" si="17"/>
        <v>0</v>
      </c>
      <c r="S50" s="53">
        <f t="shared" ca="1" si="17"/>
        <v>0</v>
      </c>
      <c r="T50" s="53">
        <f t="shared" ca="1" si="17"/>
        <v>0</v>
      </c>
      <c r="U50" s="53">
        <f t="shared" ca="1" si="17"/>
        <v>0</v>
      </c>
      <c r="V50" s="53">
        <f t="shared" ca="1" si="17"/>
        <v>0</v>
      </c>
      <c r="W50" s="53">
        <f t="shared" ca="1" si="17"/>
        <v>0</v>
      </c>
      <c r="X50" s="53">
        <f t="shared" ca="1" si="17"/>
        <v>0</v>
      </c>
      <c r="Y50" s="53">
        <f t="shared" ca="1" si="17"/>
        <v>0</v>
      </c>
      <c r="Z50" s="53">
        <f t="shared" ca="1" si="17"/>
        <v>0</v>
      </c>
      <c r="AA50" s="404"/>
      <c r="AB50" s="8"/>
    </row>
    <row r="51" spans="1:28">
      <c r="A51" s="13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404"/>
      <c r="AB51" s="8"/>
    </row>
    <row r="52" spans="1:28">
      <c r="A52" s="379"/>
      <c r="B52" s="8" t="s">
        <v>626</v>
      </c>
      <c r="C52" s="8"/>
      <c r="D52" s="126"/>
      <c r="E52" s="53">
        <f t="shared" ref="E52:W52" ca="1" si="18">((E49*2)+E50)/3</f>
        <v>0</v>
      </c>
      <c r="F52" s="53">
        <f t="shared" ca="1" si="18"/>
        <v>9072.7393682440725</v>
      </c>
      <c r="G52" s="53">
        <f t="shared" ca="1" si="18"/>
        <v>9072.7393682440725</v>
      </c>
      <c r="H52" s="53">
        <f t="shared" ca="1" si="18"/>
        <v>0</v>
      </c>
      <c r="I52" s="53">
        <f t="shared" ca="1" si="18"/>
        <v>0</v>
      </c>
      <c r="J52" s="53">
        <f t="shared" ca="1" si="18"/>
        <v>0</v>
      </c>
      <c r="K52" s="53">
        <f t="shared" ca="1" si="18"/>
        <v>0</v>
      </c>
      <c r="L52" s="53">
        <f t="shared" ca="1" si="18"/>
        <v>0</v>
      </c>
      <c r="M52" s="53">
        <f t="shared" ca="1" si="18"/>
        <v>0</v>
      </c>
      <c r="N52" s="53">
        <f t="shared" ca="1" si="18"/>
        <v>0</v>
      </c>
      <c r="O52" s="53">
        <f t="shared" ca="1" si="18"/>
        <v>0</v>
      </c>
      <c r="P52" s="53">
        <f t="shared" ca="1" si="18"/>
        <v>0</v>
      </c>
      <c r="Q52" s="53">
        <f t="shared" ca="1" si="18"/>
        <v>0</v>
      </c>
      <c r="R52" s="53">
        <f t="shared" ca="1" si="18"/>
        <v>0</v>
      </c>
      <c r="S52" s="53">
        <f t="shared" ca="1" si="18"/>
        <v>0</v>
      </c>
      <c r="T52" s="53">
        <f t="shared" ca="1" si="18"/>
        <v>0</v>
      </c>
      <c r="U52" s="53">
        <f t="shared" ca="1" si="18"/>
        <v>0</v>
      </c>
      <c r="V52" s="53">
        <f t="shared" ca="1" si="18"/>
        <v>0</v>
      </c>
      <c r="W52" s="53">
        <f t="shared" ca="1" si="18"/>
        <v>0</v>
      </c>
      <c r="X52" s="53">
        <f ca="1">((X49*2)+X50)/3</f>
        <v>0</v>
      </c>
      <c r="Y52" s="53">
        <f ca="1">((Y49*2)+Y50)/3</f>
        <v>0</v>
      </c>
      <c r="Z52" s="53">
        <f ca="1">((Z49*2)+Z50)/3</f>
        <v>0</v>
      </c>
      <c r="AA52" s="404"/>
      <c r="AB52" s="8"/>
    </row>
    <row r="53" spans="1:28">
      <c r="A53" s="379"/>
      <c r="B53" s="8" t="s">
        <v>627</v>
      </c>
      <c r="C53" s="18">
        <f>Opic</f>
        <v>0.01</v>
      </c>
      <c r="D53" s="126"/>
      <c r="E53" s="37">
        <f t="shared" ref="E53:Z53" si="19">$C53</f>
        <v>0.01</v>
      </c>
      <c r="F53" s="37">
        <f t="shared" si="19"/>
        <v>0.01</v>
      </c>
      <c r="G53" s="37">
        <f t="shared" si="19"/>
        <v>0.01</v>
      </c>
      <c r="H53" s="37">
        <f t="shared" si="19"/>
        <v>0.01</v>
      </c>
      <c r="I53" s="37">
        <f t="shared" si="19"/>
        <v>0.01</v>
      </c>
      <c r="J53" s="37">
        <f t="shared" si="19"/>
        <v>0.01</v>
      </c>
      <c r="K53" s="37">
        <f t="shared" si="19"/>
        <v>0.01</v>
      </c>
      <c r="L53" s="37">
        <f t="shared" si="19"/>
        <v>0.01</v>
      </c>
      <c r="M53" s="37">
        <f t="shared" si="19"/>
        <v>0.01</v>
      </c>
      <c r="N53" s="37">
        <f t="shared" si="19"/>
        <v>0.01</v>
      </c>
      <c r="O53" s="37">
        <f t="shared" si="19"/>
        <v>0.01</v>
      </c>
      <c r="P53" s="37">
        <f t="shared" si="19"/>
        <v>0.01</v>
      </c>
      <c r="Q53" s="37">
        <f t="shared" si="19"/>
        <v>0.01</v>
      </c>
      <c r="R53" s="37">
        <f t="shared" si="19"/>
        <v>0.01</v>
      </c>
      <c r="S53" s="37">
        <f t="shared" si="19"/>
        <v>0.01</v>
      </c>
      <c r="T53" s="37">
        <f t="shared" si="19"/>
        <v>0.01</v>
      </c>
      <c r="U53" s="37">
        <f t="shared" si="19"/>
        <v>0.01</v>
      </c>
      <c r="V53" s="37">
        <f t="shared" si="19"/>
        <v>0.01</v>
      </c>
      <c r="W53" s="37">
        <f t="shared" si="19"/>
        <v>0.01</v>
      </c>
      <c r="X53" s="37">
        <f t="shared" si="19"/>
        <v>0.01</v>
      </c>
      <c r="Y53" s="37">
        <f t="shared" si="19"/>
        <v>0.01</v>
      </c>
      <c r="Z53" s="37">
        <f t="shared" si="19"/>
        <v>0.01</v>
      </c>
      <c r="AA53" s="404"/>
      <c r="AB53" s="8"/>
    </row>
    <row r="54" spans="1:28">
      <c r="A54" s="442"/>
      <c r="B54" s="10" t="s">
        <v>27</v>
      </c>
      <c r="C54" s="10"/>
      <c r="D54" s="129"/>
      <c r="E54" s="64">
        <f t="shared" ref="E54:Z54" ca="1" si="20">E52*E53</f>
        <v>0</v>
      </c>
      <c r="F54" s="64">
        <f t="shared" ca="1" si="20"/>
        <v>90.72739368244072</v>
      </c>
      <c r="G54" s="64">
        <f t="shared" ca="1" si="20"/>
        <v>90.72739368244072</v>
      </c>
      <c r="H54" s="64">
        <f t="shared" ca="1" si="20"/>
        <v>0</v>
      </c>
      <c r="I54" s="64">
        <f t="shared" ca="1" si="20"/>
        <v>0</v>
      </c>
      <c r="J54" s="64">
        <f t="shared" ca="1" si="20"/>
        <v>0</v>
      </c>
      <c r="K54" s="64">
        <f t="shared" ca="1" si="20"/>
        <v>0</v>
      </c>
      <c r="L54" s="64">
        <f t="shared" ca="1" si="20"/>
        <v>0</v>
      </c>
      <c r="M54" s="64">
        <f t="shared" ca="1" si="20"/>
        <v>0</v>
      </c>
      <c r="N54" s="64">
        <f t="shared" ca="1" si="20"/>
        <v>0</v>
      </c>
      <c r="O54" s="64">
        <f t="shared" ca="1" si="20"/>
        <v>0</v>
      </c>
      <c r="P54" s="64">
        <f t="shared" ca="1" si="20"/>
        <v>0</v>
      </c>
      <c r="Q54" s="64">
        <f t="shared" ca="1" si="20"/>
        <v>0</v>
      </c>
      <c r="R54" s="64">
        <f t="shared" ca="1" si="20"/>
        <v>0</v>
      </c>
      <c r="S54" s="64">
        <f t="shared" ca="1" si="20"/>
        <v>0</v>
      </c>
      <c r="T54" s="64">
        <f t="shared" ca="1" si="20"/>
        <v>0</v>
      </c>
      <c r="U54" s="64">
        <f t="shared" ca="1" si="20"/>
        <v>0</v>
      </c>
      <c r="V54" s="64">
        <f t="shared" ca="1" si="20"/>
        <v>0</v>
      </c>
      <c r="W54" s="64">
        <f t="shared" ca="1" si="20"/>
        <v>0</v>
      </c>
      <c r="X54" s="64">
        <f t="shared" ca="1" si="20"/>
        <v>0</v>
      </c>
      <c r="Y54" s="64">
        <f t="shared" ca="1" si="20"/>
        <v>0</v>
      </c>
      <c r="Z54" s="64">
        <f t="shared" ca="1" si="20"/>
        <v>0</v>
      </c>
      <c r="AA54" s="480">
        <f ca="1">SUM(E54:Z54)</f>
        <v>181.45478736488144</v>
      </c>
      <c r="AB54" s="8"/>
    </row>
    <row r="55" spans="1:28">
      <c r="A55" s="442"/>
      <c r="B55" s="10"/>
      <c r="C55" s="10"/>
      <c r="D55" s="129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480"/>
      <c r="AB55" s="8"/>
    </row>
    <row r="56" spans="1:28">
      <c r="A56" s="137"/>
      <c r="B56" s="8"/>
      <c r="C56" s="8"/>
      <c r="D56" s="8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461"/>
    </row>
    <row r="57" spans="1:28">
      <c r="A57" s="440" t="s">
        <v>651</v>
      </c>
      <c r="B57" s="8"/>
      <c r="C57" s="8"/>
      <c r="D57" s="8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461"/>
    </row>
    <row r="58" spans="1:28" s="87" customFormat="1">
      <c r="A58" s="137"/>
      <c r="B58" s="8" t="s">
        <v>190</v>
      </c>
      <c r="C58" s="8"/>
      <c r="D58" s="8"/>
      <c r="G58" s="53">
        <f ca="1">CF!E$43</f>
        <v>0</v>
      </c>
      <c r="H58" s="53">
        <f ca="1">CF!F$43</f>
        <v>0</v>
      </c>
      <c r="I58" s="53">
        <f ca="1">CF!G$43</f>
        <v>5065.6980665294723</v>
      </c>
      <c r="J58" s="53">
        <f ca="1">CF!H$43</f>
        <v>8103.0273687033459</v>
      </c>
      <c r="K58" s="53">
        <f ca="1">CF!I$43</f>
        <v>7652.96520800094</v>
      </c>
      <c r="L58" s="53">
        <f ca="1">CF!J$43</f>
        <v>12076.096375240726</v>
      </c>
      <c r="M58" s="53">
        <f ca="1">CF!K$43</f>
        <v>12539.669253035134</v>
      </c>
      <c r="N58" s="53">
        <f ca="1">CF!L$43</f>
        <v>12569.159436727305</v>
      </c>
      <c r="O58" s="53">
        <f ca="1">CF!M$43</f>
        <v>12751.960675846753</v>
      </c>
      <c r="P58" s="53">
        <f ca="1">CF!N$43</f>
        <v>12715.053345006339</v>
      </c>
      <c r="Q58" s="53">
        <f ca="1">CF!O$43</f>
        <v>13083.338115201666</v>
      </c>
      <c r="R58" s="53">
        <f ca="1">CF!P$43</f>
        <v>13341.833429499657</v>
      </c>
      <c r="S58" s="53">
        <f ca="1">CF!Q$43</f>
        <v>13880.419662020908</v>
      </c>
      <c r="T58" s="53">
        <f ca="1">CF!R$43</f>
        <v>14371.679768858832</v>
      </c>
      <c r="U58" s="53">
        <f ca="1">CF!S$43</f>
        <v>13501.587178515414</v>
      </c>
      <c r="V58" s="53">
        <f ca="1">CF!T$43</f>
        <v>15264.817762375646</v>
      </c>
      <c r="W58" s="53">
        <f ca="1">CF!U$43</f>
        <v>16100.395624536439</v>
      </c>
      <c r="X58" s="53">
        <f ca="1">CF!V$43</f>
        <v>17025.9498931628</v>
      </c>
      <c r="Y58" s="53">
        <f ca="1">CF!W$43</f>
        <v>18121.446965798441</v>
      </c>
      <c r="Z58" s="53">
        <f ca="1">CF!X$43</f>
        <v>19091.421196725478</v>
      </c>
      <c r="AA58" s="481"/>
    </row>
    <row r="59" spans="1:28" s="87" customFormat="1">
      <c r="A59" s="137"/>
      <c r="B59" s="8" t="s">
        <v>505</v>
      </c>
      <c r="C59" s="8"/>
      <c r="D59" s="8"/>
      <c r="G59" s="228">
        <f ca="1">IF(CF!E$6&gt;Assm!$X$72,0,'Debt Amort'!E$14)</f>
        <v>0</v>
      </c>
      <c r="H59" s="228">
        <f ca="1">IF(CF!F$6&gt;Assm!$X$72,0,'Debt Amort'!F$14)</f>
        <v>0</v>
      </c>
      <c r="I59" s="228">
        <f ca="1">IF(CF!G$6&gt;Assm!$X$72,0,'Debt Amort'!G$14)</f>
        <v>3484.300065346657</v>
      </c>
      <c r="J59" s="228">
        <f ca="1">IF(CF!H$6&gt;Assm!$X$72,0,'Debt Amort'!H$14)</f>
        <v>9469.8780062903079</v>
      </c>
      <c r="K59" s="228">
        <f ca="1">IF(CF!I$6&gt;Assm!$X$72,0,'Debt Amort'!I$14)</f>
        <v>10114.650393360764</v>
      </c>
      <c r="L59" s="228">
        <f ca="1">IF(CF!J$6&gt;Assm!$X$72,0,'Debt Amort'!J$14)</f>
        <v>13298.842784306526</v>
      </c>
      <c r="M59" s="228">
        <f ca="1">IF(CF!K$6&gt;Assm!$X$72,0,'Debt Amort'!K$14)</f>
        <v>14132.617956565147</v>
      </c>
      <c r="N59" s="228">
        <f ca="1">IF(CF!L$6&gt;Assm!$X$72,0,'Debt Amort'!L$14)</f>
        <v>14270.316842017946</v>
      </c>
      <c r="O59" s="228">
        <f ca="1">IF(CF!M$6&gt;Assm!$X$72,0,'Debt Amort'!M$14)</f>
        <v>13949.411994672311</v>
      </c>
      <c r="P59" s="228">
        <f ca="1">IF(CF!N$6&gt;Assm!$X$72,0,'Debt Amort'!N$14)</f>
        <v>11007.771671728609</v>
      </c>
      <c r="Q59" s="228">
        <f ca="1">IF(CF!O$6&gt;Assm!$X$72,0,'Debt Amort'!O$14)</f>
        <v>8399.7879230425024</v>
      </c>
      <c r="R59" s="228">
        <f ca="1">IF(CF!P$6&gt;Assm!$X$72,0,'Debt Amort'!P$14)</f>
        <v>7922.8887865555926</v>
      </c>
      <c r="S59" s="228">
        <f ca="1">IF(CF!Q$6&gt;Assm!$X$72,0,'Debt Amort'!Q$14)</f>
        <v>8455.922527125349</v>
      </c>
      <c r="T59" s="228">
        <f ca="1">IF(CF!R$6&gt;Assm!$X$72,0,'Debt Amort'!R$14)</f>
        <v>8822.1279805663071</v>
      </c>
      <c r="U59" s="228">
        <f ca="1">IF(CF!S$6&gt;Assm!$X$72,0,'Debt Amort'!S$14)</f>
        <v>8122.791127907667</v>
      </c>
      <c r="V59" s="228">
        <f ca="1">IF(CF!T$6&gt;Assm!$X$72,0,'Debt Amort'!T$14)</f>
        <v>7651.2586836076716</v>
      </c>
      <c r="W59" s="228">
        <f ca="1">IF(CF!U$6&gt;Assm!$X$72,0,'Debt Amort'!U$14)</f>
        <v>5080.1343096842184</v>
      </c>
      <c r="X59" s="228">
        <f ca="1">IF(CF!V$6&gt;Assm!$X$72,0,'Debt Amort'!V$14)</f>
        <v>0</v>
      </c>
      <c r="Y59" s="228">
        <f ca="1">IF(CF!W$6&gt;Assm!$X$72,0,'Debt Amort'!W$14)</f>
        <v>0</v>
      </c>
      <c r="Z59" s="228">
        <f ca="1">IF(CF!X$6&gt;Assm!$X$72,0,'Debt Amort'!X$14)</f>
        <v>0</v>
      </c>
      <c r="AA59" s="481"/>
    </row>
    <row r="60" spans="1:28" s="8" customFormat="1">
      <c r="A60" s="137"/>
      <c r="B60" s="8" t="s">
        <v>335</v>
      </c>
      <c r="C60" s="20" t="s">
        <v>506</v>
      </c>
      <c r="G60" s="362" t="str">
        <f t="shared" ref="G60:W60" ca="1" si="21">IF(G59=0,"N/A",G58/G59)</f>
        <v>N/A</v>
      </c>
      <c r="H60" s="362" t="str">
        <f t="shared" ca="1" si="21"/>
        <v>N/A</v>
      </c>
      <c r="I60" s="362">
        <f t="shared" ca="1" si="21"/>
        <v>1.4538638956244661</v>
      </c>
      <c r="J60" s="362">
        <f t="shared" ca="1" si="21"/>
        <v>0.85566333202190781</v>
      </c>
      <c r="K60" s="362">
        <f t="shared" ca="1" si="21"/>
        <v>0.75662182185004945</v>
      </c>
      <c r="L60" s="362">
        <f t="shared" ca="1" si="21"/>
        <v>0.90805617985733933</v>
      </c>
      <c r="M60" s="362">
        <f t="shared" ca="1" si="21"/>
        <v>0.88728566013559951</v>
      </c>
      <c r="N60" s="362">
        <f t="shared" ca="1" si="21"/>
        <v>0.8807904951148875</v>
      </c>
      <c r="O60" s="362">
        <f t="shared" ca="1" si="21"/>
        <v>0.91415757744606718</v>
      </c>
      <c r="P60" s="362">
        <f t="shared" ca="1" si="21"/>
        <v>1.1550978457940368</v>
      </c>
      <c r="Q60" s="362">
        <f t="shared" ca="1" si="21"/>
        <v>1.5575795764213445</v>
      </c>
      <c r="R60" s="362">
        <f t="shared" ca="1" si="21"/>
        <v>1.6839607104090002</v>
      </c>
      <c r="S60" s="362">
        <f t="shared" ca="1" si="21"/>
        <v>1.6415027003256681</v>
      </c>
      <c r="T60" s="362">
        <f t="shared" ca="1" si="21"/>
        <v>1.6290491138325438</v>
      </c>
      <c r="U60" s="362">
        <f t="shared" ca="1" si="21"/>
        <v>1.6621856903506591</v>
      </c>
      <c r="V60" s="362">
        <f t="shared" ca="1" si="21"/>
        <v>1.9950727577776888</v>
      </c>
      <c r="W60" s="362">
        <f t="shared" ca="1" si="21"/>
        <v>3.1692854249629554</v>
      </c>
      <c r="X60" s="362" t="str">
        <f ca="1">IF(X59=0,"N/A",X58/X59)</f>
        <v>N/A</v>
      </c>
      <c r="Y60" s="362" t="str">
        <f ca="1">IF(Y59=0,"N/A",Y58/Y59)</f>
        <v>N/A</v>
      </c>
      <c r="Z60" s="362" t="str">
        <f ca="1">IF(Z59=0,"N/A",Z58/Z59)</f>
        <v>N/A</v>
      </c>
      <c r="AA60" s="404"/>
    </row>
    <row r="61" spans="1:28" s="87" customFormat="1">
      <c r="A61" s="137"/>
      <c r="B61" s="8"/>
      <c r="C61" s="8"/>
      <c r="D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481"/>
    </row>
    <row r="62" spans="1:28" s="87" customFormat="1">
      <c r="A62" s="137"/>
      <c r="B62" s="8" t="s">
        <v>190</v>
      </c>
      <c r="C62" s="8"/>
      <c r="D62" s="8"/>
      <c r="G62" s="53">
        <f ca="1">CF!E$43</f>
        <v>0</v>
      </c>
      <c r="H62" s="53">
        <f ca="1">CF!F$43</f>
        <v>0</v>
      </c>
      <c r="I62" s="53">
        <f ca="1">CF!G$43</f>
        <v>5065.6980665294723</v>
      </c>
      <c r="J62" s="53">
        <f ca="1">CF!H$43</f>
        <v>8103.0273687033459</v>
      </c>
      <c r="K62" s="53">
        <f ca="1">CF!I$43</f>
        <v>7652.96520800094</v>
      </c>
      <c r="L62" s="53">
        <f ca="1">CF!J$43</f>
        <v>12076.096375240726</v>
      </c>
      <c r="M62" s="53">
        <f ca="1">CF!K$43</f>
        <v>12539.669253035134</v>
      </c>
      <c r="N62" s="53">
        <f ca="1">CF!L$43</f>
        <v>12569.159436727305</v>
      </c>
      <c r="O62" s="53">
        <f ca="1">CF!M$43</f>
        <v>12751.960675846753</v>
      </c>
      <c r="P62" s="53">
        <f ca="1">CF!N$43</f>
        <v>12715.053345006339</v>
      </c>
      <c r="Q62" s="53">
        <f ca="1">CF!O$43</f>
        <v>13083.338115201666</v>
      </c>
      <c r="R62" s="53">
        <f ca="1">CF!P$43</f>
        <v>13341.833429499657</v>
      </c>
      <c r="S62" s="53">
        <f ca="1">CF!Q$43</f>
        <v>13880.419662020908</v>
      </c>
      <c r="T62" s="53">
        <f ca="1">CF!R$43</f>
        <v>14371.679768858832</v>
      </c>
      <c r="U62" s="53">
        <f ca="1">CF!S$43</f>
        <v>13501.587178515414</v>
      </c>
      <c r="V62" s="53">
        <f ca="1">CF!T$43</f>
        <v>15264.817762375646</v>
      </c>
      <c r="W62" s="53">
        <f ca="1">CF!U$43</f>
        <v>16100.395624536439</v>
      </c>
      <c r="X62" s="53">
        <f ca="1">CF!V$43</f>
        <v>17025.9498931628</v>
      </c>
      <c r="Y62" s="53">
        <f ca="1">CF!W$43</f>
        <v>18121.446965798441</v>
      </c>
      <c r="Z62" s="53">
        <f ca="1">CF!X$43</f>
        <v>19091.421196725478</v>
      </c>
      <c r="AA62" s="481"/>
    </row>
    <row r="63" spans="1:28" s="87" customFormat="1">
      <c r="A63" s="137"/>
      <c r="B63" s="8" t="s">
        <v>330</v>
      </c>
      <c r="C63" s="8"/>
      <c r="D63" s="8"/>
      <c r="G63" s="228">
        <f ca="1">CF!E66</f>
        <v>0</v>
      </c>
      <c r="H63" s="228">
        <f ca="1">CF!F66</f>
        <v>0</v>
      </c>
      <c r="I63" s="228">
        <f ca="1">CF!G66</f>
        <v>0</v>
      </c>
      <c r="J63" s="228">
        <f ca="1">CF!H66</f>
        <v>0</v>
      </c>
      <c r="K63" s="228">
        <f ca="1">CF!I66</f>
        <v>0</v>
      </c>
      <c r="L63" s="228">
        <f ca="1">CF!J66</f>
        <v>0</v>
      </c>
      <c r="M63" s="228">
        <f ca="1">CF!K66</f>
        <v>0</v>
      </c>
      <c r="N63" s="228">
        <f ca="1">CF!L66</f>
        <v>0</v>
      </c>
      <c r="O63" s="228">
        <f ca="1">CF!M66</f>
        <v>-126.38273526462555</v>
      </c>
      <c r="P63" s="228">
        <f ca="1">CF!N66</f>
        <v>-376.95777536125104</v>
      </c>
      <c r="Q63" s="228">
        <f ca="1">CF!O66</f>
        <v>-633.69473828070409</v>
      </c>
      <c r="R63" s="228">
        <f ca="1">CF!P66</f>
        <v>-757.74512430971686</v>
      </c>
      <c r="S63" s="228">
        <f ca="1">CF!Q66</f>
        <v>-919.85954018342875</v>
      </c>
      <c r="T63" s="228">
        <f ca="1">CF!R66</f>
        <v>-1087.912969262457</v>
      </c>
      <c r="U63" s="228">
        <f ca="1">CF!S66</f>
        <v>-972.07206169110611</v>
      </c>
      <c r="V63" s="228">
        <f ca="1">CF!T66</f>
        <v>-1604.3943892396983</v>
      </c>
      <c r="W63" s="228">
        <f ca="1">CF!U66</f>
        <v>-1844.5147345837427</v>
      </c>
      <c r="X63" s="228">
        <f ca="1">CF!V66</f>
        <v>-1989.365282317232</v>
      </c>
      <c r="Y63" s="228">
        <f ca="1">CF!W66</f>
        <v>-2087.5101008853744</v>
      </c>
      <c r="Z63" s="228">
        <f ca="1">CF!X66</f>
        <v>-2276.4008162935347</v>
      </c>
      <c r="AA63" s="481"/>
    </row>
    <row r="64" spans="1:28" s="87" customFormat="1">
      <c r="A64" s="137"/>
      <c r="B64" s="8" t="s">
        <v>507</v>
      </c>
      <c r="C64" s="8"/>
      <c r="D64" s="8"/>
      <c r="G64" s="53">
        <f t="shared" ref="G64:W64" ca="1" si="22">SUM(G62:G63)</f>
        <v>0</v>
      </c>
      <c r="H64" s="53">
        <f t="shared" ca="1" si="22"/>
        <v>0</v>
      </c>
      <c r="I64" s="53">
        <f t="shared" ca="1" si="22"/>
        <v>5065.6980665294723</v>
      </c>
      <c r="J64" s="53">
        <f t="shared" ca="1" si="22"/>
        <v>8103.0273687033459</v>
      </c>
      <c r="K64" s="53">
        <f t="shared" ca="1" si="22"/>
        <v>7652.96520800094</v>
      </c>
      <c r="L64" s="53">
        <f t="shared" ca="1" si="22"/>
        <v>12076.096375240726</v>
      </c>
      <c r="M64" s="53">
        <f t="shared" ca="1" si="22"/>
        <v>12539.669253035134</v>
      </c>
      <c r="N64" s="53">
        <f t="shared" ca="1" si="22"/>
        <v>12569.159436727305</v>
      </c>
      <c r="O64" s="53">
        <f t="shared" ca="1" si="22"/>
        <v>12625.577940582127</v>
      </c>
      <c r="P64" s="53">
        <f t="shared" ca="1" si="22"/>
        <v>12338.095569645089</v>
      </c>
      <c r="Q64" s="53">
        <f t="shared" ca="1" si="22"/>
        <v>12449.643376920962</v>
      </c>
      <c r="R64" s="53">
        <f t="shared" ca="1" si="22"/>
        <v>12584.08830518994</v>
      </c>
      <c r="S64" s="53">
        <f t="shared" ca="1" si="22"/>
        <v>12960.56012183748</v>
      </c>
      <c r="T64" s="53">
        <f t="shared" ca="1" si="22"/>
        <v>13283.766799596375</v>
      </c>
      <c r="U64" s="53">
        <f t="shared" ca="1" si="22"/>
        <v>12529.515116824308</v>
      </c>
      <c r="V64" s="53">
        <f t="shared" ca="1" si="22"/>
        <v>13660.423373135947</v>
      </c>
      <c r="W64" s="53">
        <f t="shared" ca="1" si="22"/>
        <v>14255.880889952696</v>
      </c>
      <c r="X64" s="53">
        <f ca="1">SUM(X62:X63)</f>
        <v>15036.584610845568</v>
      </c>
      <c r="Y64" s="53">
        <f ca="1">SUM(Y62:Y63)</f>
        <v>16033.936864913067</v>
      </c>
      <c r="Z64" s="53">
        <f ca="1">SUM(Z62:Z63)</f>
        <v>16815.020380431943</v>
      </c>
      <c r="AA64" s="481"/>
    </row>
    <row r="65" spans="1:27" s="87" customFormat="1">
      <c r="A65" s="137"/>
      <c r="B65" s="8" t="s">
        <v>505</v>
      </c>
      <c r="C65" s="8"/>
      <c r="D65" s="8"/>
      <c r="G65" s="228">
        <f ca="1">IF(CF!E$6&gt;Assm!$X$72,0,'Debt Amort'!E$14)</f>
        <v>0</v>
      </c>
      <c r="H65" s="228">
        <f ca="1">IF(CF!F$6&gt;Assm!$X$72,0,'Debt Amort'!F$14)</f>
        <v>0</v>
      </c>
      <c r="I65" s="228">
        <f ca="1">IF(CF!G$6&gt;Assm!$X$72,0,'Debt Amort'!G$14)</f>
        <v>3484.300065346657</v>
      </c>
      <c r="J65" s="228">
        <f ca="1">IF(CF!H$6&gt;Assm!$X$72,0,'Debt Amort'!H$14)</f>
        <v>9469.8780062903079</v>
      </c>
      <c r="K65" s="228">
        <f ca="1">IF(CF!I$6&gt;Assm!$X$72,0,'Debt Amort'!I$14)</f>
        <v>10114.650393360764</v>
      </c>
      <c r="L65" s="228">
        <f ca="1">IF(CF!J$6&gt;Assm!$X$72,0,'Debt Amort'!J$14)</f>
        <v>13298.842784306526</v>
      </c>
      <c r="M65" s="228">
        <f ca="1">IF(CF!K$6&gt;Assm!$X$72,0,'Debt Amort'!K$14)</f>
        <v>14132.617956565147</v>
      </c>
      <c r="N65" s="228">
        <f ca="1">IF(CF!L$6&gt;Assm!$X$72,0,'Debt Amort'!L$14)</f>
        <v>14270.316842017946</v>
      </c>
      <c r="O65" s="228">
        <f ca="1">IF(CF!M$6&gt;Assm!$X$72,0,'Debt Amort'!M$14)</f>
        <v>13949.411994672311</v>
      </c>
      <c r="P65" s="228">
        <f ca="1">IF(CF!N$6&gt;Assm!$X$72,0,'Debt Amort'!N$14)</f>
        <v>11007.771671728609</v>
      </c>
      <c r="Q65" s="228">
        <f ca="1">IF(CF!O$6&gt;Assm!$X$72,0,'Debt Amort'!O$14)</f>
        <v>8399.7879230425024</v>
      </c>
      <c r="R65" s="228">
        <f ca="1">IF(CF!P$6&gt;Assm!$X$72,0,'Debt Amort'!P$14)</f>
        <v>7922.8887865555926</v>
      </c>
      <c r="S65" s="228">
        <f ca="1">IF(CF!Q$6&gt;Assm!$X$72,0,'Debt Amort'!Q$14)</f>
        <v>8455.922527125349</v>
      </c>
      <c r="T65" s="228">
        <f ca="1">IF(CF!R$6&gt;Assm!$X$72,0,'Debt Amort'!R$14)</f>
        <v>8822.1279805663071</v>
      </c>
      <c r="U65" s="228">
        <f ca="1">IF(CF!S$6&gt;Assm!$X$72,0,'Debt Amort'!S$14)</f>
        <v>8122.791127907667</v>
      </c>
      <c r="V65" s="228">
        <f ca="1">IF(CF!T$6&gt;Assm!$X$72,0,'Debt Amort'!T$14)</f>
        <v>7651.2586836076716</v>
      </c>
      <c r="W65" s="228">
        <f ca="1">IF(CF!U$6&gt;Assm!$X$72,0,'Debt Amort'!U$14)</f>
        <v>5080.1343096842184</v>
      </c>
      <c r="X65" s="228">
        <f ca="1">IF(CF!V$6&gt;Assm!$X$72,0,'Debt Amort'!V$14)</f>
        <v>0</v>
      </c>
      <c r="Y65" s="228">
        <f ca="1">IF(CF!W$6&gt;Assm!$X$72,0,'Debt Amort'!W$14)</f>
        <v>0</v>
      </c>
      <c r="Z65" s="228">
        <f ca="1">IF(CF!X$6&gt;Assm!$X$72,0,'Debt Amort'!X$14)</f>
        <v>0</v>
      </c>
      <c r="AA65" s="481"/>
    </row>
    <row r="66" spans="1:27" s="8" customFormat="1" ht="13.8" thickBot="1">
      <c r="A66" s="139"/>
      <c r="B66" s="77" t="s">
        <v>336</v>
      </c>
      <c r="C66" s="145" t="s">
        <v>506</v>
      </c>
      <c r="D66" s="77"/>
      <c r="E66" s="77"/>
      <c r="F66" s="77"/>
      <c r="G66" s="482" t="str">
        <f t="shared" ref="G66:W66" ca="1" si="23">IF(G65=0,"N/A",G64/G65)</f>
        <v>N/A</v>
      </c>
      <c r="H66" s="482" t="str">
        <f t="shared" ca="1" si="23"/>
        <v>N/A</v>
      </c>
      <c r="I66" s="482">
        <f t="shared" ca="1" si="23"/>
        <v>1.4538638956244661</v>
      </c>
      <c r="J66" s="482">
        <f t="shared" ca="1" si="23"/>
        <v>0.85566333202190781</v>
      </c>
      <c r="K66" s="482">
        <f t="shared" ca="1" si="23"/>
        <v>0.75662182185004945</v>
      </c>
      <c r="L66" s="482">
        <f t="shared" ca="1" si="23"/>
        <v>0.90805617985733933</v>
      </c>
      <c r="M66" s="482">
        <f t="shared" ca="1" si="23"/>
        <v>0.88728566013559951</v>
      </c>
      <c r="N66" s="482">
        <f t="shared" ca="1" si="23"/>
        <v>0.8807904951148875</v>
      </c>
      <c r="O66" s="482">
        <f t="shared" ca="1" si="23"/>
        <v>0.90509750127132271</v>
      </c>
      <c r="P66" s="482">
        <f t="shared" ca="1" si="23"/>
        <v>1.1208531515359432</v>
      </c>
      <c r="Q66" s="482">
        <f t="shared" ca="1" si="23"/>
        <v>1.4821378219286701</v>
      </c>
      <c r="R66" s="482">
        <f t="shared" ca="1" si="23"/>
        <v>1.5883207052639652</v>
      </c>
      <c r="S66" s="482">
        <f t="shared" ca="1" si="23"/>
        <v>1.5327198280568346</v>
      </c>
      <c r="T66" s="482">
        <f t="shared" ca="1" si="23"/>
        <v>1.5057327244467913</v>
      </c>
      <c r="U66" s="482">
        <f t="shared" ca="1" si="23"/>
        <v>1.5425135177705549</v>
      </c>
      <c r="V66" s="482">
        <f t="shared" ca="1" si="23"/>
        <v>1.7853825021499434</v>
      </c>
      <c r="W66" s="482">
        <f t="shared" ca="1" si="23"/>
        <v>2.8062015728160628</v>
      </c>
      <c r="X66" s="482" t="str">
        <f ca="1">IF(X65=0,"N/A",X64/X65)</f>
        <v>N/A</v>
      </c>
      <c r="Y66" s="482" t="str">
        <f ca="1">IF(Y65=0,"N/A",Y64/Y65)</f>
        <v>N/A</v>
      </c>
      <c r="Z66" s="482" t="str">
        <f ca="1">IF(Z65=0,"N/A",Z64/Z65)</f>
        <v>N/A</v>
      </c>
      <c r="AA66" s="447"/>
    </row>
  </sheetData>
  <printOptions horizontalCentered="1"/>
  <pageMargins left="0.25" right="0.25" top="0.5" bottom="0.5" header="0.25" footer="0.25"/>
  <pageSetup scale="4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72"/>
  <sheetViews>
    <sheetView showGridLines="0" topLeftCell="A5" zoomScale="75" workbookViewId="0">
      <selection activeCell="J30" sqref="J30"/>
    </sheetView>
  </sheetViews>
  <sheetFormatPr defaultColWidth="9.109375" defaultRowHeight="13.2"/>
  <cols>
    <col min="1" max="1" width="22.6640625" style="24" customWidth="1"/>
    <col min="2" max="3" width="11.6640625" style="242" customWidth="1"/>
    <col min="4" max="4" width="8.109375" style="242" bestFit="1" customWidth="1"/>
    <col min="5" max="5" width="10.6640625" style="242" customWidth="1"/>
    <col min="6" max="6" width="6.109375" style="242" bestFit="1" customWidth="1"/>
    <col min="7" max="7" width="6.33203125" style="242" bestFit="1" customWidth="1"/>
    <col min="8" max="8" width="9.6640625" style="242" bestFit="1" customWidth="1"/>
    <col min="9" max="14" width="11.33203125" style="242" bestFit="1" customWidth="1"/>
    <col min="15" max="26" width="12.33203125" style="242" bestFit="1" customWidth="1"/>
    <col min="27" max="27" width="13.33203125" style="24" bestFit="1" customWidth="1"/>
    <col min="28" max="16384" width="9.109375" style="242"/>
  </cols>
  <sheetData>
    <row r="1" spans="1:29" ht="15.6">
      <c r="A1" s="998" t="str">
        <f>Assm!A1</f>
        <v>GASOCIDENTE DO MATO GROSSO LTDA (GASMAT) *** DRAFT COPY ***</v>
      </c>
      <c r="B1" s="241"/>
      <c r="C1" s="132"/>
      <c r="D1" s="24"/>
      <c r="H1" s="243"/>
      <c r="K1" s="244"/>
      <c r="S1" s="245"/>
    </row>
    <row r="2" spans="1:29" ht="15.6">
      <c r="A2" s="998" t="str">
        <f>Assm!A2</f>
        <v>257 KM PIPELINE SPUR FOR CUIABA POWER PLANT (BRAZIL)</v>
      </c>
      <c r="B2" s="241"/>
      <c r="C2" s="132"/>
      <c r="D2" s="24"/>
      <c r="H2" s="243"/>
      <c r="K2" s="244"/>
      <c r="S2" s="245"/>
    </row>
    <row r="3" spans="1:29" ht="15">
      <c r="A3" s="246" t="str">
        <f>Assm!A3</f>
        <v>ENRON INTERNATIONAL</v>
      </c>
      <c r="B3" s="246"/>
      <c r="C3" s="132"/>
      <c r="D3" s="24"/>
      <c r="F3" s="247"/>
      <c r="H3" s="243"/>
      <c r="K3" s="244"/>
      <c r="T3" s="248"/>
      <c r="U3" s="248"/>
    </row>
    <row r="4" spans="1:29" ht="15">
      <c r="A4" s="818" t="s">
        <v>1000</v>
      </c>
      <c r="B4" s="818"/>
      <c r="C4" s="864"/>
      <c r="D4" s="865"/>
      <c r="E4" s="1050"/>
      <c r="F4" s="247"/>
      <c r="H4" s="243"/>
      <c r="K4" s="244"/>
    </row>
    <row r="5" spans="1:29" ht="13.8" thickBot="1">
      <c r="B5" s="24"/>
      <c r="C5" s="24"/>
      <c r="D5" s="24"/>
      <c r="E5" s="24"/>
      <c r="F5" s="24"/>
      <c r="G5" s="24"/>
      <c r="H5" s="24"/>
      <c r="I5" s="24"/>
      <c r="AC5" s="1044" t="s">
        <v>951</v>
      </c>
    </row>
    <row r="6" spans="1:29" s="24" customFormat="1">
      <c r="A6" s="486" t="s">
        <v>195</v>
      </c>
      <c r="B6" s="487"/>
      <c r="C6" s="487"/>
      <c r="D6" s="487"/>
      <c r="E6" s="487"/>
      <c r="F6" s="487">
        <f>CF!E6</f>
        <v>1</v>
      </c>
      <c r="G6" s="487">
        <f>CF!F6</f>
        <v>2</v>
      </c>
      <c r="H6" s="487">
        <f>CF!G6</f>
        <v>3</v>
      </c>
      <c r="I6" s="487">
        <f>CF!H6</f>
        <v>4</v>
      </c>
      <c r="J6" s="487">
        <f>CF!I6</f>
        <v>5</v>
      </c>
      <c r="K6" s="487">
        <f>CF!J6</f>
        <v>6</v>
      </c>
      <c r="L6" s="487">
        <f>CF!K6</f>
        <v>7</v>
      </c>
      <c r="M6" s="487">
        <f>CF!L6</f>
        <v>8</v>
      </c>
      <c r="N6" s="487">
        <f>CF!M6</f>
        <v>9</v>
      </c>
      <c r="O6" s="487">
        <f>CF!N6</f>
        <v>10</v>
      </c>
      <c r="P6" s="487">
        <f>CF!O6</f>
        <v>11</v>
      </c>
      <c r="Q6" s="487">
        <f>CF!P6</f>
        <v>12</v>
      </c>
      <c r="R6" s="487">
        <f>CF!Q6</f>
        <v>13</v>
      </c>
      <c r="S6" s="487">
        <f>CF!R6</f>
        <v>14</v>
      </c>
      <c r="T6" s="487">
        <f>CF!S6</f>
        <v>15</v>
      </c>
      <c r="U6" s="487">
        <f>CF!T6</f>
        <v>16</v>
      </c>
      <c r="V6" s="487">
        <f>CF!U6</f>
        <v>17</v>
      </c>
      <c r="W6" s="487">
        <f>CF!V6</f>
        <v>18</v>
      </c>
      <c r="X6" s="487">
        <f>CF!W6</f>
        <v>19</v>
      </c>
      <c r="Y6" s="487">
        <f>CF!X6</f>
        <v>20</v>
      </c>
      <c r="Z6" s="487">
        <f>CF!Y6</f>
        <v>21</v>
      </c>
      <c r="AA6" s="496"/>
      <c r="AC6" s="1045" t="s">
        <v>953</v>
      </c>
    </row>
    <row r="7" spans="1:29" s="24" customFormat="1" ht="13.8" thickBot="1">
      <c r="A7" s="488" t="s">
        <v>185</v>
      </c>
      <c r="B7" s="249"/>
      <c r="C7" s="250"/>
      <c r="D7" s="250"/>
      <c r="E7" s="251"/>
      <c r="F7" s="264">
        <f>CF!E7</f>
        <v>1999</v>
      </c>
      <c r="G7" s="264">
        <f>CF!F7</f>
        <v>2000</v>
      </c>
      <c r="H7" s="264">
        <f>CF!G7</f>
        <v>2001</v>
      </c>
      <c r="I7" s="264">
        <f>CF!H7</f>
        <v>2002</v>
      </c>
      <c r="J7" s="264">
        <f>CF!I7</f>
        <v>2003</v>
      </c>
      <c r="K7" s="264">
        <f>CF!J7</f>
        <v>2004</v>
      </c>
      <c r="L7" s="264">
        <f>CF!K7</f>
        <v>2005</v>
      </c>
      <c r="M7" s="264">
        <f>CF!L7</f>
        <v>2006</v>
      </c>
      <c r="N7" s="264">
        <f>CF!M7</f>
        <v>2007</v>
      </c>
      <c r="O7" s="264">
        <f>CF!N7</f>
        <v>2008</v>
      </c>
      <c r="P7" s="264">
        <f>CF!O7</f>
        <v>2009</v>
      </c>
      <c r="Q7" s="264">
        <f>CF!P7</f>
        <v>2010</v>
      </c>
      <c r="R7" s="264">
        <f>CF!Q7</f>
        <v>2011</v>
      </c>
      <c r="S7" s="264">
        <f>CF!R7</f>
        <v>2012</v>
      </c>
      <c r="T7" s="264">
        <f>CF!S7</f>
        <v>2013</v>
      </c>
      <c r="U7" s="264">
        <f>CF!T7</f>
        <v>2014</v>
      </c>
      <c r="V7" s="264">
        <f>CF!U7</f>
        <v>2015</v>
      </c>
      <c r="W7" s="264">
        <f>CF!V7</f>
        <v>2016</v>
      </c>
      <c r="X7" s="264">
        <f>CF!W7</f>
        <v>2017</v>
      </c>
      <c r="Y7" s="264">
        <f>CF!X7</f>
        <v>2018</v>
      </c>
      <c r="Z7" s="264">
        <f>CF!Y7</f>
        <v>2019</v>
      </c>
      <c r="AA7" s="497" t="s">
        <v>186</v>
      </c>
      <c r="AC7" s="868">
        <v>1</v>
      </c>
    </row>
    <row r="8" spans="1:29" s="24" customFormat="1">
      <c r="A8" s="489"/>
      <c r="B8" s="252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498"/>
      <c r="AC8" s="377">
        <f t="shared" ref="AC8:AC71" si="0">AC7+1</f>
        <v>2</v>
      </c>
    </row>
    <row r="9" spans="1:29" s="24" customFormat="1">
      <c r="A9" s="160" t="s">
        <v>340</v>
      </c>
      <c r="F9" s="24">
        <f>CF!E9</f>
        <v>0</v>
      </c>
      <c r="G9" s="24">
        <f>CF!F9</f>
        <v>0</v>
      </c>
      <c r="H9" s="24">
        <f>CF!G9</f>
        <v>10</v>
      </c>
      <c r="I9" s="24">
        <f>CF!H9</f>
        <v>12</v>
      </c>
      <c r="J9" s="24">
        <f>CF!I9</f>
        <v>12</v>
      </c>
      <c r="K9" s="24">
        <f>CF!J9</f>
        <v>12</v>
      </c>
      <c r="L9" s="24">
        <f>CF!K9</f>
        <v>12</v>
      </c>
      <c r="M9" s="24">
        <f>CF!L9</f>
        <v>12</v>
      </c>
      <c r="N9" s="24">
        <f>CF!M9</f>
        <v>12</v>
      </c>
      <c r="O9" s="24">
        <f>CF!N9</f>
        <v>12</v>
      </c>
      <c r="P9" s="24">
        <f>CF!O9</f>
        <v>12</v>
      </c>
      <c r="Q9" s="24">
        <f>CF!P9</f>
        <v>12</v>
      </c>
      <c r="R9" s="24">
        <f>CF!Q9</f>
        <v>12</v>
      </c>
      <c r="S9" s="24">
        <f>CF!R9</f>
        <v>12</v>
      </c>
      <c r="T9" s="24">
        <f>CF!S9</f>
        <v>12</v>
      </c>
      <c r="U9" s="24">
        <f>CF!T9</f>
        <v>12</v>
      </c>
      <c r="V9" s="24">
        <f>CF!U9</f>
        <v>12</v>
      </c>
      <c r="W9" s="24">
        <f>CF!V9</f>
        <v>12</v>
      </c>
      <c r="X9" s="24">
        <f>CF!W9</f>
        <v>12</v>
      </c>
      <c r="Y9" s="24">
        <f>CF!X9</f>
        <v>12</v>
      </c>
      <c r="Z9" s="24">
        <f>CF!Y9</f>
        <v>4</v>
      </c>
      <c r="AA9" s="498">
        <f>CF!Z9</f>
        <v>218</v>
      </c>
      <c r="AC9" s="377">
        <f t="shared" si="0"/>
        <v>3</v>
      </c>
    </row>
    <row r="10" spans="1:29" s="24" customFormat="1">
      <c r="A10" s="1058"/>
      <c r="B10" s="252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498"/>
      <c r="AC10" s="377">
        <f t="shared" si="0"/>
        <v>4</v>
      </c>
    </row>
    <row r="11" spans="1:29" ht="15.6">
      <c r="A11" s="1056" t="s">
        <v>1017</v>
      </c>
      <c r="B11" s="24"/>
      <c r="C11" s="24"/>
      <c r="D11" s="24"/>
      <c r="E11" s="24"/>
      <c r="F11" s="25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498"/>
      <c r="AC11" s="377">
        <f t="shared" si="0"/>
        <v>5</v>
      </c>
    </row>
    <row r="12" spans="1:29">
      <c r="A12" s="160" t="s">
        <v>198</v>
      </c>
      <c r="B12" s="24"/>
      <c r="C12" s="24"/>
      <c r="D12" s="24"/>
      <c r="E12" s="24"/>
      <c r="F12" s="825">
        <v>0</v>
      </c>
      <c r="G12" s="258">
        <f t="shared" ref="G12:Z12" ca="1" si="1">F16</f>
        <v>0</v>
      </c>
      <c r="H12" s="258">
        <f t="shared" ca="1" si="1"/>
        <v>0</v>
      </c>
      <c r="I12" s="258">
        <f t="shared" ca="1" si="1"/>
        <v>-4849.9561814426543</v>
      </c>
      <c r="J12" s="258">
        <f t="shared" ca="1" si="1"/>
        <v>-14162.239911548757</v>
      </c>
      <c r="K12" s="258">
        <f t="shared" ca="1" si="1"/>
        <v>-23648.138746158649</v>
      </c>
      <c r="L12" s="258">
        <f t="shared" ca="1" si="1"/>
        <v>-28255.533945395466</v>
      </c>
      <c r="M12" s="258">
        <f t="shared" ca="1" si="1"/>
        <v>-31605.077692062103</v>
      </c>
      <c r="N12" s="258">
        <f t="shared" ca="1" si="1"/>
        <v>-33959.266201580394</v>
      </c>
      <c r="O12" s="258">
        <f t="shared" ca="1" si="1"/>
        <v>-35152.762708259441</v>
      </c>
      <c r="P12" s="258">
        <f t="shared" ca="1" si="1"/>
        <v>-34915.120904939715</v>
      </c>
      <c r="Q12" s="258">
        <f t="shared" ca="1" si="1"/>
        <v>-33771.458551234035</v>
      </c>
      <c r="R12" s="258">
        <f t="shared" ca="1" si="1"/>
        <v>-31732.470486870174</v>
      </c>
      <c r="S12" s="258">
        <f t="shared" ca="1" si="1"/>
        <v>-28795.783121208853</v>
      </c>
      <c r="T12" s="258">
        <f t="shared" ca="1" si="1"/>
        <v>-24704.046001368224</v>
      </c>
      <c r="U12" s="258">
        <f t="shared" ca="1" si="1"/>
        <v>-20848.81913781273</v>
      </c>
      <c r="V12" s="258">
        <f t="shared" ca="1" si="1"/>
        <v>-15424.111625560414</v>
      </c>
      <c r="W12" s="258">
        <f t="shared" ca="1" si="1"/>
        <v>-9172.2756799969866</v>
      </c>
      <c r="X12" s="258">
        <f t="shared" ca="1" si="1"/>
        <v>-2465.9983981488976</v>
      </c>
      <c r="Y12" s="258">
        <f t="shared" ca="1" si="1"/>
        <v>0</v>
      </c>
      <c r="Z12" s="258">
        <f t="shared" ca="1" si="1"/>
        <v>0</v>
      </c>
      <c r="AA12" s="499">
        <f>F12</f>
        <v>0</v>
      </c>
      <c r="AC12" s="377">
        <f t="shared" si="0"/>
        <v>6</v>
      </c>
    </row>
    <row r="13" spans="1:29">
      <c r="A13" s="160" t="s">
        <v>1019</v>
      </c>
      <c r="B13" s="24"/>
      <c r="C13" s="24"/>
      <c r="D13" s="24"/>
      <c r="E13" s="24"/>
      <c r="F13" s="259">
        <f ca="1">CF!E60</f>
        <v>0</v>
      </c>
      <c r="G13" s="259">
        <f ca="1">CF!F60</f>
        <v>0</v>
      </c>
      <c r="H13" s="259">
        <f ca="1">CF!G60</f>
        <v>-4849.9561814426543</v>
      </c>
      <c r="I13" s="259">
        <f ca="1">CF!H60</f>
        <v>-9312.2837301061027</v>
      </c>
      <c r="J13" s="259">
        <f ca="1">CF!I60</f>
        <v>-9485.8988346098904</v>
      </c>
      <c r="K13" s="259">
        <f ca="1">CF!J60</f>
        <v>-4607.3951992368184</v>
      </c>
      <c r="L13" s="259">
        <f ca="1">CF!K60</f>
        <v>-3349.5437466666385</v>
      </c>
      <c r="M13" s="259">
        <f ca="1">CF!L60</f>
        <v>-2354.1885095182952</v>
      </c>
      <c r="N13" s="259">
        <f ca="1">CF!M60</f>
        <v>-1193.4965066790467</v>
      </c>
      <c r="O13" s="259">
        <f ca="1">CF!N60</f>
        <v>237.64180331972781</v>
      </c>
      <c r="P13" s="259">
        <f ca="1">CF!O60</f>
        <v>1143.6623537056794</v>
      </c>
      <c r="Q13" s="259">
        <f ca="1">CF!P60</f>
        <v>2038.9880643638612</v>
      </c>
      <c r="R13" s="259">
        <f ca="1">CF!Q60</f>
        <v>2936.6873656613216</v>
      </c>
      <c r="S13" s="259">
        <f ca="1">CF!R60</f>
        <v>4091.7371198406272</v>
      </c>
      <c r="T13" s="259">
        <f ca="1">CF!S60</f>
        <v>3855.2268635554929</v>
      </c>
      <c r="U13" s="259">
        <f ca="1">CF!T60</f>
        <v>5424.7075122523174</v>
      </c>
      <c r="V13" s="259">
        <f ca="1">CF!U60</f>
        <v>6251.8359455634281</v>
      </c>
      <c r="W13" s="259">
        <f ca="1">CF!V60</f>
        <v>6706.2772818480889</v>
      </c>
      <c r="X13" s="259">
        <f ca="1">CF!W60</f>
        <v>6616.3580997268136</v>
      </c>
      <c r="Y13" s="259">
        <f ca="1">CF!X60</f>
        <v>7581.3688655241513</v>
      </c>
      <c r="Z13" s="259">
        <f ca="1">CF!Y60</f>
        <v>2235.3202461814585</v>
      </c>
      <c r="AA13" s="500">
        <f ca="1">SUM(F13:Z13)</f>
        <v>13967.048813283525</v>
      </c>
      <c r="AC13" s="377">
        <f t="shared" si="0"/>
        <v>7</v>
      </c>
    </row>
    <row r="14" spans="1:29">
      <c r="A14" s="160" t="s">
        <v>1018</v>
      </c>
      <c r="B14" s="24"/>
      <c r="C14" s="24"/>
      <c r="D14" s="24"/>
      <c r="E14" s="24"/>
      <c r="F14" s="258">
        <f ca="1">SUM(F12:F13)</f>
        <v>0</v>
      </c>
      <c r="G14" s="258">
        <f ca="1">SUM(G12:G13)</f>
        <v>0</v>
      </c>
      <c r="H14" s="258">
        <f t="shared" ref="H14:Z14" ca="1" si="2">SUM(H12:H13)</f>
        <v>-4849.9561814426543</v>
      </c>
      <c r="I14" s="258">
        <f t="shared" ca="1" si="2"/>
        <v>-14162.239911548757</v>
      </c>
      <c r="J14" s="258">
        <f t="shared" ca="1" si="2"/>
        <v>-23648.138746158649</v>
      </c>
      <c r="K14" s="258">
        <f t="shared" ca="1" si="2"/>
        <v>-28255.533945395466</v>
      </c>
      <c r="L14" s="258">
        <f t="shared" ca="1" si="2"/>
        <v>-31605.077692062103</v>
      </c>
      <c r="M14" s="258">
        <f t="shared" ca="1" si="2"/>
        <v>-33959.266201580394</v>
      </c>
      <c r="N14" s="258">
        <f t="shared" ca="1" si="2"/>
        <v>-35152.762708259441</v>
      </c>
      <c r="O14" s="258">
        <f t="shared" ca="1" si="2"/>
        <v>-34915.120904939715</v>
      </c>
      <c r="P14" s="258">
        <f t="shared" ca="1" si="2"/>
        <v>-33771.458551234035</v>
      </c>
      <c r="Q14" s="258">
        <f t="shared" ca="1" si="2"/>
        <v>-31732.470486870174</v>
      </c>
      <c r="R14" s="258">
        <f t="shared" ca="1" si="2"/>
        <v>-28795.783121208853</v>
      </c>
      <c r="S14" s="258">
        <f t="shared" ca="1" si="2"/>
        <v>-24704.046001368224</v>
      </c>
      <c r="T14" s="258">
        <f t="shared" ca="1" si="2"/>
        <v>-20848.81913781273</v>
      </c>
      <c r="U14" s="258">
        <f t="shared" ca="1" si="2"/>
        <v>-15424.111625560414</v>
      </c>
      <c r="V14" s="258">
        <f t="shared" ca="1" si="2"/>
        <v>-9172.2756799969866</v>
      </c>
      <c r="W14" s="258">
        <f t="shared" ca="1" si="2"/>
        <v>-2465.9983981488976</v>
      </c>
      <c r="X14" s="258">
        <f t="shared" ca="1" si="2"/>
        <v>4150.359701577916</v>
      </c>
      <c r="Y14" s="258">
        <f t="shared" ca="1" si="2"/>
        <v>7581.3688655241513</v>
      </c>
      <c r="Z14" s="258">
        <f t="shared" ca="1" si="2"/>
        <v>2235.3202461814585</v>
      </c>
      <c r="AA14" s="499">
        <f ca="1">SUM(AA12:AA13)</f>
        <v>13967.048813283525</v>
      </c>
      <c r="AC14" s="377">
        <f t="shared" si="0"/>
        <v>8</v>
      </c>
    </row>
    <row r="15" spans="1:29">
      <c r="A15" s="160" t="s">
        <v>1024</v>
      </c>
      <c r="B15" s="24"/>
      <c r="C15" s="24"/>
      <c r="D15" s="24"/>
      <c r="E15" s="24"/>
      <c r="F15" s="259">
        <f ca="1">F23</f>
        <v>0</v>
      </c>
      <c r="G15" s="259">
        <f ca="1">G23</f>
        <v>0</v>
      </c>
      <c r="H15" s="259">
        <f t="shared" ref="H15:Z15" ca="1" si="3">H23</f>
        <v>0</v>
      </c>
      <c r="I15" s="259">
        <f t="shared" ca="1" si="3"/>
        <v>0</v>
      </c>
      <c r="J15" s="259">
        <f t="shared" ca="1" si="3"/>
        <v>0</v>
      </c>
      <c r="K15" s="259">
        <f t="shared" ca="1" si="3"/>
        <v>0</v>
      </c>
      <c r="L15" s="259">
        <f t="shared" ca="1" si="3"/>
        <v>0</v>
      </c>
      <c r="M15" s="259">
        <f t="shared" ca="1" si="3"/>
        <v>0</v>
      </c>
      <c r="N15" s="259">
        <f t="shared" ca="1" si="3"/>
        <v>0</v>
      </c>
      <c r="O15" s="259">
        <f t="shared" ca="1" si="3"/>
        <v>0</v>
      </c>
      <c r="P15" s="259">
        <f t="shared" ca="1" si="3"/>
        <v>0</v>
      </c>
      <c r="Q15" s="259">
        <f t="shared" ca="1" si="3"/>
        <v>0</v>
      </c>
      <c r="R15" s="259">
        <f t="shared" ca="1" si="3"/>
        <v>0</v>
      </c>
      <c r="S15" s="259">
        <f t="shared" ca="1" si="3"/>
        <v>0</v>
      </c>
      <c r="T15" s="259">
        <f t="shared" ca="1" si="3"/>
        <v>0</v>
      </c>
      <c r="U15" s="259">
        <f t="shared" ca="1" si="3"/>
        <v>0</v>
      </c>
      <c r="V15" s="259">
        <f t="shared" ca="1" si="3"/>
        <v>0</v>
      </c>
      <c r="W15" s="259">
        <f t="shared" ca="1" si="3"/>
        <v>0</v>
      </c>
      <c r="X15" s="259">
        <f t="shared" ca="1" si="3"/>
        <v>-4150.359701577916</v>
      </c>
      <c r="Y15" s="259">
        <f t="shared" ca="1" si="3"/>
        <v>-7581.3688655241513</v>
      </c>
      <c r="Z15" s="259">
        <f t="shared" ca="1" si="3"/>
        <v>-2235.3202461814585</v>
      </c>
      <c r="AA15" s="500">
        <f ca="1">SUM(F15:Z15)</f>
        <v>-13967.048813283525</v>
      </c>
      <c r="AC15" s="377">
        <f t="shared" si="0"/>
        <v>9</v>
      </c>
    </row>
    <row r="16" spans="1:29">
      <c r="A16" s="160" t="s">
        <v>204</v>
      </c>
      <c r="B16" s="24"/>
      <c r="C16" s="24"/>
      <c r="D16" s="24"/>
      <c r="E16" s="24"/>
      <c r="F16" s="258">
        <f ca="1">SUM(F14:F15)</f>
        <v>0</v>
      </c>
      <c r="G16" s="258">
        <f ca="1">SUM(G14:G15)</f>
        <v>0</v>
      </c>
      <c r="H16" s="258">
        <f t="shared" ref="H16:Z16" ca="1" si="4">SUM(H14:H15)</f>
        <v>-4849.9561814426543</v>
      </c>
      <c r="I16" s="258">
        <f t="shared" ca="1" si="4"/>
        <v>-14162.239911548757</v>
      </c>
      <c r="J16" s="258">
        <f t="shared" ca="1" si="4"/>
        <v>-23648.138746158649</v>
      </c>
      <c r="K16" s="258">
        <f t="shared" ca="1" si="4"/>
        <v>-28255.533945395466</v>
      </c>
      <c r="L16" s="258">
        <f t="shared" ca="1" si="4"/>
        <v>-31605.077692062103</v>
      </c>
      <c r="M16" s="258">
        <f t="shared" ca="1" si="4"/>
        <v>-33959.266201580394</v>
      </c>
      <c r="N16" s="258">
        <f t="shared" ca="1" si="4"/>
        <v>-35152.762708259441</v>
      </c>
      <c r="O16" s="258">
        <f t="shared" ca="1" si="4"/>
        <v>-34915.120904939715</v>
      </c>
      <c r="P16" s="258">
        <f t="shared" ca="1" si="4"/>
        <v>-33771.458551234035</v>
      </c>
      <c r="Q16" s="258">
        <f t="shared" ca="1" si="4"/>
        <v>-31732.470486870174</v>
      </c>
      <c r="R16" s="258">
        <f t="shared" ca="1" si="4"/>
        <v>-28795.783121208853</v>
      </c>
      <c r="S16" s="258">
        <f t="shared" ca="1" si="4"/>
        <v>-24704.046001368224</v>
      </c>
      <c r="T16" s="258">
        <f t="shared" ca="1" si="4"/>
        <v>-20848.81913781273</v>
      </c>
      <c r="U16" s="258">
        <f t="shared" ca="1" si="4"/>
        <v>-15424.111625560414</v>
      </c>
      <c r="V16" s="258">
        <f t="shared" ca="1" si="4"/>
        <v>-9172.2756799969866</v>
      </c>
      <c r="W16" s="258">
        <f t="shared" ca="1" si="4"/>
        <v>-2465.9983981488976</v>
      </c>
      <c r="X16" s="258">
        <f t="shared" ca="1" si="4"/>
        <v>0</v>
      </c>
      <c r="Y16" s="258">
        <f t="shared" ca="1" si="4"/>
        <v>0</v>
      </c>
      <c r="Z16" s="258">
        <f t="shared" ca="1" si="4"/>
        <v>0</v>
      </c>
      <c r="AA16" s="499">
        <f ca="1">SUM(AA14:AA15)</f>
        <v>0</v>
      </c>
      <c r="AC16" s="377">
        <f t="shared" si="0"/>
        <v>10</v>
      </c>
    </row>
    <row r="17" spans="1:29" s="257" customFormat="1">
      <c r="A17" s="174"/>
      <c r="B17" s="25"/>
      <c r="C17" s="25"/>
      <c r="D17" s="25"/>
      <c r="E17" s="25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505"/>
      <c r="AC17" s="377">
        <f t="shared" si="0"/>
        <v>11</v>
      </c>
    </row>
    <row r="18" spans="1:29" ht="15.6">
      <c r="A18" s="1056" t="s">
        <v>1020</v>
      </c>
      <c r="B18" s="24"/>
      <c r="C18" s="24"/>
      <c r="D18" s="24"/>
      <c r="E18" s="24"/>
      <c r="F18" s="25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498"/>
      <c r="AC18" s="377">
        <f t="shared" si="0"/>
        <v>12</v>
      </c>
    </row>
    <row r="19" spans="1:29">
      <c r="A19" s="160" t="s">
        <v>198</v>
      </c>
      <c r="B19" s="24"/>
      <c r="C19" s="24"/>
      <c r="D19" s="24"/>
      <c r="E19" s="24"/>
      <c r="F19" s="825">
        <v>0</v>
      </c>
      <c r="G19" s="258">
        <f ca="1">F26</f>
        <v>0</v>
      </c>
      <c r="H19" s="258">
        <f t="shared" ref="H19:Z19" ca="1" si="5">G26</f>
        <v>0</v>
      </c>
      <c r="I19" s="258">
        <f t="shared" ca="1" si="5"/>
        <v>0</v>
      </c>
      <c r="J19" s="258">
        <f t="shared" ca="1" si="5"/>
        <v>0</v>
      </c>
      <c r="K19" s="258">
        <f t="shared" ca="1" si="5"/>
        <v>0</v>
      </c>
      <c r="L19" s="258">
        <f t="shared" ca="1" si="5"/>
        <v>0</v>
      </c>
      <c r="M19" s="258">
        <f t="shared" ca="1" si="5"/>
        <v>0</v>
      </c>
      <c r="N19" s="258">
        <f t="shared" ca="1" si="5"/>
        <v>0</v>
      </c>
      <c r="O19" s="258">
        <f t="shared" ca="1" si="5"/>
        <v>0</v>
      </c>
      <c r="P19" s="258">
        <f t="shared" ca="1" si="5"/>
        <v>0</v>
      </c>
      <c r="Q19" s="258">
        <f t="shared" ca="1" si="5"/>
        <v>0</v>
      </c>
      <c r="R19" s="258">
        <f t="shared" ca="1" si="5"/>
        <v>0</v>
      </c>
      <c r="S19" s="258">
        <f t="shared" ca="1" si="5"/>
        <v>0</v>
      </c>
      <c r="T19" s="258">
        <f t="shared" ca="1" si="5"/>
        <v>0</v>
      </c>
      <c r="U19" s="258">
        <f t="shared" ca="1" si="5"/>
        <v>0</v>
      </c>
      <c r="V19" s="258">
        <f t="shared" ca="1" si="5"/>
        <v>0</v>
      </c>
      <c r="W19" s="258">
        <f t="shared" ca="1" si="5"/>
        <v>0</v>
      </c>
      <c r="X19" s="258">
        <f t="shared" ca="1" si="5"/>
        <v>0</v>
      </c>
      <c r="Y19" s="258">
        <f t="shared" ca="1" si="5"/>
        <v>0</v>
      </c>
      <c r="Z19" s="258">
        <f t="shared" ca="1" si="5"/>
        <v>0</v>
      </c>
      <c r="AA19" s="499">
        <f>F19</f>
        <v>0</v>
      </c>
      <c r="AC19" s="377">
        <f t="shared" si="0"/>
        <v>13</v>
      </c>
    </row>
    <row r="20" spans="1:29">
      <c r="A20" s="160" t="s">
        <v>1021</v>
      </c>
      <c r="B20" s="24"/>
      <c r="C20" s="24"/>
      <c r="D20" s="24"/>
      <c r="E20" s="24"/>
      <c r="F20" s="258">
        <f>-E25</f>
        <v>0</v>
      </c>
      <c r="G20" s="258">
        <f ca="1">-F25</f>
        <v>0</v>
      </c>
      <c r="H20" s="258">
        <f t="shared" ref="H20:Z20" ca="1" si="6">-G25</f>
        <v>0</v>
      </c>
      <c r="I20" s="258">
        <f t="shared" ca="1" si="6"/>
        <v>417.21067871119703</v>
      </c>
      <c r="J20" s="258">
        <f t="shared" ca="1" si="6"/>
        <v>-4676.0941510792645</v>
      </c>
      <c r="K20" s="258">
        <f t="shared" ca="1" si="6"/>
        <v>-10864.233528642588</v>
      </c>
      <c r="L20" s="258">
        <f t="shared" ca="1" si="6"/>
        <v>-15813.434129911886</v>
      </c>
      <c r="M20" s="258">
        <f t="shared" ca="1" si="6"/>
        <v>-21132.8370256454</v>
      </c>
      <c r="N20" s="258">
        <f t="shared" ca="1" si="6"/>
        <v>-26560.448623139542</v>
      </c>
      <c r="O20" s="258">
        <f t="shared" ca="1" si="6"/>
        <v>-31610.736869433225</v>
      </c>
      <c r="P20" s="258">
        <f t="shared" ca="1" si="6"/>
        <v>-33404.642175617468</v>
      </c>
      <c r="Q20" s="258">
        <f t="shared" ca="1" si="6"/>
        <v>-32502.780106171704</v>
      </c>
      <c r="R20" s="258">
        <f t="shared" ca="1" si="6"/>
        <v>-31103.940207340616</v>
      </c>
      <c r="S20" s="258">
        <f t="shared" ca="1" si="6"/>
        <v>-30065.561038868131</v>
      </c>
      <c r="T20" s="258">
        <f t="shared" ca="1" si="6"/>
        <v>-29363.849382643832</v>
      </c>
      <c r="U20" s="258">
        <f t="shared" ca="1" si="6"/>
        <v>-25399.77207631354</v>
      </c>
      <c r="V20" s="258">
        <f t="shared" ca="1" si="6"/>
        <v>-20218.776755727158</v>
      </c>
      <c r="W20" s="258">
        <f t="shared" ca="1" si="6"/>
        <v>-12413.67029562581</v>
      </c>
      <c r="X20" s="258">
        <f t="shared" ca="1" si="6"/>
        <v>627.09060049628715</v>
      </c>
      <c r="Y20" s="258">
        <f t="shared" ca="1" si="6"/>
        <v>9844.2163209231585</v>
      </c>
      <c r="Z20" s="258">
        <f t="shared" ca="1" si="6"/>
        <v>16164.816553107781</v>
      </c>
      <c r="AA20" s="499">
        <f ca="1">SUM(F20:Z20)</f>
        <v>-298077.44221292174</v>
      </c>
      <c r="AC20" s="377">
        <f t="shared" si="0"/>
        <v>14</v>
      </c>
    </row>
    <row r="21" spans="1:29" s="1272" customFormat="1">
      <c r="A21" s="1266" t="s">
        <v>1022</v>
      </c>
      <c r="B21" s="1267"/>
      <c r="C21" s="1267"/>
      <c r="D21" s="1267"/>
      <c r="E21" s="1267"/>
      <c r="F21" s="1268">
        <f ca="1">CF!E73</f>
        <v>0</v>
      </c>
      <c r="G21" s="1268">
        <f ca="1">CF!F73</f>
        <v>0</v>
      </c>
      <c r="H21" s="1268">
        <f ca="1">CF!G73</f>
        <v>417.21067871119703</v>
      </c>
      <c r="I21" s="1268">
        <f ca="1">CF!H73</f>
        <v>-5093.3048297904616</v>
      </c>
      <c r="J21" s="1268">
        <f ca="1">CF!I73</f>
        <v>-6188.1393775633242</v>
      </c>
      <c r="K21" s="1268">
        <f ca="1">CF!J73</f>
        <v>-4949.2006012692991</v>
      </c>
      <c r="L21" s="1268">
        <f ca="1">CF!K73</f>
        <v>-5319.4028957335131</v>
      </c>
      <c r="M21" s="1268">
        <f ca="1">CF!L73</f>
        <v>-5427.6115974941404</v>
      </c>
      <c r="N21" s="1268">
        <f ca="1">CF!M73</f>
        <v>-5050.2882462936832</v>
      </c>
      <c r="O21" s="1268">
        <f ca="1">CF!N73</f>
        <v>-1793.9053061842428</v>
      </c>
      <c r="P21" s="1268">
        <f ca="1">CF!O73</f>
        <v>901.86206944576497</v>
      </c>
      <c r="Q21" s="1268">
        <f ca="1">CF!P73</f>
        <v>1398.8398988310869</v>
      </c>
      <c r="R21" s="1268">
        <f ca="1">CF!Q73</f>
        <v>1038.3791684724865</v>
      </c>
      <c r="S21" s="1268">
        <f ca="1">CF!R73</f>
        <v>701.71165622429999</v>
      </c>
      <c r="T21" s="1268">
        <f ca="1">CF!S73</f>
        <v>3964.0773063302922</v>
      </c>
      <c r="U21" s="1268">
        <f ca="1">CF!T73</f>
        <v>5180.9953205863803</v>
      </c>
      <c r="V21" s="1268">
        <f ca="1">CF!U73</f>
        <v>7805.1064601013477</v>
      </c>
      <c r="W21" s="1268">
        <f ca="1">CF!V73</f>
        <v>13040.760896122098</v>
      </c>
      <c r="X21" s="1268">
        <f ca="1">CF!W73</f>
        <v>13367.485422004787</v>
      </c>
      <c r="Y21" s="1268">
        <f ca="1">CF!X73</f>
        <v>13901.969097708774</v>
      </c>
      <c r="Z21" s="1268">
        <f ca="1">CF!Y73</f>
        <v>4342.1869902429989</v>
      </c>
      <c r="AA21" s="1269">
        <f ca="1">SUM(F21:Z21)</f>
        <v>32238.732110452846</v>
      </c>
      <c r="AC21" s="1270">
        <f t="shared" si="0"/>
        <v>15</v>
      </c>
    </row>
    <row r="22" spans="1:29">
      <c r="A22" s="160" t="s">
        <v>1023</v>
      </c>
      <c r="B22" s="24"/>
      <c r="C22" s="24"/>
      <c r="D22" s="24"/>
      <c r="E22" s="24"/>
      <c r="F22" s="258">
        <f ca="1">SUM(F19:F21)</f>
        <v>0</v>
      </c>
      <c r="G22" s="258">
        <f ca="1">SUM(G19:G21)</f>
        <v>0</v>
      </c>
      <c r="H22" s="258">
        <f t="shared" ref="H22:Z22" ca="1" si="7">SUM(H19:H21)</f>
        <v>417.21067871119703</v>
      </c>
      <c r="I22" s="258">
        <f t="shared" ca="1" si="7"/>
        <v>-4676.0941510792645</v>
      </c>
      <c r="J22" s="258">
        <f t="shared" ca="1" si="7"/>
        <v>-10864.233528642588</v>
      </c>
      <c r="K22" s="258">
        <f t="shared" ca="1" si="7"/>
        <v>-15813.434129911886</v>
      </c>
      <c r="L22" s="258">
        <f t="shared" ca="1" si="7"/>
        <v>-21132.8370256454</v>
      </c>
      <c r="M22" s="258">
        <f t="shared" ca="1" si="7"/>
        <v>-26560.448623139542</v>
      </c>
      <c r="N22" s="258">
        <f t="shared" ca="1" si="7"/>
        <v>-31610.736869433225</v>
      </c>
      <c r="O22" s="258">
        <f t="shared" ca="1" si="7"/>
        <v>-33404.642175617468</v>
      </c>
      <c r="P22" s="258">
        <f t="shared" ca="1" si="7"/>
        <v>-32502.780106171704</v>
      </c>
      <c r="Q22" s="258">
        <f t="shared" ca="1" si="7"/>
        <v>-31103.940207340616</v>
      </c>
      <c r="R22" s="258">
        <f t="shared" ca="1" si="7"/>
        <v>-30065.561038868131</v>
      </c>
      <c r="S22" s="258">
        <f t="shared" ca="1" si="7"/>
        <v>-29363.849382643832</v>
      </c>
      <c r="T22" s="258">
        <f t="shared" ca="1" si="7"/>
        <v>-25399.77207631354</v>
      </c>
      <c r="U22" s="258">
        <f t="shared" ca="1" si="7"/>
        <v>-20218.776755727158</v>
      </c>
      <c r="V22" s="258">
        <f t="shared" ca="1" si="7"/>
        <v>-12413.67029562581</v>
      </c>
      <c r="W22" s="258">
        <f t="shared" ca="1" si="7"/>
        <v>627.09060049628715</v>
      </c>
      <c r="X22" s="258">
        <f t="shared" ca="1" si="7"/>
        <v>13994.576022501074</v>
      </c>
      <c r="Y22" s="258">
        <f t="shared" ca="1" si="7"/>
        <v>23746.185418631932</v>
      </c>
      <c r="Z22" s="258">
        <f t="shared" ca="1" si="7"/>
        <v>20507.00354335078</v>
      </c>
      <c r="AA22" s="499">
        <f ca="1">SUM(AA19:AA21)</f>
        <v>-265838.7101024689</v>
      </c>
      <c r="AC22" s="377">
        <f t="shared" si="0"/>
        <v>16</v>
      </c>
    </row>
    <row r="23" spans="1:29">
      <c r="A23" s="160" t="s">
        <v>1024</v>
      </c>
      <c r="B23" s="24"/>
      <c r="C23" s="24"/>
      <c r="D23" s="24"/>
      <c r="E23" s="24"/>
      <c r="F23" s="258">
        <f ca="1">IF(OR(F14&lt;0,F22&lt;0),0,-MIN(F14,F22))</f>
        <v>0</v>
      </c>
      <c r="G23" s="258">
        <f ca="1">IF(OR(G14&lt;0,G22&lt;0),0,-MIN(G14,G22))</f>
        <v>0</v>
      </c>
      <c r="H23" s="258">
        <f t="shared" ref="H23:Z23" ca="1" si="8">IF(OR(H14&lt;0,H22&lt;0),0,-MIN(H14,H22))</f>
        <v>0</v>
      </c>
      <c r="I23" s="258">
        <f t="shared" ca="1" si="8"/>
        <v>0</v>
      </c>
      <c r="J23" s="258">
        <f t="shared" ca="1" si="8"/>
        <v>0</v>
      </c>
      <c r="K23" s="258">
        <f t="shared" ca="1" si="8"/>
        <v>0</v>
      </c>
      <c r="L23" s="258">
        <f t="shared" ca="1" si="8"/>
        <v>0</v>
      </c>
      <c r="M23" s="258">
        <f t="shared" ca="1" si="8"/>
        <v>0</v>
      </c>
      <c r="N23" s="258">
        <f t="shared" ca="1" si="8"/>
        <v>0</v>
      </c>
      <c r="O23" s="258">
        <f t="shared" ca="1" si="8"/>
        <v>0</v>
      </c>
      <c r="P23" s="258">
        <f t="shared" ca="1" si="8"/>
        <v>0</v>
      </c>
      <c r="Q23" s="258">
        <f t="shared" ca="1" si="8"/>
        <v>0</v>
      </c>
      <c r="R23" s="258">
        <f t="shared" ca="1" si="8"/>
        <v>0</v>
      </c>
      <c r="S23" s="258">
        <f t="shared" ca="1" si="8"/>
        <v>0</v>
      </c>
      <c r="T23" s="258">
        <f t="shared" ca="1" si="8"/>
        <v>0</v>
      </c>
      <c r="U23" s="258">
        <f t="shared" ca="1" si="8"/>
        <v>0</v>
      </c>
      <c r="V23" s="258">
        <f t="shared" ca="1" si="8"/>
        <v>0</v>
      </c>
      <c r="W23" s="258">
        <f t="shared" ca="1" si="8"/>
        <v>0</v>
      </c>
      <c r="X23" s="258">
        <f t="shared" ca="1" si="8"/>
        <v>-4150.359701577916</v>
      </c>
      <c r="Y23" s="258">
        <f t="shared" ca="1" si="8"/>
        <v>-7581.3688655241513</v>
      </c>
      <c r="Z23" s="258">
        <f t="shared" ca="1" si="8"/>
        <v>-2235.3202461814585</v>
      </c>
      <c r="AA23" s="499">
        <f ca="1">SUM(F23:Z23)</f>
        <v>-13967.048813283525</v>
      </c>
      <c r="AC23" s="377">
        <f t="shared" si="0"/>
        <v>17</v>
      </c>
    </row>
    <row r="24" spans="1:29">
      <c r="A24" s="160" t="s">
        <v>1025</v>
      </c>
      <c r="B24" s="24"/>
      <c r="C24" s="24"/>
      <c r="D24" s="24"/>
      <c r="E24" s="24"/>
      <c r="F24" s="258">
        <f ca="1">IF(F$7=YEAR(Endyr),-SUM(F22:F23)*Assm!$L$52,-SUM(F22:F23)*Assm!$L$50)</f>
        <v>0</v>
      </c>
      <c r="G24" s="258">
        <f ca="1">IF(G$7=YEAR(Endyr),-SUM(G22:G23)*Assm!$L$52,-SUM(G22:G23)*Assm!$L$50)</f>
        <v>0</v>
      </c>
      <c r="H24" s="258">
        <f ca="1">IF(H$7=YEAR(Endyr),-SUM(H22:H23)*Assm!$L$52,-SUM(H22:H23)*Assm!$L$50)</f>
        <v>0</v>
      </c>
      <c r="I24" s="258">
        <f ca="1">IF(I$7=YEAR(Endyr),-SUM(I22:I23)*Assm!$L$52,-SUM(I22:I23)*Assm!$L$50)</f>
        <v>0</v>
      </c>
      <c r="J24" s="258">
        <f ca="1">IF(J$7=YEAR(Endyr),-SUM(J22:J23)*Assm!$L$52,-SUM(J22:J23)*Assm!$L$50)</f>
        <v>0</v>
      </c>
      <c r="K24" s="258">
        <f ca="1">IF(K$7=YEAR(Endyr),-SUM(K22:K23)*Assm!$L$52,-SUM(K22:K23)*Assm!$L$50)</f>
        <v>0</v>
      </c>
      <c r="L24" s="258">
        <f ca="1">IF(L$7=YEAR(Endyr),-SUM(L22:L23)*Assm!$L$52,-SUM(L22:L23)*Assm!$L$50)</f>
        <v>0</v>
      </c>
      <c r="M24" s="258">
        <f ca="1">IF(M$7=YEAR(Endyr),-SUM(M22:M23)*Assm!$L$52,-SUM(M22:M23)*Assm!$L$50)</f>
        <v>0</v>
      </c>
      <c r="N24" s="258">
        <f ca="1">IF(N$7=YEAR(Endyr),-SUM(N22:N23)*Assm!$L$52,-SUM(N22:N23)*Assm!$L$50)</f>
        <v>0</v>
      </c>
      <c r="O24" s="258">
        <f ca="1">IF(O$7=YEAR(Endyr),-SUM(O22:O23)*Assm!$L$52,-SUM(O22:O23)*Assm!$L$50)</f>
        <v>0</v>
      </c>
      <c r="P24" s="258">
        <f ca="1">IF(P$7=YEAR(Endyr),-SUM(P22:P23)*Assm!$L$52,-SUM(P22:P23)*Assm!$L$50)</f>
        <v>0</v>
      </c>
      <c r="Q24" s="258">
        <f ca="1">IF(Q$7=YEAR(Endyr),-SUM(Q22:Q23)*Assm!$L$52,-SUM(Q22:Q23)*Assm!$L$50)</f>
        <v>0</v>
      </c>
      <c r="R24" s="258">
        <f ca="1">IF(R$7=YEAR(Endyr),-SUM(R22:R23)*Assm!$L$52,-SUM(R22:R23)*Assm!$L$50)</f>
        <v>0</v>
      </c>
      <c r="S24" s="258">
        <f ca="1">IF(S$7=YEAR(Endyr),-SUM(S22:S23)*Assm!$L$52,-SUM(S22:S23)*Assm!$L$50)</f>
        <v>0</v>
      </c>
      <c r="T24" s="258">
        <f ca="1">IF(T$7=YEAR(Endyr),-SUM(T22:T23)*Assm!$L$52,-SUM(T22:T23)*Assm!$L$50)</f>
        <v>0</v>
      </c>
      <c r="U24" s="258">
        <f ca="1">IF(U$7=YEAR(Endyr),-SUM(U22:U23)*Assm!$L$52,-SUM(U22:U23)*Assm!$L$50)</f>
        <v>0</v>
      </c>
      <c r="V24" s="258">
        <f ca="1">IF(V$7=YEAR(Endyr),-SUM(V22:V23)*Assm!$L$52,-SUM(V22:V23)*Assm!$L$50)</f>
        <v>0</v>
      </c>
      <c r="W24" s="258">
        <f ca="1">IF(W$7=YEAR(Endyr),-SUM(W22:W23)*Assm!$L$52,-SUM(W22:W23)*Assm!$L$50)</f>
        <v>0</v>
      </c>
      <c r="X24" s="258">
        <f ca="1">IF(X$7=YEAR(Endyr),-SUM(X22:X23)*Assm!$L$52,-SUM(X22:X23)*Assm!$L$50)</f>
        <v>0</v>
      </c>
      <c r="Y24" s="258">
        <f ca="1">IF(Y$7=YEAR(Endyr),-SUM(Y22:Y23)*Assm!$L$52,-SUM(Y22:Y23)*Assm!$L$50)</f>
        <v>0</v>
      </c>
      <c r="Z24" s="258">
        <f ca="1">IF(Z$7=YEAR(Endyr),-SUM(Z22:Z23)*Assm!$L$52,-SUM(Z22:Z23)*Assm!$L$50)</f>
        <v>-18271.683297169322</v>
      </c>
      <c r="AA24" s="499">
        <f ca="1">SUM(F24:Z24)</f>
        <v>-18271.683297169322</v>
      </c>
      <c r="AC24" s="377">
        <f t="shared" si="0"/>
        <v>18</v>
      </c>
    </row>
    <row r="25" spans="1:29" s="257" customFormat="1">
      <c r="A25" s="160" t="s">
        <v>1026</v>
      </c>
      <c r="B25" s="24"/>
      <c r="C25" s="24"/>
      <c r="D25" s="24"/>
      <c r="E25" s="24"/>
      <c r="F25" s="259">
        <f ca="1">-SUM(F22:F24)*Assm!$L$51</f>
        <v>0</v>
      </c>
      <c r="G25" s="259">
        <f ca="1">-SUM(G22:G24)*Assm!$L$51</f>
        <v>0</v>
      </c>
      <c r="H25" s="259">
        <f ca="1">-SUM(H22:H24)*Assm!$L$51</f>
        <v>-417.21067871119703</v>
      </c>
      <c r="I25" s="259">
        <f ca="1">-SUM(I22:I24)*Assm!$L$51</f>
        <v>4676.0941510792645</v>
      </c>
      <c r="J25" s="259">
        <f ca="1">-SUM(J22:J24)*Assm!$L$51</f>
        <v>10864.233528642588</v>
      </c>
      <c r="K25" s="259">
        <f ca="1">-SUM(K22:K24)*Assm!$L$51</f>
        <v>15813.434129911886</v>
      </c>
      <c r="L25" s="259">
        <f ca="1">-SUM(L22:L24)*Assm!$L$51</f>
        <v>21132.8370256454</v>
      </c>
      <c r="M25" s="259">
        <f ca="1">-SUM(M22:M24)*Assm!$L$51</f>
        <v>26560.448623139542</v>
      </c>
      <c r="N25" s="259">
        <f ca="1">-SUM(N22:N24)*Assm!$L$51</f>
        <v>31610.736869433225</v>
      </c>
      <c r="O25" s="259">
        <f ca="1">-SUM(O22:O24)*Assm!$L$51</f>
        <v>33404.642175617468</v>
      </c>
      <c r="P25" s="259">
        <f ca="1">-SUM(P22:P24)*Assm!$L$51</f>
        <v>32502.780106171704</v>
      </c>
      <c r="Q25" s="259">
        <f ca="1">-SUM(Q22:Q24)*Assm!$L$51</f>
        <v>31103.940207340616</v>
      </c>
      <c r="R25" s="259">
        <f ca="1">-SUM(R22:R24)*Assm!$L$51</f>
        <v>30065.561038868131</v>
      </c>
      <c r="S25" s="259">
        <f ca="1">-SUM(S22:S24)*Assm!$L$51</f>
        <v>29363.849382643832</v>
      </c>
      <c r="T25" s="259">
        <f ca="1">-SUM(T22:T24)*Assm!$L$51</f>
        <v>25399.77207631354</v>
      </c>
      <c r="U25" s="259">
        <f ca="1">-SUM(U22:U24)*Assm!$L$51</f>
        <v>20218.776755727158</v>
      </c>
      <c r="V25" s="259">
        <f ca="1">-SUM(V22:V24)*Assm!$L$51</f>
        <v>12413.67029562581</v>
      </c>
      <c r="W25" s="259">
        <f ca="1">-SUM(W22:W24)*Assm!$L$51</f>
        <v>-627.09060049628715</v>
      </c>
      <c r="X25" s="259">
        <f ca="1">-SUM(X22:X24)*Assm!$L$51</f>
        <v>-9844.2163209231585</v>
      </c>
      <c r="Y25" s="259">
        <f ca="1">-SUM(Y22:Y24)*Assm!$L$51</f>
        <v>-16164.816553107781</v>
      </c>
      <c r="Z25" s="259">
        <f ca="1">-SUM(Z22:Z24)*Assm!$L$51</f>
        <v>0</v>
      </c>
      <c r="AA25" s="500">
        <f ca="1">SUM(F25:Z25)</f>
        <v>298077.44221292174</v>
      </c>
      <c r="AC25" s="377">
        <f t="shared" si="0"/>
        <v>19</v>
      </c>
    </row>
    <row r="26" spans="1:29" s="257" customFormat="1">
      <c r="A26" s="160" t="s">
        <v>204</v>
      </c>
      <c r="B26" s="24"/>
      <c r="C26" s="24"/>
      <c r="D26" s="24"/>
      <c r="E26" s="24"/>
      <c r="F26" s="258">
        <f ca="1">SUM(F22:F25)</f>
        <v>0</v>
      </c>
      <c r="G26" s="258">
        <f ca="1">SUM(G22:G25)</f>
        <v>0</v>
      </c>
      <c r="H26" s="258">
        <f t="shared" ref="H26:Z26" ca="1" si="9">SUM(H22:H25)</f>
        <v>0</v>
      </c>
      <c r="I26" s="258">
        <f t="shared" ca="1" si="9"/>
        <v>0</v>
      </c>
      <c r="J26" s="258">
        <f t="shared" ca="1" si="9"/>
        <v>0</v>
      </c>
      <c r="K26" s="258">
        <f t="shared" ca="1" si="9"/>
        <v>0</v>
      </c>
      <c r="L26" s="258">
        <f t="shared" ca="1" si="9"/>
        <v>0</v>
      </c>
      <c r="M26" s="258">
        <f t="shared" ca="1" si="9"/>
        <v>0</v>
      </c>
      <c r="N26" s="258">
        <f t="shared" ca="1" si="9"/>
        <v>0</v>
      </c>
      <c r="O26" s="258">
        <f t="shared" ca="1" si="9"/>
        <v>0</v>
      </c>
      <c r="P26" s="258">
        <f t="shared" ca="1" si="9"/>
        <v>0</v>
      </c>
      <c r="Q26" s="258">
        <f t="shared" ca="1" si="9"/>
        <v>0</v>
      </c>
      <c r="R26" s="258">
        <f t="shared" ca="1" si="9"/>
        <v>0</v>
      </c>
      <c r="S26" s="258">
        <f t="shared" ca="1" si="9"/>
        <v>0</v>
      </c>
      <c r="T26" s="258">
        <f t="shared" ca="1" si="9"/>
        <v>0</v>
      </c>
      <c r="U26" s="258">
        <f t="shared" ca="1" si="9"/>
        <v>0</v>
      </c>
      <c r="V26" s="258">
        <f t="shared" ca="1" si="9"/>
        <v>0</v>
      </c>
      <c r="W26" s="258">
        <f t="shared" ca="1" si="9"/>
        <v>0</v>
      </c>
      <c r="X26" s="258">
        <f t="shared" ca="1" si="9"/>
        <v>0</v>
      </c>
      <c r="Y26" s="258">
        <f t="shared" ca="1" si="9"/>
        <v>0</v>
      </c>
      <c r="Z26" s="258">
        <f t="shared" ca="1" si="9"/>
        <v>0</v>
      </c>
      <c r="AA26" s="499">
        <f ca="1">SUM(AA22:AA25)</f>
        <v>0</v>
      </c>
      <c r="AC26" s="377">
        <f t="shared" si="0"/>
        <v>20</v>
      </c>
    </row>
    <row r="27" spans="1:29" s="257" customFormat="1">
      <c r="A27" s="174"/>
      <c r="B27" s="25"/>
      <c r="C27" s="25"/>
      <c r="D27" s="25"/>
      <c r="E27" s="25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505"/>
      <c r="AC27" s="377">
        <f t="shared" si="0"/>
        <v>21</v>
      </c>
    </row>
    <row r="28" spans="1:29" ht="14.25" customHeight="1">
      <c r="A28" s="464" t="s">
        <v>572</v>
      </c>
      <c r="B28" s="269"/>
      <c r="C28" s="269"/>
      <c r="D28" s="269"/>
      <c r="E28" s="269"/>
      <c r="F28" s="866">
        <v>0</v>
      </c>
      <c r="G28" s="376">
        <f t="shared" ref="G28:W28" ca="1" si="10">F31</f>
        <v>0</v>
      </c>
      <c r="H28" s="376">
        <f t="shared" ca="1" si="10"/>
        <v>0</v>
      </c>
      <c r="I28" s="376">
        <f t="shared" ca="1" si="10"/>
        <v>417.21067871119703</v>
      </c>
      <c r="J28" s="376">
        <f t="shared" ca="1" si="10"/>
        <v>-4676.0941510792645</v>
      </c>
      <c r="K28" s="376">
        <f t="shared" ca="1" si="10"/>
        <v>-10864.233528642588</v>
      </c>
      <c r="L28" s="376">
        <f t="shared" ca="1" si="10"/>
        <v>-15813.434129911886</v>
      </c>
      <c r="M28" s="376">
        <f t="shared" ca="1" si="10"/>
        <v>-21132.8370256454</v>
      </c>
      <c r="N28" s="376">
        <f t="shared" ca="1" si="10"/>
        <v>-26560.448623139542</v>
      </c>
      <c r="O28" s="376">
        <f t="shared" ca="1" si="10"/>
        <v>-31610.736869433225</v>
      </c>
      <c r="P28" s="376">
        <f t="shared" ca="1" si="10"/>
        <v>-33404.642175617468</v>
      </c>
      <c r="Q28" s="376">
        <f t="shared" ca="1" si="10"/>
        <v>-32502.780106171704</v>
      </c>
      <c r="R28" s="376">
        <f t="shared" ca="1" si="10"/>
        <v>-31103.940207340616</v>
      </c>
      <c r="S28" s="376">
        <f t="shared" ca="1" si="10"/>
        <v>-30065.561038868131</v>
      </c>
      <c r="T28" s="376">
        <f t="shared" ca="1" si="10"/>
        <v>-29363.849382643832</v>
      </c>
      <c r="U28" s="376">
        <f t="shared" ca="1" si="10"/>
        <v>-25399.77207631354</v>
      </c>
      <c r="V28" s="376">
        <f t="shared" ca="1" si="10"/>
        <v>-20218.776755727158</v>
      </c>
      <c r="W28" s="376">
        <f t="shared" ca="1" si="10"/>
        <v>-12413.67029562581</v>
      </c>
      <c r="X28" s="376">
        <f ca="1">W31</f>
        <v>627.09060049628715</v>
      </c>
      <c r="Y28" s="376">
        <f ca="1">X31</f>
        <v>9844.2163209231585</v>
      </c>
      <c r="Z28" s="376">
        <f ca="1">Y31</f>
        <v>16164.816553107781</v>
      </c>
      <c r="AA28" s="501">
        <f>F28</f>
        <v>0</v>
      </c>
      <c r="AC28" s="377">
        <f t="shared" si="0"/>
        <v>22</v>
      </c>
    </row>
    <row r="29" spans="1:29" s="24" customFormat="1" ht="14.25" customHeight="1">
      <c r="A29" s="490" t="s">
        <v>197</v>
      </c>
      <c r="B29" s="274"/>
      <c r="C29" s="274"/>
      <c r="D29" s="274"/>
      <c r="E29" s="274"/>
      <c r="F29" s="1271">
        <f ca="1">IF(-F25+E25&gt;0,-F25+E25,0)</f>
        <v>0</v>
      </c>
      <c r="G29" s="1271">
        <f t="shared" ref="G29:Z29" ca="1" si="11">IF(-G25+F25&gt;0,-G25+F25,0)</f>
        <v>0</v>
      </c>
      <c r="H29" s="1271">
        <f t="shared" ca="1" si="11"/>
        <v>417.21067871119703</v>
      </c>
      <c r="I29" s="1271">
        <f t="shared" ca="1" si="11"/>
        <v>0</v>
      </c>
      <c r="J29" s="1271">
        <f t="shared" ca="1" si="11"/>
        <v>0</v>
      </c>
      <c r="K29" s="1271">
        <f t="shared" ca="1" si="11"/>
        <v>0</v>
      </c>
      <c r="L29" s="1271">
        <f t="shared" ca="1" si="11"/>
        <v>0</v>
      </c>
      <c r="M29" s="1271">
        <f t="shared" ca="1" si="11"/>
        <v>0</v>
      </c>
      <c r="N29" s="1271">
        <f t="shared" ca="1" si="11"/>
        <v>0</v>
      </c>
      <c r="O29" s="1271">
        <f t="shared" ca="1" si="11"/>
        <v>0</v>
      </c>
      <c r="P29" s="1271">
        <f t="shared" ca="1" si="11"/>
        <v>901.86206944576406</v>
      </c>
      <c r="Q29" s="1271">
        <f t="shared" ca="1" si="11"/>
        <v>1398.8398988310873</v>
      </c>
      <c r="R29" s="1271">
        <f t="shared" ca="1" si="11"/>
        <v>1038.3791684724856</v>
      </c>
      <c r="S29" s="1271">
        <f t="shared" ca="1" si="11"/>
        <v>701.71165622429908</v>
      </c>
      <c r="T29" s="1271">
        <f t="shared" ca="1" si="11"/>
        <v>3964.0773063302913</v>
      </c>
      <c r="U29" s="1271">
        <f t="shared" ca="1" si="11"/>
        <v>5180.9953205863821</v>
      </c>
      <c r="V29" s="1271">
        <f t="shared" ca="1" si="11"/>
        <v>7805.1064601013477</v>
      </c>
      <c r="W29" s="1271">
        <f t="shared" ca="1" si="11"/>
        <v>13040.760896122098</v>
      </c>
      <c r="X29" s="1271">
        <f t="shared" ca="1" si="11"/>
        <v>9217.1257204268713</v>
      </c>
      <c r="Y29" s="1271">
        <f t="shared" ca="1" si="11"/>
        <v>6320.6002321846227</v>
      </c>
      <c r="Z29" s="1271">
        <f t="shared" ca="1" si="11"/>
        <v>0</v>
      </c>
      <c r="AA29" s="502">
        <f ca="1">SUM(F29:Z29)</f>
        <v>49986.66940743645</v>
      </c>
      <c r="AC29" s="377">
        <f t="shared" si="0"/>
        <v>23</v>
      </c>
    </row>
    <row r="30" spans="1:29" s="24" customFormat="1">
      <c r="A30" s="490" t="s">
        <v>341</v>
      </c>
      <c r="B30" s="274"/>
      <c r="C30" s="274"/>
      <c r="D30" s="274"/>
      <c r="E30" s="274"/>
      <c r="F30" s="1057">
        <f ca="1">IF(-F25+E25&lt;0,-F25+E25,0)</f>
        <v>0</v>
      </c>
      <c r="G30" s="1057">
        <f t="shared" ref="G30:Z30" ca="1" si="12">IF(-G25+F25&lt;0,-G25+F25,0)</f>
        <v>0</v>
      </c>
      <c r="H30" s="1057">
        <f t="shared" ca="1" si="12"/>
        <v>0</v>
      </c>
      <c r="I30" s="1057">
        <f t="shared" ca="1" si="12"/>
        <v>-5093.3048297904616</v>
      </c>
      <c r="J30" s="1057">
        <f t="shared" ca="1" si="12"/>
        <v>-6188.1393775633233</v>
      </c>
      <c r="K30" s="1057">
        <f t="shared" ca="1" si="12"/>
        <v>-4949.2006012692982</v>
      </c>
      <c r="L30" s="1057">
        <f t="shared" ca="1" si="12"/>
        <v>-5319.402895733514</v>
      </c>
      <c r="M30" s="1057">
        <f t="shared" ca="1" si="12"/>
        <v>-5427.6115974941422</v>
      </c>
      <c r="N30" s="1057">
        <f t="shared" ca="1" si="12"/>
        <v>-5050.2882462936832</v>
      </c>
      <c r="O30" s="1057">
        <f t="shared" ca="1" si="12"/>
        <v>-1793.9053061842424</v>
      </c>
      <c r="P30" s="1057">
        <f t="shared" ca="1" si="12"/>
        <v>0</v>
      </c>
      <c r="Q30" s="1057">
        <f t="shared" ca="1" si="12"/>
        <v>0</v>
      </c>
      <c r="R30" s="1057">
        <f t="shared" ca="1" si="12"/>
        <v>0</v>
      </c>
      <c r="S30" s="1057">
        <f t="shared" ca="1" si="12"/>
        <v>0</v>
      </c>
      <c r="T30" s="1057">
        <f t="shared" ca="1" si="12"/>
        <v>0</v>
      </c>
      <c r="U30" s="1057">
        <f t="shared" ca="1" si="12"/>
        <v>0</v>
      </c>
      <c r="V30" s="1057">
        <f t="shared" ca="1" si="12"/>
        <v>0</v>
      </c>
      <c r="W30" s="1057">
        <f t="shared" ca="1" si="12"/>
        <v>0</v>
      </c>
      <c r="X30" s="1057">
        <f t="shared" ca="1" si="12"/>
        <v>0</v>
      </c>
      <c r="Y30" s="1057">
        <f t="shared" ca="1" si="12"/>
        <v>0</v>
      </c>
      <c r="Z30" s="1057">
        <f t="shared" ca="1" si="12"/>
        <v>-16164.816553107781</v>
      </c>
      <c r="AA30" s="503">
        <f ca="1">SUM(F30:Z30)</f>
        <v>-49986.66940743645</v>
      </c>
      <c r="AC30" s="377">
        <f t="shared" si="0"/>
        <v>24</v>
      </c>
    </row>
    <row r="31" spans="1:29">
      <c r="A31" s="491" t="s">
        <v>573</v>
      </c>
      <c r="B31" s="483"/>
      <c r="C31" s="483"/>
      <c r="D31" s="483"/>
      <c r="E31" s="483"/>
      <c r="F31" s="484">
        <f ca="1">SUM(F28:F30)</f>
        <v>0</v>
      </c>
      <c r="G31" s="484">
        <f t="shared" ref="G31:Z31" ca="1" si="13">SUM(G28:G30)</f>
        <v>0</v>
      </c>
      <c r="H31" s="484">
        <f t="shared" ca="1" si="13"/>
        <v>417.21067871119703</v>
      </c>
      <c r="I31" s="484">
        <f t="shared" ca="1" si="13"/>
        <v>-4676.0941510792645</v>
      </c>
      <c r="J31" s="484">
        <f t="shared" ca="1" si="13"/>
        <v>-10864.233528642588</v>
      </c>
      <c r="K31" s="484">
        <f t="shared" ca="1" si="13"/>
        <v>-15813.434129911886</v>
      </c>
      <c r="L31" s="484">
        <f t="shared" ca="1" si="13"/>
        <v>-21132.8370256454</v>
      </c>
      <c r="M31" s="484">
        <f t="shared" ca="1" si="13"/>
        <v>-26560.448623139542</v>
      </c>
      <c r="N31" s="484">
        <f t="shared" ca="1" si="13"/>
        <v>-31610.736869433225</v>
      </c>
      <c r="O31" s="484">
        <f t="shared" ca="1" si="13"/>
        <v>-33404.642175617468</v>
      </c>
      <c r="P31" s="484">
        <f t="shared" ca="1" si="13"/>
        <v>-32502.780106171704</v>
      </c>
      <c r="Q31" s="484">
        <f t="shared" ca="1" si="13"/>
        <v>-31103.940207340616</v>
      </c>
      <c r="R31" s="484">
        <f t="shared" ca="1" si="13"/>
        <v>-30065.561038868131</v>
      </c>
      <c r="S31" s="484">
        <f t="shared" ca="1" si="13"/>
        <v>-29363.849382643832</v>
      </c>
      <c r="T31" s="484">
        <f t="shared" ca="1" si="13"/>
        <v>-25399.77207631354</v>
      </c>
      <c r="U31" s="484">
        <f t="shared" ca="1" si="13"/>
        <v>-20218.776755727158</v>
      </c>
      <c r="V31" s="484">
        <f t="shared" ca="1" si="13"/>
        <v>-12413.67029562581</v>
      </c>
      <c r="W31" s="484">
        <f t="shared" ca="1" si="13"/>
        <v>627.09060049628715</v>
      </c>
      <c r="X31" s="484">
        <f t="shared" ca="1" si="13"/>
        <v>9844.2163209231585</v>
      </c>
      <c r="Y31" s="484">
        <f t="shared" ca="1" si="13"/>
        <v>16164.816553107781</v>
      </c>
      <c r="Z31" s="484">
        <f t="shared" ca="1" si="13"/>
        <v>0</v>
      </c>
      <c r="AA31" s="504">
        <f ca="1">SUM(AA28:AA30)</f>
        <v>0</v>
      </c>
      <c r="AC31" s="377">
        <f t="shared" si="0"/>
        <v>25</v>
      </c>
    </row>
    <row r="32" spans="1:29" s="257" customFormat="1">
      <c r="A32" s="174"/>
      <c r="B32" s="25"/>
      <c r="C32" s="25"/>
      <c r="D32" s="25"/>
      <c r="E32" s="25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505"/>
      <c r="AC32" s="377">
        <f t="shared" si="0"/>
        <v>26</v>
      </c>
    </row>
    <row r="33" spans="1:29" s="24" customFormat="1">
      <c r="A33" s="174" t="s">
        <v>342</v>
      </c>
      <c r="AA33" s="498"/>
      <c r="AC33" s="377">
        <f t="shared" si="0"/>
        <v>27</v>
      </c>
    </row>
    <row r="34" spans="1:29">
      <c r="A34" s="160" t="s">
        <v>198</v>
      </c>
      <c r="B34" s="24"/>
      <c r="C34" s="24"/>
      <c r="D34" s="24"/>
      <c r="E34" s="24"/>
      <c r="F34" s="867">
        <v>0</v>
      </c>
      <c r="G34" s="260">
        <f t="shared" ref="G34:W34" si="14">F37</f>
        <v>0</v>
      </c>
      <c r="H34" s="260">
        <f t="shared" ca="1" si="14"/>
        <v>0</v>
      </c>
      <c r="I34" s="260">
        <f t="shared" ca="1" si="14"/>
        <v>0</v>
      </c>
      <c r="J34" s="260">
        <f t="shared" ca="1" si="14"/>
        <v>417.21067871119703</v>
      </c>
      <c r="K34" s="260">
        <f t="shared" ca="1" si="14"/>
        <v>-4676.0941510792645</v>
      </c>
      <c r="L34" s="260">
        <f t="shared" ca="1" si="14"/>
        <v>-10864.233528642588</v>
      </c>
      <c r="M34" s="260">
        <f t="shared" ca="1" si="14"/>
        <v>-15813.434129911886</v>
      </c>
      <c r="N34" s="260">
        <f t="shared" ca="1" si="14"/>
        <v>-21132.8370256454</v>
      </c>
      <c r="O34" s="260">
        <f t="shared" ca="1" si="14"/>
        <v>-26560.448623139542</v>
      </c>
      <c r="P34" s="260">
        <f t="shared" ca="1" si="14"/>
        <v>-31610.736869433225</v>
      </c>
      <c r="Q34" s="260">
        <f t="shared" ca="1" si="14"/>
        <v>-33404.642175617468</v>
      </c>
      <c r="R34" s="260">
        <f t="shared" ca="1" si="14"/>
        <v>-32502.780106171704</v>
      </c>
      <c r="S34" s="260">
        <f t="shared" ca="1" si="14"/>
        <v>-31103.940207340616</v>
      </c>
      <c r="T34" s="260">
        <f t="shared" ca="1" si="14"/>
        <v>-30065.561038868131</v>
      </c>
      <c r="U34" s="260">
        <f t="shared" ca="1" si="14"/>
        <v>-29363.849382643832</v>
      </c>
      <c r="V34" s="260">
        <f t="shared" ca="1" si="14"/>
        <v>-25399.77207631354</v>
      </c>
      <c r="W34" s="260">
        <f t="shared" ca="1" si="14"/>
        <v>-20218.776755727158</v>
      </c>
      <c r="X34" s="260">
        <f ca="1">W37</f>
        <v>-12413.67029562581</v>
      </c>
      <c r="Y34" s="260">
        <f ca="1">X37</f>
        <v>627.09060049628715</v>
      </c>
      <c r="Z34" s="260">
        <f ca="1">Y37</f>
        <v>9844.2163209231585</v>
      </c>
      <c r="AA34" s="499">
        <f>F34</f>
        <v>0</v>
      </c>
      <c r="AC34" s="377">
        <f t="shared" si="0"/>
        <v>28</v>
      </c>
    </row>
    <row r="35" spans="1:29">
      <c r="A35" s="160" t="s">
        <v>343</v>
      </c>
      <c r="B35" s="24"/>
      <c r="C35" s="24"/>
      <c r="D35" s="24"/>
      <c r="E35" s="24"/>
      <c r="F35" s="260">
        <f t="shared" ref="F35:W35" si="15">E29</f>
        <v>0</v>
      </c>
      <c r="G35" s="260">
        <f t="shared" ca="1" si="15"/>
        <v>0</v>
      </c>
      <c r="H35" s="260">
        <f t="shared" ca="1" si="15"/>
        <v>0</v>
      </c>
      <c r="I35" s="260">
        <f t="shared" ca="1" si="15"/>
        <v>417.21067871119703</v>
      </c>
      <c r="J35" s="260">
        <f t="shared" ca="1" si="15"/>
        <v>0</v>
      </c>
      <c r="K35" s="260">
        <f t="shared" ca="1" si="15"/>
        <v>0</v>
      </c>
      <c r="L35" s="260">
        <f t="shared" ca="1" si="15"/>
        <v>0</v>
      </c>
      <c r="M35" s="260">
        <f t="shared" ca="1" si="15"/>
        <v>0</v>
      </c>
      <c r="N35" s="260">
        <f t="shared" ca="1" si="15"/>
        <v>0</v>
      </c>
      <c r="O35" s="260">
        <f t="shared" ca="1" si="15"/>
        <v>0</v>
      </c>
      <c r="P35" s="260">
        <f t="shared" ca="1" si="15"/>
        <v>0</v>
      </c>
      <c r="Q35" s="260">
        <f t="shared" ca="1" si="15"/>
        <v>901.86206944576406</v>
      </c>
      <c r="R35" s="260">
        <f t="shared" ca="1" si="15"/>
        <v>1398.8398988310873</v>
      </c>
      <c r="S35" s="260">
        <f t="shared" ca="1" si="15"/>
        <v>1038.3791684724856</v>
      </c>
      <c r="T35" s="260">
        <f t="shared" ca="1" si="15"/>
        <v>701.71165622429908</v>
      </c>
      <c r="U35" s="260">
        <f t="shared" ca="1" si="15"/>
        <v>3964.0773063302913</v>
      </c>
      <c r="V35" s="260">
        <f t="shared" ca="1" si="15"/>
        <v>5180.9953205863821</v>
      </c>
      <c r="W35" s="260">
        <f t="shared" ca="1" si="15"/>
        <v>7805.1064601013477</v>
      </c>
      <c r="X35" s="260">
        <f ca="1">W29</f>
        <v>13040.760896122098</v>
      </c>
      <c r="Y35" s="260">
        <f ca="1">X29</f>
        <v>9217.1257204268713</v>
      </c>
      <c r="Z35" s="260">
        <f ca="1">Y29</f>
        <v>6320.6002321846227</v>
      </c>
      <c r="AA35" s="499">
        <f ca="1">SUM(F35:Z35)</f>
        <v>49986.66940743645</v>
      </c>
      <c r="AC35" s="377">
        <f t="shared" si="0"/>
        <v>29</v>
      </c>
    </row>
    <row r="36" spans="1:29">
      <c r="A36" s="160" t="s">
        <v>199</v>
      </c>
      <c r="B36" s="24"/>
      <c r="C36" s="24"/>
      <c r="D36" s="24"/>
      <c r="E36" s="24"/>
      <c r="F36" s="261">
        <f>IF(F$7=YEAR(Endyr),F30,E30)</f>
        <v>0</v>
      </c>
      <c r="G36" s="261">
        <f t="shared" ref="G36:Z36" ca="1" si="16">IF(G$7=YEAR(Endyr),G30,F30)</f>
        <v>0</v>
      </c>
      <c r="H36" s="261">
        <f t="shared" ca="1" si="16"/>
        <v>0</v>
      </c>
      <c r="I36" s="261">
        <f t="shared" ca="1" si="16"/>
        <v>0</v>
      </c>
      <c r="J36" s="261">
        <f t="shared" ca="1" si="16"/>
        <v>-5093.3048297904616</v>
      </c>
      <c r="K36" s="261">
        <f t="shared" ca="1" si="16"/>
        <v>-6188.1393775633233</v>
      </c>
      <c r="L36" s="261">
        <f t="shared" ca="1" si="16"/>
        <v>-4949.2006012692982</v>
      </c>
      <c r="M36" s="261">
        <f t="shared" ca="1" si="16"/>
        <v>-5319.402895733514</v>
      </c>
      <c r="N36" s="261">
        <f t="shared" ca="1" si="16"/>
        <v>-5427.6115974941422</v>
      </c>
      <c r="O36" s="261">
        <f t="shared" ca="1" si="16"/>
        <v>-5050.2882462936832</v>
      </c>
      <c r="P36" s="261">
        <f t="shared" ca="1" si="16"/>
        <v>-1793.9053061842424</v>
      </c>
      <c r="Q36" s="261">
        <f t="shared" ca="1" si="16"/>
        <v>0</v>
      </c>
      <c r="R36" s="261">
        <f t="shared" ca="1" si="16"/>
        <v>0</v>
      </c>
      <c r="S36" s="261">
        <f t="shared" ca="1" si="16"/>
        <v>0</v>
      </c>
      <c r="T36" s="261">
        <f t="shared" ca="1" si="16"/>
        <v>0</v>
      </c>
      <c r="U36" s="261">
        <f t="shared" ca="1" si="16"/>
        <v>0</v>
      </c>
      <c r="V36" s="261">
        <f t="shared" ca="1" si="16"/>
        <v>0</v>
      </c>
      <c r="W36" s="261">
        <f t="shared" ca="1" si="16"/>
        <v>0</v>
      </c>
      <c r="X36" s="261">
        <f t="shared" ca="1" si="16"/>
        <v>0</v>
      </c>
      <c r="Y36" s="261">
        <f t="shared" ca="1" si="16"/>
        <v>0</v>
      </c>
      <c r="Z36" s="261">
        <f t="shared" ca="1" si="16"/>
        <v>-16164.816553107781</v>
      </c>
      <c r="AA36" s="500">
        <f ca="1">SUM(F36:Z36)</f>
        <v>-49986.66940743645</v>
      </c>
      <c r="AC36" s="377">
        <f t="shared" si="0"/>
        <v>30</v>
      </c>
    </row>
    <row r="37" spans="1:29">
      <c r="A37" s="160" t="s">
        <v>204</v>
      </c>
      <c r="B37" s="24"/>
      <c r="C37" s="24"/>
      <c r="D37" s="24"/>
      <c r="E37" s="24"/>
      <c r="F37" s="260">
        <f>SUM(F34:F36)</f>
        <v>0</v>
      </c>
      <c r="G37" s="260">
        <f t="shared" ref="G37:W37" ca="1" si="17">SUM(G34:G36)</f>
        <v>0</v>
      </c>
      <c r="H37" s="260">
        <f t="shared" ca="1" si="17"/>
        <v>0</v>
      </c>
      <c r="I37" s="260">
        <f t="shared" ca="1" si="17"/>
        <v>417.21067871119703</v>
      </c>
      <c r="J37" s="260">
        <f t="shared" ca="1" si="17"/>
        <v>-4676.0941510792645</v>
      </c>
      <c r="K37" s="260">
        <f t="shared" ca="1" si="17"/>
        <v>-10864.233528642588</v>
      </c>
      <c r="L37" s="260">
        <f t="shared" ca="1" si="17"/>
        <v>-15813.434129911886</v>
      </c>
      <c r="M37" s="260">
        <f t="shared" ca="1" si="17"/>
        <v>-21132.8370256454</v>
      </c>
      <c r="N37" s="260">
        <f t="shared" ca="1" si="17"/>
        <v>-26560.448623139542</v>
      </c>
      <c r="O37" s="260">
        <f t="shared" ca="1" si="17"/>
        <v>-31610.736869433225</v>
      </c>
      <c r="P37" s="260">
        <f t="shared" ca="1" si="17"/>
        <v>-33404.642175617468</v>
      </c>
      <c r="Q37" s="260">
        <f t="shared" ca="1" si="17"/>
        <v>-32502.780106171704</v>
      </c>
      <c r="R37" s="260">
        <f t="shared" ca="1" si="17"/>
        <v>-31103.940207340616</v>
      </c>
      <c r="S37" s="260">
        <f t="shared" ca="1" si="17"/>
        <v>-30065.561038868131</v>
      </c>
      <c r="T37" s="260">
        <f t="shared" ca="1" si="17"/>
        <v>-29363.849382643832</v>
      </c>
      <c r="U37" s="260">
        <f t="shared" ca="1" si="17"/>
        <v>-25399.77207631354</v>
      </c>
      <c r="V37" s="260">
        <f t="shared" ca="1" si="17"/>
        <v>-20218.776755727158</v>
      </c>
      <c r="W37" s="260">
        <f t="shared" ca="1" si="17"/>
        <v>-12413.67029562581</v>
      </c>
      <c r="X37" s="260">
        <f ca="1">SUM(X34:X36)</f>
        <v>627.09060049628715</v>
      </c>
      <c r="Y37" s="260">
        <f ca="1">SUM(Y34:Y36)</f>
        <v>9844.2163209231585</v>
      </c>
      <c r="Z37" s="260">
        <f ca="1">SUM(Z34:Z36)</f>
        <v>0</v>
      </c>
      <c r="AA37" s="499">
        <f ca="1">SUM(AA34:AA36)</f>
        <v>0</v>
      </c>
      <c r="AC37" s="377">
        <f t="shared" si="0"/>
        <v>31</v>
      </c>
    </row>
    <row r="38" spans="1:29">
      <c r="A38" s="160"/>
      <c r="B38" s="24"/>
      <c r="C38" s="24"/>
      <c r="D38" s="24"/>
      <c r="E38" s="24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499"/>
      <c r="AC38" s="377">
        <f t="shared" si="0"/>
        <v>32</v>
      </c>
    </row>
    <row r="39" spans="1:29">
      <c r="A39" s="160" t="s">
        <v>344</v>
      </c>
      <c r="B39" s="24"/>
      <c r="C39" s="24"/>
      <c r="D39" s="267">
        <f>Assm!$L$54</f>
        <v>0.05</v>
      </c>
      <c r="E39" s="24"/>
      <c r="F39" s="260">
        <f t="shared" ref="F39:W39" si="18">SUM(F34:F35)*$D39*F$9/12</f>
        <v>0</v>
      </c>
      <c r="G39" s="260">
        <f t="shared" ca="1" si="18"/>
        <v>0</v>
      </c>
      <c r="H39" s="260">
        <f t="shared" ca="1" si="18"/>
        <v>0</v>
      </c>
      <c r="I39" s="260">
        <f t="shared" ca="1" si="18"/>
        <v>20.860533935559854</v>
      </c>
      <c r="J39" s="260">
        <f t="shared" ca="1" si="18"/>
        <v>20.860533935559854</v>
      </c>
      <c r="K39" s="260">
        <f t="shared" ca="1" si="18"/>
        <v>-233.80470755396323</v>
      </c>
      <c r="L39" s="260">
        <f t="shared" ca="1" si="18"/>
        <v>-543.21167643212937</v>
      </c>
      <c r="M39" s="260">
        <f t="shared" ca="1" si="18"/>
        <v>-790.67170649559432</v>
      </c>
      <c r="N39" s="260">
        <f t="shared" ca="1" si="18"/>
        <v>-1056.64185128227</v>
      </c>
      <c r="O39" s="260">
        <f t="shared" ca="1" si="18"/>
        <v>-1328.0224311569773</v>
      </c>
      <c r="P39" s="260">
        <f t="shared" ca="1" si="18"/>
        <v>-1580.5368434716613</v>
      </c>
      <c r="Q39" s="260">
        <f t="shared" ca="1" si="18"/>
        <v>-1625.1390053085852</v>
      </c>
      <c r="R39" s="260">
        <f t="shared" ca="1" si="18"/>
        <v>-1555.197010367031</v>
      </c>
      <c r="S39" s="260">
        <f t="shared" ca="1" si="18"/>
        <v>-1503.2780519434066</v>
      </c>
      <c r="T39" s="260">
        <f t="shared" ca="1" si="18"/>
        <v>-1468.1924691321917</v>
      </c>
      <c r="U39" s="260">
        <f t="shared" ca="1" si="18"/>
        <v>-1269.9886038156772</v>
      </c>
      <c r="V39" s="260">
        <f t="shared" ca="1" si="18"/>
        <v>-1010.9388377863579</v>
      </c>
      <c r="W39" s="260">
        <f t="shared" ca="1" si="18"/>
        <v>-620.68351478129057</v>
      </c>
      <c r="X39" s="260">
        <f ca="1">SUM(X34:X35)*$D39*X$9/12</f>
        <v>31.354530024814363</v>
      </c>
      <c r="Y39" s="260">
        <f ca="1">SUM(Y34:Y35)*$D39*Y$9/12</f>
        <v>492.21081604615796</v>
      </c>
      <c r="Z39" s="260">
        <f ca="1">SUM(Z34:Z35)*$D39*Z$9/12</f>
        <v>269.41360921846302</v>
      </c>
      <c r="AA39" s="499">
        <f ca="1">SUM(F39:Z39)</f>
        <v>-13751.60668636658</v>
      </c>
      <c r="AC39" s="377">
        <f t="shared" si="0"/>
        <v>33</v>
      </c>
    </row>
    <row r="40" spans="1:29">
      <c r="A40" s="492" t="s">
        <v>345</v>
      </c>
      <c r="B40" s="26"/>
      <c r="C40" s="26"/>
      <c r="D40" s="358">
        <f>Assm!$L$55</f>
        <v>0.06</v>
      </c>
      <c r="E40" s="26"/>
      <c r="F40" s="262">
        <f t="shared" ref="F40:W40" si="19">SUM(F34:F35)*$D40*F$9/12</f>
        <v>0</v>
      </c>
      <c r="G40" s="262">
        <f t="shared" ca="1" si="19"/>
        <v>0</v>
      </c>
      <c r="H40" s="262">
        <f t="shared" ca="1" si="19"/>
        <v>0</v>
      </c>
      <c r="I40" s="262">
        <f t="shared" ca="1" si="19"/>
        <v>25.032640722671818</v>
      </c>
      <c r="J40" s="262">
        <f t="shared" ca="1" si="19"/>
        <v>25.032640722671818</v>
      </c>
      <c r="K40" s="262">
        <f t="shared" ca="1" si="19"/>
        <v>-280.56564906475586</v>
      </c>
      <c r="L40" s="262">
        <f t="shared" ca="1" si="19"/>
        <v>-651.85401171855528</v>
      </c>
      <c r="M40" s="262">
        <f t="shared" ca="1" si="19"/>
        <v>-948.80604779471321</v>
      </c>
      <c r="N40" s="262">
        <f t="shared" ca="1" si="19"/>
        <v>-1267.970221538724</v>
      </c>
      <c r="O40" s="262">
        <f t="shared" ca="1" si="19"/>
        <v>-1593.6269173883727</v>
      </c>
      <c r="P40" s="262">
        <f t="shared" ca="1" si="19"/>
        <v>-1896.6442121659936</v>
      </c>
      <c r="Q40" s="262">
        <f t="shared" ca="1" si="19"/>
        <v>-1950.1668063703021</v>
      </c>
      <c r="R40" s="262">
        <f t="shared" ca="1" si="19"/>
        <v>-1866.2364124404369</v>
      </c>
      <c r="S40" s="262">
        <f t="shared" ca="1" si="19"/>
        <v>-1803.9336623320878</v>
      </c>
      <c r="T40" s="262">
        <f t="shared" ca="1" si="19"/>
        <v>-1761.8309629586299</v>
      </c>
      <c r="U40" s="262">
        <f t="shared" ca="1" si="19"/>
        <v>-1523.9863245788122</v>
      </c>
      <c r="V40" s="262">
        <f t="shared" ca="1" si="19"/>
        <v>-1213.1266053436295</v>
      </c>
      <c r="W40" s="262">
        <f t="shared" ca="1" si="19"/>
        <v>-744.82021773754843</v>
      </c>
      <c r="X40" s="262">
        <f ca="1">SUM(X34:X35)*$D40*X$9/12</f>
        <v>37.625436029777227</v>
      </c>
      <c r="Y40" s="262">
        <f ca="1">SUM(Y34:Y35)*$D40*Y$9/12</f>
        <v>590.65297925538948</v>
      </c>
      <c r="Z40" s="262">
        <f ca="1">SUM(Z34:Z35)*$D40*Z$9/12</f>
        <v>323.29633106215562</v>
      </c>
      <c r="AA40" s="506">
        <f ca="1">SUM(F40:Z40)</f>
        <v>-16501.928023639895</v>
      </c>
      <c r="AC40" s="377">
        <f t="shared" si="0"/>
        <v>34</v>
      </c>
    </row>
    <row r="41" spans="1:29">
      <c r="A41" s="160"/>
      <c r="B41" s="24"/>
      <c r="C41" s="24"/>
      <c r="D41" s="24"/>
      <c r="E41" s="24"/>
      <c r="F41" s="24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498"/>
      <c r="AC41" s="377">
        <f t="shared" si="0"/>
        <v>35</v>
      </c>
    </row>
    <row r="42" spans="1:29" s="24" customFormat="1">
      <c r="A42" s="174" t="s">
        <v>154</v>
      </c>
      <c r="AA42" s="498"/>
      <c r="AC42" s="377">
        <f t="shared" si="0"/>
        <v>36</v>
      </c>
    </row>
    <row r="43" spans="1:29">
      <c r="A43" s="492" t="s">
        <v>200</v>
      </c>
      <c r="B43" s="26"/>
      <c r="C43" s="26"/>
      <c r="D43" s="266">
        <v>1998</v>
      </c>
      <c r="E43" s="26"/>
      <c r="F43" s="869">
        <v>0</v>
      </c>
      <c r="G43" s="869">
        <v>5</v>
      </c>
      <c r="H43" s="869">
        <v>13</v>
      </c>
      <c r="I43" s="869">
        <v>52.5</v>
      </c>
      <c r="J43" s="869">
        <v>195</v>
      </c>
      <c r="K43" s="869">
        <v>13</v>
      </c>
      <c r="L43" s="869">
        <v>13</v>
      </c>
      <c r="M43" s="869">
        <v>85.5</v>
      </c>
      <c r="N43" s="869">
        <v>13</v>
      </c>
      <c r="O43" s="869">
        <v>195</v>
      </c>
      <c r="P43" s="869">
        <v>13</v>
      </c>
      <c r="Q43" s="869">
        <v>52.5</v>
      </c>
      <c r="R43" s="869">
        <v>13</v>
      </c>
      <c r="S43" s="869">
        <v>13</v>
      </c>
      <c r="T43" s="869">
        <v>195</v>
      </c>
      <c r="U43" s="869">
        <v>85.5</v>
      </c>
      <c r="V43" s="869">
        <v>13</v>
      </c>
      <c r="W43" s="869">
        <v>13</v>
      </c>
      <c r="X43" s="869">
        <v>13</v>
      </c>
      <c r="Y43" s="869">
        <v>0</v>
      </c>
      <c r="Z43" s="869">
        <v>0</v>
      </c>
      <c r="AA43" s="506">
        <f>SUM(F43:Z43)</f>
        <v>996</v>
      </c>
      <c r="AC43" s="377">
        <f t="shared" si="0"/>
        <v>37</v>
      </c>
    </row>
    <row r="44" spans="1:29">
      <c r="A44" s="160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498"/>
      <c r="AC44" s="377">
        <f t="shared" si="0"/>
        <v>38</v>
      </c>
    </row>
    <row r="45" spans="1:29" s="24" customFormat="1">
      <c r="A45" s="174" t="s">
        <v>525</v>
      </c>
      <c r="AA45" s="498"/>
      <c r="AC45" s="377">
        <f t="shared" si="0"/>
        <v>39</v>
      </c>
    </row>
    <row r="46" spans="1:29">
      <c r="A46" s="137" t="s">
        <v>526</v>
      </c>
      <c r="B46" s="24"/>
      <c r="C46" s="24"/>
      <c r="D46" s="24"/>
      <c r="E46" s="24"/>
      <c r="F46" s="867">
        <v>0</v>
      </c>
      <c r="G46" s="260">
        <f t="shared" ref="G46:W46" ca="1" si="20">F49</f>
        <v>0</v>
      </c>
      <c r="H46" s="260">
        <f t="shared" ca="1" si="20"/>
        <v>0</v>
      </c>
      <c r="I46" s="260">
        <f t="shared" ca="1" si="20"/>
        <v>0</v>
      </c>
      <c r="J46" s="260">
        <f t="shared" ca="1" si="20"/>
        <v>0</v>
      </c>
      <c r="K46" s="260">
        <f t="shared" ca="1" si="20"/>
        <v>0</v>
      </c>
      <c r="L46" s="260">
        <f t="shared" ca="1" si="20"/>
        <v>0</v>
      </c>
      <c r="M46" s="260">
        <f t="shared" ca="1" si="20"/>
        <v>0</v>
      </c>
      <c r="N46" s="260">
        <f t="shared" ca="1" si="20"/>
        <v>0</v>
      </c>
      <c r="O46" s="260">
        <f t="shared" ca="1" si="20"/>
        <v>0</v>
      </c>
      <c r="P46" s="260">
        <f t="shared" ca="1" si="20"/>
        <v>47.94154722587669</v>
      </c>
      <c r="Q46" s="260">
        <f t="shared" ca="1" si="20"/>
        <v>140.88481135667246</v>
      </c>
      <c r="R46" s="260">
        <f t="shared" ca="1" si="20"/>
        <v>147.52890866784196</v>
      </c>
      <c r="S46" s="260">
        <f t="shared" ca="1" si="20"/>
        <v>259.87930453033562</v>
      </c>
      <c r="T46" s="260">
        <f t="shared" ca="1" si="20"/>
        <v>291.88548192187307</v>
      </c>
      <c r="U46" s="260">
        <f t="shared" ca="1" si="20"/>
        <v>430.52709009335115</v>
      </c>
      <c r="V46" s="260">
        <f t="shared" ca="1" si="20"/>
        <v>444.41047218273729</v>
      </c>
      <c r="W46" s="260">
        <f t="shared" ca="1" si="20"/>
        <v>430.52709009335115</v>
      </c>
      <c r="X46" s="260">
        <f ca="1">W49</f>
        <v>444.41047218273729</v>
      </c>
      <c r="Y46" s="260">
        <f ca="1">X49</f>
        <v>874.93756227608844</v>
      </c>
      <c r="Z46" s="260">
        <f ca="1">Y49</f>
        <v>874.93756227608844</v>
      </c>
      <c r="AA46" s="499">
        <f>F46</f>
        <v>0</v>
      </c>
      <c r="AC46" s="377">
        <f t="shared" si="0"/>
        <v>40</v>
      </c>
    </row>
    <row r="47" spans="1:29">
      <c r="A47" s="137" t="s">
        <v>527</v>
      </c>
      <c r="B47" s="24"/>
      <c r="C47" s="24"/>
      <c r="D47" s="24"/>
      <c r="E47" s="24"/>
      <c r="F47" s="260">
        <f ca="1">-Taxes!D42</f>
        <v>0</v>
      </c>
      <c r="G47" s="260">
        <f ca="1">-Taxes!E42</f>
        <v>0</v>
      </c>
      <c r="H47" s="260">
        <f ca="1">-Taxes!F42</f>
        <v>0</v>
      </c>
      <c r="I47" s="260">
        <f ca="1">-Taxes!G42</f>
        <v>0</v>
      </c>
      <c r="J47" s="260">
        <f ca="1">-Taxes!H42</f>
        <v>0</v>
      </c>
      <c r="K47" s="260">
        <f ca="1">-Taxes!I42</f>
        <v>0</v>
      </c>
      <c r="L47" s="260">
        <f ca="1">-Taxes!J42</f>
        <v>0</v>
      </c>
      <c r="M47" s="260">
        <f ca="1">-Taxes!K42</f>
        <v>0</v>
      </c>
      <c r="N47" s="260">
        <f ca="1">-Taxes!L42</f>
        <v>47.94154722587669</v>
      </c>
      <c r="O47" s="260">
        <f ca="1">-Taxes!M42</f>
        <v>140.88481135667246</v>
      </c>
      <c r="P47" s="260">
        <f ca="1">-Taxes!N42</f>
        <v>99.587361441965271</v>
      </c>
      <c r="Q47" s="260">
        <f ca="1">-Taxes!O42</f>
        <v>118.99449317366317</v>
      </c>
      <c r="R47" s="260">
        <f ca="1">-Taxes!P42</f>
        <v>144.35657325403113</v>
      </c>
      <c r="S47" s="260">
        <f ca="1">-Taxes!Q42</f>
        <v>170.64778556301553</v>
      </c>
      <c r="T47" s="260">
        <f ca="1">-Taxes!R42</f>
        <v>152.52499026086423</v>
      </c>
      <c r="U47" s="260">
        <f ca="1">-Taxes!S42</f>
        <v>0</v>
      </c>
      <c r="V47" s="260">
        <f ca="1">-Taxes!T42</f>
        <v>0</v>
      </c>
      <c r="W47" s="260">
        <f ca="1">-Taxes!U42</f>
        <v>0</v>
      </c>
      <c r="X47" s="260">
        <f ca="1">-Taxes!V42</f>
        <v>0</v>
      </c>
      <c r="Y47" s="260">
        <f ca="1">-Taxes!W42</f>
        <v>0</v>
      </c>
      <c r="Z47" s="260">
        <f ca="1">-Taxes!X42</f>
        <v>0</v>
      </c>
      <c r="AA47" s="499">
        <f ca="1">SUM(F47:Z47)</f>
        <v>874.93756227608844</v>
      </c>
      <c r="AC47" s="377">
        <f t="shared" si="0"/>
        <v>41</v>
      </c>
    </row>
    <row r="48" spans="1:29">
      <c r="A48" s="137" t="s">
        <v>528</v>
      </c>
      <c r="B48" s="24"/>
      <c r="C48" s="24"/>
      <c r="D48" s="24"/>
      <c r="E48" s="24"/>
      <c r="F48" s="228">
        <f ca="1">-F55</f>
        <v>0</v>
      </c>
      <c r="G48" s="228">
        <f t="shared" ref="G48:W48" ca="1" si="21">-G55</f>
        <v>0</v>
      </c>
      <c r="H48" s="228">
        <f t="shared" ca="1" si="21"/>
        <v>0</v>
      </c>
      <c r="I48" s="228">
        <f t="shared" ca="1" si="21"/>
        <v>0</v>
      </c>
      <c r="J48" s="228">
        <f t="shared" ca="1" si="21"/>
        <v>0</v>
      </c>
      <c r="K48" s="228">
        <f t="shared" ca="1" si="21"/>
        <v>0</v>
      </c>
      <c r="L48" s="228">
        <f t="shared" ca="1" si="21"/>
        <v>0</v>
      </c>
      <c r="M48" s="228">
        <f t="shared" ca="1" si="21"/>
        <v>0</v>
      </c>
      <c r="N48" s="228">
        <f t="shared" ca="1" si="21"/>
        <v>-47.94154722587669</v>
      </c>
      <c r="O48" s="228">
        <f t="shared" ca="1" si="21"/>
        <v>-92.943264130795768</v>
      </c>
      <c r="P48" s="228">
        <f t="shared" ca="1" si="21"/>
        <v>-6.644097311169503</v>
      </c>
      <c r="Q48" s="228">
        <f t="shared" ca="1" si="21"/>
        <v>-112.35039586249366</v>
      </c>
      <c r="R48" s="228">
        <f t="shared" ca="1" si="21"/>
        <v>-32.006177391537449</v>
      </c>
      <c r="S48" s="228">
        <f t="shared" ca="1" si="21"/>
        <v>-138.64160817147808</v>
      </c>
      <c r="T48" s="228">
        <f t="shared" ca="1" si="21"/>
        <v>-13.883382089386146</v>
      </c>
      <c r="U48" s="228">
        <f t="shared" ca="1" si="21"/>
        <v>13.883382089386146</v>
      </c>
      <c r="V48" s="228">
        <f t="shared" ca="1" si="21"/>
        <v>-13.883382089386146</v>
      </c>
      <c r="W48" s="228">
        <f t="shared" ca="1" si="21"/>
        <v>13.883382089386146</v>
      </c>
      <c r="X48" s="228">
        <f ca="1">-X55</f>
        <v>430.52709009335115</v>
      </c>
      <c r="Y48" s="228">
        <f ca="1">-Y55</f>
        <v>0</v>
      </c>
      <c r="Z48" s="228">
        <f ca="1">-Z55</f>
        <v>0</v>
      </c>
      <c r="AA48" s="500">
        <f ca="1">SUM(F48:Z48)</f>
        <v>0</v>
      </c>
      <c r="AC48" s="377">
        <f t="shared" si="0"/>
        <v>42</v>
      </c>
    </row>
    <row r="49" spans="1:29" s="24" customFormat="1">
      <c r="A49" s="137" t="s">
        <v>529</v>
      </c>
      <c r="F49" s="260">
        <f t="shared" ref="F49:AA49" ca="1" si="22">SUM(F46:F48)</f>
        <v>0</v>
      </c>
      <c r="G49" s="260">
        <f t="shared" ca="1" si="22"/>
        <v>0</v>
      </c>
      <c r="H49" s="260">
        <f t="shared" ca="1" si="22"/>
        <v>0</v>
      </c>
      <c r="I49" s="260">
        <f t="shared" ca="1" si="22"/>
        <v>0</v>
      </c>
      <c r="J49" s="260">
        <f t="shared" ca="1" si="22"/>
        <v>0</v>
      </c>
      <c r="K49" s="260">
        <f t="shared" ca="1" si="22"/>
        <v>0</v>
      </c>
      <c r="L49" s="260">
        <f t="shared" ca="1" si="22"/>
        <v>0</v>
      </c>
      <c r="M49" s="260">
        <f t="shared" ca="1" si="22"/>
        <v>0</v>
      </c>
      <c r="N49" s="260">
        <f t="shared" ca="1" si="22"/>
        <v>0</v>
      </c>
      <c r="O49" s="260">
        <f t="shared" ca="1" si="22"/>
        <v>47.94154722587669</v>
      </c>
      <c r="P49" s="260">
        <f t="shared" ca="1" si="22"/>
        <v>140.88481135667246</v>
      </c>
      <c r="Q49" s="260">
        <f t="shared" ca="1" si="22"/>
        <v>147.52890866784196</v>
      </c>
      <c r="R49" s="260">
        <f t="shared" ca="1" si="22"/>
        <v>259.87930453033562</v>
      </c>
      <c r="S49" s="260">
        <f t="shared" ca="1" si="22"/>
        <v>291.88548192187307</v>
      </c>
      <c r="T49" s="260">
        <f t="shared" ca="1" si="22"/>
        <v>430.52709009335115</v>
      </c>
      <c r="U49" s="260">
        <f t="shared" ca="1" si="22"/>
        <v>444.41047218273729</v>
      </c>
      <c r="V49" s="260">
        <f t="shared" ca="1" si="22"/>
        <v>430.52709009335115</v>
      </c>
      <c r="W49" s="260">
        <f t="shared" ca="1" si="22"/>
        <v>444.41047218273729</v>
      </c>
      <c r="X49" s="260">
        <f ca="1">SUM(X46:X48)</f>
        <v>874.93756227608844</v>
      </c>
      <c r="Y49" s="260">
        <f ca="1">SUM(Y46:Y48)</f>
        <v>874.93756227608844</v>
      </c>
      <c r="Z49" s="260">
        <f ca="1">SUM(Z46:Z48)</f>
        <v>874.93756227608844</v>
      </c>
      <c r="AA49" s="507">
        <f t="shared" ca="1" si="22"/>
        <v>874.93756227608844</v>
      </c>
      <c r="AC49" s="377">
        <f t="shared" si="0"/>
        <v>43</v>
      </c>
    </row>
    <row r="50" spans="1:29">
      <c r="A50" s="160"/>
      <c r="B50" s="24"/>
      <c r="C50" s="24"/>
      <c r="D50" s="24"/>
      <c r="E50" s="24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498"/>
      <c r="AC50" s="377">
        <f t="shared" si="0"/>
        <v>44</v>
      </c>
    </row>
    <row r="51" spans="1:29">
      <c r="A51" s="137" t="s">
        <v>596</v>
      </c>
      <c r="B51" s="24"/>
      <c r="C51" s="24"/>
      <c r="D51" s="24"/>
      <c r="E51" s="24"/>
      <c r="F51" s="260">
        <f ca="1">CF!E57</f>
        <v>0</v>
      </c>
      <c r="G51" s="260">
        <f ca="1">CF!F57</f>
        <v>0</v>
      </c>
      <c r="H51" s="260">
        <f ca="1">CF!G57</f>
        <v>-4849.9561814426543</v>
      </c>
      <c r="I51" s="260">
        <f ca="1">CF!H57</f>
        <v>-9312.2837301061027</v>
      </c>
      <c r="J51" s="260">
        <f ca="1">CF!I57</f>
        <v>-9485.8988346098904</v>
      </c>
      <c r="K51" s="260">
        <f ca="1">CF!J57</f>
        <v>-4607.3951992368184</v>
      </c>
      <c r="L51" s="260">
        <f ca="1">CF!K57</f>
        <v>-3349.5437466666385</v>
      </c>
      <c r="M51" s="260">
        <f ca="1">CF!L57</f>
        <v>-2354.1885095182952</v>
      </c>
      <c r="N51" s="260">
        <f ca="1">CF!M57</f>
        <v>-1241.4380539049234</v>
      </c>
      <c r="O51" s="260">
        <f ca="1">CF!N57</f>
        <v>144.69853918893205</v>
      </c>
      <c r="P51" s="260">
        <f ca="1">CF!O57</f>
        <v>1137.01825639451</v>
      </c>
      <c r="Q51" s="260">
        <f ca="1">CF!P57</f>
        <v>1926.6376685013677</v>
      </c>
      <c r="R51" s="260">
        <f ca="1">CF!Q57</f>
        <v>2904.6811882697839</v>
      </c>
      <c r="S51" s="260">
        <f ca="1">CF!R57</f>
        <v>3953.0955116691489</v>
      </c>
      <c r="T51" s="260">
        <f ca="1">CF!S57</f>
        <v>3841.3434814661068</v>
      </c>
      <c r="U51" s="260">
        <f ca="1">CF!T57</f>
        <v>5438.5908943417035</v>
      </c>
      <c r="V51" s="260">
        <f ca="1">CF!U57</f>
        <v>6237.9525634740421</v>
      </c>
      <c r="W51" s="260">
        <f ca="1">CF!V57</f>
        <v>6720.160663937475</v>
      </c>
      <c r="X51" s="260">
        <f ca="1">CF!W57</f>
        <v>7046.8851898201647</v>
      </c>
      <c r="Y51" s="260">
        <f ca="1">CF!X57</f>
        <v>7581.3688655241513</v>
      </c>
      <c r="Z51" s="260">
        <f ca="1">CF!Y57</f>
        <v>2235.3202461814585</v>
      </c>
      <c r="AA51" s="499">
        <f ca="1">SUM(F51:Z51)</f>
        <v>13967.048813283525</v>
      </c>
      <c r="AC51" s="377">
        <f t="shared" si="0"/>
        <v>45</v>
      </c>
    </row>
    <row r="52" spans="1:29">
      <c r="A52" s="137" t="s">
        <v>597</v>
      </c>
      <c r="B52" s="24"/>
      <c r="C52" s="24"/>
      <c r="D52" s="24"/>
      <c r="E52" s="24"/>
      <c r="F52" s="260">
        <f ca="1">SUM($F51:F51)</f>
        <v>0</v>
      </c>
      <c r="G52" s="260">
        <f ca="1">SUM($F51:G51)</f>
        <v>0</v>
      </c>
      <c r="H52" s="260">
        <f ca="1">SUM($F51:H51)</f>
        <v>-4849.9561814426543</v>
      </c>
      <c r="I52" s="260">
        <f ca="1">SUM($F51:I51)</f>
        <v>-14162.239911548757</v>
      </c>
      <c r="J52" s="260">
        <f ca="1">SUM($F51:J51)</f>
        <v>-23648.138746158649</v>
      </c>
      <c r="K52" s="260">
        <f ca="1">SUM($F51:K51)</f>
        <v>-28255.533945395466</v>
      </c>
      <c r="L52" s="260">
        <f ca="1">SUM($F51:L51)</f>
        <v>-31605.077692062103</v>
      </c>
      <c r="M52" s="260">
        <f ca="1">SUM($F51:M51)</f>
        <v>-33959.266201580394</v>
      </c>
      <c r="N52" s="260">
        <f ca="1">SUM($F51:N51)</f>
        <v>-35200.704255485318</v>
      </c>
      <c r="O52" s="260">
        <f ca="1">SUM($F51:O51)</f>
        <v>-35056.005716296386</v>
      </c>
      <c r="P52" s="260">
        <f ca="1">SUM($F51:P51)</f>
        <v>-33918.987459901873</v>
      </c>
      <c r="Q52" s="260">
        <f ca="1">SUM($F51:Q51)</f>
        <v>-31992.349791400506</v>
      </c>
      <c r="R52" s="260">
        <f ca="1">SUM($F51:R51)</f>
        <v>-29087.668603130722</v>
      </c>
      <c r="S52" s="260">
        <f ca="1">SUM($F51:S51)</f>
        <v>-25134.573091461574</v>
      </c>
      <c r="T52" s="260">
        <f ca="1">SUM($F51:T51)</f>
        <v>-21293.229609995469</v>
      </c>
      <c r="U52" s="260">
        <f ca="1">SUM($F51:U51)</f>
        <v>-15854.638715653766</v>
      </c>
      <c r="V52" s="260">
        <f ca="1">SUM($F51:V51)</f>
        <v>-9616.6861521797236</v>
      </c>
      <c r="W52" s="260">
        <f ca="1">SUM($F51:W51)</f>
        <v>-2896.5254882422487</v>
      </c>
      <c r="X52" s="260">
        <f ca="1">SUM($F51:X51)</f>
        <v>4150.359701577916</v>
      </c>
      <c r="Y52" s="260">
        <f ca="1">SUM($F51:Y51)</f>
        <v>11731.728567102067</v>
      </c>
      <c r="Z52" s="260">
        <f ca="1">SUM($F51:Z51)</f>
        <v>13967.048813283525</v>
      </c>
      <c r="AA52" s="499"/>
      <c r="AC52" s="377">
        <f t="shared" si="0"/>
        <v>46</v>
      </c>
    </row>
    <row r="53" spans="1:29">
      <c r="A53" s="160"/>
      <c r="B53" s="24"/>
      <c r="C53" s="24"/>
      <c r="D53" s="24"/>
      <c r="E53" s="24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498"/>
      <c r="AC53" s="377">
        <f t="shared" si="0"/>
        <v>47</v>
      </c>
    </row>
    <row r="54" spans="1:29">
      <c r="A54" s="137" t="s">
        <v>571</v>
      </c>
      <c r="B54" s="24"/>
      <c r="C54" s="24"/>
      <c r="D54" s="24"/>
      <c r="E54" s="24"/>
      <c r="F54" s="53">
        <f ca="1">SUM($F47:F47)+SUM($E48:E48)</f>
        <v>0</v>
      </c>
      <c r="G54" s="53">
        <f ca="1">SUM($F47:G47)+SUM($E48:F48)</f>
        <v>0</v>
      </c>
      <c r="H54" s="53">
        <f ca="1">SUM($F47:H47)+SUM($E48:G48)</f>
        <v>0</v>
      </c>
      <c r="I54" s="53">
        <f ca="1">SUM($F47:I47)+SUM($E48:H48)</f>
        <v>0</v>
      </c>
      <c r="J54" s="53">
        <f ca="1">SUM($F47:J47)+SUM($E48:I48)</f>
        <v>0</v>
      </c>
      <c r="K54" s="53">
        <f ca="1">SUM($F47:K47)+SUM($E48:J48)</f>
        <v>0</v>
      </c>
      <c r="L54" s="53">
        <f ca="1">SUM($F47:L47)+SUM($E48:K48)</f>
        <v>0</v>
      </c>
      <c r="M54" s="53">
        <f ca="1">SUM($F47:M47)+SUM($E48:L48)</f>
        <v>0</v>
      </c>
      <c r="N54" s="53">
        <f ca="1">SUM($F47:N47)+SUM($E48:M48)</f>
        <v>47.94154722587669</v>
      </c>
      <c r="O54" s="53">
        <f ca="1">SUM($F47:O47)+SUM($E48:N48)</f>
        <v>140.88481135667246</v>
      </c>
      <c r="P54" s="53">
        <f ca="1">SUM($F47:P47)+SUM($E48:O48)</f>
        <v>147.52890866784196</v>
      </c>
      <c r="Q54" s="53">
        <f ca="1">SUM($F47:Q47)+SUM($E48:P48)</f>
        <v>259.87930453033562</v>
      </c>
      <c r="R54" s="53">
        <f ca="1">SUM($F47:R47)+SUM($E48:Q48)</f>
        <v>291.88548192187307</v>
      </c>
      <c r="S54" s="53">
        <f ca="1">SUM($F47:S47)+SUM($E48:R48)</f>
        <v>430.52709009335115</v>
      </c>
      <c r="T54" s="53">
        <f ca="1">SUM($F47:T47)+SUM($E48:S48)</f>
        <v>444.41047218273729</v>
      </c>
      <c r="U54" s="53">
        <f ca="1">SUM($F47:U47)+SUM($E48:T48)</f>
        <v>430.52709009335115</v>
      </c>
      <c r="V54" s="53">
        <f ca="1">SUM($F47:V47)+SUM($E48:U48)</f>
        <v>444.41047218273729</v>
      </c>
      <c r="W54" s="53">
        <f ca="1">SUM($F47:W47)+SUM($E48:V48)</f>
        <v>430.52709009335115</v>
      </c>
      <c r="X54" s="53">
        <f ca="1">SUM($F47:X47)+SUM($E48:W48)</f>
        <v>444.41047218273729</v>
      </c>
      <c r="Y54" s="53">
        <f ca="1">SUM($F47:Y47)+SUM($E48:X48)</f>
        <v>874.93756227608844</v>
      </c>
      <c r="Z54" s="53">
        <f ca="1">SUM($F47:Z47)+SUM($E48:Y48)</f>
        <v>874.93756227608844</v>
      </c>
      <c r="AA54" s="499"/>
      <c r="AC54" s="377">
        <f t="shared" si="0"/>
        <v>48</v>
      </c>
    </row>
    <row r="55" spans="1:29">
      <c r="A55" s="406" t="s">
        <v>598</v>
      </c>
      <c r="B55" s="26"/>
      <c r="C55" s="26"/>
      <c r="D55" s="26"/>
      <c r="E55" s="26"/>
      <c r="F55" s="64">
        <f ca="1">IF(F52&lt;0,MIN(-F52,F54),0)-SUM($E55:E55)</f>
        <v>0</v>
      </c>
      <c r="G55" s="64">
        <f ca="1">IF(G52&lt;0,MIN(-G52,G54),0)-SUM($E55:F55)</f>
        <v>0</v>
      </c>
      <c r="H55" s="64">
        <f ca="1">IF(H52&lt;0,MIN(-H52,H54),0)-SUM($E55:G55)</f>
        <v>0</v>
      </c>
      <c r="I55" s="64">
        <f ca="1">IF(I52&lt;0,MIN(-I52,I54),0)-SUM($E55:H55)</f>
        <v>0</v>
      </c>
      <c r="J55" s="64">
        <f ca="1">IF(J52&lt;0,MIN(-J52,J54),0)-SUM($E55:I55)</f>
        <v>0</v>
      </c>
      <c r="K55" s="64">
        <f ca="1">IF(K52&lt;0,MIN(-K52,K54),0)-SUM($E55:J55)</f>
        <v>0</v>
      </c>
      <c r="L55" s="64">
        <f ca="1">IF(L52&lt;0,MIN(-L52,L54),0)-SUM($E55:K55)</f>
        <v>0</v>
      </c>
      <c r="M55" s="64">
        <f ca="1">IF(M52&lt;0,MIN(-M52,M54),0)-SUM($E55:L55)</f>
        <v>0</v>
      </c>
      <c r="N55" s="64">
        <f ca="1">IF(N52&lt;0,MIN(-N52,N54),0)-SUM($E55:M55)</f>
        <v>47.94154722587669</v>
      </c>
      <c r="O55" s="64">
        <f ca="1">IF(O52&lt;0,MIN(-O52,O54),0)-SUM($E55:N55)</f>
        <v>92.943264130795768</v>
      </c>
      <c r="P55" s="64">
        <f ca="1">IF(P52&lt;0,MIN(-P52,P54),0)-SUM($E55:O55)</f>
        <v>6.644097311169503</v>
      </c>
      <c r="Q55" s="64">
        <f ca="1">IF(Q52&lt;0,MIN(-Q52,Q54),0)-SUM($E55:P55)</f>
        <v>112.35039586249366</v>
      </c>
      <c r="R55" s="64">
        <f ca="1">IF(R52&lt;0,MIN(-R52,R54),0)-SUM($E55:Q55)</f>
        <v>32.006177391537449</v>
      </c>
      <c r="S55" s="64">
        <f ca="1">IF(S52&lt;0,MIN(-S52,S54),0)-SUM($E55:R55)</f>
        <v>138.64160817147808</v>
      </c>
      <c r="T55" s="64">
        <f ca="1">IF(T52&lt;0,MIN(-T52,T54),0)-SUM($E55:S55)</f>
        <v>13.883382089386146</v>
      </c>
      <c r="U55" s="64">
        <f ca="1">IF(U52&lt;0,MIN(-U52,U54),0)-SUM($E55:T55)</f>
        <v>-13.883382089386146</v>
      </c>
      <c r="V55" s="64">
        <f ca="1">IF(V52&lt;0,MIN(-V52,V54),0)-SUM($E55:U55)</f>
        <v>13.883382089386146</v>
      </c>
      <c r="W55" s="64">
        <f ca="1">IF(W52&lt;0,MIN(-W52,W54),0)-SUM($E55:V55)</f>
        <v>-13.883382089386146</v>
      </c>
      <c r="X55" s="64">
        <f ca="1">IF(X52&lt;0,MIN(-X52,X54),0)-SUM($E55:W55)</f>
        <v>-430.52709009335115</v>
      </c>
      <c r="Y55" s="64">
        <f ca="1">IF(Y52&lt;0,MIN(-Y52,Y54),0)-SUM($E55:X55)</f>
        <v>0</v>
      </c>
      <c r="Z55" s="64">
        <f ca="1">IF(Z52&lt;0,MIN(-Z52,Z54),0)-SUM($E55:Y55)</f>
        <v>0</v>
      </c>
      <c r="AA55" s="506"/>
      <c r="AC55" s="377">
        <f t="shared" si="0"/>
        <v>49</v>
      </c>
    </row>
    <row r="56" spans="1:29">
      <c r="A56" s="160"/>
      <c r="B56" s="24"/>
      <c r="C56" s="24"/>
      <c r="D56" s="24"/>
      <c r="E56" s="24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498"/>
      <c r="AC56" s="377">
        <f t="shared" si="0"/>
        <v>50</v>
      </c>
    </row>
    <row r="57" spans="1:29" s="24" customFormat="1">
      <c r="A57" s="174" t="s">
        <v>346</v>
      </c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498"/>
      <c r="AC57" s="377">
        <f t="shared" si="0"/>
        <v>51</v>
      </c>
    </row>
    <row r="58" spans="1:29">
      <c r="A58" s="160" t="s">
        <v>347</v>
      </c>
      <c r="B58" s="24"/>
      <c r="C58" s="24"/>
      <c r="D58" s="24"/>
      <c r="E58" s="24"/>
      <c r="F58" s="258">
        <f>Assm!$E43*CF!E$9/12</f>
        <v>0</v>
      </c>
      <c r="G58" s="258">
        <f>Assm!$E43*CF!F$9/12</f>
        <v>0</v>
      </c>
      <c r="H58" s="258">
        <f>Assm!$E43*CF!G$9/12</f>
        <v>548.39</v>
      </c>
      <c r="I58" s="258">
        <f>Assm!$E43*CF!H$9/12</f>
        <v>658.06799999999998</v>
      </c>
      <c r="J58" s="258">
        <f>Assm!$E43*CF!I$9/12</f>
        <v>658.06799999999998</v>
      </c>
      <c r="K58" s="258">
        <f>Assm!$E43*CF!J$9/12</f>
        <v>658.06799999999998</v>
      </c>
      <c r="L58" s="258">
        <f>Assm!$E43*CF!K$9/12</f>
        <v>658.06799999999998</v>
      </c>
      <c r="M58" s="258">
        <f>Assm!$E43*CF!L$9/12</f>
        <v>658.06799999999998</v>
      </c>
      <c r="N58" s="258">
        <f>Assm!$E43*CF!M$9/12</f>
        <v>658.06799999999998</v>
      </c>
      <c r="O58" s="258">
        <f>Assm!$E43*CF!N$9/12</f>
        <v>658.06799999999998</v>
      </c>
      <c r="P58" s="258">
        <f>Assm!$E43*CF!O$9/12</f>
        <v>658.06799999999998</v>
      </c>
      <c r="Q58" s="258">
        <f>Assm!$E43*CF!P$9/12</f>
        <v>658.06799999999998</v>
      </c>
      <c r="R58" s="258">
        <f>Assm!$E43*CF!Q$9/12</f>
        <v>658.06799999999998</v>
      </c>
      <c r="S58" s="258">
        <f>Assm!$E43*CF!R$9/12</f>
        <v>658.06799999999998</v>
      </c>
      <c r="T58" s="258">
        <f>Assm!$E43*CF!S$9/12</f>
        <v>658.06799999999998</v>
      </c>
      <c r="U58" s="258">
        <f>Assm!$E43*CF!T$9/12</f>
        <v>658.06799999999998</v>
      </c>
      <c r="V58" s="258">
        <f>Assm!$E43*CF!U$9/12</f>
        <v>658.06799999999998</v>
      </c>
      <c r="W58" s="258">
        <f>Assm!$E43*CF!V$9/12</f>
        <v>658.06799999999998</v>
      </c>
      <c r="X58" s="258">
        <f>Assm!$E43*CF!W$9/12</f>
        <v>658.06799999999998</v>
      </c>
      <c r="Y58" s="258">
        <f>Assm!$E43*CF!X$9/12</f>
        <v>658.06799999999998</v>
      </c>
      <c r="Z58" s="258">
        <f>Assm!$E43*CF!Y$9/12</f>
        <v>219.35599999999999</v>
      </c>
      <c r="AA58" s="499">
        <f>SUM(F58:Z58)</f>
        <v>11954.901999999998</v>
      </c>
      <c r="AC58" s="377">
        <f t="shared" si="0"/>
        <v>52</v>
      </c>
    </row>
    <row r="59" spans="1:29">
      <c r="A59" s="160" t="s">
        <v>348</v>
      </c>
      <c r="B59" s="24"/>
      <c r="C59" s="24"/>
      <c r="D59" s="24"/>
      <c r="E59" s="24"/>
      <c r="F59" s="259">
        <f>IF(OR(F$6=5,F$6=15),Assm!$B$43,0)</f>
        <v>0</v>
      </c>
      <c r="G59" s="259">
        <f>IF(OR(G$6=5,G$6=15),Assm!$B$43,0)</f>
        <v>0</v>
      </c>
      <c r="H59" s="259">
        <f>IF(OR(H$6=5,H$6=15),Assm!$B$43,0)</f>
        <v>0</v>
      </c>
      <c r="I59" s="259">
        <f>IF(OR(I$6=5,I$6=15),Assm!$B$43,0)</f>
        <v>0</v>
      </c>
      <c r="J59" s="259">
        <f>IF(OR(J$6=5,J$6=15),Assm!$B$43,0)</f>
        <v>600</v>
      </c>
      <c r="K59" s="259">
        <f>IF(OR(K$6=5,K$6=15),Assm!$B$43,0)</f>
        <v>0</v>
      </c>
      <c r="L59" s="259">
        <f>IF(OR(L$6=5,L$6=15),Assm!$B$43,0)</f>
        <v>0</v>
      </c>
      <c r="M59" s="259">
        <f>IF(OR(M$6=5,M$6=15),Assm!$B$43,0)</f>
        <v>0</v>
      </c>
      <c r="N59" s="259">
        <f>IF(OR(N$6=5,N$6=15),Assm!$B$43,0)</f>
        <v>0</v>
      </c>
      <c r="O59" s="259">
        <f>IF(OR(O$6=5,O$6=15),Assm!$B$43,0)</f>
        <v>0</v>
      </c>
      <c r="P59" s="259">
        <f>IF(OR(P$6=5,P$6=15),Assm!$B$43,0)</f>
        <v>0</v>
      </c>
      <c r="Q59" s="259">
        <f>IF(OR(Q$6=5,Q$6=15),Assm!$B$43,0)</f>
        <v>0</v>
      </c>
      <c r="R59" s="259">
        <f>IF(OR(R$6=5,R$6=15),Assm!$B$43,0)</f>
        <v>0</v>
      </c>
      <c r="S59" s="259">
        <f>IF(OR(S$6=5,S$6=15),Assm!$B$43,0)</f>
        <v>0</v>
      </c>
      <c r="T59" s="259">
        <f>IF(OR(T$6=5,T$6=15),Assm!$B$43,0)</f>
        <v>600</v>
      </c>
      <c r="U59" s="259">
        <f>IF(OR(U$6=5,U$6=15),Assm!$B$43,0)</f>
        <v>0</v>
      </c>
      <c r="V59" s="259">
        <f>IF(OR(V$6=5,V$6=15),Assm!$B$43,0)</f>
        <v>0</v>
      </c>
      <c r="W59" s="259">
        <f>IF(OR(W$6=5,W$6=15),Assm!$B$43,0)</f>
        <v>0</v>
      </c>
      <c r="X59" s="259">
        <f>IF(OR(X$6=5,X$6=15),Assm!$B$43,0)</f>
        <v>0</v>
      </c>
      <c r="Y59" s="259">
        <f>IF(OR(Y$6=5,Y$6=15),Assm!$B$43,0)</f>
        <v>0</v>
      </c>
      <c r="Z59" s="259">
        <f>IF(OR(Z$6=5,Z$6=15),Assm!$B$43,0)</f>
        <v>0</v>
      </c>
      <c r="AA59" s="500">
        <f>SUM(F59:Z59)</f>
        <v>1200</v>
      </c>
      <c r="AC59" s="377">
        <f t="shared" si="0"/>
        <v>53</v>
      </c>
    </row>
    <row r="60" spans="1:29">
      <c r="A60" s="160" t="s">
        <v>349</v>
      </c>
      <c r="B60" s="24"/>
      <c r="C60" s="24"/>
      <c r="D60" s="24"/>
      <c r="E60" s="24"/>
      <c r="F60" s="258">
        <f>SUM(F58:F59)</f>
        <v>0</v>
      </c>
      <c r="G60" s="258">
        <f t="shared" ref="G60:W60" si="23">SUM(G58:G59)</f>
        <v>0</v>
      </c>
      <c r="H60" s="258">
        <f t="shared" si="23"/>
        <v>548.39</v>
      </c>
      <c r="I60" s="258">
        <f t="shared" si="23"/>
        <v>658.06799999999998</v>
      </c>
      <c r="J60" s="258">
        <f t="shared" si="23"/>
        <v>1258.068</v>
      </c>
      <c r="K60" s="258">
        <f t="shared" si="23"/>
        <v>658.06799999999998</v>
      </c>
      <c r="L60" s="258">
        <f t="shared" si="23"/>
        <v>658.06799999999998</v>
      </c>
      <c r="M60" s="258">
        <f t="shared" si="23"/>
        <v>658.06799999999998</v>
      </c>
      <c r="N60" s="258">
        <f t="shared" si="23"/>
        <v>658.06799999999998</v>
      </c>
      <c r="O60" s="258">
        <f t="shared" si="23"/>
        <v>658.06799999999998</v>
      </c>
      <c r="P60" s="258">
        <f t="shared" si="23"/>
        <v>658.06799999999998</v>
      </c>
      <c r="Q60" s="258">
        <f t="shared" si="23"/>
        <v>658.06799999999998</v>
      </c>
      <c r="R60" s="258">
        <f t="shared" si="23"/>
        <v>658.06799999999998</v>
      </c>
      <c r="S60" s="258">
        <f t="shared" si="23"/>
        <v>658.06799999999998</v>
      </c>
      <c r="T60" s="258">
        <f t="shared" si="23"/>
        <v>1258.068</v>
      </c>
      <c r="U60" s="258">
        <f t="shared" si="23"/>
        <v>658.06799999999998</v>
      </c>
      <c r="V60" s="258">
        <f t="shared" si="23"/>
        <v>658.06799999999998</v>
      </c>
      <c r="W60" s="258">
        <f t="shared" si="23"/>
        <v>658.06799999999998</v>
      </c>
      <c r="X60" s="258">
        <f>SUM(X58:X59)</f>
        <v>658.06799999999998</v>
      </c>
      <c r="Y60" s="258">
        <f>SUM(Y58:Y59)</f>
        <v>658.06799999999998</v>
      </c>
      <c r="Z60" s="258">
        <f>SUM(Z58:Z59)</f>
        <v>219.35599999999999</v>
      </c>
      <c r="AA60" s="499">
        <f>SUM(F60:Z60)</f>
        <v>13154.901999999996</v>
      </c>
      <c r="AC60" s="377">
        <f t="shared" si="0"/>
        <v>54</v>
      </c>
    </row>
    <row r="61" spans="1:29">
      <c r="A61" s="160" t="s">
        <v>105</v>
      </c>
      <c r="B61" s="24"/>
      <c r="C61" s="24"/>
      <c r="D61" s="24"/>
      <c r="E61" s="24"/>
      <c r="F61" s="752">
        <f ca="1">CF!E12</f>
        <v>1.0374531835205993</v>
      </c>
      <c r="G61" s="752">
        <f ca="1">CF!F12</f>
        <v>1.0620799950339679</v>
      </c>
      <c r="H61" s="752">
        <f ca="1">CF!G12</f>
        <v>1.097180617479341</v>
      </c>
      <c r="I61" s="752">
        <f ca="1">CF!H12</f>
        <v>1.1321906668383659</v>
      </c>
      <c r="J61" s="752">
        <f ca="1">CF!I12</f>
        <v>1.166287045927733</v>
      </c>
      <c r="K61" s="752">
        <f ca="1">CF!J12</f>
        <v>1.2003493342906499</v>
      </c>
      <c r="L61" s="752">
        <f ca="1">CF!K12</f>
        <v>1.2346229437596627</v>
      </c>
      <c r="M61" s="752">
        <f ca="1">CF!L12</f>
        <v>1.2691909562879884</v>
      </c>
      <c r="N61" s="752">
        <f ca="1">CF!M12</f>
        <v>1.3038965761068158</v>
      </c>
      <c r="O61" s="752">
        <f ca="1">CF!N12</f>
        <v>1.3387797805891259</v>
      </c>
      <c r="P61" s="752">
        <f ca="1">CF!O12</f>
        <v>1.3739510144936682</v>
      </c>
      <c r="Q61" s="752">
        <f ca="1">CF!P12</f>
        <v>1.409454688092179</v>
      </c>
      <c r="R61" s="752">
        <f ca="1">CF!Q12</f>
        <v>1.4453629302678073</v>
      </c>
      <c r="S61" s="752">
        <f ca="1">CF!R12</f>
        <v>1.4818086105109716</v>
      </c>
      <c r="T61" s="752">
        <f ca="1">CF!S12</f>
        <v>1.5190107088932228</v>
      </c>
      <c r="U61" s="752">
        <f ca="1">CF!T12</f>
        <v>1.5573978315409176</v>
      </c>
      <c r="V61" s="752">
        <f ca="1">CF!U12</f>
        <v>1.5973303982415077</v>
      </c>
      <c r="W61" s="752">
        <f ca="1">CF!V12</f>
        <v>1.6389834445299432</v>
      </c>
      <c r="X61" s="752">
        <f ca="1">CF!W12</f>
        <v>1.6825466987361488</v>
      </c>
      <c r="Y61" s="752">
        <f ca="1">CF!X12</f>
        <v>1.7280133273368676</v>
      </c>
      <c r="Z61" s="752">
        <f ca="1">CF!Y12</f>
        <v>1.7754357291063123</v>
      </c>
      <c r="AA61" s="508"/>
      <c r="AC61" s="377">
        <f t="shared" si="0"/>
        <v>55</v>
      </c>
    </row>
    <row r="62" spans="1:29">
      <c r="A62" s="160" t="s">
        <v>350</v>
      </c>
      <c r="B62" s="24"/>
      <c r="C62" s="24"/>
      <c r="D62" s="24"/>
      <c r="E62" s="24"/>
      <c r="F62" s="258">
        <f ca="1">F60*F61</f>
        <v>0</v>
      </c>
      <c r="G62" s="258">
        <f t="shared" ref="G62:W62" ca="1" si="24">G60*G61</f>
        <v>0</v>
      </c>
      <c r="H62" s="258">
        <f t="shared" ca="1" si="24"/>
        <v>601.68287881949584</v>
      </c>
      <c r="I62" s="258">
        <f t="shared" ca="1" si="24"/>
        <v>745.05844774498973</v>
      </c>
      <c r="J62" s="258">
        <f t="shared" ca="1" si="24"/>
        <v>1467.2684112962113</v>
      </c>
      <c r="K62" s="258">
        <f t="shared" ca="1" si="24"/>
        <v>789.91148571797942</v>
      </c>
      <c r="L62" s="258">
        <f t="shared" ca="1" si="24"/>
        <v>812.4658513540337</v>
      </c>
      <c r="M62" s="258">
        <f t="shared" ca="1" si="24"/>
        <v>835.21395422252397</v>
      </c>
      <c r="N62" s="258">
        <f t="shared" ca="1" si="24"/>
        <v>858.05261204546002</v>
      </c>
      <c r="O62" s="258">
        <f t="shared" ca="1" si="24"/>
        <v>881.00813265272495</v>
      </c>
      <c r="P62" s="258">
        <f t="shared" ca="1" si="24"/>
        <v>904.1531962058192</v>
      </c>
      <c r="Q62" s="258">
        <f t="shared" ca="1" si="24"/>
        <v>927.51702768344398</v>
      </c>
      <c r="R62" s="258">
        <f t="shared" ca="1" si="24"/>
        <v>951.14709279547537</v>
      </c>
      <c r="S62" s="258">
        <f t="shared" ca="1" si="24"/>
        <v>975.130828701734</v>
      </c>
      <c r="T62" s="258">
        <f t="shared" ca="1" si="24"/>
        <v>1911.018764515879</v>
      </c>
      <c r="U62" s="258">
        <f t="shared" ca="1" si="24"/>
        <v>1024.8736762064686</v>
      </c>
      <c r="V62" s="258">
        <f t="shared" ca="1" si="24"/>
        <v>1051.1520205099926</v>
      </c>
      <c r="W62" s="258">
        <f t="shared" ca="1" si="24"/>
        <v>1078.5625573749305</v>
      </c>
      <c r="X62" s="258">
        <f ca="1">X60*X61</f>
        <v>1107.2301409438999</v>
      </c>
      <c r="Y62" s="258">
        <f ca="1">Y60*Y61</f>
        <v>1137.1502742939178</v>
      </c>
      <c r="Z62" s="258">
        <f ca="1">Z60*Z61</f>
        <v>389.45247979384425</v>
      </c>
      <c r="AA62" s="499">
        <f ca="1">SUM(F62:Z62)</f>
        <v>18448.049832878827</v>
      </c>
      <c r="AC62" s="377">
        <f t="shared" si="0"/>
        <v>56</v>
      </c>
    </row>
    <row r="63" spans="1:29">
      <c r="A63" s="160"/>
      <c r="B63" s="24"/>
      <c r="C63" s="24"/>
      <c r="D63" s="24"/>
      <c r="E63" s="24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499"/>
      <c r="AC63" s="377">
        <f t="shared" si="0"/>
        <v>57</v>
      </c>
    </row>
    <row r="64" spans="1:29">
      <c r="A64" s="464" t="s">
        <v>201</v>
      </c>
      <c r="B64" s="269"/>
      <c r="C64" s="269"/>
      <c r="D64" s="269"/>
      <c r="E64" s="269"/>
      <c r="F64" s="270">
        <f ca="1">F62</f>
        <v>0</v>
      </c>
      <c r="G64" s="270">
        <f t="shared" ref="G64:W64" ca="1" si="25">G62</f>
        <v>0</v>
      </c>
      <c r="H64" s="270">
        <f t="shared" ca="1" si="25"/>
        <v>601.68287881949584</v>
      </c>
      <c r="I64" s="270">
        <f t="shared" ca="1" si="25"/>
        <v>745.05844774498973</v>
      </c>
      <c r="J64" s="270">
        <f t="shared" ca="1" si="25"/>
        <v>1467.2684112962113</v>
      </c>
      <c r="K64" s="270">
        <f t="shared" ca="1" si="25"/>
        <v>789.91148571797942</v>
      </c>
      <c r="L64" s="270">
        <f t="shared" ca="1" si="25"/>
        <v>812.4658513540337</v>
      </c>
      <c r="M64" s="270">
        <f t="shared" ca="1" si="25"/>
        <v>835.21395422252397</v>
      </c>
      <c r="N64" s="270">
        <f t="shared" ca="1" si="25"/>
        <v>858.05261204546002</v>
      </c>
      <c r="O64" s="270">
        <f t="shared" ca="1" si="25"/>
        <v>881.00813265272495</v>
      </c>
      <c r="P64" s="270">
        <f t="shared" ca="1" si="25"/>
        <v>904.1531962058192</v>
      </c>
      <c r="Q64" s="270">
        <f t="shared" ca="1" si="25"/>
        <v>927.51702768344398</v>
      </c>
      <c r="R64" s="270">
        <f t="shared" ca="1" si="25"/>
        <v>951.14709279547537</v>
      </c>
      <c r="S64" s="270">
        <f t="shared" ca="1" si="25"/>
        <v>975.130828701734</v>
      </c>
      <c r="T64" s="270">
        <f t="shared" ca="1" si="25"/>
        <v>1911.018764515879</v>
      </c>
      <c r="U64" s="270">
        <f t="shared" ca="1" si="25"/>
        <v>1024.8736762064686</v>
      </c>
      <c r="V64" s="270">
        <f t="shared" ca="1" si="25"/>
        <v>1051.1520205099926</v>
      </c>
      <c r="W64" s="270">
        <f t="shared" ca="1" si="25"/>
        <v>1078.5625573749305</v>
      </c>
      <c r="X64" s="270">
        <f ca="1">X62</f>
        <v>1107.2301409438999</v>
      </c>
      <c r="Y64" s="270">
        <f ca="1">Y62</f>
        <v>1137.1502742939178</v>
      </c>
      <c r="Z64" s="270">
        <f ca="1">Z62</f>
        <v>389.45247979384425</v>
      </c>
      <c r="AA64" s="501">
        <f ca="1">SUM(F64:Z64)</f>
        <v>18448.049832878827</v>
      </c>
      <c r="AC64" s="377">
        <f t="shared" si="0"/>
        <v>58</v>
      </c>
    </row>
    <row r="65" spans="1:29">
      <c r="A65" s="491" t="s">
        <v>351</v>
      </c>
      <c r="B65" s="483"/>
      <c r="C65" s="483"/>
      <c r="D65" s="483"/>
      <c r="E65" s="483"/>
      <c r="F65" s="485">
        <f ca="1">F64-F62</f>
        <v>0</v>
      </c>
      <c r="G65" s="485">
        <f t="shared" ref="G65:W65" ca="1" si="26">G64-G62</f>
        <v>0</v>
      </c>
      <c r="H65" s="485">
        <f t="shared" ca="1" si="26"/>
        <v>0</v>
      </c>
      <c r="I65" s="485">
        <f t="shared" ca="1" si="26"/>
        <v>0</v>
      </c>
      <c r="J65" s="485">
        <f t="shared" ca="1" si="26"/>
        <v>0</v>
      </c>
      <c r="K65" s="485">
        <f t="shared" ca="1" si="26"/>
        <v>0</v>
      </c>
      <c r="L65" s="485">
        <f t="shared" ca="1" si="26"/>
        <v>0</v>
      </c>
      <c r="M65" s="485">
        <f t="shared" ca="1" si="26"/>
        <v>0</v>
      </c>
      <c r="N65" s="485">
        <f t="shared" ca="1" si="26"/>
        <v>0</v>
      </c>
      <c r="O65" s="485">
        <f t="shared" ca="1" si="26"/>
        <v>0</v>
      </c>
      <c r="P65" s="485">
        <f t="shared" ca="1" si="26"/>
        <v>0</v>
      </c>
      <c r="Q65" s="485">
        <f t="shared" ca="1" si="26"/>
        <v>0</v>
      </c>
      <c r="R65" s="485">
        <f t="shared" ca="1" si="26"/>
        <v>0</v>
      </c>
      <c r="S65" s="485">
        <f t="shared" ca="1" si="26"/>
        <v>0</v>
      </c>
      <c r="T65" s="485">
        <f t="shared" ca="1" si="26"/>
        <v>0</v>
      </c>
      <c r="U65" s="485">
        <f t="shared" ca="1" si="26"/>
        <v>0</v>
      </c>
      <c r="V65" s="485">
        <f t="shared" ca="1" si="26"/>
        <v>0</v>
      </c>
      <c r="W65" s="485">
        <f t="shared" ca="1" si="26"/>
        <v>0</v>
      </c>
      <c r="X65" s="485">
        <f ca="1">X64-X62</f>
        <v>0</v>
      </c>
      <c r="Y65" s="485">
        <f ca="1">Y64-Y62</f>
        <v>0</v>
      </c>
      <c r="Z65" s="485">
        <f ca="1">Z64-Z62</f>
        <v>0</v>
      </c>
      <c r="AA65" s="504">
        <f ca="1">SUM(F65:Z65)</f>
        <v>0</v>
      </c>
      <c r="AC65" s="377">
        <f t="shared" si="0"/>
        <v>59</v>
      </c>
    </row>
    <row r="66" spans="1:29">
      <c r="A66" s="174"/>
      <c r="B66" s="24"/>
      <c r="C66" s="24"/>
      <c r="D66" s="24"/>
      <c r="E66" s="24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499"/>
      <c r="AC66" s="377">
        <f t="shared" si="0"/>
        <v>60</v>
      </c>
    </row>
    <row r="67" spans="1:29">
      <c r="A67" s="493" t="s">
        <v>352</v>
      </c>
      <c r="B67" s="24"/>
      <c r="C67" s="24"/>
      <c r="D67" s="24"/>
      <c r="E67" s="24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499"/>
      <c r="AC67" s="377">
        <f t="shared" si="0"/>
        <v>61</v>
      </c>
    </row>
    <row r="68" spans="1:29">
      <c r="A68" s="160" t="s">
        <v>198</v>
      </c>
      <c r="B68" s="24"/>
      <c r="C68" s="24"/>
      <c r="D68" s="24"/>
      <c r="E68" s="24"/>
      <c r="F68" s="825">
        <v>0</v>
      </c>
      <c r="G68" s="258">
        <f t="shared" ref="G68:W68" ca="1" si="27">F71</f>
        <v>0</v>
      </c>
      <c r="H68" s="258">
        <f t="shared" ca="1" si="27"/>
        <v>0</v>
      </c>
      <c r="I68" s="258">
        <f t="shared" ca="1" si="27"/>
        <v>0</v>
      </c>
      <c r="J68" s="258">
        <f t="shared" ca="1" si="27"/>
        <v>0</v>
      </c>
      <c r="K68" s="258">
        <f t="shared" ca="1" si="27"/>
        <v>0</v>
      </c>
      <c r="L68" s="258">
        <f t="shared" ca="1" si="27"/>
        <v>0</v>
      </c>
      <c r="M68" s="258">
        <f t="shared" ca="1" si="27"/>
        <v>0</v>
      </c>
      <c r="N68" s="258">
        <f t="shared" ca="1" si="27"/>
        <v>0</v>
      </c>
      <c r="O68" s="258">
        <f t="shared" ca="1" si="27"/>
        <v>0</v>
      </c>
      <c r="P68" s="258">
        <f t="shared" ca="1" si="27"/>
        <v>0</v>
      </c>
      <c r="Q68" s="258">
        <f t="shared" ca="1" si="27"/>
        <v>0</v>
      </c>
      <c r="R68" s="258">
        <f t="shared" ca="1" si="27"/>
        <v>0</v>
      </c>
      <c r="S68" s="258">
        <f t="shared" ca="1" si="27"/>
        <v>0</v>
      </c>
      <c r="T68" s="258">
        <f t="shared" ca="1" si="27"/>
        <v>0</v>
      </c>
      <c r="U68" s="258">
        <f t="shared" ca="1" si="27"/>
        <v>0</v>
      </c>
      <c r="V68" s="258">
        <f t="shared" ca="1" si="27"/>
        <v>0</v>
      </c>
      <c r="W68" s="258">
        <f t="shared" ca="1" si="27"/>
        <v>0</v>
      </c>
      <c r="X68" s="258">
        <f ca="1">W71</f>
        <v>0</v>
      </c>
      <c r="Y68" s="258">
        <f ca="1">X71</f>
        <v>0</v>
      </c>
      <c r="Z68" s="258">
        <f ca="1">Y71</f>
        <v>0</v>
      </c>
      <c r="AA68" s="499">
        <f>F68</f>
        <v>0</v>
      </c>
      <c r="AC68" s="377">
        <f t="shared" si="0"/>
        <v>62</v>
      </c>
    </row>
    <row r="69" spans="1:29">
      <c r="A69" s="160" t="s">
        <v>202</v>
      </c>
      <c r="B69" s="24"/>
      <c r="C69" s="24"/>
      <c r="D69" s="24"/>
      <c r="E69" s="24"/>
      <c r="F69" s="258">
        <f ca="1">F64</f>
        <v>0</v>
      </c>
      <c r="G69" s="258">
        <f t="shared" ref="G69:W69" ca="1" si="28">G64</f>
        <v>0</v>
      </c>
      <c r="H69" s="258">
        <f t="shared" ca="1" si="28"/>
        <v>601.68287881949584</v>
      </c>
      <c r="I69" s="258">
        <f t="shared" ca="1" si="28"/>
        <v>745.05844774498973</v>
      </c>
      <c r="J69" s="258">
        <f t="shared" ca="1" si="28"/>
        <v>1467.2684112962113</v>
      </c>
      <c r="K69" s="258">
        <f t="shared" ca="1" si="28"/>
        <v>789.91148571797942</v>
      </c>
      <c r="L69" s="258">
        <f t="shared" ca="1" si="28"/>
        <v>812.4658513540337</v>
      </c>
      <c r="M69" s="258">
        <f t="shared" ca="1" si="28"/>
        <v>835.21395422252397</v>
      </c>
      <c r="N69" s="258">
        <f t="shared" ca="1" si="28"/>
        <v>858.05261204546002</v>
      </c>
      <c r="O69" s="258">
        <f t="shared" ca="1" si="28"/>
        <v>881.00813265272495</v>
      </c>
      <c r="P69" s="258">
        <f t="shared" ca="1" si="28"/>
        <v>904.1531962058192</v>
      </c>
      <c r="Q69" s="258">
        <f t="shared" ca="1" si="28"/>
        <v>927.51702768344398</v>
      </c>
      <c r="R69" s="258">
        <f t="shared" ca="1" si="28"/>
        <v>951.14709279547537</v>
      </c>
      <c r="S69" s="258">
        <f t="shared" ca="1" si="28"/>
        <v>975.130828701734</v>
      </c>
      <c r="T69" s="258">
        <f t="shared" ca="1" si="28"/>
        <v>1911.018764515879</v>
      </c>
      <c r="U69" s="258">
        <f t="shared" ca="1" si="28"/>
        <v>1024.8736762064686</v>
      </c>
      <c r="V69" s="258">
        <f t="shared" ca="1" si="28"/>
        <v>1051.1520205099926</v>
      </c>
      <c r="W69" s="258">
        <f t="shared" ca="1" si="28"/>
        <v>1078.5625573749305</v>
      </c>
      <c r="X69" s="258">
        <f ca="1">X64</f>
        <v>1107.2301409438999</v>
      </c>
      <c r="Y69" s="258">
        <f ca="1">Y64</f>
        <v>1137.1502742939178</v>
      </c>
      <c r="Z69" s="258">
        <f ca="1">Z64</f>
        <v>389.45247979384425</v>
      </c>
      <c r="AA69" s="499">
        <f ca="1">SUM(F69:Z69)</f>
        <v>18448.049832878827</v>
      </c>
      <c r="AC69" s="377">
        <f t="shared" si="0"/>
        <v>63</v>
      </c>
    </row>
    <row r="70" spans="1:29">
      <c r="A70" s="160" t="s">
        <v>203</v>
      </c>
      <c r="B70" s="24"/>
      <c r="C70" s="24"/>
      <c r="D70" s="24"/>
      <c r="E70" s="24"/>
      <c r="F70" s="259">
        <f ca="1">-F62</f>
        <v>0</v>
      </c>
      <c r="G70" s="259">
        <f t="shared" ref="G70:W70" ca="1" si="29">-G62</f>
        <v>0</v>
      </c>
      <c r="H70" s="259">
        <f t="shared" ca="1" si="29"/>
        <v>-601.68287881949584</v>
      </c>
      <c r="I70" s="259">
        <f t="shared" ca="1" si="29"/>
        <v>-745.05844774498973</v>
      </c>
      <c r="J70" s="259">
        <f t="shared" ca="1" si="29"/>
        <v>-1467.2684112962113</v>
      </c>
      <c r="K70" s="259">
        <f t="shared" ca="1" si="29"/>
        <v>-789.91148571797942</v>
      </c>
      <c r="L70" s="259">
        <f t="shared" ca="1" si="29"/>
        <v>-812.4658513540337</v>
      </c>
      <c r="M70" s="259">
        <f t="shared" ca="1" si="29"/>
        <v>-835.21395422252397</v>
      </c>
      <c r="N70" s="259">
        <f t="shared" ca="1" si="29"/>
        <v>-858.05261204546002</v>
      </c>
      <c r="O70" s="259">
        <f t="shared" ca="1" si="29"/>
        <v>-881.00813265272495</v>
      </c>
      <c r="P70" s="259">
        <f t="shared" ca="1" si="29"/>
        <v>-904.1531962058192</v>
      </c>
      <c r="Q70" s="259">
        <f t="shared" ca="1" si="29"/>
        <v>-927.51702768344398</v>
      </c>
      <c r="R70" s="259">
        <f t="shared" ca="1" si="29"/>
        <v>-951.14709279547537</v>
      </c>
      <c r="S70" s="259">
        <f t="shared" ca="1" si="29"/>
        <v>-975.130828701734</v>
      </c>
      <c r="T70" s="259">
        <f t="shared" ca="1" si="29"/>
        <v>-1911.018764515879</v>
      </c>
      <c r="U70" s="259">
        <f t="shared" ca="1" si="29"/>
        <v>-1024.8736762064686</v>
      </c>
      <c r="V70" s="259">
        <f t="shared" ca="1" si="29"/>
        <v>-1051.1520205099926</v>
      </c>
      <c r="W70" s="259">
        <f t="shared" ca="1" si="29"/>
        <v>-1078.5625573749305</v>
      </c>
      <c r="X70" s="259">
        <f ca="1">-X62</f>
        <v>-1107.2301409438999</v>
      </c>
      <c r="Y70" s="259">
        <f ca="1">-Y62</f>
        <v>-1137.1502742939178</v>
      </c>
      <c r="Z70" s="259">
        <f ca="1">-Z62</f>
        <v>-389.45247979384425</v>
      </c>
      <c r="AA70" s="500">
        <f ca="1">SUM(F70:Z70)</f>
        <v>-18448.049832878827</v>
      </c>
      <c r="AC70" s="377">
        <f t="shared" si="0"/>
        <v>64</v>
      </c>
    </row>
    <row r="71" spans="1:29" ht="13.8" thickBot="1">
      <c r="A71" s="494" t="s">
        <v>204</v>
      </c>
      <c r="B71" s="250"/>
      <c r="C71" s="250"/>
      <c r="D71" s="250"/>
      <c r="E71" s="250"/>
      <c r="F71" s="495">
        <f ca="1">SUM(F68:F70)</f>
        <v>0</v>
      </c>
      <c r="G71" s="495">
        <f t="shared" ref="G71:W71" ca="1" si="30">SUM(G68:G70)</f>
        <v>0</v>
      </c>
      <c r="H71" s="495">
        <f t="shared" ca="1" si="30"/>
        <v>0</v>
      </c>
      <c r="I71" s="495">
        <f t="shared" ca="1" si="30"/>
        <v>0</v>
      </c>
      <c r="J71" s="495">
        <f t="shared" ca="1" si="30"/>
        <v>0</v>
      </c>
      <c r="K71" s="495">
        <f t="shared" ca="1" si="30"/>
        <v>0</v>
      </c>
      <c r="L71" s="495">
        <f t="shared" ca="1" si="30"/>
        <v>0</v>
      </c>
      <c r="M71" s="495">
        <f t="shared" ca="1" si="30"/>
        <v>0</v>
      </c>
      <c r="N71" s="495">
        <f t="shared" ca="1" si="30"/>
        <v>0</v>
      </c>
      <c r="O71" s="495">
        <f t="shared" ca="1" si="30"/>
        <v>0</v>
      </c>
      <c r="P71" s="495">
        <f t="shared" ca="1" si="30"/>
        <v>0</v>
      </c>
      <c r="Q71" s="495">
        <f t="shared" ca="1" si="30"/>
        <v>0</v>
      </c>
      <c r="R71" s="495">
        <f t="shared" ca="1" si="30"/>
        <v>0</v>
      </c>
      <c r="S71" s="495">
        <f t="shared" ca="1" si="30"/>
        <v>0</v>
      </c>
      <c r="T71" s="495">
        <f t="shared" ca="1" si="30"/>
        <v>0</v>
      </c>
      <c r="U71" s="495">
        <f t="shared" ca="1" si="30"/>
        <v>0</v>
      </c>
      <c r="V71" s="495">
        <f t="shared" ca="1" si="30"/>
        <v>0</v>
      </c>
      <c r="W71" s="495">
        <f t="shared" ca="1" si="30"/>
        <v>0</v>
      </c>
      <c r="X71" s="495">
        <f ca="1">SUM(X68:X70)</f>
        <v>0</v>
      </c>
      <c r="Y71" s="495">
        <f ca="1">SUM(Y68:Y70)</f>
        <v>0</v>
      </c>
      <c r="Z71" s="495">
        <f ca="1">SUM(Z68:Z70)</f>
        <v>0</v>
      </c>
      <c r="AA71" s="509">
        <f ca="1">SUM(AA68:AA70)</f>
        <v>0</v>
      </c>
      <c r="AC71" s="377">
        <f t="shared" si="0"/>
        <v>65</v>
      </c>
    </row>
    <row r="72" spans="1:29">
      <c r="B72" s="24"/>
      <c r="C72" s="24"/>
      <c r="D72" s="24"/>
      <c r="E72" s="24"/>
      <c r="F72" s="256"/>
      <c r="G72" s="256"/>
      <c r="H72" s="256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</row>
  </sheetData>
  <printOptions horizontalCentered="1"/>
  <pageMargins left="0.25" right="0.25" top="0.5" bottom="0.5" header="0.25" footer="0.25"/>
  <pageSetup scale="41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T57"/>
  <sheetViews>
    <sheetView showGridLines="0" topLeftCell="A34" zoomScale="90" zoomScaleNormal="90" workbookViewId="0">
      <selection activeCell="A65" sqref="A65"/>
    </sheetView>
  </sheetViews>
  <sheetFormatPr defaultColWidth="9.109375" defaultRowHeight="13.2"/>
  <cols>
    <col min="1" max="1" width="51.6640625" style="5" customWidth="1"/>
    <col min="2" max="4" width="12.6640625" style="5" customWidth="1"/>
    <col min="5" max="5" width="3.6640625" style="5" customWidth="1"/>
    <col min="6" max="6" width="1.6640625" style="5" customWidth="1"/>
    <col min="7" max="7" width="33.6640625" style="5" customWidth="1"/>
    <col min="8" max="11" width="12.6640625" style="5" customWidth="1"/>
    <col min="12" max="16384" width="9.109375" style="5"/>
  </cols>
  <sheetData>
    <row r="1" spans="1:20" ht="15.6">
      <c r="A1" s="997" t="str">
        <f>Assm!A1</f>
        <v>GASOCIDENTE DO MATO GROSSO LTDA (GASMAT) *** DRAFT COPY ***</v>
      </c>
      <c r="B1" s="1115"/>
      <c r="C1" s="205"/>
      <c r="D1" s="205"/>
      <c r="E1" s="205"/>
      <c r="F1" s="132"/>
      <c r="G1" s="132"/>
      <c r="J1" s="47"/>
      <c r="R1" s="94"/>
    </row>
    <row r="2" spans="1:20" ht="15.6">
      <c r="A2" s="997" t="str">
        <f>Assm!A2</f>
        <v>257 KM PIPELINE SPUR FOR CUIABA POWER PLANT (BRAZIL)</v>
      </c>
      <c r="B2" s="1115"/>
      <c r="C2" s="205"/>
      <c r="D2" s="205"/>
      <c r="E2" s="205"/>
      <c r="F2" s="132"/>
      <c r="G2" s="132"/>
      <c r="J2" s="47"/>
      <c r="R2" s="94"/>
    </row>
    <row r="3" spans="1:20" ht="15">
      <c r="A3" s="206" t="str">
        <f>Assm!A3</f>
        <v>ENRON INTERNATIONAL</v>
      </c>
      <c r="B3" s="1116"/>
      <c r="C3" s="206"/>
      <c r="D3" s="206"/>
      <c r="E3" s="206"/>
      <c r="F3" s="132"/>
      <c r="G3" s="132"/>
      <c r="J3" s="47"/>
      <c r="S3" s="70"/>
      <c r="T3" s="70"/>
    </row>
    <row r="4" spans="1:20" ht="15">
      <c r="A4" s="818" t="s">
        <v>1001</v>
      </c>
      <c r="B4" s="1117"/>
      <c r="C4" s="818"/>
      <c r="D4" s="818"/>
      <c r="E4" s="818"/>
      <c r="F4" s="132"/>
      <c r="G4" s="132"/>
      <c r="J4" s="47"/>
    </row>
    <row r="5" spans="1:20" ht="13.8" thickBot="1"/>
    <row r="6" spans="1:20">
      <c r="A6" s="459" t="s">
        <v>772</v>
      </c>
      <c r="B6" s="74"/>
      <c r="C6" s="563"/>
      <c r="D6" s="705"/>
      <c r="F6" s="438" t="s">
        <v>793</v>
      </c>
      <c r="G6" s="457"/>
      <c r="H6" s="457"/>
      <c r="I6" s="457"/>
      <c r="J6" s="457"/>
      <c r="K6" s="140"/>
    </row>
    <row r="7" spans="1:20">
      <c r="A7" s="390"/>
      <c r="B7" s="373"/>
      <c r="C7" s="706" t="s">
        <v>773</v>
      </c>
      <c r="D7" s="707" t="s">
        <v>773</v>
      </c>
      <c r="F7" s="440"/>
      <c r="G7" s="150"/>
      <c r="H7" s="715"/>
      <c r="I7" s="715"/>
      <c r="J7" s="715"/>
      <c r="K7" s="716"/>
    </row>
    <row r="8" spans="1:20">
      <c r="A8" s="390"/>
      <c r="B8" s="373"/>
      <c r="C8" s="708" t="s">
        <v>774</v>
      </c>
      <c r="D8" s="709" t="s">
        <v>775</v>
      </c>
      <c r="F8" s="144" t="s">
        <v>736</v>
      </c>
      <c r="G8" s="11"/>
      <c r="H8" s="717" t="s">
        <v>180</v>
      </c>
      <c r="I8" s="717" t="s">
        <v>181</v>
      </c>
      <c r="J8" s="717" t="s">
        <v>794</v>
      </c>
      <c r="K8" s="718" t="s">
        <v>182</v>
      </c>
    </row>
    <row r="9" spans="1:20">
      <c r="A9" s="137" t="s">
        <v>776</v>
      </c>
      <c r="B9" s="8"/>
      <c r="C9" s="825">
        <v>1096.001</v>
      </c>
      <c r="D9" s="851">
        <v>1096.001</v>
      </c>
      <c r="F9" s="137" t="s">
        <v>731</v>
      </c>
      <c r="G9" s="8"/>
      <c r="H9" s="871">
        <v>0</v>
      </c>
      <c r="I9" s="872">
        <v>1</v>
      </c>
      <c r="J9" s="153">
        <f>D13</f>
        <v>30763.081999999999</v>
      </c>
      <c r="K9" s="339">
        <f>J9*I9*H9</f>
        <v>0</v>
      </c>
    </row>
    <row r="10" spans="1:20">
      <c r="A10" s="137" t="s">
        <v>777</v>
      </c>
      <c r="B10" s="8"/>
      <c r="C10" s="825">
        <v>1274.931</v>
      </c>
      <c r="D10" s="851">
        <v>1274.931</v>
      </c>
      <c r="F10" s="137" t="s">
        <v>781</v>
      </c>
      <c r="G10" s="8"/>
      <c r="H10" s="711">
        <f>Wh_Serv/(1-Wh_Serv)</f>
        <v>0.17647058823529413</v>
      </c>
      <c r="I10" s="872">
        <v>1</v>
      </c>
      <c r="J10" s="153">
        <f>D14</f>
        <v>74.341999999999999</v>
      </c>
      <c r="K10" s="339">
        <f>J10*I10*H10</f>
        <v>13.119176470588236</v>
      </c>
      <c r="L10" s="8"/>
    </row>
    <row r="11" spans="1:20">
      <c r="A11" s="137" t="s">
        <v>778</v>
      </c>
      <c r="B11" s="8"/>
      <c r="C11" s="825">
        <v>25176.376</v>
      </c>
      <c r="D11" s="851">
        <v>25176.376</v>
      </c>
      <c r="F11" s="137" t="s">
        <v>319</v>
      </c>
      <c r="G11" s="8"/>
      <c r="H11" s="711">
        <f>Wh_Serv/(1-Wh_Serv)</f>
        <v>0.17647058823529413</v>
      </c>
      <c r="I11" s="872">
        <v>1</v>
      </c>
      <c r="J11" s="153">
        <f>D15</f>
        <v>558.62099999999998</v>
      </c>
      <c r="K11" s="339">
        <f>J11*I11*H11</f>
        <v>98.580176470588242</v>
      </c>
      <c r="L11" s="8"/>
    </row>
    <row r="12" spans="1:20">
      <c r="A12" s="137" t="s">
        <v>779</v>
      </c>
      <c r="B12" s="8"/>
      <c r="C12" s="825">
        <v>1398.2270000000001</v>
      </c>
      <c r="D12" s="851">
        <v>1398.2270000000001</v>
      </c>
      <c r="F12" s="137" t="s">
        <v>782</v>
      </c>
      <c r="G12" s="8"/>
      <c r="H12" s="711">
        <f>Wh_Serv/(1-Wh_Serv)</f>
        <v>0.17647058823529413</v>
      </c>
      <c r="I12" s="872">
        <v>1</v>
      </c>
      <c r="J12" s="153">
        <f>D16</f>
        <v>834.36199999999997</v>
      </c>
      <c r="K12" s="339">
        <f>J12*I12*H12</f>
        <v>147.24035294117647</v>
      </c>
    </row>
    <row r="13" spans="1:20">
      <c r="A13" s="137" t="s">
        <v>780</v>
      </c>
      <c r="B13" s="8"/>
      <c r="C13" s="825">
        <v>30763.081999999999</v>
      </c>
      <c r="D13" s="851">
        <v>30763.081999999999</v>
      </c>
      <c r="F13" s="137" t="s">
        <v>783</v>
      </c>
      <c r="G13" s="8"/>
      <c r="H13" s="711">
        <f>Wh_Serv/(1-Wh_Serv)</f>
        <v>0.17647058823529413</v>
      </c>
      <c r="I13" s="872">
        <v>1</v>
      </c>
      <c r="J13" s="153">
        <f>D17</f>
        <v>6.5940000000000003</v>
      </c>
      <c r="K13" s="561">
        <f>J13*I13*H13</f>
        <v>1.1636470588235295</v>
      </c>
    </row>
    <row r="14" spans="1:20">
      <c r="A14" s="137" t="s">
        <v>781</v>
      </c>
      <c r="B14" s="8"/>
      <c r="C14" s="825">
        <v>74.341999999999999</v>
      </c>
      <c r="D14" s="851">
        <v>74.341999999999999</v>
      </c>
      <c r="F14" s="137"/>
      <c r="G14" s="32" t="s">
        <v>788</v>
      </c>
      <c r="H14" s="150"/>
      <c r="I14" s="150"/>
      <c r="J14" s="153"/>
      <c r="K14" s="667">
        <f>SUM(K9:K13)</f>
        <v>260.10335294117647</v>
      </c>
    </row>
    <row r="15" spans="1:20">
      <c r="A15" s="137" t="s">
        <v>319</v>
      </c>
      <c r="B15" s="8"/>
      <c r="C15" s="825">
        <v>558.62099999999998</v>
      </c>
      <c r="D15" s="851">
        <v>558.62099999999998</v>
      </c>
      <c r="F15" s="137"/>
      <c r="G15" s="8"/>
      <c r="H15" s="8"/>
      <c r="I15" s="8"/>
      <c r="J15" s="8"/>
      <c r="K15" s="148"/>
    </row>
    <row r="16" spans="1:20">
      <c r="A16" s="137" t="s">
        <v>782</v>
      </c>
      <c r="B16" s="8"/>
      <c r="C16" s="825">
        <v>834.36199999999997</v>
      </c>
      <c r="D16" s="851">
        <v>834.36199999999997</v>
      </c>
      <c r="F16" s="144" t="s">
        <v>791</v>
      </c>
      <c r="G16" s="11"/>
      <c r="H16" s="8"/>
      <c r="I16" s="8"/>
      <c r="J16" s="8"/>
      <c r="K16" s="183"/>
    </row>
    <row r="17" spans="1:11">
      <c r="A17" s="137" t="s">
        <v>783</v>
      </c>
      <c r="B17" s="8"/>
      <c r="C17" s="825">
        <v>6.5940000000000003</v>
      </c>
      <c r="D17" s="851">
        <v>6.5940000000000003</v>
      </c>
      <c r="F17" s="137" t="s">
        <v>733</v>
      </c>
      <c r="G17" s="8"/>
      <c r="H17" s="15">
        <f>Assm!$J$22*0</f>
        <v>0</v>
      </c>
      <c r="I17" s="873">
        <v>1</v>
      </c>
      <c r="J17" s="53">
        <f>$D$11</f>
        <v>25176.376</v>
      </c>
      <c r="K17" s="183">
        <f>J17*I17*H17</f>
        <v>0</v>
      </c>
    </row>
    <row r="18" spans="1:11">
      <c r="A18" s="137" t="s">
        <v>784</v>
      </c>
      <c r="B18" s="8"/>
      <c r="C18" s="870">
        <v>4888.2</v>
      </c>
      <c r="D18" s="852">
        <v>4888.2</v>
      </c>
      <c r="F18" s="137" t="s">
        <v>789</v>
      </c>
      <c r="G18" s="8"/>
      <c r="H18" s="15">
        <f>Assm!$J$22*0</f>
        <v>0</v>
      </c>
      <c r="I18" s="873">
        <v>1</v>
      </c>
      <c r="J18" s="53">
        <f>$D$12</f>
        <v>1398.2270000000001</v>
      </c>
      <c r="K18" s="183">
        <f>J18*I18*H18</f>
        <v>0</v>
      </c>
    </row>
    <row r="19" spans="1:11">
      <c r="A19" s="137" t="s">
        <v>785</v>
      </c>
      <c r="B19" s="8"/>
      <c r="C19" s="53">
        <f>SUM(C9:C18)</f>
        <v>66070.73599999999</v>
      </c>
      <c r="D19" s="183">
        <f>SUM(D9:D18)</f>
        <v>66070.73599999999</v>
      </c>
      <c r="F19" s="137" t="s">
        <v>790</v>
      </c>
      <c r="G19" s="8"/>
      <c r="H19" s="15">
        <f>Assm!$J$22*0</f>
        <v>0</v>
      </c>
      <c r="I19" s="873">
        <v>1</v>
      </c>
      <c r="J19" s="53">
        <f>K36</f>
        <v>569.07838900000002</v>
      </c>
      <c r="K19" s="183">
        <f>J19*I19*H19</f>
        <v>0</v>
      </c>
    </row>
    <row r="20" spans="1:11">
      <c r="A20" s="137" t="s">
        <v>786</v>
      </c>
      <c r="B20" s="8"/>
      <c r="C20" s="870">
        <v>342.399</v>
      </c>
      <c r="D20" s="223">
        <f>K38</f>
        <v>1479.1817419411764</v>
      </c>
      <c r="F20" s="137" t="s">
        <v>476</v>
      </c>
      <c r="G20" s="8"/>
      <c r="H20" s="8"/>
      <c r="I20" s="20" t="s">
        <v>477</v>
      </c>
      <c r="J20" s="8"/>
      <c r="K20" s="852">
        <v>650</v>
      </c>
    </row>
    <row r="21" spans="1:11" ht="13.8" thickBot="1">
      <c r="A21" s="76" t="s">
        <v>787</v>
      </c>
      <c r="B21" s="77"/>
      <c r="C21" s="710">
        <f>SUM(C19:C20)</f>
        <v>66413.134999999995</v>
      </c>
      <c r="D21" s="562">
        <f>SUM(D19:D20)</f>
        <v>67549.917741941172</v>
      </c>
      <c r="F21" s="137"/>
      <c r="G21" s="32" t="s">
        <v>735</v>
      </c>
      <c r="H21" s="8"/>
      <c r="I21" s="8"/>
      <c r="J21" s="8"/>
      <c r="K21" s="666">
        <f>SUM(K17:K20)</f>
        <v>650</v>
      </c>
    </row>
    <row r="22" spans="1:11" ht="13.8" thickBot="1">
      <c r="F22" s="137"/>
      <c r="G22" s="8"/>
      <c r="H22" s="15"/>
      <c r="I22" s="15"/>
      <c r="J22" s="8"/>
      <c r="K22" s="148"/>
    </row>
    <row r="23" spans="1:11">
      <c r="A23" s="459" t="s">
        <v>907</v>
      </c>
      <c r="B23" s="74"/>
      <c r="C23" s="563"/>
      <c r="D23" s="705"/>
      <c r="F23" s="144" t="s">
        <v>732</v>
      </c>
      <c r="G23" s="11"/>
      <c r="H23" s="8"/>
      <c r="I23" s="8"/>
      <c r="J23" s="53"/>
      <c r="K23" s="183"/>
    </row>
    <row r="24" spans="1:11">
      <c r="A24" s="390"/>
      <c r="B24" s="373"/>
      <c r="C24" s="188"/>
      <c r="D24" s="947"/>
      <c r="F24" s="669" t="s">
        <v>474</v>
      </c>
      <c r="G24" s="313"/>
      <c r="H24" s="8"/>
      <c r="I24" s="8"/>
      <c r="J24" s="53"/>
      <c r="K24" s="183"/>
    </row>
    <row r="25" spans="1:11">
      <c r="A25" s="137" t="s">
        <v>1136</v>
      </c>
      <c r="B25" s="8"/>
      <c r="C25" s="188"/>
      <c r="D25" s="851">
        <v>37.213999999999999</v>
      </c>
      <c r="F25" s="137"/>
      <c r="G25" s="8" t="s">
        <v>733</v>
      </c>
      <c r="H25" s="874">
        <v>0</v>
      </c>
      <c r="I25" s="873">
        <v>1</v>
      </c>
      <c r="J25" s="53">
        <f>$D$11</f>
        <v>25176.376</v>
      </c>
      <c r="K25" s="183">
        <f>J25*I25*H25</f>
        <v>0</v>
      </c>
    </row>
    <row r="26" spans="1:11">
      <c r="A26" s="137" t="s">
        <v>1137</v>
      </c>
      <c r="B26" s="8"/>
      <c r="C26" s="188"/>
      <c r="D26" s="851">
        <v>123.453</v>
      </c>
      <c r="F26" s="137"/>
      <c r="G26" s="8" t="s">
        <v>779</v>
      </c>
      <c r="H26" s="15">
        <f>Assm!$J$25</f>
        <v>0.17</v>
      </c>
      <c r="I26" s="873">
        <v>1</v>
      </c>
      <c r="J26" s="53">
        <f>$D$12</f>
        <v>1398.2270000000001</v>
      </c>
      <c r="K26" s="184">
        <f>J26*I26*H26</f>
        <v>237.69859000000002</v>
      </c>
    </row>
    <row r="27" spans="1:11">
      <c r="A27" s="137" t="s">
        <v>1138</v>
      </c>
      <c r="B27" s="8"/>
      <c r="C27" s="188"/>
      <c r="D27" s="851">
        <v>180</v>
      </c>
      <c r="F27" s="137"/>
      <c r="G27" s="8" t="s">
        <v>734</v>
      </c>
      <c r="H27" s="1"/>
      <c r="I27" s="2"/>
      <c r="J27" s="53"/>
      <c r="K27" s="183">
        <f>SUM(K25:K26)</f>
        <v>237.69859000000002</v>
      </c>
    </row>
    <row r="28" spans="1:11">
      <c r="A28" s="137" t="s">
        <v>0</v>
      </c>
      <c r="B28" s="8"/>
      <c r="C28" s="188"/>
      <c r="D28" s="851">
        <v>66.150000000000006</v>
      </c>
      <c r="F28" s="669" t="s">
        <v>141</v>
      </c>
      <c r="G28" s="668"/>
      <c r="H28" s="1"/>
      <c r="I28" s="2"/>
      <c r="J28" s="53"/>
      <c r="K28" s="183"/>
    </row>
    <row r="29" spans="1:11">
      <c r="A29" s="137" t="s">
        <v>1</v>
      </c>
      <c r="B29" s="8"/>
      <c r="C29" s="188"/>
      <c r="D29" s="851">
        <v>47.72</v>
      </c>
      <c r="F29" s="137"/>
      <c r="G29" s="8" t="s">
        <v>733</v>
      </c>
      <c r="H29" s="874">
        <v>0</v>
      </c>
      <c r="I29" s="873">
        <v>1</v>
      </c>
      <c r="J29" s="53">
        <f>$D$11</f>
        <v>25176.376</v>
      </c>
      <c r="K29" s="183">
        <f>J29*I29*H29</f>
        <v>0</v>
      </c>
    </row>
    <row r="30" spans="1:11">
      <c r="A30" s="137" t="s">
        <v>2</v>
      </c>
      <c r="B30" s="8"/>
      <c r="C30" s="188"/>
      <c r="D30" s="851">
        <v>8.0340000000000007</v>
      </c>
      <c r="F30" s="137"/>
      <c r="G30" s="8" t="s">
        <v>779</v>
      </c>
      <c r="H30" s="15">
        <f>Assm!$J$26</f>
        <v>0.15</v>
      </c>
      <c r="I30" s="873">
        <v>1</v>
      </c>
      <c r="J30" s="53">
        <f>$D$12</f>
        <v>1398.2270000000001</v>
      </c>
      <c r="K30" s="184">
        <f>J30*I30*H30</f>
        <v>209.73405</v>
      </c>
    </row>
    <row r="31" spans="1:11">
      <c r="A31" s="137" t="s">
        <v>3</v>
      </c>
      <c r="B31" s="8"/>
      <c r="C31" s="188"/>
      <c r="D31" s="851">
        <v>9.1050000000000004</v>
      </c>
      <c r="F31" s="137"/>
      <c r="G31" s="8" t="s">
        <v>734</v>
      </c>
      <c r="H31" s="1"/>
      <c r="I31" s="2"/>
      <c r="J31" s="53"/>
      <c r="K31" s="183">
        <f>SUM(K29:K30)</f>
        <v>209.73405</v>
      </c>
    </row>
    <row r="32" spans="1:11">
      <c r="A32" s="137" t="s">
        <v>4</v>
      </c>
      <c r="B32" s="8"/>
      <c r="C32" s="188"/>
      <c r="D32" s="851">
        <v>5.2839999999999998</v>
      </c>
      <c r="F32" s="669" t="s">
        <v>475</v>
      </c>
      <c r="G32" s="668"/>
      <c r="H32" s="1"/>
      <c r="I32" s="2"/>
      <c r="J32" s="53"/>
      <c r="K32" s="183"/>
    </row>
    <row r="33" spans="1:11">
      <c r="A33" s="137" t="s">
        <v>5</v>
      </c>
      <c r="B33" s="8"/>
      <c r="C33" s="188"/>
      <c r="D33" s="851">
        <v>7.383</v>
      </c>
      <c r="F33" s="137"/>
      <c r="G33" s="8" t="s">
        <v>733</v>
      </c>
      <c r="H33" s="874">
        <v>0</v>
      </c>
      <c r="I33" s="873">
        <v>1</v>
      </c>
      <c r="J33" s="53">
        <f>$D$11</f>
        <v>25176.376</v>
      </c>
      <c r="K33" s="183">
        <f>J33*I33*H33</f>
        <v>0</v>
      </c>
    </row>
    <row r="34" spans="1:11">
      <c r="A34" s="137" t="s">
        <v>6</v>
      </c>
      <c r="B34" s="8"/>
      <c r="C34" s="188"/>
      <c r="D34" s="851">
        <v>32.128</v>
      </c>
      <c r="F34" s="137"/>
      <c r="G34" s="8" t="s">
        <v>779</v>
      </c>
      <c r="H34" s="15">
        <f>Assm!$J$27</f>
        <v>8.6999999999999994E-2</v>
      </c>
      <c r="I34" s="873">
        <v>1</v>
      </c>
      <c r="J34" s="53">
        <f>$D$12</f>
        <v>1398.2270000000001</v>
      </c>
      <c r="K34" s="184">
        <f>J34*I34*H34</f>
        <v>121.645749</v>
      </c>
    </row>
    <row r="35" spans="1:11">
      <c r="A35" s="137" t="s">
        <v>7</v>
      </c>
      <c r="B35" s="8"/>
      <c r="C35" s="188"/>
      <c r="D35" s="851">
        <v>19.010000000000002</v>
      </c>
      <c r="F35" s="137"/>
      <c r="G35" s="8" t="s">
        <v>734</v>
      </c>
      <c r="H35" s="1"/>
      <c r="I35" s="2"/>
      <c r="J35" s="53"/>
      <c r="K35" s="183">
        <f>SUM(K33:K34)</f>
        <v>121.645749</v>
      </c>
    </row>
    <row r="36" spans="1:11">
      <c r="A36" s="137" t="s">
        <v>8</v>
      </c>
      <c r="B36" s="8"/>
      <c r="C36" s="188"/>
      <c r="D36" s="851">
        <v>9.5350000000000001</v>
      </c>
      <c r="F36" s="137"/>
      <c r="G36" s="32" t="s">
        <v>737</v>
      </c>
      <c r="H36" s="1"/>
      <c r="I36" s="2"/>
      <c r="J36" s="53"/>
      <c r="K36" s="666">
        <f>SUM(K27,K31,K35)</f>
        <v>569.07838900000002</v>
      </c>
    </row>
    <row r="37" spans="1:11">
      <c r="A37" s="137" t="s">
        <v>78</v>
      </c>
      <c r="B37" s="8"/>
      <c r="C37" s="188"/>
      <c r="D37" s="851">
        <v>125.999</v>
      </c>
      <c r="F37" s="137"/>
      <c r="G37" s="8"/>
      <c r="H37" s="8"/>
      <c r="I37" s="8"/>
      <c r="J37" s="8"/>
      <c r="K37" s="148"/>
    </row>
    <row r="38" spans="1:11" ht="13.8" thickBot="1">
      <c r="A38" s="137" t="s">
        <v>77</v>
      </c>
      <c r="B38" s="8"/>
      <c r="C38" s="188"/>
      <c r="D38" s="851">
        <v>693</v>
      </c>
      <c r="F38" s="712" t="s">
        <v>792</v>
      </c>
      <c r="G38" s="713"/>
      <c r="H38" s="713"/>
      <c r="I38" s="713"/>
      <c r="J38" s="713"/>
      <c r="K38" s="714">
        <f>SUM(K14,K21,K36)</f>
        <v>1479.1817419411764</v>
      </c>
    </row>
    <row r="39" spans="1:11">
      <c r="A39" s="137" t="s">
        <v>79</v>
      </c>
      <c r="B39" s="8"/>
      <c r="C39" s="188"/>
      <c r="D39" s="851">
        <v>1260</v>
      </c>
    </row>
    <row r="40" spans="1:11">
      <c r="A40" s="137" t="s">
        <v>80</v>
      </c>
      <c r="B40" s="8"/>
      <c r="C40" s="188"/>
      <c r="D40" s="851">
        <v>1310.4000000000001</v>
      </c>
    </row>
    <row r="41" spans="1:11">
      <c r="A41" s="137" t="s">
        <v>83</v>
      </c>
      <c r="B41" s="8"/>
      <c r="C41" s="188"/>
      <c r="D41" s="851">
        <v>1319.2470000000001</v>
      </c>
      <c r="G41" s="66"/>
    </row>
    <row r="42" spans="1:11">
      <c r="A42" s="137" t="s">
        <v>82</v>
      </c>
      <c r="B42" s="8"/>
      <c r="C42" s="188"/>
      <c r="D42" s="851">
        <v>455.7</v>
      </c>
      <c r="G42" s="66"/>
    </row>
    <row r="43" spans="1:11">
      <c r="A43" s="137" t="s">
        <v>81</v>
      </c>
      <c r="B43" s="8"/>
      <c r="C43" s="188"/>
      <c r="D43" s="852">
        <v>-77.417000000000002</v>
      </c>
    </row>
    <row r="44" spans="1:11" ht="13.8" thickBot="1">
      <c r="A44" s="76" t="s">
        <v>1054</v>
      </c>
      <c r="B44" s="77"/>
      <c r="C44" s="948"/>
      <c r="D44" s="562">
        <f>SUM(D25:D43)</f>
        <v>5631.9449999999997</v>
      </c>
    </row>
    <row r="45" spans="1:11" ht="13.8" thickBot="1"/>
    <row r="46" spans="1:11">
      <c r="A46" s="459" t="s">
        <v>1057</v>
      </c>
      <c r="B46" s="74"/>
      <c r="C46" s="563"/>
      <c r="D46" s="705"/>
    </row>
    <row r="47" spans="1:11">
      <c r="A47" s="390"/>
      <c r="B47" s="1118" t="s">
        <v>1095</v>
      </c>
      <c r="C47" s="383" t="s">
        <v>1096</v>
      </c>
      <c r="D47" s="1119" t="s">
        <v>1097</v>
      </c>
    </row>
    <row r="48" spans="1:11">
      <c r="A48" s="137" t="s">
        <v>906</v>
      </c>
      <c r="B48" s="870">
        <v>200.44399999999999</v>
      </c>
      <c r="C48" s="1098">
        <v>1</v>
      </c>
      <c r="D48" s="223">
        <f>B48*C48</f>
        <v>200.44399999999999</v>
      </c>
    </row>
    <row r="49" spans="1:7" ht="13.8" thickBot="1">
      <c r="A49" s="76" t="s">
        <v>1064</v>
      </c>
      <c r="B49" s="710">
        <f>SUM(B48)</f>
        <v>200.44399999999999</v>
      </c>
      <c r="C49" s="948"/>
      <c r="D49" s="562">
        <f>SUM(D48)</f>
        <v>200.44399999999999</v>
      </c>
    </row>
    <row r="50" spans="1:7" ht="13.8" thickBot="1"/>
    <row r="51" spans="1:7">
      <c r="A51" s="459" t="s">
        <v>908</v>
      </c>
      <c r="B51" s="74"/>
      <c r="C51" s="563"/>
      <c r="D51" s="705"/>
    </row>
    <row r="52" spans="1:7">
      <c r="A52" s="390"/>
      <c r="B52" s="373"/>
      <c r="C52" s="188"/>
      <c r="D52" s="947"/>
    </row>
    <row r="53" spans="1:7">
      <c r="A53" s="137" t="s">
        <v>84</v>
      </c>
      <c r="B53" s="8"/>
      <c r="C53" s="1257"/>
      <c r="D53" s="851">
        <v>0</v>
      </c>
    </row>
    <row r="54" spans="1:7">
      <c r="A54" s="137" t="s">
        <v>905</v>
      </c>
      <c r="B54" s="8"/>
      <c r="C54" s="188"/>
      <c r="D54" s="851">
        <f>[4]RAROC!$C$119</f>
        <v>10499</v>
      </c>
      <c r="F54" s="66">
        <f>SUM(D54:D54)</f>
        <v>10499</v>
      </c>
      <c r="G54" s="66"/>
    </row>
    <row r="55" spans="1:7">
      <c r="A55" s="137" t="s">
        <v>608</v>
      </c>
      <c r="B55" s="8"/>
      <c r="C55" s="188"/>
      <c r="D55" s="851">
        <v>5500</v>
      </c>
    </row>
    <row r="56" spans="1:7">
      <c r="A56" s="137" t="s">
        <v>609</v>
      </c>
      <c r="B56" s="8"/>
      <c r="C56" s="188"/>
      <c r="D56" s="852">
        <v>1000</v>
      </c>
    </row>
    <row r="57" spans="1:7" ht="13.8" thickBot="1">
      <c r="A57" s="76" t="s">
        <v>1065</v>
      </c>
      <c r="B57" s="77"/>
      <c r="C57" s="948"/>
      <c r="D57" s="562">
        <f>SUM(D53:D56)</f>
        <v>16999</v>
      </c>
    </row>
  </sheetData>
  <printOptions horizontalCentered="1"/>
  <pageMargins left="0.25" right="0.25" top="0.5" bottom="0.5" header="0.25" footer="0.25"/>
  <pageSetup scale="70" orientation="landscape" horizontalDpi="4294967292" verticalDpi="3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Z96"/>
  <sheetViews>
    <sheetView showGridLines="0" topLeftCell="A6" zoomScale="80" workbookViewId="0">
      <pane xSplit="3" ySplit="2" topLeftCell="D55" activePane="bottomRight" state="frozen"/>
      <selection activeCell="A6" sqref="A6"/>
      <selection pane="topRight" activeCell="D6" sqref="D6"/>
      <selection pane="bottomLeft" activeCell="A8" sqref="A8"/>
      <selection pane="bottomRight" activeCell="C85" sqref="C85"/>
    </sheetView>
  </sheetViews>
  <sheetFormatPr defaultColWidth="9.109375" defaultRowHeight="13.2"/>
  <cols>
    <col min="1" max="1" width="4.6640625" style="5" customWidth="1"/>
    <col min="2" max="2" width="25.6640625" style="5" customWidth="1"/>
    <col min="3" max="3" width="10.6640625" style="5" customWidth="1"/>
    <col min="4" max="4" width="4.6640625" style="5" customWidth="1"/>
    <col min="5" max="19" width="9.6640625" style="5" customWidth="1"/>
    <col min="20" max="20" width="10.5546875" style="5" bestFit="1" customWidth="1"/>
    <col min="21" max="40" width="9.6640625" style="5" customWidth="1"/>
    <col min="41" max="41" width="1.6640625" style="5" customWidth="1"/>
    <col min="42" max="42" width="10.6640625" style="5" customWidth="1"/>
    <col min="43" max="45" width="9.109375" style="5"/>
    <col min="46" max="52" width="10.6640625" style="5" customWidth="1"/>
    <col min="53" max="16384" width="9.109375" style="5"/>
  </cols>
  <sheetData>
    <row r="1" spans="1:43" s="242" customFormat="1" ht="15.6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79"/>
      <c r="AA1" s="279"/>
      <c r="AB1" s="24"/>
    </row>
    <row r="2" spans="1:43" s="242" customFormat="1" ht="15.6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79"/>
      <c r="AA2" s="279"/>
      <c r="AB2" s="24"/>
    </row>
    <row r="3" spans="1:43" s="242" customFormat="1" ht="1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79"/>
      <c r="AA3" s="279"/>
      <c r="AB3" s="24"/>
    </row>
    <row r="4" spans="1:43" s="242" customFormat="1" ht="15">
      <c r="A4" s="818" t="s">
        <v>1002</v>
      </c>
      <c r="B4" s="818"/>
      <c r="C4" s="864"/>
      <c r="D4" s="24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79"/>
      <c r="AA4" s="279"/>
      <c r="AB4" s="24"/>
    </row>
    <row r="5" spans="1:43" s="242" customFormat="1" ht="13.8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  <c r="AQ5" s="344" t="s">
        <v>951</v>
      </c>
    </row>
    <row r="6" spans="1:43" s="344" customFormat="1">
      <c r="A6" s="400" t="s">
        <v>221</v>
      </c>
      <c r="B6" s="510"/>
      <c r="C6" s="510"/>
      <c r="D6" s="510"/>
      <c r="E6" s="877">
        <f t="shared" ref="E6:AN6" si="0">D6+1</f>
        <v>1</v>
      </c>
      <c r="F6" s="510">
        <f t="shared" si="0"/>
        <v>2</v>
      </c>
      <c r="G6" s="510">
        <f t="shared" si="0"/>
        <v>3</v>
      </c>
      <c r="H6" s="510">
        <f t="shared" si="0"/>
        <v>4</v>
      </c>
      <c r="I6" s="510">
        <f t="shared" si="0"/>
        <v>5</v>
      </c>
      <c r="J6" s="510">
        <f t="shared" si="0"/>
        <v>6</v>
      </c>
      <c r="K6" s="510">
        <f t="shared" si="0"/>
        <v>7</v>
      </c>
      <c r="L6" s="510">
        <f t="shared" si="0"/>
        <v>8</v>
      </c>
      <c r="M6" s="510">
        <f t="shared" si="0"/>
        <v>9</v>
      </c>
      <c r="N6" s="510">
        <f t="shared" si="0"/>
        <v>10</v>
      </c>
      <c r="O6" s="510">
        <f t="shared" si="0"/>
        <v>11</v>
      </c>
      <c r="P6" s="510">
        <f t="shared" si="0"/>
        <v>12</v>
      </c>
      <c r="Q6" s="510">
        <f t="shared" si="0"/>
        <v>13</v>
      </c>
      <c r="R6" s="510">
        <f t="shared" si="0"/>
        <v>14</v>
      </c>
      <c r="S6" s="510">
        <f t="shared" si="0"/>
        <v>15</v>
      </c>
      <c r="T6" s="510">
        <f t="shared" si="0"/>
        <v>16</v>
      </c>
      <c r="U6" s="510">
        <f t="shared" si="0"/>
        <v>17</v>
      </c>
      <c r="V6" s="510">
        <f t="shared" si="0"/>
        <v>18</v>
      </c>
      <c r="W6" s="510">
        <f t="shared" si="0"/>
        <v>19</v>
      </c>
      <c r="X6" s="510">
        <f t="shared" si="0"/>
        <v>20</v>
      </c>
      <c r="Y6" s="510">
        <f t="shared" si="0"/>
        <v>21</v>
      </c>
      <c r="Z6" s="510">
        <f t="shared" si="0"/>
        <v>22</v>
      </c>
      <c r="AA6" s="510">
        <f t="shared" si="0"/>
        <v>23</v>
      </c>
      <c r="AB6" s="510">
        <f t="shared" si="0"/>
        <v>24</v>
      </c>
      <c r="AC6" s="510">
        <f t="shared" si="0"/>
        <v>25</v>
      </c>
      <c r="AD6" s="510">
        <f t="shared" si="0"/>
        <v>26</v>
      </c>
      <c r="AE6" s="510">
        <f t="shared" si="0"/>
        <v>27</v>
      </c>
      <c r="AF6" s="510">
        <f t="shared" si="0"/>
        <v>28</v>
      </c>
      <c r="AG6" s="510">
        <f t="shared" si="0"/>
        <v>29</v>
      </c>
      <c r="AH6" s="510">
        <f t="shared" si="0"/>
        <v>30</v>
      </c>
      <c r="AI6" s="510">
        <f t="shared" si="0"/>
        <v>31</v>
      </c>
      <c r="AJ6" s="510">
        <f t="shared" si="0"/>
        <v>32</v>
      </c>
      <c r="AK6" s="510">
        <f t="shared" si="0"/>
        <v>33</v>
      </c>
      <c r="AL6" s="510">
        <f t="shared" si="0"/>
        <v>34</v>
      </c>
      <c r="AM6" s="510">
        <f t="shared" si="0"/>
        <v>35</v>
      </c>
      <c r="AN6" s="510">
        <f t="shared" si="0"/>
        <v>36</v>
      </c>
      <c r="AO6" s="511"/>
      <c r="AP6" s="523"/>
      <c r="AQ6" s="1046" t="s">
        <v>954</v>
      </c>
    </row>
    <row r="7" spans="1:43" s="344" customFormat="1" ht="13.8" thickBot="1">
      <c r="A7" s="76" t="s">
        <v>222</v>
      </c>
      <c r="B7" s="345"/>
      <c r="C7" s="345"/>
      <c r="D7" s="345"/>
      <c r="E7" s="346">
        <f>IDC!E7</f>
        <v>35886</v>
      </c>
      <c r="F7" s="346">
        <f>IDC!F7</f>
        <v>35916</v>
      </c>
      <c r="G7" s="346">
        <f>IDC!G7</f>
        <v>35947</v>
      </c>
      <c r="H7" s="346">
        <f>IDC!H7</f>
        <v>35977</v>
      </c>
      <c r="I7" s="346">
        <f>IDC!I7</f>
        <v>36008</v>
      </c>
      <c r="J7" s="346">
        <f>IDC!J7</f>
        <v>36039</v>
      </c>
      <c r="K7" s="346">
        <f>IDC!K7</f>
        <v>36069</v>
      </c>
      <c r="L7" s="346">
        <f>IDC!L7</f>
        <v>36100</v>
      </c>
      <c r="M7" s="346">
        <f>IDC!M7</f>
        <v>36130</v>
      </c>
      <c r="N7" s="346">
        <f>IDC!N7</f>
        <v>36161</v>
      </c>
      <c r="O7" s="346">
        <f>IDC!O7</f>
        <v>36192</v>
      </c>
      <c r="P7" s="346">
        <f>IDC!P7</f>
        <v>36220</v>
      </c>
      <c r="Q7" s="346">
        <f>IDC!Q7</f>
        <v>36251</v>
      </c>
      <c r="R7" s="346">
        <f>IDC!R7</f>
        <v>36281</v>
      </c>
      <c r="S7" s="346">
        <f>IDC!S7</f>
        <v>36312</v>
      </c>
      <c r="T7" s="346">
        <f>IDC!T7</f>
        <v>36342</v>
      </c>
      <c r="U7" s="346">
        <f>IDC!U7</f>
        <v>36373</v>
      </c>
      <c r="V7" s="346">
        <f>IDC!V7</f>
        <v>36404</v>
      </c>
      <c r="W7" s="346">
        <f>IDC!W7</f>
        <v>36434</v>
      </c>
      <c r="X7" s="346">
        <f>IDC!X7</f>
        <v>36465</v>
      </c>
      <c r="Y7" s="346">
        <f>IDC!Y7</f>
        <v>36495</v>
      </c>
      <c r="Z7" s="346">
        <f>IDC!Z7</f>
        <v>36526</v>
      </c>
      <c r="AA7" s="346">
        <f>IDC!AA7</f>
        <v>36557</v>
      </c>
      <c r="AB7" s="346">
        <f>IDC!AB7</f>
        <v>36586</v>
      </c>
      <c r="AC7" s="346">
        <f>IDC!AC7</f>
        <v>36617</v>
      </c>
      <c r="AD7" s="346">
        <f>IDC!AD7</f>
        <v>36647</v>
      </c>
      <c r="AE7" s="346">
        <f>IDC!AE7</f>
        <v>36678</v>
      </c>
      <c r="AF7" s="346">
        <f>IDC!AF7</f>
        <v>36708</v>
      </c>
      <c r="AG7" s="346">
        <f>IDC!AG7</f>
        <v>36739</v>
      </c>
      <c r="AH7" s="346">
        <f>IDC!AH7</f>
        <v>36770</v>
      </c>
      <c r="AI7" s="346">
        <f>IDC!AI7</f>
        <v>36800</v>
      </c>
      <c r="AJ7" s="346">
        <f>IDC!AJ7</f>
        <v>36831</v>
      </c>
      <c r="AK7" s="346">
        <f>IDC!AK7</f>
        <v>36861</v>
      </c>
      <c r="AL7" s="346">
        <f>IDC!AL7</f>
        <v>36892</v>
      </c>
      <c r="AM7" s="346">
        <f>IDC!AM7</f>
        <v>36923</v>
      </c>
      <c r="AN7" s="346">
        <f>IDC!AN7</f>
        <v>36951</v>
      </c>
      <c r="AO7" s="305"/>
      <c r="AP7" s="524" t="s">
        <v>186</v>
      </c>
      <c r="AQ7" s="1037">
        <v>1</v>
      </c>
    </row>
    <row r="8" spans="1:43" s="344" customFormat="1">
      <c r="A8" s="512"/>
      <c r="B8" s="347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525"/>
      <c r="AQ8" s="1038">
        <f>AQ7+1</f>
        <v>2</v>
      </c>
    </row>
    <row r="9" spans="1:43" s="344" customFormat="1">
      <c r="A9" s="513" t="str">
        <f>Assm!N7</f>
        <v>EPC Turnkey Contract</v>
      </c>
      <c r="B9" s="347"/>
      <c r="C9" s="153">
        <f>Assm!R7</f>
        <v>66413.134999999995</v>
      </c>
      <c r="D9" s="188"/>
      <c r="E9" s="389">
        <f>E84+E85+E87+E90</f>
        <v>0</v>
      </c>
      <c r="F9" s="389">
        <f t="shared" ref="F9:AB9" si="1">F84+F85+F87+F90</f>
        <v>0</v>
      </c>
      <c r="G9" s="389">
        <f t="shared" si="1"/>
        <v>10.684961106309419</v>
      </c>
      <c r="H9" s="389">
        <f t="shared" si="1"/>
        <v>0</v>
      </c>
      <c r="I9" s="389">
        <f t="shared" si="1"/>
        <v>0</v>
      </c>
      <c r="J9" s="389">
        <f t="shared" si="1"/>
        <v>0</v>
      </c>
      <c r="K9" s="389">
        <f t="shared" si="1"/>
        <v>0</v>
      </c>
      <c r="L9" s="389">
        <f t="shared" si="1"/>
        <v>0</v>
      </c>
      <c r="M9" s="389">
        <f t="shared" si="1"/>
        <v>2865.4951334770353</v>
      </c>
      <c r="N9" s="389">
        <f t="shared" si="1"/>
        <v>3744.6684263959392</v>
      </c>
      <c r="O9" s="389">
        <f t="shared" si="1"/>
        <v>4163.2945563734993</v>
      </c>
      <c r="P9" s="389">
        <f t="shared" si="1"/>
        <v>4.5100222717149219</v>
      </c>
      <c r="Q9" s="389">
        <f t="shared" si="1"/>
        <v>2726.1969376854599</v>
      </c>
      <c r="R9" s="389">
        <f t="shared" si="1"/>
        <v>779.56029582366591</v>
      </c>
      <c r="S9" s="389">
        <f t="shared" si="1"/>
        <v>6266.5848736626449</v>
      </c>
      <c r="T9" s="389">
        <f t="shared" si="1"/>
        <v>11822.961074380168</v>
      </c>
      <c r="U9" s="389">
        <f t="shared" si="1"/>
        <v>405.97270212432801</v>
      </c>
      <c r="V9" s="389">
        <f t="shared" si="1"/>
        <v>2078.8655880975916</v>
      </c>
      <c r="W9" s="389">
        <f t="shared" si="1"/>
        <v>260.69534050179215</v>
      </c>
      <c r="X9" s="389">
        <f t="shared" si="1"/>
        <v>4734.609663494045</v>
      </c>
      <c r="Y9" s="389">
        <f t="shared" si="1"/>
        <v>8598.024035774175</v>
      </c>
      <c r="Z9" s="389">
        <f t="shared" si="1"/>
        <v>2412.2478916999553</v>
      </c>
      <c r="AA9" s="389">
        <f t="shared" si="1"/>
        <v>4236.3880368787941</v>
      </c>
      <c r="AB9" s="389">
        <f t="shared" si="1"/>
        <v>572.31156641675727</v>
      </c>
      <c r="AC9" s="1158">
        <f>($C$15-SUM($E9:$AB9))/9</f>
        <v>3835.4540706419211</v>
      </c>
      <c r="AD9" s="1158">
        <f t="shared" ref="AD9:AK9" si="2">($C$15-SUM($E9:$AB9))/9</f>
        <v>3835.4540706419211</v>
      </c>
      <c r="AE9" s="1158">
        <f t="shared" si="2"/>
        <v>3835.4540706419211</v>
      </c>
      <c r="AF9" s="1158">
        <f t="shared" si="2"/>
        <v>3835.4540706419211</v>
      </c>
      <c r="AG9" s="1158">
        <f t="shared" si="2"/>
        <v>3835.4540706419211</v>
      </c>
      <c r="AH9" s="1158">
        <f t="shared" si="2"/>
        <v>3835.4540706419211</v>
      </c>
      <c r="AI9" s="1158">
        <f t="shared" si="2"/>
        <v>3835.4540706419211</v>
      </c>
      <c r="AJ9" s="1158">
        <f t="shared" si="2"/>
        <v>3835.4540706419211</v>
      </c>
      <c r="AK9" s="1158">
        <f t="shared" si="2"/>
        <v>3835.4540706419211</v>
      </c>
      <c r="AL9" s="1158">
        <v>0</v>
      </c>
      <c r="AM9" s="1158">
        <v>0</v>
      </c>
      <c r="AN9" s="1158">
        <v>0</v>
      </c>
      <c r="AO9" s="188"/>
      <c r="AP9" s="472">
        <f t="shared" ref="AP9:AP15" si="3">SUM(E9:AO9)</f>
        <v>90202.157741941162</v>
      </c>
      <c r="AQ9" s="1038">
        <f t="shared" ref="AQ9:AQ68" si="4">AQ8+1</f>
        <v>3</v>
      </c>
    </row>
    <row r="10" spans="1:43" s="344" customFormat="1">
      <c r="A10" s="513" t="str">
        <f>Assm!N8</f>
        <v>Approved Change Orders</v>
      </c>
      <c r="B10" s="347"/>
      <c r="C10" s="153">
        <f>Assm!R8</f>
        <v>5631.9449999999997</v>
      </c>
      <c r="D10" s="188"/>
      <c r="E10" s="1128">
        <v>0</v>
      </c>
      <c r="F10" s="1128">
        <v>0</v>
      </c>
      <c r="G10" s="1128">
        <v>0</v>
      </c>
      <c r="H10" s="1128">
        <v>0</v>
      </c>
      <c r="I10" s="1128">
        <v>0</v>
      </c>
      <c r="J10" s="1128">
        <v>0</v>
      </c>
      <c r="K10" s="1128">
        <v>0</v>
      </c>
      <c r="L10" s="1128">
        <v>0</v>
      </c>
      <c r="M10" s="1128">
        <v>0</v>
      </c>
      <c r="N10" s="1128">
        <v>0</v>
      </c>
      <c r="O10" s="1128">
        <v>0</v>
      </c>
      <c r="P10" s="1128">
        <v>0</v>
      </c>
      <c r="Q10" s="1128">
        <v>0</v>
      </c>
      <c r="R10" s="1128">
        <v>0</v>
      </c>
      <c r="S10" s="1128">
        <v>0</v>
      </c>
      <c r="T10" s="1128">
        <v>0</v>
      </c>
      <c r="U10" s="1128">
        <v>0</v>
      </c>
      <c r="V10" s="1128">
        <v>0</v>
      </c>
      <c r="W10" s="1128">
        <v>0</v>
      </c>
      <c r="X10" s="1128">
        <v>0</v>
      </c>
      <c r="Y10" s="1128">
        <v>0</v>
      </c>
      <c r="Z10" s="1128">
        <v>0</v>
      </c>
      <c r="AA10" s="1128">
        <v>0</v>
      </c>
      <c r="AB10" s="1128">
        <v>0</v>
      </c>
      <c r="AC10" s="1128">
        <v>0</v>
      </c>
      <c r="AD10" s="1128">
        <v>0</v>
      </c>
      <c r="AE10" s="1128">
        <v>0</v>
      </c>
      <c r="AF10" s="1128">
        <v>0</v>
      </c>
      <c r="AG10" s="1128">
        <v>0</v>
      </c>
      <c r="AH10" s="1128">
        <v>0</v>
      </c>
      <c r="AI10" s="1128">
        <v>0</v>
      </c>
      <c r="AJ10" s="1128">
        <v>0</v>
      </c>
      <c r="AK10" s="1128">
        <v>0</v>
      </c>
      <c r="AL10" s="1128">
        <v>0</v>
      </c>
      <c r="AM10" s="1128">
        <v>0</v>
      </c>
      <c r="AN10" s="1128">
        <v>0</v>
      </c>
      <c r="AO10" s="188"/>
      <c r="AP10" s="472">
        <f>SUM(E10:AO10)</f>
        <v>0</v>
      </c>
      <c r="AQ10" s="1038">
        <f t="shared" si="4"/>
        <v>4</v>
      </c>
    </row>
    <row r="11" spans="1:43" s="344" customFormat="1">
      <c r="A11" s="513" t="str">
        <f>Assm!N9</f>
        <v>Pending Change Orders</v>
      </c>
      <c r="B11" s="347"/>
      <c r="C11" s="153">
        <f>Assm!R9</f>
        <v>200.44399999999999</v>
      </c>
      <c r="D11" s="188"/>
      <c r="E11" s="1128">
        <v>0</v>
      </c>
      <c r="F11" s="1128">
        <v>0</v>
      </c>
      <c r="G11" s="1128">
        <v>0</v>
      </c>
      <c r="H11" s="1128">
        <v>0</v>
      </c>
      <c r="I11" s="1128">
        <v>0</v>
      </c>
      <c r="J11" s="1128">
        <v>0</v>
      </c>
      <c r="K11" s="1128">
        <v>0</v>
      </c>
      <c r="L11" s="1128">
        <v>0</v>
      </c>
      <c r="M11" s="1128">
        <v>0</v>
      </c>
      <c r="N11" s="1128">
        <v>0</v>
      </c>
      <c r="O11" s="1128">
        <v>0</v>
      </c>
      <c r="P11" s="1128">
        <v>0</v>
      </c>
      <c r="Q11" s="1128">
        <v>0</v>
      </c>
      <c r="R11" s="1128">
        <v>0</v>
      </c>
      <c r="S11" s="1128">
        <v>0</v>
      </c>
      <c r="T11" s="1128">
        <v>0</v>
      </c>
      <c r="U11" s="1128">
        <v>0</v>
      </c>
      <c r="V11" s="1128">
        <v>0</v>
      </c>
      <c r="W11" s="1128">
        <v>0</v>
      </c>
      <c r="X11" s="1128">
        <v>0</v>
      </c>
      <c r="Y11" s="1128">
        <v>0</v>
      </c>
      <c r="Z11" s="1128">
        <v>0</v>
      </c>
      <c r="AA11" s="1128">
        <v>0</v>
      </c>
      <c r="AB11" s="1128">
        <v>0</v>
      </c>
      <c r="AC11" s="1128">
        <v>0</v>
      </c>
      <c r="AD11" s="1128">
        <v>0</v>
      </c>
      <c r="AE11" s="1128">
        <v>0</v>
      </c>
      <c r="AF11" s="1128">
        <v>0</v>
      </c>
      <c r="AG11" s="1128">
        <v>0</v>
      </c>
      <c r="AH11" s="1128">
        <v>0</v>
      </c>
      <c r="AI11" s="1128">
        <v>0</v>
      </c>
      <c r="AJ11" s="1128">
        <v>0</v>
      </c>
      <c r="AK11" s="1128">
        <v>0</v>
      </c>
      <c r="AL11" s="1128">
        <v>0</v>
      </c>
      <c r="AM11" s="1128">
        <v>0</v>
      </c>
      <c r="AN11" s="1128">
        <v>0</v>
      </c>
      <c r="AO11" s="188"/>
      <c r="AP11" s="472">
        <f t="shared" si="3"/>
        <v>0</v>
      </c>
      <c r="AQ11" s="1038">
        <f t="shared" si="4"/>
        <v>5</v>
      </c>
    </row>
    <row r="12" spans="1:43" s="344" customFormat="1">
      <c r="A12" s="513" t="str">
        <f>Assm!N10</f>
        <v>Other Change Orders</v>
      </c>
      <c r="B12" s="347"/>
      <c r="C12" s="153">
        <f>Assm!R10</f>
        <v>16999</v>
      </c>
      <c r="D12" s="188"/>
      <c r="E12" s="1128">
        <v>0</v>
      </c>
      <c r="F12" s="1128">
        <v>0</v>
      </c>
      <c r="G12" s="1128">
        <v>0</v>
      </c>
      <c r="H12" s="1128">
        <v>0</v>
      </c>
      <c r="I12" s="1128">
        <v>0</v>
      </c>
      <c r="J12" s="1128">
        <v>0</v>
      </c>
      <c r="K12" s="1128">
        <v>0</v>
      </c>
      <c r="L12" s="1128">
        <v>0</v>
      </c>
      <c r="M12" s="1128">
        <v>0</v>
      </c>
      <c r="N12" s="1128">
        <v>0</v>
      </c>
      <c r="O12" s="1128">
        <v>0</v>
      </c>
      <c r="P12" s="1128">
        <v>0</v>
      </c>
      <c r="Q12" s="1128">
        <v>0</v>
      </c>
      <c r="R12" s="1128">
        <v>0</v>
      </c>
      <c r="S12" s="1128">
        <v>0</v>
      </c>
      <c r="T12" s="1128">
        <v>0</v>
      </c>
      <c r="U12" s="1128">
        <v>0</v>
      </c>
      <c r="V12" s="1128">
        <v>0</v>
      </c>
      <c r="W12" s="1128">
        <v>0</v>
      </c>
      <c r="X12" s="1128">
        <v>0</v>
      </c>
      <c r="Y12" s="1128">
        <v>0</v>
      </c>
      <c r="Z12" s="1128">
        <v>0</v>
      </c>
      <c r="AA12" s="1128">
        <v>0</v>
      </c>
      <c r="AB12" s="1128">
        <v>0</v>
      </c>
      <c r="AC12" s="1128">
        <v>0</v>
      </c>
      <c r="AD12" s="1128">
        <v>0</v>
      </c>
      <c r="AE12" s="1128">
        <v>0</v>
      </c>
      <c r="AF12" s="1128">
        <v>0</v>
      </c>
      <c r="AG12" s="1128">
        <v>0</v>
      </c>
      <c r="AH12" s="1128">
        <v>0</v>
      </c>
      <c r="AI12" s="1128">
        <v>0</v>
      </c>
      <c r="AJ12" s="1128">
        <v>0</v>
      </c>
      <c r="AK12" s="1128">
        <v>0</v>
      </c>
      <c r="AL12" s="1128">
        <v>0</v>
      </c>
      <c r="AM12" s="1128">
        <v>0</v>
      </c>
      <c r="AN12" s="1128">
        <v>0</v>
      </c>
      <c r="AO12" s="188"/>
      <c r="AP12" s="472">
        <f t="shared" si="3"/>
        <v>0</v>
      </c>
      <c r="AQ12" s="1038">
        <f t="shared" si="4"/>
        <v>6</v>
      </c>
    </row>
    <row r="13" spans="1:43" s="344" customFormat="1">
      <c r="A13" s="513" t="str">
        <f>Assm!N11</f>
        <v>Onshore Payment Adjustment</v>
      </c>
      <c r="B13" s="347"/>
      <c r="C13" s="153">
        <f>Assm!R11</f>
        <v>-179.149</v>
      </c>
      <c r="D13" s="188"/>
      <c r="E13" s="1128">
        <v>0</v>
      </c>
      <c r="F13" s="1128">
        <v>0</v>
      </c>
      <c r="G13" s="1128">
        <v>0</v>
      </c>
      <c r="H13" s="1128">
        <v>0</v>
      </c>
      <c r="I13" s="1128">
        <v>0</v>
      </c>
      <c r="J13" s="1128">
        <v>0</v>
      </c>
      <c r="K13" s="1128">
        <v>0</v>
      </c>
      <c r="L13" s="1128">
        <v>0</v>
      </c>
      <c r="M13" s="1128">
        <v>0</v>
      </c>
      <c r="N13" s="1128">
        <v>0</v>
      </c>
      <c r="O13" s="1128">
        <v>0</v>
      </c>
      <c r="P13" s="1128">
        <v>0</v>
      </c>
      <c r="Q13" s="1128">
        <v>0</v>
      </c>
      <c r="R13" s="1128">
        <v>0</v>
      </c>
      <c r="S13" s="1128">
        <v>0</v>
      </c>
      <c r="T13" s="1128">
        <v>0</v>
      </c>
      <c r="U13" s="1128">
        <v>0</v>
      </c>
      <c r="V13" s="1128">
        <v>0</v>
      </c>
      <c r="W13" s="1128">
        <v>0</v>
      </c>
      <c r="X13" s="1128">
        <v>0</v>
      </c>
      <c r="Y13" s="1128">
        <v>0</v>
      </c>
      <c r="Z13" s="1128">
        <v>0</v>
      </c>
      <c r="AA13" s="1128">
        <v>0</v>
      </c>
      <c r="AB13" s="1128">
        <v>0</v>
      </c>
      <c r="AC13" s="1128">
        <v>0</v>
      </c>
      <c r="AD13" s="1128">
        <v>0</v>
      </c>
      <c r="AE13" s="1128">
        <v>0</v>
      </c>
      <c r="AF13" s="1128">
        <v>0</v>
      </c>
      <c r="AG13" s="1128">
        <v>0</v>
      </c>
      <c r="AH13" s="1128">
        <v>0</v>
      </c>
      <c r="AI13" s="1128">
        <v>0</v>
      </c>
      <c r="AJ13" s="1128">
        <v>0</v>
      </c>
      <c r="AK13" s="1128">
        <v>0</v>
      </c>
      <c r="AL13" s="1128">
        <v>0</v>
      </c>
      <c r="AM13" s="1128">
        <v>0</v>
      </c>
      <c r="AN13" s="1128">
        <v>0</v>
      </c>
      <c r="AO13" s="188"/>
      <c r="AP13" s="472">
        <f>SUM(E13:AO13)</f>
        <v>0</v>
      </c>
      <c r="AQ13" s="1038">
        <f t="shared" si="4"/>
        <v>7</v>
      </c>
    </row>
    <row r="14" spans="1:43" s="344" customFormat="1">
      <c r="A14" s="513" t="str">
        <f>Assm!N12</f>
        <v>Turnkey Tax Adjustment (0=Off, 1=On)</v>
      </c>
      <c r="B14" s="347"/>
      <c r="C14" s="293">
        <f>Assm!R12</f>
        <v>1136.7827419411765</v>
      </c>
      <c r="D14" s="514"/>
      <c r="E14" s="1032">
        <v>0</v>
      </c>
      <c r="F14" s="1032">
        <v>0</v>
      </c>
      <c r="G14" s="1032">
        <v>0</v>
      </c>
      <c r="H14" s="1032">
        <v>0</v>
      </c>
      <c r="I14" s="1032">
        <v>0</v>
      </c>
      <c r="J14" s="1032">
        <v>0</v>
      </c>
      <c r="K14" s="1032">
        <v>0</v>
      </c>
      <c r="L14" s="1032">
        <v>0</v>
      </c>
      <c r="M14" s="1032">
        <v>0</v>
      </c>
      <c r="N14" s="1032">
        <v>0</v>
      </c>
      <c r="O14" s="1032">
        <v>0</v>
      </c>
      <c r="P14" s="1032">
        <v>0</v>
      </c>
      <c r="Q14" s="1032">
        <v>0</v>
      </c>
      <c r="R14" s="1032">
        <v>0</v>
      </c>
      <c r="S14" s="1032">
        <v>0</v>
      </c>
      <c r="T14" s="1032">
        <v>0</v>
      </c>
      <c r="U14" s="1032">
        <v>0</v>
      </c>
      <c r="V14" s="1032">
        <v>0</v>
      </c>
      <c r="W14" s="1032">
        <v>0</v>
      </c>
      <c r="X14" s="1032">
        <v>0</v>
      </c>
      <c r="Y14" s="1032">
        <v>0</v>
      </c>
      <c r="Z14" s="1032">
        <v>0</v>
      </c>
      <c r="AA14" s="1032">
        <v>0</v>
      </c>
      <c r="AB14" s="1032">
        <v>0</v>
      </c>
      <c r="AC14" s="1032">
        <v>0</v>
      </c>
      <c r="AD14" s="1032">
        <v>0</v>
      </c>
      <c r="AE14" s="1032">
        <v>0</v>
      </c>
      <c r="AF14" s="1032">
        <v>0</v>
      </c>
      <c r="AG14" s="1032">
        <v>0</v>
      </c>
      <c r="AH14" s="1032">
        <v>0</v>
      </c>
      <c r="AI14" s="1032">
        <v>0</v>
      </c>
      <c r="AJ14" s="1032">
        <v>0</v>
      </c>
      <c r="AK14" s="1032">
        <v>0</v>
      </c>
      <c r="AL14" s="1032">
        <v>0</v>
      </c>
      <c r="AM14" s="1032">
        <v>0</v>
      </c>
      <c r="AN14" s="1032">
        <v>0</v>
      </c>
      <c r="AO14" s="514"/>
      <c r="AP14" s="473">
        <f>SUM(E14:AO14)</f>
        <v>0</v>
      </c>
      <c r="AQ14" s="1038">
        <f t="shared" si="4"/>
        <v>8</v>
      </c>
    </row>
    <row r="15" spans="1:43" s="344" customFormat="1">
      <c r="A15" s="513" t="str">
        <f>Assm!N13</f>
        <v>Total Turnkey Construction</v>
      </c>
      <c r="B15" s="347"/>
      <c r="C15" s="153">
        <f>SUM(C9:C14)</f>
        <v>90202.157741941162</v>
      </c>
      <c r="D15" s="188"/>
      <c r="E15" s="153">
        <f t="shared" ref="E15:AN15" si="5">SUM(E9:E14)</f>
        <v>0</v>
      </c>
      <c r="F15" s="153">
        <f t="shared" si="5"/>
        <v>0</v>
      </c>
      <c r="G15" s="153">
        <f t="shared" si="5"/>
        <v>10.684961106309419</v>
      </c>
      <c r="H15" s="153">
        <f t="shared" si="5"/>
        <v>0</v>
      </c>
      <c r="I15" s="153">
        <f t="shared" si="5"/>
        <v>0</v>
      </c>
      <c r="J15" s="153">
        <f t="shared" si="5"/>
        <v>0</v>
      </c>
      <c r="K15" s="153">
        <f t="shared" si="5"/>
        <v>0</v>
      </c>
      <c r="L15" s="153">
        <f t="shared" si="5"/>
        <v>0</v>
      </c>
      <c r="M15" s="153">
        <f t="shared" si="5"/>
        <v>2865.4951334770353</v>
      </c>
      <c r="N15" s="153">
        <f t="shared" si="5"/>
        <v>3744.6684263959392</v>
      </c>
      <c r="O15" s="153">
        <f t="shared" si="5"/>
        <v>4163.2945563734993</v>
      </c>
      <c r="P15" s="153">
        <f t="shared" si="5"/>
        <v>4.5100222717149219</v>
      </c>
      <c r="Q15" s="153">
        <f t="shared" si="5"/>
        <v>2726.1969376854599</v>
      </c>
      <c r="R15" s="153">
        <f t="shared" si="5"/>
        <v>779.56029582366591</v>
      </c>
      <c r="S15" s="153">
        <f t="shared" si="5"/>
        <v>6266.5848736626449</v>
      </c>
      <c r="T15" s="153">
        <f t="shared" si="5"/>
        <v>11822.961074380168</v>
      </c>
      <c r="U15" s="153">
        <f t="shared" si="5"/>
        <v>405.97270212432801</v>
      </c>
      <c r="V15" s="153">
        <f t="shared" si="5"/>
        <v>2078.8655880975916</v>
      </c>
      <c r="W15" s="153">
        <f t="shared" si="5"/>
        <v>260.69534050179215</v>
      </c>
      <c r="X15" s="153">
        <f t="shared" si="5"/>
        <v>4734.609663494045</v>
      </c>
      <c r="Y15" s="153">
        <f t="shared" si="5"/>
        <v>8598.024035774175</v>
      </c>
      <c r="Z15" s="153">
        <f t="shared" si="5"/>
        <v>2412.2478916999553</v>
      </c>
      <c r="AA15" s="153">
        <f t="shared" si="5"/>
        <v>4236.3880368787941</v>
      </c>
      <c r="AB15" s="153">
        <f t="shared" si="5"/>
        <v>572.31156641675727</v>
      </c>
      <c r="AC15" s="153">
        <f t="shared" si="5"/>
        <v>3835.4540706419211</v>
      </c>
      <c r="AD15" s="153">
        <f t="shared" si="5"/>
        <v>3835.4540706419211</v>
      </c>
      <c r="AE15" s="153">
        <f t="shared" si="5"/>
        <v>3835.4540706419211</v>
      </c>
      <c r="AF15" s="153">
        <f t="shared" si="5"/>
        <v>3835.4540706419211</v>
      </c>
      <c r="AG15" s="153">
        <f t="shared" si="5"/>
        <v>3835.4540706419211</v>
      </c>
      <c r="AH15" s="153">
        <f t="shared" si="5"/>
        <v>3835.4540706419211</v>
      </c>
      <c r="AI15" s="153">
        <f t="shared" si="5"/>
        <v>3835.4540706419211</v>
      </c>
      <c r="AJ15" s="153">
        <f t="shared" si="5"/>
        <v>3835.4540706419211</v>
      </c>
      <c r="AK15" s="153">
        <f t="shared" si="5"/>
        <v>3835.4540706419211</v>
      </c>
      <c r="AL15" s="153">
        <f t="shared" si="5"/>
        <v>0</v>
      </c>
      <c r="AM15" s="153">
        <f t="shared" si="5"/>
        <v>0</v>
      </c>
      <c r="AN15" s="153">
        <f t="shared" si="5"/>
        <v>0</v>
      </c>
      <c r="AO15" s="188"/>
      <c r="AP15" s="472">
        <f t="shared" si="3"/>
        <v>90202.157741941162</v>
      </c>
      <c r="AQ15" s="1038">
        <f t="shared" si="4"/>
        <v>9</v>
      </c>
    </row>
    <row r="16" spans="1:43" s="344" customFormat="1">
      <c r="A16" s="513"/>
      <c r="B16" s="347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53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525"/>
      <c r="AQ16" s="1038">
        <f t="shared" si="4"/>
        <v>10</v>
      </c>
    </row>
    <row r="17" spans="1:43" s="344" customFormat="1">
      <c r="A17" s="513" t="str">
        <f>Assm!N15</f>
        <v>Linefill</v>
      </c>
      <c r="B17" s="347"/>
      <c r="C17" s="153">
        <f>Assm!R15</f>
        <v>146</v>
      </c>
      <c r="D17" s="188"/>
      <c r="E17" s="389">
        <f>E89+E91+E92+E93</f>
        <v>0</v>
      </c>
      <c r="F17" s="389">
        <f t="shared" ref="F17:X17" si="6">F89+F91+F92+F93</f>
        <v>143.47826086956522</v>
      </c>
      <c r="G17" s="389">
        <f t="shared" si="6"/>
        <v>0</v>
      </c>
      <c r="H17" s="389">
        <f t="shared" si="6"/>
        <v>0</v>
      </c>
      <c r="I17" s="389">
        <f t="shared" si="6"/>
        <v>0</v>
      </c>
      <c r="J17" s="389">
        <f t="shared" si="6"/>
        <v>0</v>
      </c>
      <c r="K17" s="389">
        <f t="shared" si="6"/>
        <v>63.582842724978967</v>
      </c>
      <c r="L17" s="389">
        <f t="shared" si="6"/>
        <v>122.62546311889525</v>
      </c>
      <c r="M17" s="389">
        <f t="shared" si="6"/>
        <v>0</v>
      </c>
      <c r="N17" s="389">
        <f t="shared" si="6"/>
        <v>0</v>
      </c>
      <c r="O17" s="389">
        <f t="shared" si="6"/>
        <v>48.709318093762107</v>
      </c>
      <c r="P17" s="389">
        <f t="shared" si="6"/>
        <v>38.702255011135861</v>
      </c>
      <c r="Q17" s="389">
        <f t="shared" si="6"/>
        <v>32.996646884272998</v>
      </c>
      <c r="R17" s="389">
        <f t="shared" si="6"/>
        <v>224.44261020881672</v>
      </c>
      <c r="S17" s="389">
        <f t="shared" si="6"/>
        <v>136.21626451172318</v>
      </c>
      <c r="T17" s="389">
        <f t="shared" si="6"/>
        <v>0</v>
      </c>
      <c r="U17" s="389">
        <f t="shared" si="6"/>
        <v>0</v>
      </c>
      <c r="V17" s="389">
        <f t="shared" si="6"/>
        <v>68.143890131613176</v>
      </c>
      <c r="W17" s="389">
        <f t="shared" si="6"/>
        <v>0</v>
      </c>
      <c r="X17" s="389">
        <f t="shared" si="6"/>
        <v>0</v>
      </c>
      <c r="Y17" s="1158">
        <f>($C$24-SUM($E17:$X17))/10</f>
        <v>1113.2911387334127</v>
      </c>
      <c r="Z17" s="1158">
        <f t="shared" ref="Z17:AH17" si="7">($C$24-SUM($E17:$X17))/10</f>
        <v>1113.2911387334127</v>
      </c>
      <c r="AA17" s="1158">
        <f t="shared" si="7"/>
        <v>1113.2911387334127</v>
      </c>
      <c r="AB17" s="1158">
        <f t="shared" si="7"/>
        <v>1113.2911387334127</v>
      </c>
      <c r="AC17" s="1158">
        <f t="shared" si="7"/>
        <v>1113.2911387334127</v>
      </c>
      <c r="AD17" s="1158">
        <f t="shared" si="7"/>
        <v>1113.2911387334127</v>
      </c>
      <c r="AE17" s="1158">
        <f t="shared" si="7"/>
        <v>1113.2911387334127</v>
      </c>
      <c r="AF17" s="1158">
        <f t="shared" si="7"/>
        <v>1113.2911387334127</v>
      </c>
      <c r="AG17" s="1158">
        <f t="shared" si="7"/>
        <v>1113.2911387334127</v>
      </c>
      <c r="AH17" s="1158">
        <f t="shared" si="7"/>
        <v>1113.2911387334127</v>
      </c>
      <c r="AI17" s="1158">
        <v>0</v>
      </c>
      <c r="AJ17" s="1158">
        <v>0</v>
      </c>
      <c r="AK17" s="1158">
        <v>0</v>
      </c>
      <c r="AL17" s="1158">
        <v>0</v>
      </c>
      <c r="AM17" s="1158">
        <v>0</v>
      </c>
      <c r="AN17" s="1158">
        <v>0</v>
      </c>
      <c r="AO17" s="188"/>
      <c r="AP17" s="472">
        <f t="shared" ref="AP17:AP23" si="8">SUM(E17:AO17)</f>
        <v>12011.808938888891</v>
      </c>
      <c r="AQ17" s="1038">
        <f t="shared" si="4"/>
        <v>11</v>
      </c>
    </row>
    <row r="18" spans="1:43" s="344" customFormat="1">
      <c r="A18" s="513" t="str">
        <f>Assm!N16</f>
        <v>Land &amp; Rights Of Way</v>
      </c>
      <c r="B18" s="347"/>
      <c r="C18" s="153">
        <f>Assm!R16</f>
        <v>994</v>
      </c>
      <c r="D18" s="188"/>
      <c r="E18" s="1128">
        <v>0</v>
      </c>
      <c r="F18" s="1128">
        <v>0</v>
      </c>
      <c r="G18" s="1128">
        <v>0</v>
      </c>
      <c r="H18" s="1128">
        <v>0</v>
      </c>
      <c r="I18" s="1128">
        <v>0</v>
      </c>
      <c r="J18" s="1128">
        <v>0</v>
      </c>
      <c r="K18" s="1128">
        <v>0</v>
      </c>
      <c r="L18" s="1128">
        <v>0</v>
      </c>
      <c r="M18" s="1128">
        <v>0</v>
      </c>
      <c r="N18" s="1128">
        <v>0</v>
      </c>
      <c r="O18" s="1128">
        <v>0</v>
      </c>
      <c r="P18" s="1128">
        <v>0</v>
      </c>
      <c r="Q18" s="1128">
        <v>0</v>
      </c>
      <c r="R18" s="1128">
        <v>0</v>
      </c>
      <c r="S18" s="1128">
        <v>0</v>
      </c>
      <c r="T18" s="1128">
        <v>0</v>
      </c>
      <c r="U18" s="1128">
        <v>0</v>
      </c>
      <c r="V18" s="1128">
        <v>0</v>
      </c>
      <c r="W18" s="1128">
        <v>0</v>
      </c>
      <c r="X18" s="1128">
        <v>0</v>
      </c>
      <c r="Y18" s="1128">
        <v>0</v>
      </c>
      <c r="Z18" s="1128">
        <v>0</v>
      </c>
      <c r="AA18" s="1128">
        <v>0</v>
      </c>
      <c r="AB18" s="1128">
        <v>0</v>
      </c>
      <c r="AC18" s="1128">
        <v>0</v>
      </c>
      <c r="AD18" s="1128">
        <v>0</v>
      </c>
      <c r="AE18" s="1128">
        <v>0</v>
      </c>
      <c r="AF18" s="1128">
        <v>0</v>
      </c>
      <c r="AG18" s="1128">
        <v>0</v>
      </c>
      <c r="AH18" s="1128">
        <v>0</v>
      </c>
      <c r="AI18" s="1128">
        <v>0</v>
      </c>
      <c r="AJ18" s="1128">
        <v>0</v>
      </c>
      <c r="AK18" s="1128">
        <v>0</v>
      </c>
      <c r="AL18" s="1128">
        <v>0</v>
      </c>
      <c r="AM18" s="1128">
        <v>0</v>
      </c>
      <c r="AN18" s="1128">
        <v>0</v>
      </c>
      <c r="AO18" s="188"/>
      <c r="AP18" s="472">
        <f t="shared" si="8"/>
        <v>0</v>
      </c>
      <c r="AQ18" s="1038">
        <f t="shared" si="4"/>
        <v>12</v>
      </c>
    </row>
    <row r="19" spans="1:43" s="344" customFormat="1">
      <c r="A19" s="513" t="str">
        <f>Assm!N17</f>
        <v>Consulting Fees</v>
      </c>
      <c r="B19" s="347"/>
      <c r="C19" s="153">
        <f>Assm!R17</f>
        <v>556</v>
      </c>
      <c r="D19" s="188"/>
      <c r="E19" s="1128">
        <v>0</v>
      </c>
      <c r="F19" s="1128">
        <v>0</v>
      </c>
      <c r="G19" s="1128">
        <v>0</v>
      </c>
      <c r="H19" s="1128">
        <v>0</v>
      </c>
      <c r="I19" s="1128">
        <v>0</v>
      </c>
      <c r="J19" s="1128">
        <v>0</v>
      </c>
      <c r="K19" s="1128">
        <v>0</v>
      </c>
      <c r="L19" s="1128">
        <v>0</v>
      </c>
      <c r="M19" s="1128">
        <v>0</v>
      </c>
      <c r="N19" s="1128">
        <v>0</v>
      </c>
      <c r="O19" s="1128">
        <v>0</v>
      </c>
      <c r="P19" s="1128">
        <v>0</v>
      </c>
      <c r="Q19" s="1128">
        <v>0</v>
      </c>
      <c r="R19" s="1128">
        <v>0</v>
      </c>
      <c r="S19" s="1128">
        <v>0</v>
      </c>
      <c r="T19" s="1128">
        <v>0</v>
      </c>
      <c r="U19" s="1128">
        <v>0</v>
      </c>
      <c r="V19" s="1128">
        <v>0</v>
      </c>
      <c r="W19" s="1128">
        <v>0</v>
      </c>
      <c r="X19" s="1128">
        <v>0</v>
      </c>
      <c r="Y19" s="1128">
        <v>0</v>
      </c>
      <c r="Z19" s="1128">
        <v>0</v>
      </c>
      <c r="AA19" s="1128">
        <v>0</v>
      </c>
      <c r="AB19" s="1128">
        <v>0</v>
      </c>
      <c r="AC19" s="1128">
        <v>0</v>
      </c>
      <c r="AD19" s="1128">
        <v>0</v>
      </c>
      <c r="AE19" s="1128">
        <v>0</v>
      </c>
      <c r="AF19" s="1128">
        <v>0</v>
      </c>
      <c r="AG19" s="1128">
        <v>0</v>
      </c>
      <c r="AH19" s="1128">
        <v>0</v>
      </c>
      <c r="AI19" s="1128">
        <v>0</v>
      </c>
      <c r="AJ19" s="1128">
        <v>0</v>
      </c>
      <c r="AK19" s="1128">
        <v>0</v>
      </c>
      <c r="AL19" s="1128">
        <v>0</v>
      </c>
      <c r="AM19" s="1128">
        <v>0</v>
      </c>
      <c r="AN19" s="1128">
        <v>0</v>
      </c>
      <c r="AO19" s="188"/>
      <c r="AP19" s="472">
        <f t="shared" si="8"/>
        <v>0</v>
      </c>
      <c r="AQ19" s="1038">
        <f t="shared" si="4"/>
        <v>13</v>
      </c>
    </row>
    <row r="20" spans="1:43" s="344" customFormat="1">
      <c r="A20" s="513" t="str">
        <f>Assm!N18</f>
        <v>Owner's Engineer (Parsons)</v>
      </c>
      <c r="B20" s="347"/>
      <c r="C20" s="153">
        <f>Assm!R18</f>
        <v>1850</v>
      </c>
      <c r="D20" s="188"/>
      <c r="E20" s="1128">
        <v>0</v>
      </c>
      <c r="F20" s="1128">
        <v>0</v>
      </c>
      <c r="G20" s="1128">
        <v>0</v>
      </c>
      <c r="H20" s="1128">
        <v>0</v>
      </c>
      <c r="I20" s="1128">
        <v>0</v>
      </c>
      <c r="J20" s="1128">
        <v>0</v>
      </c>
      <c r="K20" s="1128">
        <v>0</v>
      </c>
      <c r="L20" s="1128">
        <v>0</v>
      </c>
      <c r="M20" s="1128">
        <v>0</v>
      </c>
      <c r="N20" s="1128">
        <v>0</v>
      </c>
      <c r="O20" s="1128">
        <v>0</v>
      </c>
      <c r="P20" s="1128">
        <v>0</v>
      </c>
      <c r="Q20" s="1128">
        <v>0</v>
      </c>
      <c r="R20" s="1128">
        <v>0</v>
      </c>
      <c r="S20" s="1128">
        <v>0</v>
      </c>
      <c r="T20" s="1128">
        <v>0</v>
      </c>
      <c r="U20" s="1128">
        <v>0</v>
      </c>
      <c r="V20" s="1128">
        <v>0</v>
      </c>
      <c r="W20" s="1128">
        <v>0</v>
      </c>
      <c r="X20" s="1128">
        <v>0</v>
      </c>
      <c r="Y20" s="1128">
        <v>0</v>
      </c>
      <c r="Z20" s="1128">
        <v>0</v>
      </c>
      <c r="AA20" s="1128">
        <v>0</v>
      </c>
      <c r="AB20" s="1128">
        <v>0</v>
      </c>
      <c r="AC20" s="1128">
        <v>0</v>
      </c>
      <c r="AD20" s="1128">
        <v>0</v>
      </c>
      <c r="AE20" s="1128">
        <v>0</v>
      </c>
      <c r="AF20" s="1128">
        <v>0</v>
      </c>
      <c r="AG20" s="1128">
        <v>0</v>
      </c>
      <c r="AH20" s="1128">
        <v>0</v>
      </c>
      <c r="AI20" s="1128">
        <v>0</v>
      </c>
      <c r="AJ20" s="1128">
        <v>0</v>
      </c>
      <c r="AK20" s="1128">
        <v>0</v>
      </c>
      <c r="AL20" s="1128">
        <v>0</v>
      </c>
      <c r="AM20" s="1128">
        <v>0</v>
      </c>
      <c r="AN20" s="1128">
        <v>0</v>
      </c>
      <c r="AO20" s="188"/>
      <c r="AP20" s="472">
        <f t="shared" si="8"/>
        <v>0</v>
      </c>
      <c r="AQ20" s="1038">
        <f t="shared" si="4"/>
        <v>14</v>
      </c>
    </row>
    <row r="21" spans="1:43" s="344" customFormat="1">
      <c r="A21" s="513" t="str">
        <f>Assm!N19</f>
        <v>Other Engineering Costs</v>
      </c>
      <c r="B21" s="347"/>
      <c r="C21" s="153">
        <f>Assm!R19</f>
        <v>26</v>
      </c>
      <c r="D21" s="188"/>
      <c r="E21" s="1128">
        <v>0</v>
      </c>
      <c r="F21" s="1128">
        <v>0</v>
      </c>
      <c r="G21" s="1128">
        <v>0</v>
      </c>
      <c r="H21" s="1128">
        <v>0</v>
      </c>
      <c r="I21" s="1128">
        <v>0</v>
      </c>
      <c r="J21" s="1128">
        <v>0</v>
      </c>
      <c r="K21" s="1128">
        <v>0</v>
      </c>
      <c r="L21" s="1128">
        <v>0</v>
      </c>
      <c r="M21" s="1128">
        <v>0</v>
      </c>
      <c r="N21" s="1128">
        <v>0</v>
      </c>
      <c r="O21" s="1128">
        <v>0</v>
      </c>
      <c r="P21" s="1128">
        <v>0</v>
      </c>
      <c r="Q21" s="1128">
        <v>0</v>
      </c>
      <c r="R21" s="1128">
        <v>0</v>
      </c>
      <c r="S21" s="1128">
        <v>0</v>
      </c>
      <c r="T21" s="1128">
        <v>0</v>
      </c>
      <c r="U21" s="1128">
        <v>0</v>
      </c>
      <c r="V21" s="1128">
        <v>0</v>
      </c>
      <c r="W21" s="1128">
        <v>0</v>
      </c>
      <c r="X21" s="1128">
        <v>0</v>
      </c>
      <c r="Y21" s="1128">
        <v>0</v>
      </c>
      <c r="Z21" s="1128">
        <v>0</v>
      </c>
      <c r="AA21" s="1128">
        <v>0</v>
      </c>
      <c r="AB21" s="1128">
        <v>0</v>
      </c>
      <c r="AC21" s="1128">
        <v>0</v>
      </c>
      <c r="AD21" s="1128">
        <v>0</v>
      </c>
      <c r="AE21" s="1128">
        <v>0</v>
      </c>
      <c r="AF21" s="1128">
        <v>0</v>
      </c>
      <c r="AG21" s="1128">
        <v>0</v>
      </c>
      <c r="AH21" s="1128">
        <v>0</v>
      </c>
      <c r="AI21" s="1128">
        <v>0</v>
      </c>
      <c r="AJ21" s="1128">
        <v>0</v>
      </c>
      <c r="AK21" s="1128">
        <v>0</v>
      </c>
      <c r="AL21" s="1128">
        <v>0</v>
      </c>
      <c r="AM21" s="1128">
        <v>0</v>
      </c>
      <c r="AN21" s="1128">
        <v>0</v>
      </c>
      <c r="AO21" s="188"/>
      <c r="AP21" s="472">
        <f t="shared" si="8"/>
        <v>0</v>
      </c>
      <c r="AQ21" s="1038">
        <f t="shared" si="4"/>
        <v>15</v>
      </c>
    </row>
    <row r="22" spans="1:43" s="344" customFormat="1">
      <c r="A22" s="513" t="str">
        <f>Assm!N20</f>
        <v>Environmental &amp; Permitting</v>
      </c>
      <c r="B22" s="347"/>
      <c r="C22" s="153">
        <f>Assm!R20</f>
        <v>7450.9835577777776</v>
      </c>
      <c r="D22" s="188"/>
      <c r="E22" s="1128">
        <v>0</v>
      </c>
      <c r="F22" s="1128">
        <v>0</v>
      </c>
      <c r="G22" s="1128">
        <v>0</v>
      </c>
      <c r="H22" s="1128">
        <v>0</v>
      </c>
      <c r="I22" s="1128">
        <v>0</v>
      </c>
      <c r="J22" s="1128">
        <v>0</v>
      </c>
      <c r="K22" s="1128">
        <v>0</v>
      </c>
      <c r="L22" s="1128">
        <v>0</v>
      </c>
      <c r="M22" s="1128">
        <v>0</v>
      </c>
      <c r="N22" s="1128">
        <v>0</v>
      </c>
      <c r="O22" s="1128">
        <v>0</v>
      </c>
      <c r="P22" s="1128">
        <v>0</v>
      </c>
      <c r="Q22" s="1128">
        <v>0</v>
      </c>
      <c r="R22" s="1128">
        <v>0</v>
      </c>
      <c r="S22" s="1128">
        <v>0</v>
      </c>
      <c r="T22" s="1128">
        <v>0</v>
      </c>
      <c r="U22" s="1128">
        <v>0</v>
      </c>
      <c r="V22" s="1128">
        <v>0</v>
      </c>
      <c r="W22" s="1128">
        <v>0</v>
      </c>
      <c r="X22" s="1128">
        <v>0</v>
      </c>
      <c r="Y22" s="1128">
        <v>0</v>
      </c>
      <c r="Z22" s="1128">
        <v>0</v>
      </c>
      <c r="AA22" s="1128">
        <v>0</v>
      </c>
      <c r="AB22" s="1128">
        <v>0</v>
      </c>
      <c r="AC22" s="1128">
        <v>0</v>
      </c>
      <c r="AD22" s="1128">
        <v>0</v>
      </c>
      <c r="AE22" s="1128">
        <v>0</v>
      </c>
      <c r="AF22" s="1128">
        <v>0</v>
      </c>
      <c r="AG22" s="1128">
        <v>0</v>
      </c>
      <c r="AH22" s="1128">
        <v>0</v>
      </c>
      <c r="AI22" s="1128">
        <v>0</v>
      </c>
      <c r="AJ22" s="1128">
        <v>0</v>
      </c>
      <c r="AK22" s="1128">
        <v>0</v>
      </c>
      <c r="AL22" s="1128">
        <v>0</v>
      </c>
      <c r="AM22" s="1128">
        <v>0</v>
      </c>
      <c r="AN22" s="1128">
        <v>0</v>
      </c>
      <c r="AO22" s="188"/>
      <c r="AP22" s="472">
        <f>SUM(E22:AO22)</f>
        <v>0</v>
      </c>
      <c r="AQ22" s="1038">
        <f t="shared" si="4"/>
        <v>16</v>
      </c>
    </row>
    <row r="23" spans="1:43" s="344" customFormat="1">
      <c r="A23" s="513" t="str">
        <f>Assm!N21</f>
        <v>Ingidenous People Programs</v>
      </c>
      <c r="B23" s="347"/>
      <c r="C23" s="293">
        <f>Assm!R21</f>
        <v>988.82538111111114</v>
      </c>
      <c r="D23" s="188"/>
      <c r="E23" s="1032">
        <v>0</v>
      </c>
      <c r="F23" s="1032">
        <v>0</v>
      </c>
      <c r="G23" s="1032">
        <v>0</v>
      </c>
      <c r="H23" s="1032">
        <v>0</v>
      </c>
      <c r="I23" s="1032">
        <v>0</v>
      </c>
      <c r="J23" s="1032">
        <v>0</v>
      </c>
      <c r="K23" s="1032">
        <v>0</v>
      </c>
      <c r="L23" s="1032">
        <v>0</v>
      </c>
      <c r="M23" s="1032">
        <v>0</v>
      </c>
      <c r="N23" s="1032">
        <v>0</v>
      </c>
      <c r="O23" s="1032">
        <v>0</v>
      </c>
      <c r="P23" s="1032">
        <v>0</v>
      </c>
      <c r="Q23" s="1032">
        <v>0</v>
      </c>
      <c r="R23" s="1032">
        <v>0</v>
      </c>
      <c r="S23" s="1032">
        <v>0</v>
      </c>
      <c r="T23" s="1032">
        <v>0</v>
      </c>
      <c r="U23" s="1032">
        <v>0</v>
      </c>
      <c r="V23" s="1032">
        <v>0</v>
      </c>
      <c r="W23" s="1032">
        <v>0</v>
      </c>
      <c r="X23" s="1032">
        <v>0</v>
      </c>
      <c r="Y23" s="1032">
        <v>0</v>
      </c>
      <c r="Z23" s="1032">
        <v>0</v>
      </c>
      <c r="AA23" s="1032">
        <v>0</v>
      </c>
      <c r="AB23" s="1032">
        <v>0</v>
      </c>
      <c r="AC23" s="1032">
        <v>0</v>
      </c>
      <c r="AD23" s="1032">
        <v>0</v>
      </c>
      <c r="AE23" s="1032">
        <v>0</v>
      </c>
      <c r="AF23" s="1032">
        <v>0</v>
      </c>
      <c r="AG23" s="1032">
        <v>0</v>
      </c>
      <c r="AH23" s="1032">
        <v>0</v>
      </c>
      <c r="AI23" s="1032">
        <v>0</v>
      </c>
      <c r="AJ23" s="1032">
        <v>0</v>
      </c>
      <c r="AK23" s="1032">
        <v>0</v>
      </c>
      <c r="AL23" s="1032">
        <v>0</v>
      </c>
      <c r="AM23" s="1032">
        <v>0</v>
      </c>
      <c r="AN23" s="1032">
        <v>0</v>
      </c>
      <c r="AO23" s="188"/>
      <c r="AP23" s="473">
        <f t="shared" si="8"/>
        <v>0</v>
      </c>
      <c r="AQ23" s="1038">
        <f t="shared" si="4"/>
        <v>17</v>
      </c>
    </row>
    <row r="24" spans="1:43" s="344" customFormat="1">
      <c r="A24" s="513" t="str">
        <f>Assm!N22</f>
        <v>Total Other Construction</v>
      </c>
      <c r="B24" s="347"/>
      <c r="C24" s="153">
        <f>SUM(C17:C23)</f>
        <v>12011.808938888889</v>
      </c>
      <c r="D24" s="188"/>
      <c r="E24" s="153">
        <f t="shared" ref="E24:AN24" si="9">SUM(E17:E23)</f>
        <v>0</v>
      </c>
      <c r="F24" s="153">
        <f t="shared" si="9"/>
        <v>143.47826086956522</v>
      </c>
      <c r="G24" s="153">
        <f t="shared" si="9"/>
        <v>0</v>
      </c>
      <c r="H24" s="153">
        <f t="shared" si="9"/>
        <v>0</v>
      </c>
      <c r="I24" s="153">
        <f t="shared" si="9"/>
        <v>0</v>
      </c>
      <c r="J24" s="153">
        <f t="shared" si="9"/>
        <v>0</v>
      </c>
      <c r="K24" s="153">
        <f t="shared" si="9"/>
        <v>63.582842724978967</v>
      </c>
      <c r="L24" s="153">
        <f t="shared" si="9"/>
        <v>122.62546311889525</v>
      </c>
      <c r="M24" s="153">
        <f t="shared" si="9"/>
        <v>0</v>
      </c>
      <c r="N24" s="153">
        <f t="shared" si="9"/>
        <v>0</v>
      </c>
      <c r="O24" s="153">
        <f t="shared" si="9"/>
        <v>48.709318093762107</v>
      </c>
      <c r="P24" s="153">
        <f t="shared" si="9"/>
        <v>38.702255011135861</v>
      </c>
      <c r="Q24" s="153">
        <f t="shared" si="9"/>
        <v>32.996646884272998</v>
      </c>
      <c r="R24" s="153">
        <f t="shared" si="9"/>
        <v>224.44261020881672</v>
      </c>
      <c r="S24" s="153">
        <f t="shared" si="9"/>
        <v>136.21626451172318</v>
      </c>
      <c r="T24" s="153">
        <f t="shared" si="9"/>
        <v>0</v>
      </c>
      <c r="U24" s="153">
        <f t="shared" si="9"/>
        <v>0</v>
      </c>
      <c r="V24" s="153">
        <f t="shared" si="9"/>
        <v>68.143890131613176</v>
      </c>
      <c r="W24" s="153">
        <f t="shared" si="9"/>
        <v>0</v>
      </c>
      <c r="X24" s="153">
        <f t="shared" si="9"/>
        <v>0</v>
      </c>
      <c r="Y24" s="153">
        <f t="shared" si="9"/>
        <v>1113.2911387334127</v>
      </c>
      <c r="Z24" s="153">
        <f t="shared" si="9"/>
        <v>1113.2911387334127</v>
      </c>
      <c r="AA24" s="153">
        <f t="shared" si="9"/>
        <v>1113.2911387334127</v>
      </c>
      <c r="AB24" s="153">
        <f t="shared" si="9"/>
        <v>1113.2911387334127</v>
      </c>
      <c r="AC24" s="153">
        <f t="shared" si="9"/>
        <v>1113.2911387334127</v>
      </c>
      <c r="AD24" s="153">
        <f t="shared" si="9"/>
        <v>1113.2911387334127</v>
      </c>
      <c r="AE24" s="153">
        <f t="shared" si="9"/>
        <v>1113.2911387334127</v>
      </c>
      <c r="AF24" s="153">
        <f t="shared" si="9"/>
        <v>1113.2911387334127</v>
      </c>
      <c r="AG24" s="153">
        <f t="shared" si="9"/>
        <v>1113.2911387334127</v>
      </c>
      <c r="AH24" s="153">
        <f t="shared" si="9"/>
        <v>1113.2911387334127</v>
      </c>
      <c r="AI24" s="153">
        <f t="shared" si="9"/>
        <v>0</v>
      </c>
      <c r="AJ24" s="153">
        <f t="shared" si="9"/>
        <v>0</v>
      </c>
      <c r="AK24" s="153">
        <f t="shared" si="9"/>
        <v>0</v>
      </c>
      <c r="AL24" s="153">
        <f t="shared" si="9"/>
        <v>0</v>
      </c>
      <c r="AM24" s="153">
        <f t="shared" si="9"/>
        <v>0</v>
      </c>
      <c r="AN24" s="153">
        <f t="shared" si="9"/>
        <v>0</v>
      </c>
      <c r="AO24" s="188"/>
      <c r="AP24" s="472">
        <f>SUM(E24:AO24)</f>
        <v>12011.808938888891</v>
      </c>
      <c r="AQ24" s="1038">
        <f t="shared" si="4"/>
        <v>18</v>
      </c>
    </row>
    <row r="25" spans="1:43" s="344" customFormat="1">
      <c r="A25" s="513"/>
      <c r="B25" s="347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525"/>
      <c r="AQ25" s="1038">
        <f t="shared" si="4"/>
        <v>19</v>
      </c>
    </row>
    <row r="26" spans="1:43" s="344" customFormat="1">
      <c r="A26" s="513" t="str">
        <f>Assm!N27</f>
        <v>Upfront Fee</v>
      </c>
      <c r="B26" s="347"/>
      <c r="C26" s="153">
        <f ca="1">Assm!R27</f>
        <v>1139.0220417932317</v>
      </c>
      <c r="D26" s="188"/>
      <c r="E26" s="153">
        <f ca="1">IF(E$7=Fin_Close,$C26,0)</f>
        <v>0</v>
      </c>
      <c r="F26" s="153">
        <f t="shared" ref="F26:AN26" ca="1" si="10">IF(F$7=Fin_Close,$C26,0)</f>
        <v>0</v>
      </c>
      <c r="G26" s="153">
        <f t="shared" ca="1" si="10"/>
        <v>0</v>
      </c>
      <c r="H26" s="153">
        <f t="shared" ca="1" si="10"/>
        <v>0</v>
      </c>
      <c r="I26" s="153">
        <f t="shared" ca="1" si="10"/>
        <v>0</v>
      </c>
      <c r="J26" s="153">
        <f t="shared" ca="1" si="10"/>
        <v>0</v>
      </c>
      <c r="K26" s="153">
        <f t="shared" ca="1" si="10"/>
        <v>0</v>
      </c>
      <c r="L26" s="153">
        <f t="shared" ca="1" si="10"/>
        <v>0</v>
      </c>
      <c r="M26" s="153">
        <f t="shared" ca="1" si="10"/>
        <v>0</v>
      </c>
      <c r="N26" s="153">
        <f t="shared" ca="1" si="10"/>
        <v>0</v>
      </c>
      <c r="O26" s="153">
        <f t="shared" ca="1" si="10"/>
        <v>0</v>
      </c>
      <c r="P26" s="153">
        <f t="shared" ca="1" si="10"/>
        <v>0</v>
      </c>
      <c r="Q26" s="153">
        <f t="shared" ca="1" si="10"/>
        <v>0</v>
      </c>
      <c r="R26" s="153">
        <f t="shared" ca="1" si="10"/>
        <v>0</v>
      </c>
      <c r="S26" s="153">
        <f t="shared" ca="1" si="10"/>
        <v>0</v>
      </c>
      <c r="T26" s="153">
        <f t="shared" ca="1" si="10"/>
        <v>0</v>
      </c>
      <c r="U26" s="153">
        <f t="shared" ca="1" si="10"/>
        <v>0</v>
      </c>
      <c r="V26" s="153">
        <f t="shared" ca="1" si="10"/>
        <v>0</v>
      </c>
      <c r="W26" s="153">
        <f t="shared" ca="1" si="10"/>
        <v>0</v>
      </c>
      <c r="X26" s="153">
        <f t="shared" ca="1" si="10"/>
        <v>0</v>
      </c>
      <c r="Y26" s="153">
        <f t="shared" ca="1" si="10"/>
        <v>0</v>
      </c>
      <c r="Z26" s="153">
        <f t="shared" ca="1" si="10"/>
        <v>0</v>
      </c>
      <c r="AA26" s="153">
        <f t="shared" ca="1" si="10"/>
        <v>0</v>
      </c>
      <c r="AB26" s="153">
        <f t="shared" ca="1" si="10"/>
        <v>0</v>
      </c>
      <c r="AC26" s="153">
        <f t="shared" ca="1" si="10"/>
        <v>0</v>
      </c>
      <c r="AD26" s="153">
        <f t="shared" ca="1" si="10"/>
        <v>0</v>
      </c>
      <c r="AE26" s="153">
        <f t="shared" ca="1" si="10"/>
        <v>0</v>
      </c>
      <c r="AF26" s="153">
        <f t="shared" ca="1" si="10"/>
        <v>0</v>
      </c>
      <c r="AG26" s="153">
        <f t="shared" ca="1" si="10"/>
        <v>0</v>
      </c>
      <c r="AH26" s="153">
        <f t="shared" ca="1" si="10"/>
        <v>1139.0220417932317</v>
      </c>
      <c r="AI26" s="153">
        <f t="shared" ca="1" si="10"/>
        <v>0</v>
      </c>
      <c r="AJ26" s="153">
        <f t="shared" ca="1" si="10"/>
        <v>0</v>
      </c>
      <c r="AK26" s="153">
        <f t="shared" ca="1" si="10"/>
        <v>0</v>
      </c>
      <c r="AL26" s="153">
        <f t="shared" ca="1" si="10"/>
        <v>0</v>
      </c>
      <c r="AM26" s="153">
        <f t="shared" ca="1" si="10"/>
        <v>0</v>
      </c>
      <c r="AN26" s="153">
        <f t="shared" ca="1" si="10"/>
        <v>0</v>
      </c>
      <c r="AO26" s="188"/>
      <c r="AP26" s="472">
        <f t="shared" ref="AP26:AP31" ca="1" si="11">SUM(E26:AO26)</f>
        <v>1139.0220417932317</v>
      </c>
      <c r="AQ26" s="1038">
        <f t="shared" si="4"/>
        <v>20</v>
      </c>
    </row>
    <row r="27" spans="1:43" s="344" customFormat="1">
      <c r="A27" s="513" t="str">
        <f>Assm!N28</f>
        <v>Financing Costs (Borrower And Lender)</v>
      </c>
      <c r="B27" s="347"/>
      <c r="C27" s="153">
        <f>Assm!R28</f>
        <v>2831.3249999999998</v>
      </c>
      <c r="D27" s="188"/>
      <c r="E27" s="1128">
        <v>0</v>
      </c>
      <c r="F27" s="1128">
        <v>0</v>
      </c>
      <c r="G27" s="1128">
        <v>0</v>
      </c>
      <c r="H27" s="1128">
        <v>0</v>
      </c>
      <c r="I27" s="1128">
        <v>0</v>
      </c>
      <c r="J27" s="1128">
        <v>0</v>
      </c>
      <c r="K27" s="1128">
        <v>0</v>
      </c>
      <c r="L27" s="1128">
        <v>0</v>
      </c>
      <c r="M27" s="1128">
        <v>0</v>
      </c>
      <c r="N27" s="1128">
        <v>0</v>
      </c>
      <c r="O27" s="1128">
        <v>0</v>
      </c>
      <c r="P27" s="1128">
        <v>0</v>
      </c>
      <c r="Q27" s="1128">
        <v>0</v>
      </c>
      <c r="R27" s="1128">
        <v>0</v>
      </c>
      <c r="S27" s="1128">
        <v>0</v>
      </c>
      <c r="T27" s="1128">
        <v>0</v>
      </c>
      <c r="U27" s="1128">
        <v>0</v>
      </c>
      <c r="V27" s="1128">
        <v>0</v>
      </c>
      <c r="W27" s="1128">
        <v>0</v>
      </c>
      <c r="X27" s="1128">
        <v>0</v>
      </c>
      <c r="Y27" s="1128">
        <v>0</v>
      </c>
      <c r="Z27" s="1128">
        <v>0</v>
      </c>
      <c r="AA27" s="1128">
        <v>0</v>
      </c>
      <c r="AB27" s="1128">
        <v>0</v>
      </c>
      <c r="AC27" s="1128">
        <v>0</v>
      </c>
      <c r="AD27" s="1128">
        <v>0</v>
      </c>
      <c r="AE27" s="1128">
        <v>0</v>
      </c>
      <c r="AF27" s="1158">
        <f>$C27</f>
        <v>2831.3249999999998</v>
      </c>
      <c r="AG27" s="1128">
        <v>0</v>
      </c>
      <c r="AH27" s="1128">
        <v>0</v>
      </c>
      <c r="AI27" s="1128">
        <v>0</v>
      </c>
      <c r="AJ27" s="1128">
        <v>0</v>
      </c>
      <c r="AK27" s="1128">
        <v>0</v>
      </c>
      <c r="AL27" s="1128">
        <v>0</v>
      </c>
      <c r="AM27" s="1128">
        <v>0</v>
      </c>
      <c r="AN27" s="1128">
        <v>0</v>
      </c>
      <c r="AO27" s="188"/>
      <c r="AP27" s="472">
        <f t="shared" si="11"/>
        <v>2831.3249999999998</v>
      </c>
      <c r="AQ27" s="1038">
        <f t="shared" si="4"/>
        <v>21</v>
      </c>
    </row>
    <row r="28" spans="1:43" s="344" customFormat="1">
      <c r="A28" s="513" t="str">
        <f>Assm!N29</f>
        <v>Financing Costs (Other)</v>
      </c>
      <c r="B28" s="347"/>
      <c r="C28" s="153">
        <f>Assm!R29</f>
        <v>0</v>
      </c>
      <c r="D28" s="188"/>
      <c r="E28" s="1128">
        <v>0</v>
      </c>
      <c r="F28" s="1128">
        <v>0</v>
      </c>
      <c r="G28" s="1128">
        <v>0</v>
      </c>
      <c r="H28" s="1128">
        <v>0</v>
      </c>
      <c r="I28" s="1128">
        <v>0</v>
      </c>
      <c r="J28" s="1128">
        <v>0</v>
      </c>
      <c r="K28" s="1128">
        <v>0</v>
      </c>
      <c r="L28" s="1128">
        <v>0</v>
      </c>
      <c r="M28" s="1128">
        <v>0</v>
      </c>
      <c r="N28" s="1128">
        <v>0</v>
      </c>
      <c r="O28" s="1128">
        <v>0</v>
      </c>
      <c r="P28" s="1128">
        <v>0</v>
      </c>
      <c r="Q28" s="1128">
        <v>0</v>
      </c>
      <c r="R28" s="1128">
        <v>0</v>
      </c>
      <c r="S28" s="1128">
        <v>0</v>
      </c>
      <c r="T28" s="1128">
        <v>0</v>
      </c>
      <c r="U28" s="1128">
        <v>0</v>
      </c>
      <c r="V28" s="1128">
        <v>0</v>
      </c>
      <c r="W28" s="1128">
        <v>0</v>
      </c>
      <c r="X28" s="1128">
        <v>0</v>
      </c>
      <c r="Y28" s="1128">
        <v>0</v>
      </c>
      <c r="Z28" s="1128">
        <v>0</v>
      </c>
      <c r="AA28" s="1128">
        <v>0</v>
      </c>
      <c r="AB28" s="1128">
        <v>0</v>
      </c>
      <c r="AC28" s="1128">
        <v>0</v>
      </c>
      <c r="AD28" s="1128">
        <v>0</v>
      </c>
      <c r="AE28" s="1128">
        <v>0</v>
      </c>
      <c r="AF28" s="1158">
        <f>$C28</f>
        <v>0</v>
      </c>
      <c r="AG28" s="1128">
        <v>0</v>
      </c>
      <c r="AH28" s="1128">
        <v>0</v>
      </c>
      <c r="AI28" s="1128">
        <v>0</v>
      </c>
      <c r="AJ28" s="1128">
        <v>0</v>
      </c>
      <c r="AK28" s="1128">
        <v>0</v>
      </c>
      <c r="AL28" s="1128">
        <v>0</v>
      </c>
      <c r="AM28" s="1128">
        <v>0</v>
      </c>
      <c r="AN28" s="1128">
        <v>0</v>
      </c>
      <c r="AO28" s="188"/>
      <c r="AP28" s="472">
        <f t="shared" si="11"/>
        <v>0</v>
      </c>
      <c r="AQ28" s="1038">
        <f t="shared" si="4"/>
        <v>22</v>
      </c>
    </row>
    <row r="29" spans="1:43" s="344" customFormat="1">
      <c r="A29" s="513" t="str">
        <f>Assm!N30</f>
        <v>3rd Party Legal Fees</v>
      </c>
      <c r="B29" s="347"/>
      <c r="C29" s="153">
        <f>Assm!R30</f>
        <v>2182.2750000000001</v>
      </c>
      <c r="D29" s="188"/>
      <c r="E29" s="389">
        <f>E86</f>
        <v>0</v>
      </c>
      <c r="F29" s="389">
        <f t="shared" ref="F29:X29" si="12">F86</f>
        <v>0</v>
      </c>
      <c r="G29" s="389">
        <f t="shared" si="12"/>
        <v>0</v>
      </c>
      <c r="H29" s="389">
        <f t="shared" si="12"/>
        <v>0</v>
      </c>
      <c r="I29" s="389">
        <f t="shared" si="12"/>
        <v>0</v>
      </c>
      <c r="J29" s="389">
        <f t="shared" si="12"/>
        <v>0</v>
      </c>
      <c r="K29" s="389">
        <f t="shared" si="12"/>
        <v>0</v>
      </c>
      <c r="L29" s="389">
        <f t="shared" si="12"/>
        <v>0</v>
      </c>
      <c r="M29" s="389">
        <f t="shared" si="12"/>
        <v>0</v>
      </c>
      <c r="N29" s="389">
        <f t="shared" si="12"/>
        <v>0</v>
      </c>
      <c r="O29" s="389">
        <f t="shared" si="12"/>
        <v>0</v>
      </c>
      <c r="P29" s="389">
        <f t="shared" si="12"/>
        <v>0</v>
      </c>
      <c r="Q29" s="389">
        <f t="shared" si="12"/>
        <v>0</v>
      </c>
      <c r="R29" s="389">
        <f t="shared" si="12"/>
        <v>0</v>
      </c>
      <c r="S29" s="389">
        <f t="shared" si="12"/>
        <v>0</v>
      </c>
      <c r="T29" s="389">
        <f t="shared" si="12"/>
        <v>382.23701377410464</v>
      </c>
      <c r="U29" s="389">
        <f t="shared" si="12"/>
        <v>36.855832767889765</v>
      </c>
      <c r="V29" s="389">
        <f t="shared" si="12"/>
        <v>0</v>
      </c>
      <c r="W29" s="389">
        <f t="shared" si="12"/>
        <v>31.98510496671787</v>
      </c>
      <c r="X29" s="389">
        <f t="shared" si="12"/>
        <v>0</v>
      </c>
      <c r="Y29" s="1128">
        <v>0</v>
      </c>
      <c r="Z29" s="1128">
        <v>0</v>
      </c>
      <c r="AA29" s="1128">
        <v>0</v>
      </c>
      <c r="AB29" s="1128">
        <v>0</v>
      </c>
      <c r="AC29" s="1128">
        <v>0</v>
      </c>
      <c r="AD29" s="1128">
        <v>0</v>
      </c>
      <c r="AE29" s="1128">
        <v>0</v>
      </c>
      <c r="AF29" s="1158">
        <f>$C29-SUM($E29:AE29)</f>
        <v>1731.1970484912879</v>
      </c>
      <c r="AG29" s="1128">
        <v>0</v>
      </c>
      <c r="AH29" s="1128">
        <v>0</v>
      </c>
      <c r="AI29" s="1128">
        <v>0</v>
      </c>
      <c r="AJ29" s="1128">
        <v>0</v>
      </c>
      <c r="AK29" s="1128">
        <v>0</v>
      </c>
      <c r="AL29" s="1128">
        <v>0</v>
      </c>
      <c r="AM29" s="1128">
        <v>0</v>
      </c>
      <c r="AN29" s="1128">
        <v>0</v>
      </c>
      <c r="AO29" s="188"/>
      <c r="AP29" s="472">
        <f>SUM(E29:AO29)</f>
        <v>2182.2750000000001</v>
      </c>
      <c r="AQ29" s="1038">
        <f t="shared" si="4"/>
        <v>23</v>
      </c>
    </row>
    <row r="30" spans="1:43" s="344" customFormat="1">
      <c r="A30" s="513" t="str">
        <f>Assm!N31</f>
        <v>Construction Insurance</v>
      </c>
      <c r="B30" s="347"/>
      <c r="C30" s="293">
        <f>Assm!R31</f>
        <v>771.59400000000005</v>
      </c>
      <c r="D30" s="188"/>
      <c r="E30" s="1159">
        <f>E88</f>
        <v>27.529683377308707</v>
      </c>
      <c r="F30" s="1159">
        <f t="shared" ref="F30:X30" si="13">F88</f>
        <v>0</v>
      </c>
      <c r="G30" s="1159">
        <f t="shared" si="13"/>
        <v>0</v>
      </c>
      <c r="H30" s="1159">
        <f t="shared" si="13"/>
        <v>0</v>
      </c>
      <c r="I30" s="1159">
        <f t="shared" si="13"/>
        <v>497.90096856414607</v>
      </c>
      <c r="J30" s="1159">
        <f t="shared" si="13"/>
        <v>0</v>
      </c>
      <c r="K30" s="1159">
        <f t="shared" si="13"/>
        <v>0</v>
      </c>
      <c r="L30" s="1159">
        <f t="shared" si="13"/>
        <v>0</v>
      </c>
      <c r="M30" s="1159">
        <f t="shared" si="13"/>
        <v>77.708331951583489</v>
      </c>
      <c r="N30" s="1159">
        <f t="shared" si="13"/>
        <v>0</v>
      </c>
      <c r="O30" s="1159">
        <f t="shared" si="13"/>
        <v>0</v>
      </c>
      <c r="P30" s="1159">
        <f t="shared" si="13"/>
        <v>0</v>
      </c>
      <c r="Q30" s="1159">
        <f t="shared" si="13"/>
        <v>0</v>
      </c>
      <c r="R30" s="1159">
        <f t="shared" si="13"/>
        <v>0</v>
      </c>
      <c r="S30" s="1159">
        <f t="shared" si="13"/>
        <v>0</v>
      </c>
      <c r="T30" s="1159">
        <f t="shared" si="13"/>
        <v>0</v>
      </c>
      <c r="U30" s="1159">
        <f t="shared" si="13"/>
        <v>0</v>
      </c>
      <c r="V30" s="1159">
        <f t="shared" si="13"/>
        <v>0</v>
      </c>
      <c r="W30" s="1159">
        <f t="shared" si="13"/>
        <v>0</v>
      </c>
      <c r="X30" s="1159">
        <f t="shared" si="13"/>
        <v>0</v>
      </c>
      <c r="Y30" s="1032">
        <v>0</v>
      </c>
      <c r="Z30" s="1032">
        <v>0</v>
      </c>
      <c r="AA30" s="1032">
        <v>0</v>
      </c>
      <c r="AB30" s="1032">
        <v>0</v>
      </c>
      <c r="AC30" s="1032">
        <v>0</v>
      </c>
      <c r="AD30" s="1032">
        <v>0</v>
      </c>
      <c r="AE30" s="1032">
        <v>0</v>
      </c>
      <c r="AF30" s="1160">
        <f>$C30-SUM($E30:AE30)</f>
        <v>168.45501610696169</v>
      </c>
      <c r="AG30" s="1032">
        <v>0</v>
      </c>
      <c r="AH30" s="1032">
        <v>0</v>
      </c>
      <c r="AI30" s="1032">
        <v>0</v>
      </c>
      <c r="AJ30" s="1032">
        <v>0</v>
      </c>
      <c r="AK30" s="1032">
        <v>0</v>
      </c>
      <c r="AL30" s="1032">
        <v>0</v>
      </c>
      <c r="AM30" s="1032">
        <v>0</v>
      </c>
      <c r="AN30" s="1032">
        <v>0</v>
      </c>
      <c r="AO30" s="188"/>
      <c r="AP30" s="473">
        <f t="shared" si="11"/>
        <v>771.59400000000005</v>
      </c>
      <c r="AQ30" s="1038">
        <f t="shared" si="4"/>
        <v>24</v>
      </c>
    </row>
    <row r="31" spans="1:43" s="344" customFormat="1">
      <c r="A31" s="513" t="str">
        <f>Assm!N32</f>
        <v>Total 3rd Party Dev / Financing Costs</v>
      </c>
      <c r="B31" s="347"/>
      <c r="C31" s="153">
        <f ca="1">SUM(C26:C30)</f>
        <v>6924.2160417932309</v>
      </c>
      <c r="D31" s="188"/>
      <c r="E31" s="153">
        <f t="shared" ref="E31:AN31" ca="1" si="14">SUM(E26:E30)</f>
        <v>27.529683377308707</v>
      </c>
      <c r="F31" s="153">
        <f t="shared" ca="1" si="14"/>
        <v>0</v>
      </c>
      <c r="G31" s="153">
        <f t="shared" ca="1" si="14"/>
        <v>0</v>
      </c>
      <c r="H31" s="153">
        <f t="shared" ca="1" si="14"/>
        <v>0</v>
      </c>
      <c r="I31" s="153">
        <f t="shared" ca="1" si="14"/>
        <v>497.90096856414607</v>
      </c>
      <c r="J31" s="153">
        <f t="shared" ca="1" si="14"/>
        <v>0</v>
      </c>
      <c r="K31" s="153">
        <f t="shared" ca="1" si="14"/>
        <v>0</v>
      </c>
      <c r="L31" s="153">
        <f t="shared" ca="1" si="14"/>
        <v>0</v>
      </c>
      <c r="M31" s="153">
        <f t="shared" ca="1" si="14"/>
        <v>77.708331951583489</v>
      </c>
      <c r="N31" s="153">
        <f t="shared" ca="1" si="14"/>
        <v>0</v>
      </c>
      <c r="O31" s="153">
        <f t="shared" ca="1" si="14"/>
        <v>0</v>
      </c>
      <c r="P31" s="153">
        <f t="shared" ca="1" si="14"/>
        <v>0</v>
      </c>
      <c r="Q31" s="153">
        <f t="shared" ca="1" si="14"/>
        <v>0</v>
      </c>
      <c r="R31" s="153">
        <f t="shared" ca="1" si="14"/>
        <v>0</v>
      </c>
      <c r="S31" s="153">
        <f t="shared" ca="1" si="14"/>
        <v>0</v>
      </c>
      <c r="T31" s="153">
        <f t="shared" ca="1" si="14"/>
        <v>382.23701377410464</v>
      </c>
      <c r="U31" s="153">
        <f t="shared" ca="1" si="14"/>
        <v>36.855832767889765</v>
      </c>
      <c r="V31" s="153">
        <f t="shared" ca="1" si="14"/>
        <v>0</v>
      </c>
      <c r="W31" s="153">
        <f t="shared" ca="1" si="14"/>
        <v>31.98510496671787</v>
      </c>
      <c r="X31" s="153">
        <f t="shared" ca="1" si="14"/>
        <v>0</v>
      </c>
      <c r="Y31" s="153">
        <f t="shared" ca="1" si="14"/>
        <v>0</v>
      </c>
      <c r="Z31" s="153">
        <f t="shared" ca="1" si="14"/>
        <v>0</v>
      </c>
      <c r="AA31" s="153">
        <f t="shared" ca="1" si="14"/>
        <v>0</v>
      </c>
      <c r="AB31" s="153">
        <f t="shared" ca="1" si="14"/>
        <v>0</v>
      </c>
      <c r="AC31" s="153">
        <f t="shared" ca="1" si="14"/>
        <v>0</v>
      </c>
      <c r="AD31" s="153">
        <f t="shared" ca="1" si="14"/>
        <v>0</v>
      </c>
      <c r="AE31" s="153">
        <f t="shared" ca="1" si="14"/>
        <v>0</v>
      </c>
      <c r="AF31" s="153">
        <f t="shared" ca="1" si="14"/>
        <v>4730.9770645982499</v>
      </c>
      <c r="AG31" s="153">
        <f t="shared" ca="1" si="14"/>
        <v>0</v>
      </c>
      <c r="AH31" s="153">
        <f t="shared" ca="1" si="14"/>
        <v>1139.0220417932317</v>
      </c>
      <c r="AI31" s="153">
        <f t="shared" ca="1" si="14"/>
        <v>0</v>
      </c>
      <c r="AJ31" s="153">
        <f t="shared" ca="1" si="14"/>
        <v>0</v>
      </c>
      <c r="AK31" s="153">
        <f t="shared" ca="1" si="14"/>
        <v>0</v>
      </c>
      <c r="AL31" s="153">
        <f t="shared" ca="1" si="14"/>
        <v>0</v>
      </c>
      <c r="AM31" s="153">
        <f t="shared" ca="1" si="14"/>
        <v>0</v>
      </c>
      <c r="AN31" s="153">
        <f t="shared" ca="1" si="14"/>
        <v>0</v>
      </c>
      <c r="AO31" s="188"/>
      <c r="AP31" s="472">
        <f t="shared" ca="1" si="11"/>
        <v>6924.2160417932319</v>
      </c>
      <c r="AQ31" s="1038">
        <f t="shared" si="4"/>
        <v>25</v>
      </c>
    </row>
    <row r="32" spans="1:43" s="344" customFormat="1">
      <c r="A32" s="513"/>
      <c r="B32" s="34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525"/>
      <c r="AQ32" s="1038">
        <f t="shared" si="4"/>
        <v>26</v>
      </c>
    </row>
    <row r="33" spans="1:46" s="344" customFormat="1">
      <c r="A33" s="513" t="str">
        <f>Assm!N34</f>
        <v>Development Costs</v>
      </c>
      <c r="B33" s="347"/>
      <c r="C33" s="153">
        <f>Assm!R34</f>
        <v>6259.799400599999</v>
      </c>
      <c r="D33" s="188"/>
      <c r="E33" s="389">
        <f>E94</f>
        <v>0</v>
      </c>
      <c r="F33" s="389">
        <f t="shared" ref="F33:X33" si="15">F94</f>
        <v>0</v>
      </c>
      <c r="G33" s="389">
        <f t="shared" si="15"/>
        <v>0</v>
      </c>
      <c r="H33" s="389">
        <f t="shared" si="15"/>
        <v>0</v>
      </c>
      <c r="I33" s="389">
        <f t="shared" si="15"/>
        <v>0</v>
      </c>
      <c r="J33" s="389">
        <f t="shared" si="15"/>
        <v>0</v>
      </c>
      <c r="K33" s="389">
        <f t="shared" si="15"/>
        <v>0</v>
      </c>
      <c r="L33" s="389">
        <f t="shared" si="15"/>
        <v>0</v>
      </c>
      <c r="M33" s="389">
        <f t="shared" si="15"/>
        <v>98.563828552478867</v>
      </c>
      <c r="N33" s="389">
        <f t="shared" si="15"/>
        <v>0</v>
      </c>
      <c r="O33" s="389">
        <f t="shared" si="15"/>
        <v>40.216485858194503</v>
      </c>
      <c r="P33" s="389">
        <f t="shared" si="15"/>
        <v>406.16937639198215</v>
      </c>
      <c r="Q33" s="389">
        <f t="shared" si="15"/>
        <v>226.95430267062315</v>
      </c>
      <c r="R33" s="389">
        <f t="shared" si="15"/>
        <v>64.848607888631093</v>
      </c>
      <c r="S33" s="389">
        <f t="shared" si="15"/>
        <v>136.3031072160255</v>
      </c>
      <c r="T33" s="389">
        <f t="shared" si="15"/>
        <v>208.70192837465567</v>
      </c>
      <c r="U33" s="389">
        <f t="shared" si="15"/>
        <v>1088.4299806879274</v>
      </c>
      <c r="V33" s="389">
        <f t="shared" si="15"/>
        <v>327.92228060136301</v>
      </c>
      <c r="W33" s="389">
        <f t="shared" si="15"/>
        <v>520.27496159754219</v>
      </c>
      <c r="X33" s="389">
        <f t="shared" si="15"/>
        <v>445.7200811359026</v>
      </c>
      <c r="Y33" s="1128">
        <v>0</v>
      </c>
      <c r="Z33" s="1128">
        <v>0</v>
      </c>
      <c r="AA33" s="1128">
        <v>0</v>
      </c>
      <c r="AB33" s="1128">
        <v>0</v>
      </c>
      <c r="AC33" s="1128">
        <v>0</v>
      </c>
      <c r="AD33" s="1128">
        <v>0</v>
      </c>
      <c r="AE33" s="1128">
        <v>0</v>
      </c>
      <c r="AF33" s="1158">
        <f>$C$36-SUM($E33:AE33)</f>
        <v>3568.5944596246723</v>
      </c>
      <c r="AG33" s="1128">
        <v>0</v>
      </c>
      <c r="AH33" s="1128">
        <v>0</v>
      </c>
      <c r="AI33" s="1128">
        <v>0</v>
      </c>
      <c r="AJ33" s="1128">
        <v>0</v>
      </c>
      <c r="AK33" s="1128">
        <v>0</v>
      </c>
      <c r="AL33" s="1128">
        <v>0</v>
      </c>
      <c r="AM33" s="1128">
        <v>0</v>
      </c>
      <c r="AN33" s="1128">
        <v>0</v>
      </c>
      <c r="AO33" s="188"/>
      <c r="AP33" s="472">
        <f>SUM(E33:AO33)</f>
        <v>7132.6994005999986</v>
      </c>
      <c r="AQ33" s="1038">
        <f t="shared" si="4"/>
        <v>27</v>
      </c>
    </row>
    <row r="34" spans="1:46" s="344" customFormat="1">
      <c r="A34" s="513" t="str">
        <f>Assm!N35</f>
        <v>Development Fee</v>
      </c>
      <c r="B34" s="347"/>
      <c r="C34" s="153">
        <f>Assm!R35</f>
        <v>0</v>
      </c>
      <c r="D34" s="188"/>
      <c r="E34" s="1128">
        <v>0</v>
      </c>
      <c r="F34" s="1128">
        <v>0</v>
      </c>
      <c r="G34" s="1128">
        <v>0</v>
      </c>
      <c r="H34" s="1128">
        <v>0</v>
      </c>
      <c r="I34" s="1128">
        <v>0</v>
      </c>
      <c r="J34" s="1128">
        <v>0</v>
      </c>
      <c r="K34" s="1128">
        <v>0</v>
      </c>
      <c r="L34" s="1128">
        <v>0</v>
      </c>
      <c r="M34" s="1128">
        <v>0</v>
      </c>
      <c r="N34" s="1128">
        <v>0</v>
      </c>
      <c r="O34" s="1128">
        <v>0</v>
      </c>
      <c r="P34" s="1128">
        <v>0</v>
      </c>
      <c r="Q34" s="1128">
        <v>0</v>
      </c>
      <c r="R34" s="1128">
        <v>0</v>
      </c>
      <c r="S34" s="1128">
        <v>0</v>
      </c>
      <c r="T34" s="1128">
        <v>0</v>
      </c>
      <c r="U34" s="1128">
        <v>0</v>
      </c>
      <c r="V34" s="1128">
        <v>0</v>
      </c>
      <c r="W34" s="1128">
        <v>0</v>
      </c>
      <c r="X34" s="1128">
        <v>0</v>
      </c>
      <c r="Y34" s="1128">
        <v>0</v>
      </c>
      <c r="Z34" s="1128">
        <v>0</v>
      </c>
      <c r="AA34" s="1128">
        <v>0</v>
      </c>
      <c r="AB34" s="1128">
        <v>0</v>
      </c>
      <c r="AC34" s="1128">
        <v>0</v>
      </c>
      <c r="AD34" s="1128">
        <v>0</v>
      </c>
      <c r="AE34" s="1128">
        <v>0</v>
      </c>
      <c r="AF34" s="1128">
        <v>0</v>
      </c>
      <c r="AG34" s="1128">
        <v>0</v>
      </c>
      <c r="AH34" s="1128">
        <v>0</v>
      </c>
      <c r="AI34" s="1128">
        <v>0</v>
      </c>
      <c r="AJ34" s="1128">
        <v>0</v>
      </c>
      <c r="AK34" s="1128">
        <v>0</v>
      </c>
      <c r="AL34" s="1128">
        <v>0</v>
      </c>
      <c r="AM34" s="1128">
        <v>0</v>
      </c>
      <c r="AN34" s="1128">
        <v>0</v>
      </c>
      <c r="AO34" s="188"/>
      <c r="AP34" s="472">
        <f>SUM(E34:AO34)</f>
        <v>0</v>
      </c>
      <c r="AQ34" s="1038">
        <f t="shared" si="4"/>
        <v>28</v>
      </c>
    </row>
    <row r="35" spans="1:46" s="344" customFormat="1">
      <c r="A35" s="513" t="str">
        <f>Assm!N36</f>
        <v>Operations Mobilization</v>
      </c>
      <c r="B35" s="347"/>
      <c r="C35" s="293">
        <f>Assm!R36</f>
        <v>872.9</v>
      </c>
      <c r="D35" s="514"/>
      <c r="E35" s="1032">
        <v>0</v>
      </c>
      <c r="F35" s="1032">
        <v>0</v>
      </c>
      <c r="G35" s="1032">
        <v>0</v>
      </c>
      <c r="H35" s="1032">
        <v>0</v>
      </c>
      <c r="I35" s="1032">
        <v>0</v>
      </c>
      <c r="J35" s="1032">
        <v>0</v>
      </c>
      <c r="K35" s="1032">
        <v>0</v>
      </c>
      <c r="L35" s="1032">
        <v>0</v>
      </c>
      <c r="M35" s="1032">
        <v>0</v>
      </c>
      <c r="N35" s="1032">
        <v>0</v>
      </c>
      <c r="O35" s="1032">
        <v>0</v>
      </c>
      <c r="P35" s="1032">
        <v>0</v>
      </c>
      <c r="Q35" s="1032">
        <v>0</v>
      </c>
      <c r="R35" s="1032">
        <v>0</v>
      </c>
      <c r="S35" s="1032">
        <v>0</v>
      </c>
      <c r="T35" s="1032">
        <v>0</v>
      </c>
      <c r="U35" s="1032">
        <v>0</v>
      </c>
      <c r="V35" s="1032">
        <v>0</v>
      </c>
      <c r="W35" s="1032">
        <v>0</v>
      </c>
      <c r="X35" s="1032">
        <v>0</v>
      </c>
      <c r="Y35" s="1032">
        <v>0</v>
      </c>
      <c r="Z35" s="1032">
        <v>0</v>
      </c>
      <c r="AA35" s="1032">
        <v>0</v>
      </c>
      <c r="AB35" s="1032">
        <v>0</v>
      </c>
      <c r="AC35" s="1032">
        <v>0</v>
      </c>
      <c r="AD35" s="1032">
        <v>0</v>
      </c>
      <c r="AE35" s="1032">
        <v>0</v>
      </c>
      <c r="AF35" s="1032">
        <v>0</v>
      </c>
      <c r="AG35" s="1032">
        <v>0</v>
      </c>
      <c r="AH35" s="1032">
        <v>0</v>
      </c>
      <c r="AI35" s="1032">
        <v>0</v>
      </c>
      <c r="AJ35" s="1032">
        <v>0</v>
      </c>
      <c r="AK35" s="1032">
        <v>0</v>
      </c>
      <c r="AL35" s="1032">
        <v>0</v>
      </c>
      <c r="AM35" s="1032">
        <v>0</v>
      </c>
      <c r="AN35" s="1032">
        <v>0</v>
      </c>
      <c r="AO35" s="514"/>
      <c r="AP35" s="473">
        <f>SUM(E35:AO35)</f>
        <v>0</v>
      </c>
      <c r="AQ35" s="1038">
        <f t="shared" si="4"/>
        <v>29</v>
      </c>
    </row>
    <row r="36" spans="1:46" s="344" customFormat="1">
      <c r="A36" s="513" t="str">
        <f>Assm!N37</f>
        <v>Total Development Costs / Fees</v>
      </c>
      <c r="B36" s="347"/>
      <c r="C36" s="153">
        <f>SUM(C33:C35)</f>
        <v>7132.6994005999986</v>
      </c>
      <c r="D36" s="188"/>
      <c r="E36" s="153">
        <f t="shared" ref="E36:AN36" si="16">SUM(E33:E35)</f>
        <v>0</v>
      </c>
      <c r="F36" s="153">
        <f t="shared" si="16"/>
        <v>0</v>
      </c>
      <c r="G36" s="153">
        <f t="shared" si="16"/>
        <v>0</v>
      </c>
      <c r="H36" s="153">
        <f t="shared" si="16"/>
        <v>0</v>
      </c>
      <c r="I36" s="153">
        <f t="shared" si="16"/>
        <v>0</v>
      </c>
      <c r="J36" s="153">
        <f t="shared" si="16"/>
        <v>0</v>
      </c>
      <c r="K36" s="153">
        <f t="shared" si="16"/>
        <v>0</v>
      </c>
      <c r="L36" s="153">
        <f t="shared" si="16"/>
        <v>0</v>
      </c>
      <c r="M36" s="153">
        <f t="shared" si="16"/>
        <v>98.563828552478867</v>
      </c>
      <c r="N36" s="153">
        <f t="shared" si="16"/>
        <v>0</v>
      </c>
      <c r="O36" s="153">
        <f t="shared" si="16"/>
        <v>40.216485858194503</v>
      </c>
      <c r="P36" s="153">
        <f t="shared" si="16"/>
        <v>406.16937639198215</v>
      </c>
      <c r="Q36" s="153">
        <f t="shared" si="16"/>
        <v>226.95430267062315</v>
      </c>
      <c r="R36" s="153">
        <f t="shared" si="16"/>
        <v>64.848607888631093</v>
      </c>
      <c r="S36" s="153">
        <f t="shared" si="16"/>
        <v>136.3031072160255</v>
      </c>
      <c r="T36" s="153">
        <f t="shared" si="16"/>
        <v>208.70192837465567</v>
      </c>
      <c r="U36" s="153">
        <f t="shared" si="16"/>
        <v>1088.4299806879274</v>
      </c>
      <c r="V36" s="153">
        <f t="shared" si="16"/>
        <v>327.92228060136301</v>
      </c>
      <c r="W36" s="153">
        <f t="shared" si="16"/>
        <v>520.27496159754219</v>
      </c>
      <c r="X36" s="153">
        <f t="shared" si="16"/>
        <v>445.7200811359026</v>
      </c>
      <c r="Y36" s="153">
        <f t="shared" si="16"/>
        <v>0</v>
      </c>
      <c r="Z36" s="153">
        <f t="shared" si="16"/>
        <v>0</v>
      </c>
      <c r="AA36" s="153">
        <f t="shared" si="16"/>
        <v>0</v>
      </c>
      <c r="AB36" s="153">
        <f t="shared" si="16"/>
        <v>0</v>
      </c>
      <c r="AC36" s="153">
        <f t="shared" si="16"/>
        <v>0</v>
      </c>
      <c r="AD36" s="153">
        <f t="shared" si="16"/>
        <v>0</v>
      </c>
      <c r="AE36" s="153">
        <f t="shared" si="16"/>
        <v>0</v>
      </c>
      <c r="AF36" s="153">
        <f t="shared" si="16"/>
        <v>3568.5944596246723</v>
      </c>
      <c r="AG36" s="153">
        <f t="shared" si="16"/>
        <v>0</v>
      </c>
      <c r="AH36" s="153">
        <f t="shared" si="16"/>
        <v>0</v>
      </c>
      <c r="AI36" s="153">
        <f t="shared" si="16"/>
        <v>0</v>
      </c>
      <c r="AJ36" s="153">
        <f t="shared" si="16"/>
        <v>0</v>
      </c>
      <c r="AK36" s="153">
        <f t="shared" si="16"/>
        <v>0</v>
      </c>
      <c r="AL36" s="153">
        <f t="shared" si="16"/>
        <v>0</v>
      </c>
      <c r="AM36" s="153">
        <f t="shared" si="16"/>
        <v>0</v>
      </c>
      <c r="AN36" s="153">
        <f t="shared" si="16"/>
        <v>0</v>
      </c>
      <c r="AO36" s="188"/>
      <c r="AP36" s="472">
        <f>SUM(E36:AO36)</f>
        <v>7132.6994005999986</v>
      </c>
      <c r="AQ36" s="1038">
        <f t="shared" si="4"/>
        <v>30</v>
      </c>
    </row>
    <row r="37" spans="1:46" s="344" customFormat="1">
      <c r="A37" s="513"/>
      <c r="B37" s="347"/>
      <c r="C37" s="188"/>
      <c r="D37" s="188"/>
      <c r="E37" s="1157">
        <f>SUM(E76+E77)</f>
        <v>0</v>
      </c>
      <c r="F37" s="1157">
        <f t="shared" ref="F37:AB37" si="17">SUM(F76+F77)</f>
        <v>260.86956521739131</v>
      </c>
      <c r="G37" s="1157">
        <f t="shared" si="17"/>
        <v>369.05790838375106</v>
      </c>
      <c r="H37" s="1157">
        <f t="shared" si="17"/>
        <v>0</v>
      </c>
      <c r="I37" s="1157">
        <f t="shared" si="17"/>
        <v>0</v>
      </c>
      <c r="J37" s="1157">
        <f t="shared" si="17"/>
        <v>0</v>
      </c>
      <c r="K37" s="1157">
        <f t="shared" si="17"/>
        <v>0</v>
      </c>
      <c r="L37" s="1157">
        <f t="shared" si="17"/>
        <v>2676.3977770293027</v>
      </c>
      <c r="M37" s="1157">
        <f t="shared" si="17"/>
        <v>3331.6448350190685</v>
      </c>
      <c r="N37" s="1157">
        <f t="shared" si="17"/>
        <v>2443.6472081218271</v>
      </c>
      <c r="O37" s="1157">
        <f t="shared" si="17"/>
        <v>4312.3668151879119</v>
      </c>
      <c r="P37" s="1157">
        <f t="shared" si="17"/>
        <v>0</v>
      </c>
      <c r="Q37" s="1157">
        <f t="shared" si="17"/>
        <v>4214.6059347181008</v>
      </c>
      <c r="R37" s="1157">
        <f t="shared" si="17"/>
        <v>0</v>
      </c>
      <c r="S37" s="1157">
        <f t="shared" si="17"/>
        <v>7733.682563168677</v>
      </c>
      <c r="T37" s="1157">
        <f t="shared" si="17"/>
        <v>12350.784782369146</v>
      </c>
      <c r="U37" s="1157">
        <f t="shared" si="17"/>
        <v>1125.6506811420222</v>
      </c>
      <c r="V37" s="1157">
        <f t="shared" si="17"/>
        <v>1977.0366748166261</v>
      </c>
      <c r="W37" s="1157">
        <f t="shared" si="17"/>
        <v>5618.2075934459799</v>
      </c>
      <c r="X37" s="1157">
        <f t="shared" si="17"/>
        <v>6126.6735372132935</v>
      </c>
      <c r="Y37" s="1157">
        <f t="shared" si="17"/>
        <v>4581.4190497484624</v>
      </c>
      <c r="Z37" s="1157">
        <f t="shared" si="17"/>
        <v>5052.6320239680426</v>
      </c>
      <c r="AA37" s="1157">
        <f t="shared" si="17"/>
        <v>4072.7245896109739</v>
      </c>
      <c r="AB37" s="1157">
        <f t="shared" si="17"/>
        <v>0</v>
      </c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525"/>
      <c r="AQ37" s="1038">
        <f t="shared" si="4"/>
        <v>31</v>
      </c>
    </row>
    <row r="38" spans="1:46" s="344" customFormat="1">
      <c r="A38" s="513" t="str">
        <f>Assm!N39</f>
        <v xml:space="preserve">Working Capital </v>
      </c>
      <c r="B38" s="347"/>
      <c r="C38" s="293">
        <f>Wcap</f>
        <v>0</v>
      </c>
      <c r="D38" s="188"/>
      <c r="E38" s="1032">
        <f>E37-E49</f>
        <v>-27.529683377308707</v>
      </c>
      <c r="F38" s="1032">
        <f t="shared" ref="F38:X38" si="18">F37-F49</f>
        <v>117.39130434782609</v>
      </c>
      <c r="G38" s="1032">
        <f t="shared" si="18"/>
        <v>358.37294727744165</v>
      </c>
      <c r="H38" s="1032">
        <f t="shared" si="18"/>
        <v>0</v>
      </c>
      <c r="I38" s="1032">
        <f t="shared" si="18"/>
        <v>-497.90096856414607</v>
      </c>
      <c r="J38" s="1032">
        <f t="shared" si="18"/>
        <v>0</v>
      </c>
      <c r="K38" s="1032">
        <f t="shared" si="18"/>
        <v>-63.582842724978967</v>
      </c>
      <c r="L38" s="1032">
        <f t="shared" si="18"/>
        <v>2553.7723139104073</v>
      </c>
      <c r="M38" s="1032">
        <f t="shared" si="18"/>
        <v>289.87754103797079</v>
      </c>
      <c r="N38" s="1032">
        <f t="shared" si="18"/>
        <v>-1301.021218274112</v>
      </c>
      <c r="O38" s="1032">
        <f t="shared" si="18"/>
        <v>60.146454862456267</v>
      </c>
      <c r="P38" s="1032">
        <f t="shared" si="18"/>
        <v>-449.38165367483293</v>
      </c>
      <c r="Q38" s="1032">
        <f t="shared" si="18"/>
        <v>1228.4580474777445</v>
      </c>
      <c r="R38" s="1032">
        <f t="shared" si="18"/>
        <v>-1068.8515139211138</v>
      </c>
      <c r="S38" s="1032">
        <f t="shared" si="18"/>
        <v>1194.5783177782832</v>
      </c>
      <c r="T38" s="1032">
        <f t="shared" si="18"/>
        <v>-63.115234159782631</v>
      </c>
      <c r="U38" s="1032">
        <f t="shared" si="18"/>
        <v>-405.60783443812284</v>
      </c>
      <c r="V38" s="1032">
        <f t="shared" si="18"/>
        <v>-497.89508401394187</v>
      </c>
      <c r="W38" s="1032">
        <f t="shared" si="18"/>
        <v>4805.2521863799275</v>
      </c>
      <c r="X38" s="1032">
        <f t="shared" si="18"/>
        <v>946.34379258334593</v>
      </c>
      <c r="Y38" s="1032">
        <f>Y37-Y49</f>
        <v>-6401.9940301844608</v>
      </c>
      <c r="Z38" s="1032">
        <f>Z37-Z49</f>
        <v>2196.8056535730143</v>
      </c>
      <c r="AA38" s="1032">
        <f>AA37-AA49</f>
        <v>-839.23237013717016</v>
      </c>
      <c r="AB38" s="1032">
        <f>AB37-AB49</f>
        <v>-1415.7654667200823</v>
      </c>
      <c r="AC38" s="1032">
        <v>0</v>
      </c>
      <c r="AD38" s="1032">
        <v>0</v>
      </c>
      <c r="AE38" s="1032">
        <v>0</v>
      </c>
      <c r="AF38" s="1160">
        <f>-SUM($E38:AE38)</f>
        <v>-719.12065903836447</v>
      </c>
      <c r="AG38" s="1032">
        <v>0</v>
      </c>
      <c r="AH38" s="1032">
        <v>0</v>
      </c>
      <c r="AI38" s="1032">
        <v>0</v>
      </c>
      <c r="AJ38" s="1032">
        <v>0</v>
      </c>
      <c r="AK38" s="1032">
        <v>0</v>
      </c>
      <c r="AL38" s="1032">
        <v>0</v>
      </c>
      <c r="AM38" s="1032">
        <v>0</v>
      </c>
      <c r="AN38" s="1032">
        <v>0</v>
      </c>
      <c r="AO38" s="188"/>
      <c r="AP38" s="473">
        <f>SUM(E38:AO38)</f>
        <v>0</v>
      </c>
      <c r="AQ38" s="1038">
        <f t="shared" si="4"/>
        <v>32</v>
      </c>
    </row>
    <row r="39" spans="1:46" s="344" customFormat="1">
      <c r="A39" s="513" t="str">
        <f>Assm!N40</f>
        <v>Total Other Costs</v>
      </c>
      <c r="B39" s="347"/>
      <c r="C39" s="153">
        <f>SUM(C38:C38)</f>
        <v>0</v>
      </c>
      <c r="D39" s="188"/>
      <c r="E39" s="153">
        <f t="shared" ref="E39:AN39" si="19">SUM(E38:E38)</f>
        <v>-27.529683377308707</v>
      </c>
      <c r="F39" s="153">
        <f t="shared" si="19"/>
        <v>117.39130434782609</v>
      </c>
      <c r="G39" s="153">
        <f t="shared" si="19"/>
        <v>358.37294727744165</v>
      </c>
      <c r="H39" s="153">
        <f t="shared" si="19"/>
        <v>0</v>
      </c>
      <c r="I39" s="153">
        <f t="shared" si="19"/>
        <v>-497.90096856414607</v>
      </c>
      <c r="J39" s="153">
        <f t="shared" si="19"/>
        <v>0</v>
      </c>
      <c r="K39" s="153">
        <f t="shared" si="19"/>
        <v>-63.582842724978967</v>
      </c>
      <c r="L39" s="153">
        <f t="shared" si="19"/>
        <v>2553.7723139104073</v>
      </c>
      <c r="M39" s="153">
        <f t="shared" si="19"/>
        <v>289.87754103797079</v>
      </c>
      <c r="N39" s="153">
        <f t="shared" si="19"/>
        <v>-1301.021218274112</v>
      </c>
      <c r="O39" s="153">
        <f t="shared" si="19"/>
        <v>60.146454862456267</v>
      </c>
      <c r="P39" s="153">
        <f t="shared" si="19"/>
        <v>-449.38165367483293</v>
      </c>
      <c r="Q39" s="153">
        <f t="shared" si="19"/>
        <v>1228.4580474777445</v>
      </c>
      <c r="R39" s="153">
        <f t="shared" si="19"/>
        <v>-1068.8515139211138</v>
      </c>
      <c r="S39" s="153">
        <f t="shared" si="19"/>
        <v>1194.5783177782832</v>
      </c>
      <c r="T39" s="153">
        <f t="shared" si="19"/>
        <v>-63.115234159782631</v>
      </c>
      <c r="U39" s="153">
        <f t="shared" si="19"/>
        <v>-405.60783443812284</v>
      </c>
      <c r="V39" s="153">
        <f t="shared" si="19"/>
        <v>-497.89508401394187</v>
      </c>
      <c r="W39" s="153">
        <f t="shared" si="19"/>
        <v>4805.2521863799275</v>
      </c>
      <c r="X39" s="153">
        <f t="shared" si="19"/>
        <v>946.34379258334593</v>
      </c>
      <c r="Y39" s="153">
        <f t="shared" si="19"/>
        <v>-6401.9940301844608</v>
      </c>
      <c r="Z39" s="153">
        <f t="shared" si="19"/>
        <v>2196.8056535730143</v>
      </c>
      <c r="AA39" s="153">
        <f t="shared" si="19"/>
        <v>-839.23237013717016</v>
      </c>
      <c r="AB39" s="153">
        <f t="shared" si="19"/>
        <v>-1415.7654667200823</v>
      </c>
      <c r="AC39" s="153">
        <f t="shared" si="19"/>
        <v>0</v>
      </c>
      <c r="AD39" s="153">
        <f t="shared" si="19"/>
        <v>0</v>
      </c>
      <c r="AE39" s="153">
        <f t="shared" si="19"/>
        <v>0</v>
      </c>
      <c r="AF39" s="153">
        <f t="shared" si="19"/>
        <v>-719.12065903836447</v>
      </c>
      <c r="AG39" s="153">
        <f t="shared" si="19"/>
        <v>0</v>
      </c>
      <c r="AH39" s="153">
        <f t="shared" si="19"/>
        <v>0</v>
      </c>
      <c r="AI39" s="153">
        <f t="shared" si="19"/>
        <v>0</v>
      </c>
      <c r="AJ39" s="153">
        <f t="shared" si="19"/>
        <v>0</v>
      </c>
      <c r="AK39" s="153">
        <f t="shared" si="19"/>
        <v>0</v>
      </c>
      <c r="AL39" s="153">
        <f t="shared" si="19"/>
        <v>0</v>
      </c>
      <c r="AM39" s="153">
        <f t="shared" si="19"/>
        <v>0</v>
      </c>
      <c r="AN39" s="153">
        <f t="shared" si="19"/>
        <v>0</v>
      </c>
      <c r="AO39" s="188"/>
      <c r="AP39" s="472">
        <f>SUM(E39:AO39)</f>
        <v>0</v>
      </c>
      <c r="AQ39" s="1038">
        <f t="shared" si="4"/>
        <v>33</v>
      </c>
    </row>
    <row r="40" spans="1:46" s="344" customFormat="1">
      <c r="A40" s="513"/>
      <c r="B40" s="34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525"/>
      <c r="AQ40" s="1038">
        <f t="shared" si="4"/>
        <v>34</v>
      </c>
    </row>
    <row r="41" spans="1:46" s="344" customFormat="1">
      <c r="A41" s="513" t="str">
        <f>Assm!N42</f>
        <v>Contingency - Change Orders</v>
      </c>
      <c r="B41" s="347"/>
      <c r="C41" s="153">
        <f>Assm!R42</f>
        <v>2286.6464999999998</v>
      </c>
      <c r="D41" s="188"/>
      <c r="E41" s="1128">
        <v>0</v>
      </c>
      <c r="F41" s="1128">
        <v>0</v>
      </c>
      <c r="G41" s="1128">
        <v>0</v>
      </c>
      <c r="H41" s="1128">
        <v>0</v>
      </c>
      <c r="I41" s="1128">
        <v>0</v>
      </c>
      <c r="J41" s="1128">
        <v>0</v>
      </c>
      <c r="K41" s="1128">
        <v>0</v>
      </c>
      <c r="L41" s="1128">
        <v>0</v>
      </c>
      <c r="M41" s="1128">
        <v>0</v>
      </c>
      <c r="N41" s="1128">
        <v>0</v>
      </c>
      <c r="O41" s="1128">
        <v>0</v>
      </c>
      <c r="P41" s="1128">
        <v>0</v>
      </c>
      <c r="Q41" s="1128">
        <v>0</v>
      </c>
      <c r="R41" s="1128">
        <v>0</v>
      </c>
      <c r="S41" s="1128">
        <v>0</v>
      </c>
      <c r="T41" s="1128">
        <v>0</v>
      </c>
      <c r="U41" s="1128">
        <v>0</v>
      </c>
      <c r="V41" s="1128">
        <v>0</v>
      </c>
      <c r="W41" s="1128">
        <v>0</v>
      </c>
      <c r="X41" s="1128">
        <v>0</v>
      </c>
      <c r="Y41" s="1128">
        <v>0</v>
      </c>
      <c r="Z41" s="1128">
        <v>0</v>
      </c>
      <c r="AA41" s="1128">
        <v>0</v>
      </c>
      <c r="AB41" s="1128">
        <v>0</v>
      </c>
      <c r="AC41" s="1128">
        <v>0</v>
      </c>
      <c r="AD41" s="1158">
        <f>$C$41/8</f>
        <v>285.83081249999998</v>
      </c>
      <c r="AE41" s="1158">
        <f t="shared" ref="AE41:AK41" si="20">$C$41/8</f>
        <v>285.83081249999998</v>
      </c>
      <c r="AF41" s="1158">
        <f t="shared" si="20"/>
        <v>285.83081249999998</v>
      </c>
      <c r="AG41" s="1158">
        <f t="shared" si="20"/>
        <v>285.83081249999998</v>
      </c>
      <c r="AH41" s="1158">
        <f t="shared" si="20"/>
        <v>285.83081249999998</v>
      </c>
      <c r="AI41" s="1158">
        <f t="shared" si="20"/>
        <v>285.83081249999998</v>
      </c>
      <c r="AJ41" s="1158">
        <f t="shared" si="20"/>
        <v>285.83081249999998</v>
      </c>
      <c r="AK41" s="1158">
        <f t="shared" si="20"/>
        <v>285.83081249999998</v>
      </c>
      <c r="AL41" s="1128">
        <v>0</v>
      </c>
      <c r="AM41" s="1128">
        <v>0</v>
      </c>
      <c r="AN41" s="1128">
        <v>0</v>
      </c>
      <c r="AO41" s="188"/>
      <c r="AP41" s="472">
        <f>SUM(E41:AO41)</f>
        <v>2286.6464999999994</v>
      </c>
      <c r="AQ41" s="1038">
        <f t="shared" si="4"/>
        <v>35</v>
      </c>
    </row>
    <row r="42" spans="1:46" s="344" customFormat="1">
      <c r="A42" s="513" t="str">
        <f>Assm!N43</f>
        <v>Contingency</v>
      </c>
      <c r="B42" s="347"/>
      <c r="C42" s="293">
        <f>Assm!R43</f>
        <v>0</v>
      </c>
      <c r="D42" s="514"/>
      <c r="E42" s="1032">
        <v>0</v>
      </c>
      <c r="F42" s="1032">
        <v>0</v>
      </c>
      <c r="G42" s="1032">
        <v>0</v>
      </c>
      <c r="H42" s="1032">
        <v>0</v>
      </c>
      <c r="I42" s="1032">
        <v>0</v>
      </c>
      <c r="J42" s="1032">
        <v>0</v>
      </c>
      <c r="K42" s="1032">
        <v>0</v>
      </c>
      <c r="L42" s="1032">
        <v>0</v>
      </c>
      <c r="M42" s="1032">
        <v>0</v>
      </c>
      <c r="N42" s="1032">
        <v>0</v>
      </c>
      <c r="O42" s="1032">
        <v>0</v>
      </c>
      <c r="P42" s="1032">
        <v>0</v>
      </c>
      <c r="Q42" s="1032">
        <v>0</v>
      </c>
      <c r="R42" s="1032">
        <v>0</v>
      </c>
      <c r="S42" s="1032">
        <v>0</v>
      </c>
      <c r="T42" s="1032">
        <v>0</v>
      </c>
      <c r="U42" s="1032">
        <v>0</v>
      </c>
      <c r="V42" s="1032">
        <v>0</v>
      </c>
      <c r="W42" s="1032">
        <v>0</v>
      </c>
      <c r="X42" s="1032">
        <v>0</v>
      </c>
      <c r="Y42" s="1032">
        <v>0</v>
      </c>
      <c r="Z42" s="1032">
        <v>0</v>
      </c>
      <c r="AA42" s="1032">
        <v>0</v>
      </c>
      <c r="AB42" s="1032">
        <v>0</v>
      </c>
      <c r="AC42" s="1032">
        <v>0</v>
      </c>
      <c r="AD42" s="1160">
        <f>$C$42/8</f>
        <v>0</v>
      </c>
      <c r="AE42" s="1160">
        <f t="shared" ref="AE42:AK42" si="21">$C$42/8</f>
        <v>0</v>
      </c>
      <c r="AF42" s="1160">
        <f t="shared" si="21"/>
        <v>0</v>
      </c>
      <c r="AG42" s="1160">
        <f t="shared" si="21"/>
        <v>0</v>
      </c>
      <c r="AH42" s="1160">
        <f t="shared" si="21"/>
        <v>0</v>
      </c>
      <c r="AI42" s="1160">
        <f t="shared" si="21"/>
        <v>0</v>
      </c>
      <c r="AJ42" s="1160">
        <f t="shared" si="21"/>
        <v>0</v>
      </c>
      <c r="AK42" s="1160">
        <f t="shared" si="21"/>
        <v>0</v>
      </c>
      <c r="AL42" s="1032">
        <v>0</v>
      </c>
      <c r="AM42" s="1032">
        <v>0</v>
      </c>
      <c r="AN42" s="1032">
        <v>0</v>
      </c>
      <c r="AO42" s="514"/>
      <c r="AP42" s="473">
        <f>SUM(E42:AO42)</f>
        <v>0</v>
      </c>
      <c r="AQ42" s="1038">
        <f t="shared" si="4"/>
        <v>36</v>
      </c>
    </row>
    <row r="43" spans="1:46" s="344" customFormat="1">
      <c r="A43" s="513" t="str">
        <f>Assm!N44</f>
        <v>Total Contingency</v>
      </c>
      <c r="B43" s="347"/>
      <c r="C43" s="153">
        <f>SUM(C41:C42)</f>
        <v>2286.6464999999998</v>
      </c>
      <c r="D43" s="188"/>
      <c r="E43" s="153">
        <f t="shared" ref="E43:AN43" si="22">SUM(E41:E42)</f>
        <v>0</v>
      </c>
      <c r="F43" s="153">
        <f t="shared" si="22"/>
        <v>0</v>
      </c>
      <c r="G43" s="153">
        <f t="shared" si="22"/>
        <v>0</v>
      </c>
      <c r="H43" s="153">
        <f t="shared" si="22"/>
        <v>0</v>
      </c>
      <c r="I43" s="153">
        <f t="shared" si="22"/>
        <v>0</v>
      </c>
      <c r="J43" s="153">
        <f t="shared" si="22"/>
        <v>0</v>
      </c>
      <c r="K43" s="153">
        <f t="shared" si="22"/>
        <v>0</v>
      </c>
      <c r="L43" s="153">
        <f t="shared" si="22"/>
        <v>0</v>
      </c>
      <c r="M43" s="153">
        <f t="shared" si="22"/>
        <v>0</v>
      </c>
      <c r="N43" s="153">
        <f t="shared" si="22"/>
        <v>0</v>
      </c>
      <c r="O43" s="153">
        <f t="shared" si="22"/>
        <v>0</v>
      </c>
      <c r="P43" s="153">
        <f t="shared" si="22"/>
        <v>0</v>
      </c>
      <c r="Q43" s="153">
        <f t="shared" si="22"/>
        <v>0</v>
      </c>
      <c r="R43" s="153">
        <f t="shared" si="22"/>
        <v>0</v>
      </c>
      <c r="S43" s="153">
        <f t="shared" si="22"/>
        <v>0</v>
      </c>
      <c r="T43" s="153">
        <f t="shared" si="22"/>
        <v>0</v>
      </c>
      <c r="U43" s="153">
        <f t="shared" si="22"/>
        <v>0</v>
      </c>
      <c r="V43" s="153">
        <f t="shared" si="22"/>
        <v>0</v>
      </c>
      <c r="W43" s="153">
        <f t="shared" si="22"/>
        <v>0</v>
      </c>
      <c r="X43" s="153">
        <f t="shared" si="22"/>
        <v>0</v>
      </c>
      <c r="Y43" s="153">
        <f t="shared" si="22"/>
        <v>0</v>
      </c>
      <c r="Z43" s="153">
        <f t="shared" si="22"/>
        <v>0</v>
      </c>
      <c r="AA43" s="153">
        <f t="shared" si="22"/>
        <v>0</v>
      </c>
      <c r="AB43" s="153">
        <f t="shared" si="22"/>
        <v>0</v>
      </c>
      <c r="AC43" s="153">
        <f t="shared" si="22"/>
        <v>0</v>
      </c>
      <c r="AD43" s="153">
        <f t="shared" si="22"/>
        <v>285.83081249999998</v>
      </c>
      <c r="AE43" s="153">
        <f t="shared" si="22"/>
        <v>285.83081249999998</v>
      </c>
      <c r="AF43" s="153">
        <f t="shared" si="22"/>
        <v>285.83081249999998</v>
      </c>
      <c r="AG43" s="153">
        <f t="shared" si="22"/>
        <v>285.83081249999998</v>
      </c>
      <c r="AH43" s="153">
        <f t="shared" si="22"/>
        <v>285.83081249999998</v>
      </c>
      <c r="AI43" s="153">
        <f t="shared" si="22"/>
        <v>285.83081249999998</v>
      </c>
      <c r="AJ43" s="153">
        <f t="shared" si="22"/>
        <v>285.83081249999998</v>
      </c>
      <c r="AK43" s="153">
        <f t="shared" si="22"/>
        <v>285.83081249999998</v>
      </c>
      <c r="AL43" s="153">
        <f t="shared" si="22"/>
        <v>0</v>
      </c>
      <c r="AM43" s="153">
        <f t="shared" si="22"/>
        <v>0</v>
      </c>
      <c r="AN43" s="153">
        <f t="shared" si="22"/>
        <v>0</v>
      </c>
      <c r="AO43" s="188"/>
      <c r="AP43" s="472">
        <f>SUM(E43:AO43)</f>
        <v>2286.6464999999994</v>
      </c>
      <c r="AQ43" s="1038">
        <f t="shared" si="4"/>
        <v>37</v>
      </c>
    </row>
    <row r="44" spans="1:46" s="344" customFormat="1">
      <c r="A44" s="513"/>
      <c r="B44" s="34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525"/>
      <c r="AQ44" s="1038">
        <f t="shared" si="4"/>
        <v>38</v>
      </c>
      <c r="AR44" s="348"/>
      <c r="AS44" s="1002" t="s">
        <v>107</v>
      </c>
      <c r="AT44" s="349"/>
    </row>
    <row r="45" spans="1:46" s="1255" customFormat="1">
      <c r="A45" s="1246" t="s">
        <v>107</v>
      </c>
      <c r="B45" s="1247"/>
      <c r="C45" s="1248">
        <f ca="1">Assm!R26</f>
        <v>12.563102883268384</v>
      </c>
      <c r="D45" s="1249"/>
      <c r="E45" s="1248">
        <f ca="1">IDC!E83</f>
        <v>0</v>
      </c>
      <c r="F45" s="1248">
        <f ca="1">IDC!F83</f>
        <v>0</v>
      </c>
      <c r="G45" s="1248">
        <f ca="1">IDC!G83</f>
        <v>0</v>
      </c>
      <c r="H45" s="1248">
        <f ca="1">IDC!H83</f>
        <v>0</v>
      </c>
      <c r="I45" s="1248">
        <f ca="1">IDC!I83</f>
        <v>0</v>
      </c>
      <c r="J45" s="1248">
        <f ca="1">IDC!J83</f>
        <v>0</v>
      </c>
      <c r="K45" s="1248">
        <f ca="1">IDC!K83</f>
        <v>0</v>
      </c>
      <c r="L45" s="1248">
        <f ca="1">IDC!L83</f>
        <v>0</v>
      </c>
      <c r="M45" s="1248">
        <f ca="1">IDC!M83</f>
        <v>0</v>
      </c>
      <c r="N45" s="1248">
        <f ca="1">IDC!N83</f>
        <v>0</v>
      </c>
      <c r="O45" s="1248">
        <f ca="1">IDC!O83</f>
        <v>0</v>
      </c>
      <c r="P45" s="1248">
        <f ca="1">IDC!P83</f>
        <v>0</v>
      </c>
      <c r="Q45" s="1248">
        <f ca="1">IDC!Q83</f>
        <v>0</v>
      </c>
      <c r="R45" s="1248">
        <f ca="1">IDC!R83</f>
        <v>0</v>
      </c>
      <c r="S45" s="1248">
        <f ca="1">IDC!S83</f>
        <v>0</v>
      </c>
      <c r="T45" s="1248">
        <f ca="1">IDC!T83</f>
        <v>0</v>
      </c>
      <c r="U45" s="1248">
        <f ca="1">IDC!U83</f>
        <v>0</v>
      </c>
      <c r="V45" s="1248">
        <f ca="1">IDC!V83</f>
        <v>0</v>
      </c>
      <c r="W45" s="1248">
        <f ca="1">IDC!W83</f>
        <v>0</v>
      </c>
      <c r="X45" s="1248">
        <f ca="1">IDC!X83</f>
        <v>0</v>
      </c>
      <c r="Y45" s="1248">
        <f ca="1">IDC!Y83</f>
        <v>0</v>
      </c>
      <c r="Z45" s="1248">
        <f ca="1">IDC!Z83</f>
        <v>0</v>
      </c>
      <c r="AA45" s="1248">
        <f ca="1">IDC!AA83</f>
        <v>0</v>
      </c>
      <c r="AB45" s="1248">
        <f ca="1">IDC!AB83</f>
        <v>0</v>
      </c>
      <c r="AC45" s="1248">
        <f ca="1">IDC!AC83</f>
        <v>0</v>
      </c>
      <c r="AD45" s="1248">
        <f ca="1">IDC!AD83</f>
        <v>0</v>
      </c>
      <c r="AE45" s="1248">
        <f ca="1">IDC!AE83</f>
        <v>0</v>
      </c>
      <c r="AF45" s="1248">
        <f ca="1">IDC!AF83</f>
        <v>0</v>
      </c>
      <c r="AG45" s="1248">
        <f ca="1">IDC!AG83</f>
        <v>0</v>
      </c>
      <c r="AH45" s="1248">
        <f ca="1">IDC!AH83</f>
        <v>5.4885942772858138</v>
      </c>
      <c r="AI45" s="1248">
        <f ca="1">IDC!AI83</f>
        <v>3.8817027283485888</v>
      </c>
      <c r="AJ45" s="1248">
        <f ca="1">IDC!AJ83</f>
        <v>2.2593292894600778</v>
      </c>
      <c r="AK45" s="1248">
        <f ca="1">IDC!AK83</f>
        <v>0.62132479752547176</v>
      </c>
      <c r="AL45" s="1248">
        <f ca="1">IDC!AL83</f>
        <v>0.31215179064843596</v>
      </c>
      <c r="AM45" s="1248">
        <f ca="1">IDC!AM83</f>
        <v>-2.4632148173016807E-15</v>
      </c>
      <c r="AN45" s="1248">
        <f ca="1">IDC!AN83</f>
        <v>-2.462415149922976E-15</v>
      </c>
      <c r="AO45" s="1249"/>
      <c r="AP45" s="1250">
        <f ca="1">SUM(E45:AO45)</f>
        <v>12.563102883268384</v>
      </c>
      <c r="AQ45" s="1251">
        <f t="shared" si="4"/>
        <v>39</v>
      </c>
      <c r="AR45" s="1252"/>
      <c r="AS45" s="1253" t="s">
        <v>431</v>
      </c>
      <c r="AT45" s="1254"/>
    </row>
    <row r="46" spans="1:46" s="344" customFormat="1">
      <c r="A46" s="513" t="s">
        <v>432</v>
      </c>
      <c r="B46" s="347"/>
      <c r="C46" s="153">
        <f ca="1">SUM(C45:C45)</f>
        <v>12.563102883268384</v>
      </c>
      <c r="D46" s="188"/>
      <c r="E46" s="153">
        <f t="shared" ref="E46:AN46" ca="1" si="23">SUM(E45:E45)</f>
        <v>0</v>
      </c>
      <c r="F46" s="153">
        <f t="shared" ca="1" si="23"/>
        <v>0</v>
      </c>
      <c r="G46" s="153">
        <f t="shared" ca="1" si="23"/>
        <v>0</v>
      </c>
      <c r="H46" s="153">
        <f t="shared" ca="1" si="23"/>
        <v>0</v>
      </c>
      <c r="I46" s="153">
        <f t="shared" ca="1" si="23"/>
        <v>0</v>
      </c>
      <c r="J46" s="153">
        <f t="shared" ca="1" si="23"/>
        <v>0</v>
      </c>
      <c r="K46" s="153">
        <f t="shared" ca="1" si="23"/>
        <v>0</v>
      </c>
      <c r="L46" s="153">
        <f t="shared" ca="1" si="23"/>
        <v>0</v>
      </c>
      <c r="M46" s="153">
        <f t="shared" ca="1" si="23"/>
        <v>0</v>
      </c>
      <c r="N46" s="153">
        <f t="shared" ca="1" si="23"/>
        <v>0</v>
      </c>
      <c r="O46" s="153">
        <f t="shared" ca="1" si="23"/>
        <v>0</v>
      </c>
      <c r="P46" s="153">
        <f t="shared" ca="1" si="23"/>
        <v>0</v>
      </c>
      <c r="Q46" s="153">
        <f t="shared" ca="1" si="23"/>
        <v>0</v>
      </c>
      <c r="R46" s="153">
        <f t="shared" ca="1" si="23"/>
        <v>0</v>
      </c>
      <c r="S46" s="153">
        <f t="shared" ca="1" si="23"/>
        <v>0</v>
      </c>
      <c r="T46" s="153">
        <f t="shared" ca="1" si="23"/>
        <v>0</v>
      </c>
      <c r="U46" s="153">
        <f t="shared" ca="1" si="23"/>
        <v>0</v>
      </c>
      <c r="V46" s="153">
        <f t="shared" ca="1" si="23"/>
        <v>0</v>
      </c>
      <c r="W46" s="153">
        <f t="shared" ca="1" si="23"/>
        <v>0</v>
      </c>
      <c r="X46" s="153">
        <f t="shared" ca="1" si="23"/>
        <v>0</v>
      </c>
      <c r="Y46" s="153">
        <f t="shared" ca="1" si="23"/>
        <v>0</v>
      </c>
      <c r="Z46" s="153">
        <f t="shared" ca="1" si="23"/>
        <v>0</v>
      </c>
      <c r="AA46" s="153">
        <f t="shared" ca="1" si="23"/>
        <v>0</v>
      </c>
      <c r="AB46" s="153">
        <f t="shared" ca="1" si="23"/>
        <v>0</v>
      </c>
      <c r="AC46" s="153">
        <f t="shared" ca="1" si="23"/>
        <v>0</v>
      </c>
      <c r="AD46" s="153">
        <f t="shared" ca="1" si="23"/>
        <v>0</v>
      </c>
      <c r="AE46" s="153">
        <f t="shared" ca="1" si="23"/>
        <v>0</v>
      </c>
      <c r="AF46" s="153">
        <f t="shared" ca="1" si="23"/>
        <v>0</v>
      </c>
      <c r="AG46" s="153">
        <f t="shared" ca="1" si="23"/>
        <v>0</v>
      </c>
      <c r="AH46" s="153">
        <f t="shared" ca="1" si="23"/>
        <v>5.4885942772858138</v>
      </c>
      <c r="AI46" s="153">
        <f t="shared" ca="1" si="23"/>
        <v>3.8817027283485888</v>
      </c>
      <c r="AJ46" s="153">
        <f t="shared" ca="1" si="23"/>
        <v>2.2593292894600778</v>
      </c>
      <c r="AK46" s="153">
        <f t="shared" ca="1" si="23"/>
        <v>0.62132479752547176</v>
      </c>
      <c r="AL46" s="153">
        <f t="shared" ca="1" si="23"/>
        <v>0.31215179064843596</v>
      </c>
      <c r="AM46" s="153">
        <f t="shared" ca="1" si="23"/>
        <v>-2.4632148173016807E-15</v>
      </c>
      <c r="AN46" s="153">
        <f t="shared" ca="1" si="23"/>
        <v>-2.462415149922976E-15</v>
      </c>
      <c r="AO46" s="188"/>
      <c r="AP46" s="472">
        <f ca="1">SUM(E46:AO46)</f>
        <v>12.563102883268384</v>
      </c>
      <c r="AQ46" s="1038">
        <f t="shared" si="4"/>
        <v>40</v>
      </c>
      <c r="AR46" s="352"/>
      <c r="AS46" s="1003">
        <f ca="1">IF($AP$45=0,0,IF(ABS(AP46-IDC!AO84)&lt;0.005,0,1))</f>
        <v>0</v>
      </c>
      <c r="AT46" s="353"/>
    </row>
    <row r="47" spans="1:46" s="344" customFormat="1">
      <c r="A47" s="513"/>
      <c r="B47" s="347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525"/>
      <c r="AQ47" s="1038">
        <f t="shared" si="4"/>
        <v>41</v>
      </c>
    </row>
    <row r="48" spans="1:46" s="344" customFormat="1" ht="13.8" thickBot="1">
      <c r="A48" s="1004" t="s">
        <v>433</v>
      </c>
      <c r="B48" s="1005"/>
      <c r="C48" s="1006">
        <f ca="1">SUM(C15,C24,C31,C36,C39,C43,C46)</f>
        <v>118570.09172610656</v>
      </c>
      <c r="D48" s="345"/>
      <c r="E48" s="1006">
        <f t="shared" ref="E48:AN48" ca="1" si="24">SUM(E15,E24,E31,E36,E39,E43,E46)</f>
        <v>0</v>
      </c>
      <c r="F48" s="1006">
        <f t="shared" ca="1" si="24"/>
        <v>260.86956521739131</v>
      </c>
      <c r="G48" s="1006">
        <f t="shared" ca="1" si="24"/>
        <v>369.05790838375106</v>
      </c>
      <c r="H48" s="1006">
        <f t="shared" ca="1" si="24"/>
        <v>0</v>
      </c>
      <c r="I48" s="1006">
        <f t="shared" ca="1" si="24"/>
        <v>0</v>
      </c>
      <c r="J48" s="1006">
        <f t="shared" ca="1" si="24"/>
        <v>0</v>
      </c>
      <c r="K48" s="1006">
        <f t="shared" ca="1" si="24"/>
        <v>0</v>
      </c>
      <c r="L48" s="1006">
        <f t="shared" ca="1" si="24"/>
        <v>2676.3977770293027</v>
      </c>
      <c r="M48" s="1006">
        <f t="shared" ca="1" si="24"/>
        <v>3331.6448350190685</v>
      </c>
      <c r="N48" s="1006">
        <f t="shared" ca="1" si="24"/>
        <v>2443.6472081218271</v>
      </c>
      <c r="O48" s="1006">
        <f t="shared" ca="1" si="24"/>
        <v>4312.3668151879119</v>
      </c>
      <c r="P48" s="1006">
        <f t="shared" ca="1" si="24"/>
        <v>0</v>
      </c>
      <c r="Q48" s="1006">
        <f t="shared" ca="1" si="24"/>
        <v>4214.6059347181008</v>
      </c>
      <c r="R48" s="1006">
        <f t="shared" ca="1" si="24"/>
        <v>0</v>
      </c>
      <c r="S48" s="1006">
        <f t="shared" ca="1" si="24"/>
        <v>7733.682563168677</v>
      </c>
      <c r="T48" s="1006">
        <f t="shared" ca="1" si="24"/>
        <v>12350.784782369146</v>
      </c>
      <c r="U48" s="1006">
        <f t="shared" ca="1" si="24"/>
        <v>1125.6506811420222</v>
      </c>
      <c r="V48" s="1006">
        <f t="shared" ca="1" si="24"/>
        <v>1977.0366748166261</v>
      </c>
      <c r="W48" s="1006">
        <f t="shared" ca="1" si="24"/>
        <v>5618.2075934459799</v>
      </c>
      <c r="X48" s="1006">
        <f t="shared" ca="1" si="24"/>
        <v>6126.6735372132935</v>
      </c>
      <c r="Y48" s="1006">
        <f t="shared" ca="1" si="24"/>
        <v>3309.3211443231276</v>
      </c>
      <c r="Z48" s="1006">
        <f t="shared" ca="1" si="24"/>
        <v>5722.3446840063825</v>
      </c>
      <c r="AA48" s="1006">
        <f t="shared" ca="1" si="24"/>
        <v>4510.4468054750359</v>
      </c>
      <c r="AB48" s="1006">
        <f t="shared" ca="1" si="24"/>
        <v>269.83723843008784</v>
      </c>
      <c r="AC48" s="1006">
        <f t="shared" ca="1" si="24"/>
        <v>4948.7452093753336</v>
      </c>
      <c r="AD48" s="1006">
        <f t="shared" ca="1" si="24"/>
        <v>5234.5760218753339</v>
      </c>
      <c r="AE48" s="1006">
        <f t="shared" ca="1" si="24"/>
        <v>5234.5760218753339</v>
      </c>
      <c r="AF48" s="1006">
        <f t="shared" ca="1" si="24"/>
        <v>12815.026887059892</v>
      </c>
      <c r="AG48" s="1006">
        <f t="shared" ca="1" si="24"/>
        <v>5234.5760218753339</v>
      </c>
      <c r="AH48" s="1006">
        <f t="shared" ca="1" si="24"/>
        <v>6379.0866579458516</v>
      </c>
      <c r="AI48" s="1006">
        <f t="shared" ca="1" si="24"/>
        <v>4125.16658587027</v>
      </c>
      <c r="AJ48" s="1006">
        <f t="shared" ca="1" si="24"/>
        <v>4123.5442124313813</v>
      </c>
      <c r="AK48" s="1006">
        <f t="shared" ca="1" si="24"/>
        <v>4121.9062079394471</v>
      </c>
      <c r="AL48" s="1006">
        <f t="shared" ca="1" si="24"/>
        <v>0.31215179064843596</v>
      </c>
      <c r="AM48" s="1006">
        <f t="shared" ca="1" si="24"/>
        <v>-2.4632148173016807E-15</v>
      </c>
      <c r="AN48" s="1006">
        <f t="shared" ca="1" si="24"/>
        <v>-2.462415149922976E-15</v>
      </c>
      <c r="AO48" s="345"/>
      <c r="AP48" s="1007">
        <f ca="1">SUM(E48:AO48)</f>
        <v>118570.09172610656</v>
      </c>
      <c r="AQ48" s="1038">
        <f t="shared" si="4"/>
        <v>42</v>
      </c>
    </row>
    <row r="49" spans="1:52" s="344" customFormat="1">
      <c r="A49" s="515"/>
      <c r="B49" s="188"/>
      <c r="C49" s="188"/>
      <c r="D49" s="188"/>
      <c r="E49" s="1157">
        <v>27.529683377308707</v>
      </c>
      <c r="F49" s="1157">
        <v>143.47826086956522</v>
      </c>
      <c r="G49" s="1157">
        <v>10.684961106309419</v>
      </c>
      <c r="H49" s="1157">
        <v>0</v>
      </c>
      <c r="I49" s="1157">
        <v>497.90096856414607</v>
      </c>
      <c r="J49" s="1157">
        <v>0</v>
      </c>
      <c r="K49" s="1157">
        <v>63.582842724978967</v>
      </c>
      <c r="L49" s="1157">
        <v>122.62546311889525</v>
      </c>
      <c r="M49" s="1157">
        <v>3041.7672939810977</v>
      </c>
      <c r="N49" s="1157">
        <v>3744.6684263959392</v>
      </c>
      <c r="O49" s="1157">
        <v>4252.2203603254557</v>
      </c>
      <c r="P49" s="1157">
        <v>449.38165367483293</v>
      </c>
      <c r="Q49" s="1157">
        <v>2986.1478872403563</v>
      </c>
      <c r="R49" s="1157">
        <v>1068.8515139211138</v>
      </c>
      <c r="S49" s="1157">
        <v>6539.1042453903938</v>
      </c>
      <c r="T49" s="1157">
        <v>12413.900016528929</v>
      </c>
      <c r="U49" s="1157">
        <v>1531.2585155801451</v>
      </c>
      <c r="V49" s="1157">
        <v>2474.931758830568</v>
      </c>
      <c r="W49" s="1157">
        <v>812.9554070660522</v>
      </c>
      <c r="X49" s="1157">
        <v>5180.3297446299475</v>
      </c>
      <c r="Y49" s="1157">
        <v>10983.413079932923</v>
      </c>
      <c r="Z49" s="1157">
        <v>2855.8263703950283</v>
      </c>
      <c r="AA49" s="1157">
        <v>4911.9569597481441</v>
      </c>
      <c r="AB49" s="1157">
        <v>1415.7654667200823</v>
      </c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525"/>
      <c r="AQ49" s="1038">
        <f t="shared" si="4"/>
        <v>43</v>
      </c>
      <c r="AR49" s="344" t="s">
        <v>951</v>
      </c>
    </row>
    <row r="50" spans="1:52" s="344" customFormat="1">
      <c r="A50" s="515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525"/>
      <c r="AQ50" s="1038">
        <f t="shared" si="4"/>
        <v>44</v>
      </c>
      <c r="AR50" s="1046" t="s">
        <v>955</v>
      </c>
    </row>
    <row r="51" spans="1:52" s="344" customFormat="1">
      <c r="A51" s="1008" t="s">
        <v>931</v>
      </c>
      <c r="B51" s="354"/>
      <c r="C51" s="354"/>
      <c r="D51" s="354"/>
      <c r="E51" s="1009">
        <v>35886</v>
      </c>
      <c r="F51" s="1010">
        <f t="shared" ref="F51:AN51" si="25">EDATE(E51,1)</f>
        <v>35916</v>
      </c>
      <c r="G51" s="1010">
        <f t="shared" si="25"/>
        <v>35947</v>
      </c>
      <c r="H51" s="1010">
        <f t="shared" si="25"/>
        <v>35977</v>
      </c>
      <c r="I51" s="1010">
        <f t="shared" si="25"/>
        <v>36008</v>
      </c>
      <c r="J51" s="1010">
        <f t="shared" si="25"/>
        <v>36039</v>
      </c>
      <c r="K51" s="1010">
        <f t="shared" si="25"/>
        <v>36069</v>
      </c>
      <c r="L51" s="1010">
        <f t="shared" si="25"/>
        <v>36100</v>
      </c>
      <c r="M51" s="1010">
        <f t="shared" si="25"/>
        <v>36130</v>
      </c>
      <c r="N51" s="1010">
        <f t="shared" si="25"/>
        <v>36161</v>
      </c>
      <c r="O51" s="1010">
        <f t="shared" si="25"/>
        <v>36192</v>
      </c>
      <c r="P51" s="1010">
        <f t="shared" si="25"/>
        <v>36220</v>
      </c>
      <c r="Q51" s="1010">
        <f t="shared" si="25"/>
        <v>36251</v>
      </c>
      <c r="R51" s="1010">
        <f t="shared" si="25"/>
        <v>36281</v>
      </c>
      <c r="S51" s="1010">
        <f t="shared" si="25"/>
        <v>36312</v>
      </c>
      <c r="T51" s="1010">
        <f t="shared" si="25"/>
        <v>36342</v>
      </c>
      <c r="U51" s="1010">
        <f t="shared" si="25"/>
        <v>36373</v>
      </c>
      <c r="V51" s="1010">
        <f t="shared" si="25"/>
        <v>36404</v>
      </c>
      <c r="W51" s="1010">
        <f t="shared" si="25"/>
        <v>36434</v>
      </c>
      <c r="X51" s="1010">
        <f t="shared" si="25"/>
        <v>36465</v>
      </c>
      <c r="Y51" s="1010">
        <f t="shared" si="25"/>
        <v>36495</v>
      </c>
      <c r="Z51" s="1010">
        <f t="shared" si="25"/>
        <v>36526</v>
      </c>
      <c r="AA51" s="1010">
        <f t="shared" si="25"/>
        <v>36557</v>
      </c>
      <c r="AB51" s="1010">
        <f t="shared" si="25"/>
        <v>36586</v>
      </c>
      <c r="AC51" s="1010">
        <f t="shared" si="25"/>
        <v>36617</v>
      </c>
      <c r="AD51" s="1010">
        <f t="shared" si="25"/>
        <v>36647</v>
      </c>
      <c r="AE51" s="1010">
        <f t="shared" si="25"/>
        <v>36678</v>
      </c>
      <c r="AF51" s="1010">
        <f t="shared" si="25"/>
        <v>36708</v>
      </c>
      <c r="AG51" s="1010">
        <f t="shared" si="25"/>
        <v>36739</v>
      </c>
      <c r="AH51" s="1010">
        <f t="shared" si="25"/>
        <v>36770</v>
      </c>
      <c r="AI51" s="1010">
        <f t="shared" si="25"/>
        <v>36800</v>
      </c>
      <c r="AJ51" s="1010">
        <f t="shared" si="25"/>
        <v>36831</v>
      </c>
      <c r="AK51" s="1010">
        <f t="shared" si="25"/>
        <v>36861</v>
      </c>
      <c r="AL51" s="1010">
        <f t="shared" si="25"/>
        <v>36892</v>
      </c>
      <c r="AM51" s="1010">
        <f t="shared" si="25"/>
        <v>36923</v>
      </c>
      <c r="AN51" s="1010">
        <f t="shared" si="25"/>
        <v>36951</v>
      </c>
      <c r="AO51" s="354"/>
      <c r="AP51" s="526"/>
      <c r="AQ51" s="1038">
        <f t="shared" si="4"/>
        <v>45</v>
      </c>
      <c r="AR51" s="1037">
        <v>1</v>
      </c>
    </row>
    <row r="52" spans="1:52" s="344" customFormat="1">
      <c r="A52" s="1129" t="s">
        <v>1114</v>
      </c>
      <c r="B52" s="355"/>
      <c r="C52" s="355"/>
      <c r="D52" s="355"/>
      <c r="E52" s="1011">
        <f>E$6</f>
        <v>1</v>
      </c>
      <c r="F52" s="1011">
        <f t="shared" ref="F52:AN52" si="26">F$6</f>
        <v>2</v>
      </c>
      <c r="G52" s="1011">
        <f t="shared" si="26"/>
        <v>3</v>
      </c>
      <c r="H52" s="1011">
        <f t="shared" si="26"/>
        <v>4</v>
      </c>
      <c r="I52" s="1011">
        <f t="shared" si="26"/>
        <v>5</v>
      </c>
      <c r="J52" s="1011">
        <f t="shared" si="26"/>
        <v>6</v>
      </c>
      <c r="K52" s="1011">
        <f t="shared" si="26"/>
        <v>7</v>
      </c>
      <c r="L52" s="1011">
        <f t="shared" si="26"/>
        <v>8</v>
      </c>
      <c r="M52" s="1011">
        <f t="shared" si="26"/>
        <v>9</v>
      </c>
      <c r="N52" s="1011">
        <f t="shared" si="26"/>
        <v>10</v>
      </c>
      <c r="O52" s="1011">
        <f t="shared" si="26"/>
        <v>11</v>
      </c>
      <c r="P52" s="1011">
        <f t="shared" si="26"/>
        <v>12</v>
      </c>
      <c r="Q52" s="1011">
        <f t="shared" si="26"/>
        <v>13</v>
      </c>
      <c r="R52" s="1011">
        <f t="shared" si="26"/>
        <v>14</v>
      </c>
      <c r="S52" s="1011">
        <f t="shared" si="26"/>
        <v>15</v>
      </c>
      <c r="T52" s="1011">
        <f t="shared" si="26"/>
        <v>16</v>
      </c>
      <c r="U52" s="1011">
        <f t="shared" si="26"/>
        <v>17</v>
      </c>
      <c r="V52" s="1011">
        <f t="shared" si="26"/>
        <v>18</v>
      </c>
      <c r="W52" s="1011">
        <f t="shared" si="26"/>
        <v>19</v>
      </c>
      <c r="X52" s="1011">
        <f t="shared" si="26"/>
        <v>20</v>
      </c>
      <c r="Y52" s="1011">
        <f t="shared" si="26"/>
        <v>21</v>
      </c>
      <c r="Z52" s="1011">
        <f t="shared" si="26"/>
        <v>22</v>
      </c>
      <c r="AA52" s="1011">
        <f t="shared" si="26"/>
        <v>23</v>
      </c>
      <c r="AB52" s="1011">
        <f t="shared" si="26"/>
        <v>24</v>
      </c>
      <c r="AC52" s="1011">
        <f t="shared" si="26"/>
        <v>25</v>
      </c>
      <c r="AD52" s="1011">
        <f t="shared" si="26"/>
        <v>26</v>
      </c>
      <c r="AE52" s="1011">
        <f t="shared" si="26"/>
        <v>27</v>
      </c>
      <c r="AF52" s="1011">
        <f t="shared" si="26"/>
        <v>28</v>
      </c>
      <c r="AG52" s="1011">
        <f t="shared" si="26"/>
        <v>29</v>
      </c>
      <c r="AH52" s="1011">
        <f t="shared" si="26"/>
        <v>30</v>
      </c>
      <c r="AI52" s="1011">
        <f t="shared" si="26"/>
        <v>31</v>
      </c>
      <c r="AJ52" s="1011">
        <f t="shared" si="26"/>
        <v>32</v>
      </c>
      <c r="AK52" s="1011">
        <f t="shared" si="26"/>
        <v>33</v>
      </c>
      <c r="AL52" s="1011">
        <f t="shared" si="26"/>
        <v>34</v>
      </c>
      <c r="AM52" s="1011">
        <f t="shared" si="26"/>
        <v>35</v>
      </c>
      <c r="AN52" s="1011">
        <f t="shared" si="26"/>
        <v>36</v>
      </c>
      <c r="AO52" s="355"/>
      <c r="AP52" s="527"/>
      <c r="AQ52" s="1038">
        <f t="shared" si="4"/>
        <v>46</v>
      </c>
      <c r="AR52" s="1038">
        <f t="shared" ref="AR52:AR68" si="27">AR51+1</f>
        <v>2</v>
      </c>
    </row>
    <row r="53" spans="1:52" s="344" customFormat="1">
      <c r="A53" s="516"/>
      <c r="B53" s="355" t="s">
        <v>434</v>
      </c>
      <c r="C53" s="355"/>
      <c r="D53" s="355"/>
      <c r="E53" s="520">
        <v>1192.06</v>
      </c>
      <c r="F53" s="521">
        <v>834.31399999999996</v>
      </c>
      <c r="G53" s="521">
        <v>381.11799999999999</v>
      </c>
      <c r="H53" s="521">
        <v>261.16300000000001</v>
      </c>
      <c r="I53" s="521">
        <v>235.91499999999999</v>
      </c>
      <c r="J53" s="521">
        <v>456.173</v>
      </c>
      <c r="K53" s="521">
        <v>7206.7879999999996</v>
      </c>
      <c r="L53" s="521">
        <v>134.69499999999999</v>
      </c>
      <c r="M53" s="521">
        <v>2782.7020000000002</v>
      </c>
      <c r="N53" s="521">
        <v>70.173000000000002</v>
      </c>
      <c r="O53" s="521">
        <v>7855.74</v>
      </c>
      <c r="P53" s="521">
        <v>3841.8409999999999</v>
      </c>
      <c r="Q53" s="521">
        <v>8774.3940000000002</v>
      </c>
      <c r="R53" s="521">
        <v>8620.4629999999997</v>
      </c>
      <c r="S53" s="521">
        <v>6053.05</v>
      </c>
      <c r="T53" s="521">
        <v>5356.232</v>
      </c>
      <c r="U53" s="521">
        <v>3101.92</v>
      </c>
      <c r="V53" s="521">
        <v>2169.9720000000002</v>
      </c>
      <c r="W53" s="521">
        <v>2331.9749999999999</v>
      </c>
      <c r="X53" s="521">
        <v>3787.0039999999999</v>
      </c>
      <c r="Y53" s="521">
        <v>42.688000000000002</v>
      </c>
      <c r="Z53" s="521">
        <v>46.228999999999999</v>
      </c>
      <c r="AA53" s="521">
        <v>44.857999999999997</v>
      </c>
      <c r="AB53" s="521">
        <v>42.811</v>
      </c>
      <c r="AC53" s="521">
        <v>788.25300000000004</v>
      </c>
      <c r="AD53" s="521">
        <v>0</v>
      </c>
      <c r="AE53" s="521">
        <v>0</v>
      </c>
      <c r="AF53" s="521">
        <v>0</v>
      </c>
      <c r="AG53" s="521">
        <v>0</v>
      </c>
      <c r="AH53" s="521">
        <v>0</v>
      </c>
      <c r="AI53" s="521">
        <v>0</v>
      </c>
      <c r="AJ53" s="521">
        <v>0</v>
      </c>
      <c r="AK53" s="521">
        <v>0</v>
      </c>
      <c r="AL53" s="521">
        <v>0</v>
      </c>
      <c r="AM53" s="521">
        <v>0</v>
      </c>
      <c r="AN53" s="522">
        <v>0</v>
      </c>
      <c r="AO53" s="363"/>
      <c r="AP53" s="528">
        <f>SUM(E53:AO53)</f>
        <v>66412.531000000003</v>
      </c>
      <c r="AQ53" s="1038">
        <f t="shared" si="4"/>
        <v>47</v>
      </c>
      <c r="AR53" s="1038">
        <f t="shared" si="27"/>
        <v>3</v>
      </c>
    </row>
    <row r="54" spans="1:52" s="344" customFormat="1">
      <c r="A54" s="516"/>
      <c r="B54" s="355" t="s">
        <v>435</v>
      </c>
      <c r="C54" s="355"/>
      <c r="D54" s="355"/>
      <c r="E54" s="363">
        <f>SUM($E53:E53)</f>
        <v>1192.06</v>
      </c>
      <c r="F54" s="363">
        <f>SUM($E53:F53)</f>
        <v>2026.3739999999998</v>
      </c>
      <c r="G54" s="363">
        <f>SUM($E53:G53)</f>
        <v>2407.4919999999997</v>
      </c>
      <c r="H54" s="363">
        <f>SUM($E53:H53)</f>
        <v>2668.6549999999997</v>
      </c>
      <c r="I54" s="363">
        <f>SUM($E53:I53)</f>
        <v>2904.5699999999997</v>
      </c>
      <c r="J54" s="363">
        <f>SUM($E53:J53)</f>
        <v>3360.7429999999995</v>
      </c>
      <c r="K54" s="363">
        <f>SUM($E53:K53)</f>
        <v>10567.530999999999</v>
      </c>
      <c r="L54" s="363">
        <f>SUM($E53:L53)</f>
        <v>10702.225999999999</v>
      </c>
      <c r="M54" s="363">
        <f>SUM($E53:M53)</f>
        <v>13484.928</v>
      </c>
      <c r="N54" s="363">
        <f>SUM($E53:N53)</f>
        <v>13555.101000000001</v>
      </c>
      <c r="O54" s="363">
        <f>SUM($E53:O53)</f>
        <v>21410.841</v>
      </c>
      <c r="P54" s="363">
        <f>SUM($E53:P53)</f>
        <v>25252.682000000001</v>
      </c>
      <c r="Q54" s="363">
        <f>SUM($E53:Q53)</f>
        <v>34027.076000000001</v>
      </c>
      <c r="R54" s="363">
        <f>SUM($E53:R53)</f>
        <v>42647.539000000004</v>
      </c>
      <c r="S54" s="363">
        <f>SUM($E53:S53)</f>
        <v>48700.589000000007</v>
      </c>
      <c r="T54" s="363">
        <f>SUM($E53:T53)</f>
        <v>54056.821000000011</v>
      </c>
      <c r="U54" s="363">
        <f>SUM($E53:U53)</f>
        <v>57158.741000000009</v>
      </c>
      <c r="V54" s="363">
        <f>SUM($E53:V53)</f>
        <v>59328.713000000011</v>
      </c>
      <c r="W54" s="363">
        <f>SUM($E53:W53)</f>
        <v>61660.688000000009</v>
      </c>
      <c r="X54" s="363">
        <f>SUM($E53:X53)</f>
        <v>65447.69200000001</v>
      </c>
      <c r="Y54" s="363">
        <f>SUM($E53:Y53)</f>
        <v>65490.380000000012</v>
      </c>
      <c r="Z54" s="363">
        <f>SUM($E53:Z53)</f>
        <v>65536.609000000011</v>
      </c>
      <c r="AA54" s="363">
        <f>SUM($E53:AA53)</f>
        <v>65581.467000000004</v>
      </c>
      <c r="AB54" s="363">
        <f>SUM($E53:AB53)</f>
        <v>65624.278000000006</v>
      </c>
      <c r="AC54" s="363">
        <f>SUM($E53:AC53)</f>
        <v>66412.531000000003</v>
      </c>
      <c r="AD54" s="363">
        <f>SUM($E53:AD53)</f>
        <v>66412.531000000003</v>
      </c>
      <c r="AE54" s="363">
        <f>SUM($E53:AE53)</f>
        <v>66412.531000000003</v>
      </c>
      <c r="AF54" s="363">
        <f>SUM($E53:AF53)</f>
        <v>66412.531000000003</v>
      </c>
      <c r="AG54" s="363">
        <f>SUM($E53:AG53)</f>
        <v>66412.531000000003</v>
      </c>
      <c r="AH54" s="363">
        <f>SUM($E53:AH53)</f>
        <v>66412.531000000003</v>
      </c>
      <c r="AI54" s="363">
        <f>SUM($E53:AI53)</f>
        <v>66412.531000000003</v>
      </c>
      <c r="AJ54" s="363">
        <f>SUM($E53:AJ53)</f>
        <v>66412.531000000003</v>
      </c>
      <c r="AK54" s="363">
        <f>SUM($E53:AK53)</f>
        <v>66412.531000000003</v>
      </c>
      <c r="AL54" s="363">
        <f>SUM($E53:AL53)</f>
        <v>66412.531000000003</v>
      </c>
      <c r="AM54" s="363">
        <f>SUM($E53:AM53)</f>
        <v>66412.531000000003</v>
      </c>
      <c r="AN54" s="363">
        <f>SUM($E53:AN53)</f>
        <v>66412.531000000003</v>
      </c>
      <c r="AO54" s="363"/>
      <c r="AP54" s="528"/>
      <c r="AQ54" s="1038">
        <f t="shared" si="4"/>
        <v>48</v>
      </c>
      <c r="AR54" s="1038">
        <f t="shared" si="27"/>
        <v>4</v>
      </c>
    </row>
    <row r="55" spans="1:52" s="344" customFormat="1">
      <c r="A55" s="516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55"/>
      <c r="Z55" s="355"/>
      <c r="AA55" s="355"/>
      <c r="AB55" s="355"/>
      <c r="AC55" s="355"/>
      <c r="AD55" s="355"/>
      <c r="AE55" s="355"/>
      <c r="AF55" s="355"/>
      <c r="AG55" s="355"/>
      <c r="AH55" s="355"/>
      <c r="AI55" s="355"/>
      <c r="AJ55" s="355"/>
      <c r="AK55" s="355"/>
      <c r="AL55" s="355"/>
      <c r="AM55" s="355"/>
      <c r="AN55" s="355"/>
      <c r="AO55" s="355"/>
      <c r="AP55" s="527"/>
      <c r="AQ55" s="1038">
        <f t="shared" si="4"/>
        <v>49</v>
      </c>
      <c r="AR55" s="1038">
        <f t="shared" si="27"/>
        <v>5</v>
      </c>
    </row>
    <row r="56" spans="1:52" s="344" customFormat="1">
      <c r="A56" s="516"/>
      <c r="B56" s="355" t="s">
        <v>436</v>
      </c>
      <c r="C56" s="355"/>
      <c r="D56" s="355"/>
      <c r="E56" s="356">
        <f t="shared" ref="E56:AN56" si="28">E53/$AP$53</f>
        <v>1.7949323449214724E-2</v>
      </c>
      <c r="F56" s="356">
        <f t="shared" si="28"/>
        <v>1.256259906733565E-2</v>
      </c>
      <c r="G56" s="356">
        <f t="shared" si="28"/>
        <v>5.7386459190962016E-3</v>
      </c>
      <c r="H56" s="356">
        <f t="shared" si="28"/>
        <v>3.9324355820741118E-3</v>
      </c>
      <c r="I56" s="356">
        <f t="shared" si="28"/>
        <v>3.5522663637077767E-3</v>
      </c>
      <c r="J56" s="356">
        <f t="shared" si="28"/>
        <v>6.8687790260545858E-3</v>
      </c>
      <c r="K56" s="356">
        <f t="shared" si="28"/>
        <v>0.10851548482619942</v>
      </c>
      <c r="L56" s="356">
        <f t="shared" si="28"/>
        <v>2.0281564031944511E-3</v>
      </c>
      <c r="M56" s="356">
        <f t="shared" si="28"/>
        <v>4.1900255239481841E-2</v>
      </c>
      <c r="N56" s="356">
        <f t="shared" si="28"/>
        <v>1.0566228834133727E-3</v>
      </c>
      <c r="O56" s="356">
        <f t="shared" si="28"/>
        <v>0.11828701423832197</v>
      </c>
      <c r="P56" s="356">
        <f t="shared" si="28"/>
        <v>5.7848134111919323E-2</v>
      </c>
      <c r="Q56" s="356">
        <f t="shared" si="28"/>
        <v>0.13211955436542541</v>
      </c>
      <c r="R56" s="356">
        <f t="shared" si="28"/>
        <v>0.12980175382865622</v>
      </c>
      <c r="S56" s="356">
        <f t="shared" si="28"/>
        <v>9.1143191034234183E-2</v>
      </c>
      <c r="T56" s="356">
        <f t="shared" si="28"/>
        <v>8.0650924145625469E-2</v>
      </c>
      <c r="U56" s="356">
        <f t="shared" si="28"/>
        <v>4.6706848139848788E-2</v>
      </c>
      <c r="V56" s="356">
        <f t="shared" si="28"/>
        <v>3.2674134946008911E-2</v>
      </c>
      <c r="W56" s="356">
        <f t="shared" si="28"/>
        <v>3.5113478810196226E-2</v>
      </c>
      <c r="X56" s="356">
        <f t="shared" si="28"/>
        <v>5.7022431504680941E-2</v>
      </c>
      <c r="Y56" s="356">
        <f t="shared" si="28"/>
        <v>6.4277026273851842E-4</v>
      </c>
      <c r="Z56" s="356">
        <f t="shared" si="28"/>
        <v>6.9608851377761819E-4</v>
      </c>
      <c r="AA56" s="356">
        <f t="shared" si="28"/>
        <v>6.7544481929170857E-4</v>
      </c>
      <c r="AB56" s="356">
        <f t="shared" si="28"/>
        <v>6.4462232285651027E-4</v>
      </c>
      <c r="AC56" s="356">
        <f t="shared" si="28"/>
        <v>1.1869040196646021E-2</v>
      </c>
      <c r="AD56" s="356">
        <f t="shared" si="28"/>
        <v>0</v>
      </c>
      <c r="AE56" s="356">
        <f t="shared" si="28"/>
        <v>0</v>
      </c>
      <c r="AF56" s="356">
        <f t="shared" si="28"/>
        <v>0</v>
      </c>
      <c r="AG56" s="356">
        <f t="shared" si="28"/>
        <v>0</v>
      </c>
      <c r="AH56" s="356">
        <f t="shared" si="28"/>
        <v>0</v>
      </c>
      <c r="AI56" s="356">
        <f t="shared" si="28"/>
        <v>0</v>
      </c>
      <c r="AJ56" s="356">
        <f t="shared" si="28"/>
        <v>0</v>
      </c>
      <c r="AK56" s="356">
        <f t="shared" si="28"/>
        <v>0</v>
      </c>
      <c r="AL56" s="356">
        <f t="shared" si="28"/>
        <v>0</v>
      </c>
      <c r="AM56" s="356">
        <f t="shared" si="28"/>
        <v>0</v>
      </c>
      <c r="AN56" s="356">
        <f t="shared" si="28"/>
        <v>0</v>
      </c>
      <c r="AO56" s="355"/>
      <c r="AP56" s="529">
        <f>SUM(E56:AO56)</f>
        <v>1</v>
      </c>
      <c r="AQ56" s="1038">
        <f t="shared" si="4"/>
        <v>50</v>
      </c>
      <c r="AR56" s="1038">
        <f t="shared" si="27"/>
        <v>6</v>
      </c>
      <c r="AT56" s="1065" t="s">
        <v>1042</v>
      </c>
      <c r="AU56" s="1066"/>
      <c r="AV56" s="1066"/>
      <c r="AW56" s="1066"/>
      <c r="AX56" s="1067" t="s">
        <v>220</v>
      </c>
      <c r="AY56" s="1067" t="s">
        <v>1043</v>
      </c>
      <c r="AZ56" s="1068" t="s">
        <v>1044</v>
      </c>
    </row>
    <row r="57" spans="1:52" s="344" customFormat="1">
      <c r="A57" s="517"/>
      <c r="B57" s="518" t="s">
        <v>437</v>
      </c>
      <c r="C57" s="518"/>
      <c r="D57" s="518"/>
      <c r="E57" s="519">
        <f>SUM($E56:E56)</f>
        <v>1.7949323449214724E-2</v>
      </c>
      <c r="F57" s="519">
        <f>SUM($E56:F56)</f>
        <v>3.0511922516550376E-2</v>
      </c>
      <c r="G57" s="519">
        <f>SUM($E56:G56)</f>
        <v>3.6250568435646578E-2</v>
      </c>
      <c r="H57" s="519">
        <f>SUM($E56:H56)</f>
        <v>4.0183004017720687E-2</v>
      </c>
      <c r="I57" s="519">
        <f>SUM($E56:I56)</f>
        <v>4.3735270381428465E-2</v>
      </c>
      <c r="J57" s="519">
        <f>SUM($E56:J56)</f>
        <v>5.0604049407483052E-2</v>
      </c>
      <c r="K57" s="519">
        <f>SUM($E56:K56)</f>
        <v>0.15911953423368247</v>
      </c>
      <c r="L57" s="519">
        <f>SUM($E56:L56)</f>
        <v>0.16114769063687692</v>
      </c>
      <c r="M57" s="519">
        <f>SUM($E56:M56)</f>
        <v>0.20304794587635877</v>
      </c>
      <c r="N57" s="519">
        <f>SUM($E56:N56)</f>
        <v>0.20410456875977215</v>
      </c>
      <c r="O57" s="519">
        <f>SUM($E56:O56)</f>
        <v>0.32239158299809412</v>
      </c>
      <c r="P57" s="519">
        <f>SUM($E56:P56)</f>
        <v>0.38023971711001342</v>
      </c>
      <c r="Q57" s="519">
        <f>SUM($E56:Q56)</f>
        <v>0.5123592714754388</v>
      </c>
      <c r="R57" s="519">
        <f>SUM($E56:R56)</f>
        <v>0.64216102530409502</v>
      </c>
      <c r="S57" s="519">
        <f>SUM($E56:S56)</f>
        <v>0.73330421633832921</v>
      </c>
      <c r="T57" s="519">
        <f>SUM($E56:T56)</f>
        <v>0.81395514048395468</v>
      </c>
      <c r="U57" s="519">
        <f>SUM($E56:U56)</f>
        <v>0.8606619886238035</v>
      </c>
      <c r="V57" s="519">
        <f>SUM($E56:V56)</f>
        <v>0.8933361235698124</v>
      </c>
      <c r="W57" s="519">
        <f>SUM($E56:W56)</f>
        <v>0.92844960238000862</v>
      </c>
      <c r="X57" s="519">
        <f>SUM($E56:X56)</f>
        <v>0.98547203388468951</v>
      </c>
      <c r="Y57" s="519">
        <f>SUM($E56:Y56)</f>
        <v>0.98611480414742803</v>
      </c>
      <c r="Z57" s="519">
        <f>SUM($E56:Z56)</f>
        <v>0.9868108926612057</v>
      </c>
      <c r="AA57" s="519">
        <f>SUM($E56:AA56)</f>
        <v>0.98748633748049741</v>
      </c>
      <c r="AB57" s="519">
        <f>SUM($E56:AB56)</f>
        <v>0.98813095980335397</v>
      </c>
      <c r="AC57" s="519">
        <f>SUM($E56:AC56)</f>
        <v>1</v>
      </c>
      <c r="AD57" s="519">
        <f>SUM($E56:AD56)</f>
        <v>1</v>
      </c>
      <c r="AE57" s="519">
        <f>SUM($E56:AE56)</f>
        <v>1</v>
      </c>
      <c r="AF57" s="519">
        <f>SUM($E56:AF56)</f>
        <v>1</v>
      </c>
      <c r="AG57" s="519">
        <f>SUM($E56:AG56)</f>
        <v>1</v>
      </c>
      <c r="AH57" s="519">
        <f>SUM($E56:AH56)</f>
        <v>1</v>
      </c>
      <c r="AI57" s="519">
        <f>SUM($E56:AI56)</f>
        <v>1</v>
      </c>
      <c r="AJ57" s="519">
        <f>SUM($E56:AJ56)</f>
        <v>1</v>
      </c>
      <c r="AK57" s="519">
        <f>SUM($E56:AK56)</f>
        <v>1</v>
      </c>
      <c r="AL57" s="519">
        <f>SUM($E56:AL56)</f>
        <v>1</v>
      </c>
      <c r="AM57" s="519">
        <f>SUM($E56:AM56)</f>
        <v>1</v>
      </c>
      <c r="AN57" s="519">
        <f>SUM($E56:AN56)</f>
        <v>1</v>
      </c>
      <c r="AO57" s="518"/>
      <c r="AP57" s="530"/>
      <c r="AQ57" s="1038">
        <f t="shared" si="4"/>
        <v>51</v>
      </c>
      <c r="AR57" s="1038">
        <f t="shared" si="27"/>
        <v>7</v>
      </c>
      <c r="AT57" s="350"/>
      <c r="AU57" s="188"/>
      <c r="AV57" s="188"/>
      <c r="AW57" s="188"/>
      <c r="AX57" s="1069">
        <f>SUM(AY57:AZ57)</f>
        <v>1</v>
      </c>
      <c r="AY57" s="674">
        <f>AY58/$AX58</f>
        <v>0.56036851939162169</v>
      </c>
      <c r="AZ57" s="1070">
        <f>AZ58/$AX58</f>
        <v>0.43963148060837831</v>
      </c>
    </row>
    <row r="58" spans="1:52">
      <c r="A58" s="1022"/>
      <c r="B58" s="1023"/>
      <c r="C58" s="1023"/>
      <c r="D58" s="1023"/>
      <c r="E58" s="1023"/>
      <c r="F58" s="1023"/>
      <c r="G58" s="1023"/>
      <c r="H58" s="1023"/>
      <c r="I58" s="1023"/>
      <c r="J58" s="1023"/>
      <c r="K58" s="1023"/>
      <c r="L58" s="1023"/>
      <c r="M58" s="1023"/>
      <c r="N58" s="1023"/>
      <c r="O58" s="1023"/>
      <c r="P58" s="1023"/>
      <c r="Q58" s="1023"/>
      <c r="R58" s="1023"/>
      <c r="S58" s="1023"/>
      <c r="T58" s="1023"/>
      <c r="U58" s="1023"/>
      <c r="V58" s="1023"/>
      <c r="W58" s="1023"/>
      <c r="X58" s="1023"/>
      <c r="Y58" s="1023"/>
      <c r="Z58" s="1023"/>
      <c r="AA58" s="1023"/>
      <c r="AB58" s="1023"/>
      <c r="AC58" s="1023"/>
      <c r="AD58" s="1023"/>
      <c r="AE58" s="1023"/>
      <c r="AF58" s="1023"/>
      <c r="AG58" s="1023"/>
      <c r="AH58" s="1023"/>
      <c r="AI58" s="1023"/>
      <c r="AJ58" s="1023"/>
      <c r="AK58" s="1023"/>
      <c r="AL58" s="1023"/>
      <c r="AM58" s="1023"/>
      <c r="AN58" s="1023"/>
      <c r="AO58" s="1023"/>
      <c r="AP58" s="1024"/>
      <c r="AQ58" s="1038">
        <f t="shared" si="4"/>
        <v>52</v>
      </c>
      <c r="AR58" s="1038">
        <f t="shared" si="27"/>
        <v>8</v>
      </c>
      <c r="AT58" s="350" t="s">
        <v>1045</v>
      </c>
      <c r="AU58" s="188"/>
      <c r="AV58" s="188"/>
      <c r="AW58" s="188"/>
      <c r="AX58" s="153">
        <f>SUM(AY58:AZ58)</f>
        <v>57267</v>
      </c>
      <c r="AY58" s="825">
        <v>32090.624</v>
      </c>
      <c r="AZ58" s="1071">
        <v>25176.376</v>
      </c>
    </row>
    <row r="59" spans="1:52" s="188" customFormat="1">
      <c r="A59" s="515" t="s">
        <v>922</v>
      </c>
      <c r="C59" s="1031">
        <f>Pipe_NTP</f>
        <v>36342</v>
      </c>
      <c r="AP59" s="525"/>
      <c r="AQ59" s="1038">
        <f t="shared" si="4"/>
        <v>53</v>
      </c>
      <c r="AR59" s="1038">
        <f t="shared" si="27"/>
        <v>9</v>
      </c>
      <c r="AT59" s="350" t="s">
        <v>1046</v>
      </c>
      <c r="AU59" s="1072">
        <v>36220</v>
      </c>
      <c r="AX59" s="870">
        <v>-15000</v>
      </c>
      <c r="AY59" s="293">
        <f>$AX59*AY57</f>
        <v>-8405.5277908743246</v>
      </c>
      <c r="AZ59" s="1073">
        <f>$AX59*AZ57</f>
        <v>-6594.4722091256745</v>
      </c>
    </row>
    <row r="60" spans="1:52" s="8" customFormat="1">
      <c r="A60" s="137" t="s">
        <v>923</v>
      </c>
      <c r="C60" s="1031">
        <f>Pipe_RFS</f>
        <v>36892</v>
      </c>
      <c r="H60" s="83" t="s">
        <v>924</v>
      </c>
      <c r="I60" s="828">
        <v>2</v>
      </c>
      <c r="AP60" s="419"/>
      <c r="AQ60" s="1038">
        <f t="shared" si="4"/>
        <v>54</v>
      </c>
      <c r="AR60" s="1038">
        <f t="shared" si="27"/>
        <v>10</v>
      </c>
      <c r="AT60" s="1074">
        <f>EDATE(AU59,1)</f>
        <v>36251</v>
      </c>
      <c r="AU60" s="188" t="s">
        <v>1047</v>
      </c>
      <c r="AV60" s="1072">
        <v>36373</v>
      </c>
      <c r="AW60" s="188"/>
      <c r="AX60" s="153">
        <f>SUM(AX58:AX59)</f>
        <v>42267</v>
      </c>
      <c r="AY60" s="153">
        <f>SUM(AY58:AY59)</f>
        <v>23685.096209125673</v>
      </c>
      <c r="AZ60" s="1049">
        <f>SUM(AZ58:AZ59)</f>
        <v>18581.903790874327</v>
      </c>
    </row>
    <row r="61" spans="1:52" s="188" customFormat="1">
      <c r="A61" s="515" t="s">
        <v>925</v>
      </c>
      <c r="C61" s="1025">
        <f>ROUND((C60-C59)/(365/12),0)</f>
        <v>18</v>
      </c>
      <c r="V61" s="1081">
        <v>1</v>
      </c>
      <c r="W61" s="1081">
        <f>V61+1</f>
        <v>2</v>
      </c>
      <c r="X61" s="1081">
        <f t="shared" ref="X61:AN61" si="29">W61+1</f>
        <v>3</v>
      </c>
      <c r="Y61" s="1081">
        <f t="shared" si="29"/>
        <v>4</v>
      </c>
      <c r="Z61" s="1081">
        <f t="shared" si="29"/>
        <v>5</v>
      </c>
      <c r="AA61" s="1081">
        <f t="shared" si="29"/>
        <v>6</v>
      </c>
      <c r="AB61" s="1081">
        <f t="shared" si="29"/>
        <v>7</v>
      </c>
      <c r="AC61" s="1081">
        <f t="shared" si="29"/>
        <v>8</v>
      </c>
      <c r="AD61" s="1081">
        <f t="shared" si="29"/>
        <v>9</v>
      </c>
      <c r="AE61" s="1081">
        <f t="shared" si="29"/>
        <v>10</v>
      </c>
      <c r="AF61" s="1081">
        <f t="shared" si="29"/>
        <v>11</v>
      </c>
      <c r="AG61" s="1081">
        <f t="shared" si="29"/>
        <v>12</v>
      </c>
      <c r="AH61" s="1081">
        <f t="shared" si="29"/>
        <v>13</v>
      </c>
      <c r="AI61" s="1081">
        <f t="shared" si="29"/>
        <v>14</v>
      </c>
      <c r="AJ61" s="1081">
        <f t="shared" si="29"/>
        <v>15</v>
      </c>
      <c r="AK61" s="1081">
        <f t="shared" si="29"/>
        <v>16</v>
      </c>
      <c r="AL61" s="1081">
        <f t="shared" si="29"/>
        <v>17</v>
      </c>
      <c r="AM61" s="1081">
        <f t="shared" si="29"/>
        <v>18</v>
      </c>
      <c r="AN61" s="1081">
        <f t="shared" si="29"/>
        <v>19</v>
      </c>
      <c r="AP61" s="525"/>
      <c r="AQ61" s="1038">
        <f t="shared" si="4"/>
        <v>55</v>
      </c>
      <c r="AR61" s="1038">
        <f t="shared" si="27"/>
        <v>11</v>
      </c>
      <c r="AT61" s="350" t="s">
        <v>1048</v>
      </c>
      <c r="AV61" s="385">
        <f>ROUND((AV60-AT60)/(365/12),0)+1</f>
        <v>5</v>
      </c>
      <c r="AW61" s="188" t="s">
        <v>765</v>
      </c>
      <c r="AX61" s="153">
        <f>AX60/$AV61</f>
        <v>8453.4</v>
      </c>
      <c r="AY61" s="153">
        <f>AY60/$AV61</f>
        <v>4737.0192418251345</v>
      </c>
      <c r="AZ61" s="1049">
        <f>AZ60/$AV61</f>
        <v>3716.3807581748652</v>
      </c>
    </row>
    <row r="62" spans="1:52" s="344" customFormat="1">
      <c r="A62" s="1008" t="s">
        <v>926</v>
      </c>
      <c r="B62" s="354"/>
      <c r="C62" s="354"/>
      <c r="D62" s="354"/>
      <c r="E62" s="1009">
        <v>35886</v>
      </c>
      <c r="F62" s="1010">
        <v>35916</v>
      </c>
      <c r="G62" s="1010">
        <v>35947</v>
      </c>
      <c r="H62" s="1010">
        <v>35977</v>
      </c>
      <c r="I62" s="1010">
        <v>36008</v>
      </c>
      <c r="J62" s="1010">
        <v>36039</v>
      </c>
      <c r="K62" s="1010">
        <v>36069</v>
      </c>
      <c r="L62" s="1010">
        <v>36100</v>
      </c>
      <c r="M62" s="1010">
        <v>36130</v>
      </c>
      <c r="N62" s="1010">
        <v>36161</v>
      </c>
      <c r="O62" s="1010">
        <v>36192</v>
      </c>
      <c r="P62" s="1010">
        <v>36220</v>
      </c>
      <c r="Q62" s="1010">
        <v>36251</v>
      </c>
      <c r="R62" s="1010">
        <v>36281</v>
      </c>
      <c r="S62" s="1010">
        <v>36312</v>
      </c>
      <c r="T62" s="1010">
        <v>36342</v>
      </c>
      <c r="U62" s="1010">
        <v>36373</v>
      </c>
      <c r="V62" s="1010">
        <v>36404</v>
      </c>
      <c r="W62" s="1010">
        <v>36434</v>
      </c>
      <c r="X62" s="1010">
        <v>36465</v>
      </c>
      <c r="Y62" s="1010">
        <v>36495</v>
      </c>
      <c r="Z62" s="1010">
        <v>36526</v>
      </c>
      <c r="AA62" s="1010">
        <v>36557</v>
      </c>
      <c r="AB62" s="1010">
        <v>36586</v>
      </c>
      <c r="AC62" s="1010">
        <v>36617</v>
      </c>
      <c r="AD62" s="1010">
        <v>36647</v>
      </c>
      <c r="AE62" s="1010">
        <v>36678</v>
      </c>
      <c r="AF62" s="1010">
        <v>36708</v>
      </c>
      <c r="AG62" s="1010">
        <v>36739</v>
      </c>
      <c r="AH62" s="1010">
        <v>36770</v>
      </c>
      <c r="AI62" s="1010">
        <v>36800</v>
      </c>
      <c r="AJ62" s="1010">
        <v>36831</v>
      </c>
      <c r="AK62" s="1010">
        <v>36861</v>
      </c>
      <c r="AL62" s="1010">
        <v>36892</v>
      </c>
      <c r="AM62" s="1010">
        <v>36923</v>
      </c>
      <c r="AN62" s="1010">
        <v>36951</v>
      </c>
      <c r="AO62" s="354"/>
      <c r="AP62" s="526"/>
      <c r="AQ62" s="1038">
        <f t="shared" si="4"/>
        <v>56</v>
      </c>
      <c r="AR62" s="1038">
        <f t="shared" si="27"/>
        <v>12</v>
      </c>
      <c r="AT62" s="350"/>
      <c r="AU62" s="188"/>
      <c r="AV62" s="188"/>
      <c r="AW62" s="188"/>
      <c r="AX62" s="188"/>
      <c r="AY62" s="188"/>
      <c r="AZ62" s="351"/>
    </row>
    <row r="63" spans="1:52" s="344" customFormat="1">
      <c r="A63" s="1129" t="s">
        <v>1114</v>
      </c>
      <c r="B63" s="355"/>
      <c r="C63" s="355"/>
      <c r="D63" s="355"/>
      <c r="E63" s="1011">
        <v>1</v>
      </c>
      <c r="F63" s="1011">
        <v>2</v>
      </c>
      <c r="G63" s="1011">
        <v>3</v>
      </c>
      <c r="H63" s="1011">
        <v>4</v>
      </c>
      <c r="I63" s="1011">
        <v>5</v>
      </c>
      <c r="J63" s="1011">
        <v>6</v>
      </c>
      <c r="K63" s="1011">
        <v>7</v>
      </c>
      <c r="L63" s="1011">
        <v>8</v>
      </c>
      <c r="M63" s="1011">
        <v>9</v>
      </c>
      <c r="N63" s="1011">
        <v>10</v>
      </c>
      <c r="O63" s="1011">
        <v>11</v>
      </c>
      <c r="P63" s="1011">
        <v>12</v>
      </c>
      <c r="Q63" s="1011">
        <v>13</v>
      </c>
      <c r="R63" s="1011">
        <v>14</v>
      </c>
      <c r="S63" s="1011">
        <v>15</v>
      </c>
      <c r="T63" s="1011">
        <v>16</v>
      </c>
      <c r="U63" s="1011">
        <v>17</v>
      </c>
      <c r="V63" s="1011">
        <v>18</v>
      </c>
      <c r="W63" s="1011">
        <v>19</v>
      </c>
      <c r="X63" s="1011">
        <v>20</v>
      </c>
      <c r="Y63" s="1011">
        <v>21</v>
      </c>
      <c r="Z63" s="1011">
        <v>22</v>
      </c>
      <c r="AA63" s="1011">
        <v>23</v>
      </c>
      <c r="AB63" s="1011">
        <v>24</v>
      </c>
      <c r="AC63" s="1011">
        <v>25</v>
      </c>
      <c r="AD63" s="1011">
        <v>26</v>
      </c>
      <c r="AE63" s="1011">
        <v>27</v>
      </c>
      <c r="AF63" s="1011">
        <v>28</v>
      </c>
      <c r="AG63" s="1011">
        <v>29</v>
      </c>
      <c r="AH63" s="1011">
        <v>30</v>
      </c>
      <c r="AI63" s="1011">
        <v>31</v>
      </c>
      <c r="AJ63" s="1011">
        <v>32</v>
      </c>
      <c r="AK63" s="1011">
        <v>33</v>
      </c>
      <c r="AL63" s="1011">
        <v>34</v>
      </c>
      <c r="AM63" s="1011">
        <v>35</v>
      </c>
      <c r="AN63" s="1011">
        <v>36</v>
      </c>
      <c r="AO63" s="355"/>
      <c r="AP63" s="527"/>
      <c r="AQ63" s="1038">
        <f t="shared" si="4"/>
        <v>57</v>
      </c>
      <c r="AR63" s="1038">
        <f t="shared" si="27"/>
        <v>13</v>
      </c>
      <c r="AT63" s="3" t="s">
        <v>1049</v>
      </c>
      <c r="AU63" s="8"/>
      <c r="AV63" s="8"/>
      <c r="AW63" s="8"/>
      <c r="AX63" s="153">
        <f>SUM(AY63:AZ63)</f>
        <v>159412.163</v>
      </c>
      <c r="AY63" s="825">
        <v>92999.02800000002</v>
      </c>
      <c r="AZ63" s="1071">
        <v>66413.134999999995</v>
      </c>
    </row>
    <row r="64" spans="1:52" s="344" customFormat="1">
      <c r="A64" s="516"/>
      <c r="B64" s="355" t="s">
        <v>434</v>
      </c>
      <c r="C64" s="355"/>
      <c r="D64" s="355"/>
      <c r="E64" s="1078">
        <v>0</v>
      </c>
      <c r="F64" s="1079">
        <v>0</v>
      </c>
      <c r="G64" s="1079">
        <v>0</v>
      </c>
      <c r="H64" s="1079">
        <v>0</v>
      </c>
      <c r="I64" s="1079">
        <v>0</v>
      </c>
      <c r="J64" s="1079">
        <v>0</v>
      </c>
      <c r="K64" s="1079">
        <v>0</v>
      </c>
      <c r="L64" s="1079">
        <v>0</v>
      </c>
      <c r="M64" s="1079">
        <v>0</v>
      </c>
      <c r="N64" s="1079">
        <v>0</v>
      </c>
      <c r="O64" s="1079">
        <v>0</v>
      </c>
      <c r="P64" s="1026">
        <f>-AZ59</f>
        <v>6594.4722091256745</v>
      </c>
      <c r="Q64" s="1080">
        <f>$AZ61</f>
        <v>3716.3807581748652</v>
      </c>
      <c r="R64" s="1080">
        <f>$AZ61</f>
        <v>3716.3807581748652</v>
      </c>
      <c r="S64" s="1080">
        <f>$AZ61</f>
        <v>3716.3807581748652</v>
      </c>
      <c r="T64" s="1080">
        <f>$AZ61</f>
        <v>3716.3807581748652</v>
      </c>
      <c r="U64" s="1080">
        <f>$AZ61</f>
        <v>3716.3807581748652</v>
      </c>
      <c r="V64" s="1026">
        <f>IF(V61&gt;$AV$66,0,$AZ$66)</f>
        <v>2425.6917058823524</v>
      </c>
      <c r="W64" s="1026">
        <f t="shared" ref="W64:AN64" si="30">IF(W61&gt;$AV$66,0,$AZ$66)</f>
        <v>2425.6917058823524</v>
      </c>
      <c r="X64" s="1026">
        <f t="shared" si="30"/>
        <v>2425.6917058823524</v>
      </c>
      <c r="Y64" s="1026">
        <f t="shared" si="30"/>
        <v>2425.6917058823524</v>
      </c>
      <c r="Z64" s="1026">
        <f t="shared" si="30"/>
        <v>2425.6917058823524</v>
      </c>
      <c r="AA64" s="1026">
        <f t="shared" si="30"/>
        <v>2425.6917058823524</v>
      </c>
      <c r="AB64" s="1026">
        <f t="shared" si="30"/>
        <v>2425.6917058823524</v>
      </c>
      <c r="AC64" s="1026">
        <f t="shared" si="30"/>
        <v>2425.6917058823524</v>
      </c>
      <c r="AD64" s="1026">
        <f t="shared" si="30"/>
        <v>2425.6917058823524</v>
      </c>
      <c r="AE64" s="1026">
        <f t="shared" si="30"/>
        <v>2425.6917058823524</v>
      </c>
      <c r="AF64" s="1026">
        <f t="shared" si="30"/>
        <v>2425.6917058823524</v>
      </c>
      <c r="AG64" s="1026">
        <f t="shared" si="30"/>
        <v>2425.6917058823524</v>
      </c>
      <c r="AH64" s="1026">
        <f t="shared" si="30"/>
        <v>2425.6917058823524</v>
      </c>
      <c r="AI64" s="1026">
        <f t="shared" si="30"/>
        <v>2425.6917058823524</v>
      </c>
      <c r="AJ64" s="1026">
        <f t="shared" si="30"/>
        <v>2425.6917058823524</v>
      </c>
      <c r="AK64" s="1026">
        <f t="shared" si="30"/>
        <v>2425.6917058823524</v>
      </c>
      <c r="AL64" s="1026">
        <f t="shared" si="30"/>
        <v>2425.6917058823524</v>
      </c>
      <c r="AM64" s="1026">
        <f t="shared" si="30"/>
        <v>0</v>
      </c>
      <c r="AN64" s="1027">
        <f t="shared" si="30"/>
        <v>0</v>
      </c>
      <c r="AO64" s="363"/>
      <c r="AP64" s="528">
        <f>SUM(E64:AO64)</f>
        <v>66413.134999999995</v>
      </c>
      <c r="AQ64" s="1038">
        <f t="shared" si="4"/>
        <v>58</v>
      </c>
      <c r="AR64" s="1038">
        <f t="shared" si="27"/>
        <v>14</v>
      </c>
      <c r="AT64" s="3" t="s">
        <v>1050</v>
      </c>
      <c r="AU64" s="8"/>
      <c r="AV64" s="8"/>
      <c r="AW64" s="8"/>
      <c r="AX64" s="228">
        <f>-AX58</f>
        <v>-57267</v>
      </c>
      <c r="AY64" s="228">
        <f>-AY58</f>
        <v>-32090.624</v>
      </c>
      <c r="AZ64" s="1075">
        <f>-AZ58</f>
        <v>-25176.376</v>
      </c>
    </row>
    <row r="65" spans="1:52" s="344" customFormat="1">
      <c r="A65" s="516"/>
      <c r="B65" s="355" t="s">
        <v>435</v>
      </c>
      <c r="C65" s="355"/>
      <c r="D65" s="355"/>
      <c r="E65" s="363">
        <f>SUM($E64:E64)</f>
        <v>0</v>
      </c>
      <c r="F65" s="363">
        <f>SUM($E64:F64)</f>
        <v>0</v>
      </c>
      <c r="G65" s="363">
        <f>SUM($E64:G64)</f>
        <v>0</v>
      </c>
      <c r="H65" s="363">
        <f>SUM($E64:H64)</f>
        <v>0</v>
      </c>
      <c r="I65" s="363">
        <f>SUM($E64:I64)</f>
        <v>0</v>
      </c>
      <c r="J65" s="363">
        <f>SUM($E64:J64)</f>
        <v>0</v>
      </c>
      <c r="K65" s="363">
        <f>SUM($E64:K64)</f>
        <v>0</v>
      </c>
      <c r="L65" s="363">
        <f>SUM($E64:L64)</f>
        <v>0</v>
      </c>
      <c r="M65" s="363">
        <f>SUM($E64:M64)</f>
        <v>0</v>
      </c>
      <c r="N65" s="363">
        <f>SUM($E64:N64)</f>
        <v>0</v>
      </c>
      <c r="O65" s="363">
        <f>SUM($E64:O64)</f>
        <v>0</v>
      </c>
      <c r="P65" s="363">
        <f>SUM($E64:P64)</f>
        <v>6594.4722091256745</v>
      </c>
      <c r="Q65" s="363">
        <f>SUM($E64:Q64)</f>
        <v>10310.85296730054</v>
      </c>
      <c r="R65" s="363">
        <f>SUM($E64:R64)</f>
        <v>14027.233725475406</v>
      </c>
      <c r="S65" s="363">
        <f>SUM($E64:S64)</f>
        <v>17743.614483650272</v>
      </c>
      <c r="T65" s="363">
        <f>SUM($E64:T64)</f>
        <v>21459.995241825138</v>
      </c>
      <c r="U65" s="363">
        <f>SUM($E64:U64)</f>
        <v>25176.376000000004</v>
      </c>
      <c r="V65" s="363">
        <f>SUM($E64:V64)</f>
        <v>27602.067705882357</v>
      </c>
      <c r="W65" s="363">
        <f>SUM($E64:W64)</f>
        <v>30027.75941176471</v>
      </c>
      <c r="X65" s="363">
        <f>SUM($E64:X64)</f>
        <v>32453.451117647062</v>
      </c>
      <c r="Y65" s="363">
        <f>SUM($E64:Y64)</f>
        <v>34879.142823529415</v>
      </c>
      <c r="Z65" s="363">
        <f>SUM($E64:Z64)</f>
        <v>37304.834529411768</v>
      </c>
      <c r="AA65" s="363">
        <f>SUM($E64:AA64)</f>
        <v>39730.526235294121</v>
      </c>
      <c r="AB65" s="363">
        <f>SUM($E64:AB64)</f>
        <v>42156.217941176474</v>
      </c>
      <c r="AC65" s="363">
        <f>SUM($E64:AC64)</f>
        <v>44581.909647058827</v>
      </c>
      <c r="AD65" s="363">
        <f>SUM($E64:AD64)</f>
        <v>47007.601352941179</v>
      </c>
      <c r="AE65" s="363">
        <f>SUM($E64:AE64)</f>
        <v>49433.293058823532</v>
      </c>
      <c r="AF65" s="363">
        <f>SUM($E64:AF64)</f>
        <v>51858.984764705885</v>
      </c>
      <c r="AG65" s="363">
        <f>SUM($E64:AG64)</f>
        <v>54284.676470588238</v>
      </c>
      <c r="AH65" s="363">
        <f>SUM($E64:AH64)</f>
        <v>56710.368176470591</v>
      </c>
      <c r="AI65" s="363">
        <f>SUM($E64:AI64)</f>
        <v>59136.059882352944</v>
      </c>
      <c r="AJ65" s="363">
        <f>SUM($E64:AJ64)</f>
        <v>61561.751588235296</v>
      </c>
      <c r="AK65" s="363">
        <f>SUM($E64:AK64)</f>
        <v>63987.443294117649</v>
      </c>
      <c r="AL65" s="363">
        <f>SUM($E64:AL64)</f>
        <v>66413.134999999995</v>
      </c>
      <c r="AM65" s="363">
        <f>SUM($E64:AM64)</f>
        <v>66413.134999999995</v>
      </c>
      <c r="AN65" s="363">
        <f>SUM($E64:AN64)</f>
        <v>66413.134999999995</v>
      </c>
      <c r="AO65" s="363"/>
      <c r="AP65" s="528"/>
      <c r="AQ65" s="1038">
        <f t="shared" si="4"/>
        <v>59</v>
      </c>
      <c r="AR65" s="1038">
        <f t="shared" si="27"/>
        <v>15</v>
      </c>
      <c r="AT65" s="3" t="s">
        <v>1051</v>
      </c>
      <c r="AU65" s="8"/>
      <c r="AV65" s="8"/>
      <c r="AW65" s="8"/>
      <c r="AX65" s="153">
        <f>SUM(AX63:AX64)</f>
        <v>102145.163</v>
      </c>
      <c r="AY65" s="153">
        <f>SUM(AY63:AY64)</f>
        <v>60908.404000000024</v>
      </c>
      <c r="AZ65" s="1049">
        <f>SUM(AZ63:AZ64)</f>
        <v>41236.758999999991</v>
      </c>
    </row>
    <row r="66" spans="1:52" s="344" customFormat="1">
      <c r="A66" s="516"/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527"/>
      <c r="AQ66" s="1038">
        <f t="shared" si="4"/>
        <v>60</v>
      </c>
      <c r="AR66" s="1038">
        <f t="shared" si="27"/>
        <v>16</v>
      </c>
      <c r="AT66" s="3" t="s">
        <v>1048</v>
      </c>
      <c r="AU66" s="8"/>
      <c r="AV66" s="385">
        <f>AW69</f>
        <v>17</v>
      </c>
      <c r="AW66" s="188" t="s">
        <v>765</v>
      </c>
      <c r="AX66" s="153">
        <f>AX65/$AV66</f>
        <v>6008.5389999999998</v>
      </c>
      <c r="AY66" s="153">
        <f>AY65/$AV66</f>
        <v>3582.8472941176483</v>
      </c>
      <c r="AZ66" s="1049">
        <f>AZ65/$AV66</f>
        <v>2425.6917058823524</v>
      </c>
    </row>
    <row r="67" spans="1:52" s="344" customFormat="1">
      <c r="A67" s="516"/>
      <c r="B67" s="355" t="s">
        <v>436</v>
      </c>
      <c r="C67" s="355"/>
      <c r="D67" s="355"/>
      <c r="E67" s="356">
        <f t="shared" ref="E67:AN67" si="31">E64/$AP$53</f>
        <v>0</v>
      </c>
      <c r="F67" s="356">
        <f t="shared" si="31"/>
        <v>0</v>
      </c>
      <c r="G67" s="356">
        <f t="shared" si="31"/>
        <v>0</v>
      </c>
      <c r="H67" s="356">
        <f t="shared" si="31"/>
        <v>0</v>
      </c>
      <c r="I67" s="356">
        <f t="shared" si="31"/>
        <v>0</v>
      </c>
      <c r="J67" s="356">
        <f t="shared" si="31"/>
        <v>0</v>
      </c>
      <c r="K67" s="356">
        <f t="shared" si="31"/>
        <v>0</v>
      </c>
      <c r="L67" s="356">
        <f t="shared" si="31"/>
        <v>0</v>
      </c>
      <c r="M67" s="356">
        <f t="shared" si="31"/>
        <v>0</v>
      </c>
      <c r="N67" s="356">
        <f t="shared" si="31"/>
        <v>0</v>
      </c>
      <c r="O67" s="356">
        <f t="shared" si="31"/>
        <v>0</v>
      </c>
      <c r="P67" s="356">
        <f t="shared" si="31"/>
        <v>9.9295601444939277E-2</v>
      </c>
      <c r="Q67" s="356">
        <f t="shared" si="31"/>
        <v>5.595902915030998E-2</v>
      </c>
      <c r="R67" s="356">
        <f t="shared" si="31"/>
        <v>5.595902915030998E-2</v>
      </c>
      <c r="S67" s="356">
        <f t="shared" si="31"/>
        <v>5.595902915030998E-2</v>
      </c>
      <c r="T67" s="356">
        <f t="shared" si="31"/>
        <v>5.595902915030998E-2</v>
      </c>
      <c r="U67" s="356">
        <f t="shared" si="31"/>
        <v>5.595902915030998E-2</v>
      </c>
      <c r="V67" s="356">
        <f t="shared" si="31"/>
        <v>3.6524608674865171E-2</v>
      </c>
      <c r="W67" s="356">
        <f t="shared" si="31"/>
        <v>3.6524608674865171E-2</v>
      </c>
      <c r="X67" s="356">
        <f t="shared" si="31"/>
        <v>3.6524608674865171E-2</v>
      </c>
      <c r="Y67" s="356">
        <f t="shared" si="31"/>
        <v>3.6524608674865171E-2</v>
      </c>
      <c r="Z67" s="356">
        <f t="shared" si="31"/>
        <v>3.6524608674865171E-2</v>
      </c>
      <c r="AA67" s="356">
        <f t="shared" si="31"/>
        <v>3.6524608674865171E-2</v>
      </c>
      <c r="AB67" s="356">
        <f t="shared" si="31"/>
        <v>3.6524608674865171E-2</v>
      </c>
      <c r="AC67" s="356">
        <f t="shared" si="31"/>
        <v>3.6524608674865171E-2</v>
      </c>
      <c r="AD67" s="356">
        <f t="shared" si="31"/>
        <v>3.6524608674865171E-2</v>
      </c>
      <c r="AE67" s="356">
        <f t="shared" si="31"/>
        <v>3.6524608674865171E-2</v>
      </c>
      <c r="AF67" s="356">
        <f t="shared" si="31"/>
        <v>3.6524608674865171E-2</v>
      </c>
      <c r="AG67" s="356">
        <f t="shared" si="31"/>
        <v>3.6524608674865171E-2</v>
      </c>
      <c r="AH67" s="356">
        <f t="shared" si="31"/>
        <v>3.6524608674865171E-2</v>
      </c>
      <c r="AI67" s="356">
        <f t="shared" si="31"/>
        <v>3.6524608674865171E-2</v>
      </c>
      <c r="AJ67" s="356">
        <f t="shared" si="31"/>
        <v>3.6524608674865171E-2</v>
      </c>
      <c r="AK67" s="356">
        <f t="shared" si="31"/>
        <v>3.6524608674865171E-2</v>
      </c>
      <c r="AL67" s="356">
        <f t="shared" si="31"/>
        <v>3.6524608674865171E-2</v>
      </c>
      <c r="AM67" s="356">
        <f t="shared" si="31"/>
        <v>0</v>
      </c>
      <c r="AN67" s="356">
        <f t="shared" si="31"/>
        <v>0</v>
      </c>
      <c r="AO67" s="355"/>
      <c r="AP67" s="529">
        <f>SUM(E67:AO67)</f>
        <v>1.0000090946691971</v>
      </c>
      <c r="AQ67" s="1038">
        <f t="shared" si="4"/>
        <v>61</v>
      </c>
      <c r="AR67" s="1038">
        <f t="shared" si="27"/>
        <v>17</v>
      </c>
      <c r="AT67" s="3"/>
      <c r="AU67" s="8"/>
      <c r="AV67" s="8"/>
      <c r="AW67" s="8"/>
      <c r="AX67" s="8"/>
      <c r="AY67" s="8"/>
      <c r="AZ67" s="9"/>
    </row>
    <row r="68" spans="1:52" s="344" customFormat="1">
      <c r="A68" s="517"/>
      <c r="B68" s="518" t="s">
        <v>437</v>
      </c>
      <c r="C68" s="518"/>
      <c r="D68" s="518"/>
      <c r="E68" s="519">
        <f>SUM($E67:E67)</f>
        <v>0</v>
      </c>
      <c r="F68" s="519">
        <f>SUM($E67:F67)</f>
        <v>0</v>
      </c>
      <c r="G68" s="519">
        <f>SUM($E67:G67)</f>
        <v>0</v>
      </c>
      <c r="H68" s="519">
        <f>SUM($E67:H67)</f>
        <v>0</v>
      </c>
      <c r="I68" s="519">
        <f>SUM($E67:I67)</f>
        <v>0</v>
      </c>
      <c r="J68" s="519">
        <f>SUM($E67:J67)</f>
        <v>0</v>
      </c>
      <c r="K68" s="519">
        <f>SUM($E67:K67)</f>
        <v>0</v>
      </c>
      <c r="L68" s="519">
        <f>SUM($E67:L67)</f>
        <v>0</v>
      </c>
      <c r="M68" s="519">
        <f>SUM($E67:M67)</f>
        <v>0</v>
      </c>
      <c r="N68" s="519">
        <f>SUM($E67:N67)</f>
        <v>0</v>
      </c>
      <c r="O68" s="519">
        <f>SUM($E67:O67)</f>
        <v>0</v>
      </c>
      <c r="P68" s="519">
        <f>SUM($E67:P67)</f>
        <v>9.9295601444939277E-2</v>
      </c>
      <c r="Q68" s="519">
        <f>SUM($E67:Q67)</f>
        <v>0.15525463059524924</v>
      </c>
      <c r="R68" s="519">
        <f>SUM($E67:R67)</f>
        <v>0.21121365974555922</v>
      </c>
      <c r="S68" s="519">
        <f>SUM($E67:S67)</f>
        <v>0.2671726888958692</v>
      </c>
      <c r="T68" s="519">
        <f>SUM($E67:T67)</f>
        <v>0.32313171804617918</v>
      </c>
      <c r="U68" s="519">
        <f>SUM($E67:U67)</f>
        <v>0.37909074719648916</v>
      </c>
      <c r="V68" s="519">
        <f>SUM($E67:V67)</f>
        <v>0.41561535587135434</v>
      </c>
      <c r="W68" s="519">
        <f>SUM($E67:W67)</f>
        <v>0.45213996454621952</v>
      </c>
      <c r="X68" s="519">
        <f>SUM($E67:X67)</f>
        <v>0.4886645732210847</v>
      </c>
      <c r="Y68" s="519">
        <f>SUM($E67:Y67)</f>
        <v>0.52518918189594987</v>
      </c>
      <c r="Z68" s="519">
        <f>SUM($E67:Z67)</f>
        <v>0.56171379057081505</v>
      </c>
      <c r="AA68" s="519">
        <f>SUM($E67:AA67)</f>
        <v>0.59823839924568023</v>
      </c>
      <c r="AB68" s="519">
        <f>SUM($E67:AB67)</f>
        <v>0.63476300792054541</v>
      </c>
      <c r="AC68" s="519">
        <f>SUM($E67:AC67)</f>
        <v>0.67128761659541059</v>
      </c>
      <c r="AD68" s="519">
        <f>SUM($E67:AD67)</f>
        <v>0.70781222527027576</v>
      </c>
      <c r="AE68" s="519">
        <f>SUM($E67:AE67)</f>
        <v>0.74433683394514094</v>
      </c>
      <c r="AF68" s="519">
        <f>SUM($E67:AF67)</f>
        <v>0.78086144262000612</v>
      </c>
      <c r="AG68" s="519">
        <f>SUM($E67:AG67)</f>
        <v>0.8173860512948713</v>
      </c>
      <c r="AH68" s="519">
        <f>SUM($E67:AH67)</f>
        <v>0.85391065996973647</v>
      </c>
      <c r="AI68" s="519">
        <f>SUM($E67:AI67)</f>
        <v>0.89043526864460165</v>
      </c>
      <c r="AJ68" s="519">
        <f>SUM($E67:AJ67)</f>
        <v>0.92695987731946683</v>
      </c>
      <c r="AK68" s="519">
        <f>SUM($E67:AK67)</f>
        <v>0.96348448599433201</v>
      </c>
      <c r="AL68" s="519">
        <f>SUM($E67:AL67)</f>
        <v>1.0000090946691971</v>
      </c>
      <c r="AM68" s="519">
        <f>SUM($E67:AM67)</f>
        <v>1.0000090946691971</v>
      </c>
      <c r="AN68" s="519">
        <f>SUM($E67:AN67)</f>
        <v>1.0000090946691971</v>
      </c>
      <c r="AO68" s="518"/>
      <c r="AP68" s="530"/>
      <c r="AQ68" s="1038">
        <f t="shared" si="4"/>
        <v>62</v>
      </c>
      <c r="AR68" s="1038">
        <f t="shared" si="27"/>
        <v>18</v>
      </c>
      <c r="AT68" s="3" t="s">
        <v>1052</v>
      </c>
      <c r="AU68" s="8"/>
      <c r="AV68" s="1031">
        <f>C60</f>
        <v>36892</v>
      </c>
      <c r="AW68" s="8"/>
      <c r="AX68" s="8"/>
      <c r="AY68" s="8"/>
      <c r="AZ68" s="9"/>
    </row>
    <row r="69" spans="1:52" ht="13.8" thickBot="1">
      <c r="A69" s="139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433"/>
      <c r="AT69" s="12" t="s">
        <v>1053</v>
      </c>
      <c r="AU69" s="10"/>
      <c r="AV69" s="10"/>
      <c r="AW69" s="1076">
        <f>ROUND((AV68-AV60)/(365/12),0)</f>
        <v>17</v>
      </c>
      <c r="AX69" s="10"/>
      <c r="AY69" s="10"/>
      <c r="AZ69" s="1077"/>
    </row>
    <row r="71" spans="1:52" ht="13.8" thickBot="1">
      <c r="E71" s="1127"/>
      <c r="F71" s="1127"/>
      <c r="G71" s="1127"/>
      <c r="H71" s="1127"/>
      <c r="I71" s="1127"/>
      <c r="J71" s="1127"/>
      <c r="K71" s="1127"/>
      <c r="L71" s="1127"/>
      <c r="M71" s="1127"/>
      <c r="N71" s="1127"/>
      <c r="O71" s="1127"/>
      <c r="P71" s="1127"/>
      <c r="Q71" s="1127"/>
      <c r="R71" s="1127"/>
      <c r="S71" s="1127"/>
      <c r="T71" s="1127"/>
      <c r="U71" s="1127"/>
      <c r="V71" s="1127"/>
      <c r="W71" s="1127"/>
      <c r="X71" s="1127"/>
    </row>
    <row r="72" spans="1:52">
      <c r="A72" s="1133"/>
      <c r="B72" s="1134"/>
      <c r="C72" s="1134"/>
      <c r="D72" s="1134"/>
      <c r="E72" s="1134"/>
      <c r="F72" s="1134"/>
      <c r="G72" s="1134"/>
      <c r="H72" s="1134"/>
      <c r="I72" s="1134"/>
      <c r="J72" s="1134"/>
      <c r="K72" s="1134"/>
      <c r="L72" s="1134"/>
      <c r="M72" s="1134"/>
      <c r="N72" s="1134"/>
      <c r="O72" s="1134"/>
      <c r="P72" s="1134"/>
      <c r="Q72" s="1134"/>
      <c r="R72" s="1134"/>
      <c r="S72" s="1134"/>
      <c r="T72" s="1134"/>
      <c r="U72" s="1134"/>
      <c r="V72" s="1134"/>
      <c r="W72" s="1134"/>
      <c r="X72" s="1134"/>
      <c r="Y72" s="1134"/>
      <c r="Z72" s="1134"/>
      <c r="AA72" s="1134"/>
      <c r="AB72" s="1134"/>
      <c r="AC72" s="1135" t="s">
        <v>220</v>
      </c>
    </row>
    <row r="73" spans="1:52" ht="17.399999999999999">
      <c r="A73" s="1136" t="s">
        <v>1117</v>
      </c>
      <c r="B73" s="1137"/>
      <c r="C73" s="1137"/>
      <c r="D73" s="1137"/>
      <c r="E73" s="1138">
        <v>35887</v>
      </c>
      <c r="F73" s="1138">
        <v>35917</v>
      </c>
      <c r="G73" s="1138">
        <v>35947</v>
      </c>
      <c r="H73" s="1138">
        <v>35977</v>
      </c>
      <c r="I73" s="1138">
        <v>36008</v>
      </c>
      <c r="J73" s="1138">
        <v>36039</v>
      </c>
      <c r="K73" s="1138">
        <v>36070</v>
      </c>
      <c r="L73" s="1138">
        <v>36100</v>
      </c>
      <c r="M73" s="1138">
        <v>36130</v>
      </c>
      <c r="N73" s="1138">
        <v>36161</v>
      </c>
      <c r="O73" s="1138">
        <v>36192</v>
      </c>
      <c r="P73" s="1138">
        <v>36222</v>
      </c>
      <c r="Q73" s="1138">
        <v>36252</v>
      </c>
      <c r="R73" s="1138">
        <v>36282</v>
      </c>
      <c r="S73" s="1138">
        <v>36312</v>
      </c>
      <c r="T73" s="1138">
        <v>36342</v>
      </c>
      <c r="U73" s="1138">
        <v>36373</v>
      </c>
      <c r="V73" s="1138">
        <v>36404</v>
      </c>
      <c r="W73" s="1138">
        <v>36434</v>
      </c>
      <c r="X73" s="1138">
        <v>36465</v>
      </c>
      <c r="Y73" s="1138">
        <v>36495</v>
      </c>
      <c r="Z73" s="1138">
        <v>36526</v>
      </c>
      <c r="AA73" s="1138">
        <v>36557</v>
      </c>
      <c r="AB73" s="1138">
        <v>36586</v>
      </c>
      <c r="AC73" s="1139" t="s">
        <v>1118</v>
      </c>
    </row>
    <row r="74" spans="1:52">
      <c r="A74" s="1140" t="s">
        <v>1119</v>
      </c>
      <c r="B74" s="1130"/>
      <c r="C74" s="1130"/>
      <c r="D74" s="1130"/>
      <c r="E74" s="1130"/>
      <c r="F74" s="1130"/>
      <c r="G74" s="1130"/>
      <c r="H74" s="1130"/>
      <c r="I74" s="1130"/>
      <c r="J74" s="1130"/>
      <c r="K74" s="1130"/>
      <c r="L74" s="1130"/>
      <c r="M74" s="1130"/>
      <c r="N74" s="1130"/>
      <c r="O74" s="1130"/>
      <c r="P74" s="1130"/>
      <c r="Q74" s="1130"/>
      <c r="R74" s="1130"/>
      <c r="S74" s="1130"/>
      <c r="T74" s="1130"/>
      <c r="U74" s="1130"/>
      <c r="V74" s="1130"/>
      <c r="W74" s="1130"/>
      <c r="X74" s="1169"/>
      <c r="Y74" s="1169"/>
      <c r="Z74" s="1169"/>
      <c r="AA74" s="1169"/>
      <c r="AB74" s="1169"/>
      <c r="AC74" s="1141"/>
    </row>
    <row r="75" spans="1:52" s="1261" customFormat="1">
      <c r="A75" s="1258" t="s">
        <v>1120</v>
      </c>
      <c r="B75" s="1259"/>
      <c r="C75" s="1259"/>
      <c r="D75" s="1259"/>
      <c r="E75" s="1263"/>
      <c r="F75" s="1263"/>
      <c r="G75" s="1263"/>
      <c r="H75" s="1263"/>
      <c r="I75" s="1263"/>
      <c r="J75" s="1263"/>
      <c r="K75" s="1263"/>
      <c r="L75" s="1263"/>
      <c r="M75" s="1263"/>
      <c r="N75" s="1263"/>
      <c r="O75" s="1263"/>
      <c r="P75" s="1263"/>
      <c r="Q75" s="1263"/>
      <c r="R75" s="1263"/>
      <c r="S75" s="1263"/>
      <c r="T75" s="1263"/>
      <c r="U75" s="1263"/>
      <c r="V75" s="1263"/>
      <c r="W75" s="1263"/>
      <c r="X75" s="1263"/>
      <c r="Y75" s="1263"/>
      <c r="Z75" s="1263"/>
      <c r="AA75" s="1263"/>
      <c r="AB75" s="1263"/>
      <c r="AC75" s="1260"/>
    </row>
    <row r="76" spans="1:52" s="1261" customFormat="1">
      <c r="A76" s="1262"/>
      <c r="B76" s="1259" t="s">
        <v>1121</v>
      </c>
      <c r="C76" s="1259"/>
      <c r="D76" s="1259"/>
      <c r="E76" s="1146">
        <v>0</v>
      </c>
      <c r="F76" s="1146">
        <v>260.86956521739131</v>
      </c>
      <c r="G76" s="1146">
        <v>369.05790838375106</v>
      </c>
      <c r="H76" s="1146">
        <v>0</v>
      </c>
      <c r="I76" s="1146">
        <v>0</v>
      </c>
      <c r="J76" s="1146">
        <v>0</v>
      </c>
      <c r="K76" s="1146">
        <v>0</v>
      </c>
      <c r="L76" s="1146">
        <v>2676.3977770293027</v>
      </c>
      <c r="M76" s="1146">
        <v>3331.6448350190685</v>
      </c>
      <c r="N76" s="1146">
        <v>2443.6472081218271</v>
      </c>
      <c r="O76" s="1146">
        <v>4312.3668151879119</v>
      </c>
      <c r="P76" s="1146">
        <v>0</v>
      </c>
      <c r="Q76" s="1146">
        <v>4214.6059347181008</v>
      </c>
      <c r="R76" s="1146">
        <v>0</v>
      </c>
      <c r="S76" s="1146">
        <v>7733.682563168677</v>
      </c>
      <c r="T76" s="1146">
        <v>3788.240220385675</v>
      </c>
      <c r="U76" s="1146">
        <v>0</v>
      </c>
      <c r="V76" s="1146">
        <v>0</v>
      </c>
      <c r="W76" s="1146">
        <v>0</v>
      </c>
      <c r="X76" s="1146">
        <v>0</v>
      </c>
      <c r="Y76" s="1146">
        <v>0</v>
      </c>
      <c r="Z76" s="1146">
        <v>0</v>
      </c>
      <c r="AA76" s="1146">
        <v>0</v>
      </c>
      <c r="AB76" s="1146">
        <v>0</v>
      </c>
      <c r="AC76" s="1264">
        <f>SUM(E76:AB76)</f>
        <v>29130.512827231709</v>
      </c>
    </row>
    <row r="77" spans="1:52">
      <c r="A77" s="1145"/>
      <c r="B77" s="1143" t="s">
        <v>1122</v>
      </c>
      <c r="C77" s="1130"/>
      <c r="D77" s="1130"/>
      <c r="E77" s="1146">
        <v>0</v>
      </c>
      <c r="F77" s="1146">
        <v>0</v>
      </c>
      <c r="G77" s="1146">
        <v>0</v>
      </c>
      <c r="H77" s="1146">
        <v>0</v>
      </c>
      <c r="I77" s="1146">
        <v>0</v>
      </c>
      <c r="J77" s="1146">
        <v>0</v>
      </c>
      <c r="K77" s="1146">
        <v>0</v>
      </c>
      <c r="L77" s="1146">
        <v>0</v>
      </c>
      <c r="M77" s="1146">
        <v>0</v>
      </c>
      <c r="N77" s="1146">
        <v>0</v>
      </c>
      <c r="O77" s="1146">
        <v>0</v>
      </c>
      <c r="P77" s="1146">
        <v>0</v>
      </c>
      <c r="Q77" s="1146">
        <v>0</v>
      </c>
      <c r="R77" s="1146">
        <v>0</v>
      </c>
      <c r="S77" s="1146">
        <v>0</v>
      </c>
      <c r="T77" s="1146">
        <v>8562.5445619834718</v>
      </c>
      <c r="U77" s="1146">
        <v>1125.6506811420222</v>
      </c>
      <c r="V77" s="1146">
        <v>1977.0366748166261</v>
      </c>
      <c r="W77" s="1146">
        <v>5618.2075934459799</v>
      </c>
      <c r="X77" s="1146">
        <v>6126.6735372132935</v>
      </c>
      <c r="Y77" s="1146">
        <v>4581.4190497484624</v>
      </c>
      <c r="Z77" s="1146">
        <v>5052.6320239680426</v>
      </c>
      <c r="AA77" s="1146">
        <v>4072.7245896109739</v>
      </c>
      <c r="AB77" s="1146">
        <v>0</v>
      </c>
      <c r="AC77" s="1147">
        <f>SUM(E77:AB77)</f>
        <v>37116.888711928877</v>
      </c>
    </row>
    <row r="78" spans="1:52">
      <c r="A78" s="1145"/>
      <c r="B78" s="1143" t="s">
        <v>1123</v>
      </c>
      <c r="C78" s="1130"/>
      <c r="D78" s="1130"/>
      <c r="E78" s="1146">
        <v>0</v>
      </c>
      <c r="F78" s="1146">
        <v>0</v>
      </c>
      <c r="G78" s="1146">
        <v>0.1132238547968885</v>
      </c>
      <c r="H78" s="1146">
        <v>0.50730868443680133</v>
      </c>
      <c r="I78" s="1146">
        <v>0.42565845369583682</v>
      </c>
      <c r="J78" s="1146">
        <v>0.30522765598650925</v>
      </c>
      <c r="K78" s="1146">
        <v>0.22371740958788897</v>
      </c>
      <c r="L78" s="1146">
        <v>13.470865611316942</v>
      </c>
      <c r="M78" s="1146">
        <v>22.580003316199637</v>
      </c>
      <c r="N78" s="1146">
        <v>11.143654822335025</v>
      </c>
      <c r="O78" s="1146">
        <v>2.5397132894227044</v>
      </c>
      <c r="P78" s="1146">
        <v>2.1024498886414253</v>
      </c>
      <c r="Q78" s="1146">
        <v>0.14480712166172105</v>
      </c>
      <c r="R78" s="1146">
        <v>0.58468677494199539</v>
      </c>
      <c r="S78" s="1146">
        <v>0.59867971773275663</v>
      </c>
      <c r="T78" s="1146">
        <v>0.94600550964187335</v>
      </c>
      <c r="U78" s="1146">
        <v>3.2105015919411244</v>
      </c>
      <c r="V78" s="1146">
        <v>0</v>
      </c>
      <c r="W78" s="1146">
        <v>0</v>
      </c>
      <c r="X78" s="1146">
        <v>0</v>
      </c>
      <c r="Y78" s="1146">
        <v>0</v>
      </c>
      <c r="Z78" s="1146">
        <v>0</v>
      </c>
      <c r="AA78" s="1146">
        <v>0</v>
      </c>
      <c r="AB78" s="1146">
        <v>0</v>
      </c>
      <c r="AC78" s="1147">
        <f>SUM(E78:AB78)</f>
        <v>58.896503702339125</v>
      </c>
    </row>
    <row r="79" spans="1:52">
      <c r="A79" s="1145"/>
      <c r="B79" s="1143" t="s">
        <v>1124</v>
      </c>
      <c r="C79" s="1130"/>
      <c r="D79" s="1130"/>
      <c r="E79" s="1146">
        <v>0</v>
      </c>
      <c r="F79" s="1146">
        <v>0</v>
      </c>
      <c r="G79" s="1146">
        <v>0</v>
      </c>
      <c r="H79" s="1146">
        <v>0</v>
      </c>
      <c r="I79" s="1146">
        <v>0</v>
      </c>
      <c r="J79" s="1146">
        <v>0</v>
      </c>
      <c r="K79" s="1146">
        <v>0</v>
      </c>
      <c r="L79" s="1146">
        <v>0</v>
      </c>
      <c r="M79" s="1146">
        <v>0</v>
      </c>
      <c r="N79" s="1146">
        <v>0</v>
      </c>
      <c r="O79" s="1146">
        <v>0</v>
      </c>
      <c r="P79" s="1146">
        <v>0</v>
      </c>
      <c r="Q79" s="1146">
        <v>0</v>
      </c>
      <c r="R79" s="1146">
        <v>0</v>
      </c>
      <c r="S79" s="1146">
        <v>0</v>
      </c>
      <c r="T79" s="1146">
        <v>0</v>
      </c>
      <c r="U79" s="1146">
        <v>0</v>
      </c>
      <c r="V79" s="1146">
        <v>0</v>
      </c>
      <c r="W79" s="1146">
        <v>0</v>
      </c>
      <c r="X79" s="1146">
        <v>0</v>
      </c>
      <c r="Y79" s="1146">
        <v>0</v>
      </c>
      <c r="Z79" s="1146">
        <v>0</v>
      </c>
      <c r="AA79" s="1146">
        <v>0</v>
      </c>
      <c r="AB79" s="1146">
        <v>0</v>
      </c>
      <c r="AC79" s="1147">
        <f>SUM(E79:AB79)</f>
        <v>0</v>
      </c>
    </row>
    <row r="80" spans="1:52">
      <c r="A80" s="1145"/>
      <c r="B80" s="1143" t="s">
        <v>1125</v>
      </c>
      <c r="C80" s="1130"/>
      <c r="D80" s="1130"/>
      <c r="E80" s="1148">
        <v>0</v>
      </c>
      <c r="F80" s="1148">
        <v>0</v>
      </c>
      <c r="G80" s="1148">
        <v>0</v>
      </c>
      <c r="H80" s="1148">
        <v>0</v>
      </c>
      <c r="I80" s="1148">
        <v>0</v>
      </c>
      <c r="J80" s="1148">
        <v>0</v>
      </c>
      <c r="K80" s="1148">
        <v>0</v>
      </c>
      <c r="L80" s="1148">
        <v>0</v>
      </c>
      <c r="M80" s="1148">
        <v>0</v>
      </c>
      <c r="N80" s="1148">
        <v>0</v>
      </c>
      <c r="O80" s="1148">
        <v>0</v>
      </c>
      <c r="P80" s="1148">
        <v>0</v>
      </c>
      <c r="Q80" s="1148">
        <v>0</v>
      </c>
      <c r="R80" s="1148">
        <v>0</v>
      </c>
      <c r="S80" s="1148">
        <v>0</v>
      </c>
      <c r="T80" s="1148">
        <v>0</v>
      </c>
      <c r="U80" s="1148">
        <v>0</v>
      </c>
      <c r="V80" s="1148">
        <v>0</v>
      </c>
      <c r="W80" s="1148">
        <v>0</v>
      </c>
      <c r="X80" s="1148">
        <v>0</v>
      </c>
      <c r="Y80" s="1148">
        <v>0</v>
      </c>
      <c r="Z80" s="1148">
        <v>0</v>
      </c>
      <c r="AA80" s="1148">
        <v>0</v>
      </c>
      <c r="AB80" s="1148">
        <v>0</v>
      </c>
      <c r="AC80" s="1147">
        <f>SUM(E80:AB80)</f>
        <v>0</v>
      </c>
    </row>
    <row r="81" spans="1:29">
      <c r="A81" s="1145"/>
      <c r="B81" s="1149" t="s">
        <v>1126</v>
      </c>
      <c r="C81" s="1130"/>
      <c r="D81" s="1130"/>
      <c r="E81" s="363">
        <f>SUM(E76:E80)</f>
        <v>0</v>
      </c>
      <c r="F81" s="363">
        <f t="shared" ref="F81:X81" si="32">SUM(F76:F80)</f>
        <v>260.86956521739131</v>
      </c>
      <c r="G81" s="363">
        <f t="shared" si="32"/>
        <v>369.17113223854795</v>
      </c>
      <c r="H81" s="363">
        <f t="shared" si="32"/>
        <v>0.50730868443680133</v>
      </c>
      <c r="I81" s="363">
        <f t="shared" si="32"/>
        <v>0.42565845369583682</v>
      </c>
      <c r="J81" s="363">
        <f t="shared" si="32"/>
        <v>0.30522765598650925</v>
      </c>
      <c r="K81" s="363">
        <f t="shared" si="32"/>
        <v>0.22371740958788897</v>
      </c>
      <c r="L81" s="363">
        <f t="shared" si="32"/>
        <v>2689.8686426406198</v>
      </c>
      <c r="M81" s="363">
        <f t="shared" si="32"/>
        <v>3354.224838335268</v>
      </c>
      <c r="N81" s="363">
        <f t="shared" si="32"/>
        <v>2454.7908629441622</v>
      </c>
      <c r="O81" s="363">
        <f t="shared" si="32"/>
        <v>4314.9065284773342</v>
      </c>
      <c r="P81" s="363">
        <f t="shared" si="32"/>
        <v>2.1024498886414253</v>
      </c>
      <c r="Q81" s="363">
        <f t="shared" si="32"/>
        <v>4214.7507418397627</v>
      </c>
      <c r="R81" s="363">
        <f t="shared" si="32"/>
        <v>0.58468677494199539</v>
      </c>
      <c r="S81" s="363">
        <f t="shared" si="32"/>
        <v>7734.2812428864099</v>
      </c>
      <c r="T81" s="363">
        <f t="shared" si="32"/>
        <v>12351.730787878789</v>
      </c>
      <c r="U81" s="363">
        <f t="shared" si="32"/>
        <v>1128.8611827339632</v>
      </c>
      <c r="V81" s="363">
        <f t="shared" si="32"/>
        <v>1977.0366748166261</v>
      </c>
      <c r="W81" s="363">
        <f t="shared" si="32"/>
        <v>5618.2075934459799</v>
      </c>
      <c r="X81" s="363">
        <f t="shared" si="32"/>
        <v>6126.6735372132935</v>
      </c>
      <c r="Y81" s="363">
        <f>SUM(Y76:Y80)</f>
        <v>4581.4190497484624</v>
      </c>
      <c r="Z81" s="363">
        <f>SUM(Z76:Z80)</f>
        <v>5052.6320239680426</v>
      </c>
      <c r="AA81" s="363">
        <f>SUM(AA76:AA80)</f>
        <v>4072.7245896109739</v>
      </c>
      <c r="AB81" s="363">
        <f>SUM(AB76:AB80)</f>
        <v>0</v>
      </c>
      <c r="AC81" s="1147">
        <f>SUM(AC76:AC80)</f>
        <v>66306.298042862923</v>
      </c>
    </row>
    <row r="82" spans="1:29">
      <c r="A82" s="1150"/>
      <c r="B82" s="1130"/>
      <c r="C82" s="1130"/>
      <c r="D82" s="1130"/>
      <c r="E82" s="1130"/>
      <c r="F82" s="1130"/>
      <c r="G82" s="1130"/>
      <c r="H82" s="1130"/>
      <c r="I82" s="1130"/>
      <c r="J82" s="1130"/>
      <c r="K82" s="1130"/>
      <c r="L82" s="1130"/>
      <c r="M82" s="1130"/>
      <c r="N82" s="1130"/>
      <c r="O82" s="1130"/>
      <c r="P82" s="1130"/>
      <c r="Q82" s="1130"/>
      <c r="R82" s="1130"/>
      <c r="S82" s="1130"/>
      <c r="T82" s="1130"/>
      <c r="U82" s="1130"/>
      <c r="V82" s="1130"/>
      <c r="W82" s="1130"/>
      <c r="X82" s="1130"/>
      <c r="Y82" s="1130"/>
      <c r="Z82" s="1130"/>
      <c r="AA82" s="1130"/>
      <c r="AB82" s="1130"/>
      <c r="AC82" s="1144"/>
    </row>
    <row r="83" spans="1:29">
      <c r="A83" s="1142" t="s">
        <v>1104</v>
      </c>
      <c r="B83" s="1143"/>
      <c r="C83" s="1130"/>
      <c r="D83" s="1130"/>
      <c r="E83" s="1130"/>
      <c r="F83" s="1130"/>
      <c r="G83" s="1130"/>
      <c r="H83" s="1130"/>
      <c r="I83" s="1130"/>
      <c r="J83" s="1130"/>
      <c r="K83" s="1130"/>
      <c r="L83" s="1130"/>
      <c r="M83" s="1130"/>
      <c r="N83" s="1130"/>
      <c r="O83" s="1130"/>
      <c r="P83" s="1130"/>
      <c r="Q83" s="1130"/>
      <c r="R83" s="1130"/>
      <c r="S83" s="1130"/>
      <c r="T83" s="1130"/>
      <c r="U83" s="1130"/>
      <c r="V83" s="1130"/>
      <c r="W83" s="1130"/>
      <c r="X83" s="1130"/>
      <c r="Y83" s="1130"/>
      <c r="Z83" s="1130"/>
      <c r="AA83" s="1130"/>
      <c r="AB83" s="1130"/>
      <c r="AC83" s="1144"/>
    </row>
    <row r="84" spans="1:29">
      <c r="A84" s="1145"/>
      <c r="B84" s="1143" t="s">
        <v>1105</v>
      </c>
      <c r="C84" s="1130"/>
      <c r="D84" s="1130"/>
      <c r="E84" s="1131">
        <v>0</v>
      </c>
      <c r="F84" s="1131">
        <v>0</v>
      </c>
      <c r="G84" s="1131">
        <v>0</v>
      </c>
      <c r="H84" s="1131">
        <v>0</v>
      </c>
      <c r="I84" s="1131">
        <v>0</v>
      </c>
      <c r="J84" s="1131">
        <v>0</v>
      </c>
      <c r="K84" s="1131">
        <v>0</v>
      </c>
      <c r="L84" s="1131">
        <v>0</v>
      </c>
      <c r="M84" s="1131">
        <v>2865.4951334770353</v>
      </c>
      <c r="N84" s="1131">
        <v>3744.6684263959392</v>
      </c>
      <c r="O84" s="1131">
        <v>0</v>
      </c>
      <c r="P84" s="1131">
        <v>0</v>
      </c>
      <c r="Q84" s="1131">
        <v>288.35845697329376</v>
      </c>
      <c r="R84" s="1131">
        <v>642.23631670533644</v>
      </c>
      <c r="S84" s="1131">
        <v>3685.3536649214657</v>
      </c>
      <c r="T84" s="1131">
        <v>5717.3083471074387</v>
      </c>
      <c r="U84" s="1131">
        <v>376.74361918680518</v>
      </c>
      <c r="V84" s="1131">
        <v>2078.8655880975916</v>
      </c>
      <c r="W84" s="1131">
        <v>260.69534050179215</v>
      </c>
      <c r="X84" s="1131">
        <v>4734.609663494045</v>
      </c>
      <c r="Y84" s="1131">
        <v>8598.024035774175</v>
      </c>
      <c r="Z84" s="1131">
        <v>2412.2478916999553</v>
      </c>
      <c r="AA84" s="1131">
        <v>4236.3880368787941</v>
      </c>
      <c r="AB84" s="1131">
        <v>572.31156641675727</v>
      </c>
      <c r="AC84" s="1151">
        <f t="shared" ref="AC84:AC94" si="33">SUM(E84:AB84)</f>
        <v>40213.306087630423</v>
      </c>
    </row>
    <row r="85" spans="1:29">
      <c r="A85" s="1145"/>
      <c r="B85" s="1143" t="s">
        <v>1129</v>
      </c>
      <c r="C85" s="1130"/>
      <c r="D85" s="1130"/>
      <c r="E85" s="1131">
        <v>0</v>
      </c>
      <c r="F85" s="1131">
        <v>0</v>
      </c>
      <c r="G85" s="1131">
        <v>0</v>
      </c>
      <c r="H85" s="1131">
        <v>0</v>
      </c>
      <c r="I85" s="1131">
        <v>0</v>
      </c>
      <c r="J85" s="1131">
        <v>0</v>
      </c>
      <c r="K85" s="1131">
        <v>0</v>
      </c>
      <c r="L85" s="1131">
        <v>0</v>
      </c>
      <c r="M85" s="1131">
        <v>0</v>
      </c>
      <c r="N85" s="1131">
        <v>0</v>
      </c>
      <c r="O85" s="1131">
        <v>4156.4503099573813</v>
      </c>
      <c r="P85" s="1131">
        <v>0</v>
      </c>
      <c r="Q85" s="1131">
        <v>2396.106824925816</v>
      </c>
      <c r="R85" s="1131">
        <v>137.32397911832948</v>
      </c>
      <c r="S85" s="1131">
        <v>2514.4496471659459</v>
      </c>
      <c r="T85" s="1131">
        <v>6062.421366391186</v>
      </c>
      <c r="U85" s="1131">
        <v>0</v>
      </c>
      <c r="V85" s="1131">
        <v>0</v>
      </c>
      <c r="W85" s="1131">
        <v>0</v>
      </c>
      <c r="X85" s="1131">
        <v>0</v>
      </c>
      <c r="Y85" s="1131">
        <v>0</v>
      </c>
      <c r="Z85" s="1131">
        <v>0</v>
      </c>
      <c r="AA85" s="1131">
        <v>0</v>
      </c>
      <c r="AB85" s="1131">
        <v>0</v>
      </c>
      <c r="AC85" s="1151">
        <f t="shared" si="33"/>
        <v>15266.752127558659</v>
      </c>
    </row>
    <row r="86" spans="1:29">
      <c r="A86" s="1145"/>
      <c r="B86" s="1143" t="s">
        <v>1106</v>
      </c>
      <c r="C86" s="1130"/>
      <c r="D86" s="1130"/>
      <c r="E86" s="1131">
        <v>0</v>
      </c>
      <c r="F86" s="1131">
        <v>0</v>
      </c>
      <c r="G86" s="1131">
        <v>0</v>
      </c>
      <c r="H86" s="1131">
        <v>0</v>
      </c>
      <c r="I86" s="1131">
        <v>0</v>
      </c>
      <c r="J86" s="1131">
        <v>0</v>
      </c>
      <c r="K86" s="1131">
        <v>0</v>
      </c>
      <c r="L86" s="1131">
        <v>0</v>
      </c>
      <c r="M86" s="1131">
        <v>0</v>
      </c>
      <c r="N86" s="1131">
        <v>0</v>
      </c>
      <c r="O86" s="1131">
        <v>0</v>
      </c>
      <c r="P86" s="1131">
        <v>0</v>
      </c>
      <c r="Q86" s="1131">
        <v>0</v>
      </c>
      <c r="R86" s="1131">
        <v>0</v>
      </c>
      <c r="S86" s="1131">
        <v>0</v>
      </c>
      <c r="T86" s="1131">
        <v>382.23701377410464</v>
      </c>
      <c r="U86" s="1131">
        <v>36.855832767889765</v>
      </c>
      <c r="V86" s="1131">
        <v>0</v>
      </c>
      <c r="W86" s="1131">
        <v>31.98510496671787</v>
      </c>
      <c r="X86" s="1131">
        <v>0</v>
      </c>
      <c r="Y86" s="1131">
        <v>0</v>
      </c>
      <c r="Z86" s="1131">
        <v>0</v>
      </c>
      <c r="AA86" s="1131">
        <v>0</v>
      </c>
      <c r="AB86" s="1131">
        <v>0</v>
      </c>
      <c r="AC86" s="1151">
        <f t="shared" si="33"/>
        <v>451.07795150871226</v>
      </c>
    </row>
    <row r="87" spans="1:29">
      <c r="A87" s="1145"/>
      <c r="B87" s="1143" t="s">
        <v>1107</v>
      </c>
      <c r="C87" s="1130"/>
      <c r="D87" s="1130"/>
      <c r="E87" s="1131">
        <v>0</v>
      </c>
      <c r="F87" s="1131">
        <v>0</v>
      </c>
      <c r="G87" s="1131">
        <v>0</v>
      </c>
      <c r="H87" s="1131">
        <v>0</v>
      </c>
      <c r="I87" s="1131">
        <v>0</v>
      </c>
      <c r="J87" s="1131">
        <v>0</v>
      </c>
      <c r="K87" s="1131">
        <v>0</v>
      </c>
      <c r="L87" s="1131">
        <v>0</v>
      </c>
      <c r="M87" s="1131">
        <v>0</v>
      </c>
      <c r="N87" s="1131">
        <v>0</v>
      </c>
      <c r="O87" s="1131">
        <v>0</v>
      </c>
      <c r="P87" s="1131">
        <v>0</v>
      </c>
      <c r="Q87" s="1131">
        <v>0</v>
      </c>
      <c r="R87" s="1131">
        <v>0</v>
      </c>
      <c r="S87" s="1131">
        <v>0</v>
      </c>
      <c r="T87" s="1131">
        <v>0</v>
      </c>
      <c r="U87" s="1131">
        <v>0</v>
      </c>
      <c r="V87" s="1131">
        <v>0</v>
      </c>
      <c r="W87" s="1131">
        <v>0</v>
      </c>
      <c r="X87" s="1131">
        <v>0</v>
      </c>
      <c r="Y87" s="1131">
        <v>0</v>
      </c>
      <c r="Z87" s="1131">
        <v>0</v>
      </c>
      <c r="AA87" s="1131">
        <v>0</v>
      </c>
      <c r="AB87" s="1131">
        <v>0</v>
      </c>
      <c r="AC87" s="1151">
        <f t="shared" si="33"/>
        <v>0</v>
      </c>
    </row>
    <row r="88" spans="1:29">
      <c r="A88" s="1145"/>
      <c r="B88" s="1143" t="s">
        <v>1108</v>
      </c>
      <c r="C88" s="1130"/>
      <c r="D88" s="1130"/>
      <c r="E88" s="1131">
        <v>27.529683377308707</v>
      </c>
      <c r="F88" s="1131">
        <v>0</v>
      </c>
      <c r="G88" s="1131">
        <v>0</v>
      </c>
      <c r="H88" s="1131">
        <v>0</v>
      </c>
      <c r="I88" s="1131">
        <v>497.90096856414607</v>
      </c>
      <c r="J88" s="1131">
        <v>0</v>
      </c>
      <c r="K88" s="1131">
        <v>0</v>
      </c>
      <c r="L88" s="1131">
        <v>0</v>
      </c>
      <c r="M88" s="1131">
        <v>77.708331951583489</v>
      </c>
      <c r="N88" s="1131">
        <v>0</v>
      </c>
      <c r="O88" s="1131">
        <v>0</v>
      </c>
      <c r="P88" s="1131">
        <v>0</v>
      </c>
      <c r="Q88" s="1131">
        <v>0</v>
      </c>
      <c r="R88" s="1131">
        <v>0</v>
      </c>
      <c r="S88" s="1131">
        <v>0</v>
      </c>
      <c r="T88" s="1131">
        <v>0</v>
      </c>
      <c r="U88" s="1131">
        <v>0</v>
      </c>
      <c r="V88" s="1131">
        <v>0</v>
      </c>
      <c r="W88" s="1131">
        <v>0</v>
      </c>
      <c r="X88" s="1131">
        <v>0</v>
      </c>
      <c r="Y88" s="1131">
        <v>0</v>
      </c>
      <c r="Z88" s="1131">
        <v>0</v>
      </c>
      <c r="AA88" s="1131">
        <v>0</v>
      </c>
      <c r="AB88" s="1131">
        <v>0</v>
      </c>
      <c r="AC88" s="1151">
        <f t="shared" si="33"/>
        <v>603.13898389303836</v>
      </c>
    </row>
    <row r="89" spans="1:29">
      <c r="A89" s="1145"/>
      <c r="B89" s="1143" t="s">
        <v>1109</v>
      </c>
      <c r="C89" s="1130"/>
      <c r="D89" s="1130"/>
      <c r="E89" s="1131">
        <v>0</v>
      </c>
      <c r="F89" s="1131">
        <v>143.47826086956522</v>
      </c>
      <c r="G89" s="1131">
        <v>0</v>
      </c>
      <c r="H89" s="1131">
        <v>0</v>
      </c>
      <c r="I89" s="1131">
        <v>0</v>
      </c>
      <c r="J89" s="1131">
        <v>0</v>
      </c>
      <c r="K89" s="1131">
        <v>63.582842724978967</v>
      </c>
      <c r="L89" s="1131">
        <v>122.62546311889525</v>
      </c>
      <c r="M89" s="1131">
        <v>0</v>
      </c>
      <c r="N89" s="1131">
        <v>0</v>
      </c>
      <c r="O89" s="1131">
        <v>48.709318093762107</v>
      </c>
      <c r="P89" s="1131">
        <v>38.702255011135861</v>
      </c>
      <c r="Q89" s="1131">
        <v>32.996646884272998</v>
      </c>
      <c r="R89" s="1131">
        <v>224.44261020881672</v>
      </c>
      <c r="S89" s="1131">
        <v>136.21626451172318</v>
      </c>
      <c r="T89" s="1131">
        <v>0</v>
      </c>
      <c r="U89" s="1131">
        <v>0</v>
      </c>
      <c r="V89" s="1131">
        <v>68.143890131613176</v>
      </c>
      <c r="W89" s="1131">
        <v>0</v>
      </c>
      <c r="X89" s="1131">
        <v>0</v>
      </c>
      <c r="Y89" s="1131">
        <v>0</v>
      </c>
      <c r="Z89" s="1131">
        <v>0</v>
      </c>
      <c r="AA89" s="1131">
        <v>0</v>
      </c>
      <c r="AB89" s="1131">
        <v>0</v>
      </c>
      <c r="AC89" s="1151">
        <f t="shared" si="33"/>
        <v>878.89755155476348</v>
      </c>
    </row>
    <row r="90" spans="1:29">
      <c r="A90" s="1145"/>
      <c r="B90" s="1143" t="s">
        <v>1110</v>
      </c>
      <c r="C90" s="1130"/>
      <c r="D90" s="1130"/>
      <c r="E90" s="1131">
        <v>0</v>
      </c>
      <c r="F90" s="1131">
        <v>0</v>
      </c>
      <c r="G90" s="1131">
        <v>10.684961106309419</v>
      </c>
      <c r="H90" s="1131">
        <v>0</v>
      </c>
      <c r="I90" s="1131">
        <v>0</v>
      </c>
      <c r="J90" s="1131">
        <v>0</v>
      </c>
      <c r="K90" s="1131">
        <v>0</v>
      </c>
      <c r="L90" s="1131">
        <v>0</v>
      </c>
      <c r="M90" s="1131">
        <v>0</v>
      </c>
      <c r="N90" s="1131">
        <v>0</v>
      </c>
      <c r="O90" s="1131">
        <v>6.8442464161177838</v>
      </c>
      <c r="P90" s="1131">
        <v>4.5100222717149219</v>
      </c>
      <c r="Q90" s="1131">
        <v>41.731655786350146</v>
      </c>
      <c r="R90" s="1131">
        <v>0</v>
      </c>
      <c r="S90" s="1131">
        <v>66.781561575233326</v>
      </c>
      <c r="T90" s="1131">
        <v>43.231360881542699</v>
      </c>
      <c r="U90" s="1131">
        <v>29.229082937522836</v>
      </c>
      <c r="V90" s="1131">
        <v>0</v>
      </c>
      <c r="W90" s="1131">
        <v>0</v>
      </c>
      <c r="X90" s="1131">
        <v>0</v>
      </c>
      <c r="Y90" s="1131">
        <v>0</v>
      </c>
      <c r="Z90" s="1131">
        <v>0</v>
      </c>
      <c r="AA90" s="1131">
        <v>0</v>
      </c>
      <c r="AB90" s="1131">
        <v>0</v>
      </c>
      <c r="AC90" s="1151">
        <f t="shared" si="33"/>
        <v>203.01289097479111</v>
      </c>
    </row>
    <row r="91" spans="1:29">
      <c r="A91" s="1145"/>
      <c r="B91" s="1143" t="s">
        <v>1111</v>
      </c>
      <c r="C91" s="1130"/>
      <c r="D91" s="1130"/>
      <c r="E91" s="1131">
        <v>0</v>
      </c>
      <c r="F91" s="1131">
        <v>0</v>
      </c>
      <c r="G91" s="1131">
        <v>0</v>
      </c>
      <c r="H91" s="1131">
        <v>0</v>
      </c>
      <c r="I91" s="1131">
        <v>0</v>
      </c>
      <c r="J91" s="1131">
        <v>0</v>
      </c>
      <c r="K91" s="1131">
        <v>0</v>
      </c>
      <c r="L91" s="1131">
        <v>0</v>
      </c>
      <c r="M91" s="1131">
        <v>0</v>
      </c>
      <c r="N91" s="1131">
        <v>0</v>
      </c>
      <c r="O91" s="1131">
        <v>0</v>
      </c>
      <c r="P91" s="1131">
        <v>0</v>
      </c>
      <c r="Q91" s="1131">
        <v>0</v>
      </c>
      <c r="R91" s="1131">
        <v>0</v>
      </c>
      <c r="S91" s="1131">
        <v>0</v>
      </c>
      <c r="T91" s="1131">
        <v>0</v>
      </c>
      <c r="U91" s="1131">
        <v>0</v>
      </c>
      <c r="V91" s="1131">
        <v>0</v>
      </c>
      <c r="W91" s="1131">
        <v>0</v>
      </c>
      <c r="X91" s="1131">
        <v>0</v>
      </c>
      <c r="Y91" s="1131">
        <v>0</v>
      </c>
      <c r="Z91" s="1131">
        <v>0</v>
      </c>
      <c r="AA91" s="1131">
        <v>0</v>
      </c>
      <c r="AB91" s="1131">
        <v>0</v>
      </c>
      <c r="AC91" s="1151">
        <f t="shared" si="33"/>
        <v>0</v>
      </c>
    </row>
    <row r="92" spans="1:29">
      <c r="A92" s="1145"/>
      <c r="B92" s="1143" t="s">
        <v>1112</v>
      </c>
      <c r="C92" s="1130"/>
      <c r="D92" s="1130"/>
      <c r="E92" s="1131">
        <v>0</v>
      </c>
      <c r="F92" s="1131">
        <v>0</v>
      </c>
      <c r="G92" s="1131">
        <v>0</v>
      </c>
      <c r="H92" s="1131">
        <v>0</v>
      </c>
      <c r="I92" s="1131">
        <v>0</v>
      </c>
      <c r="J92" s="1131">
        <v>0</v>
      </c>
      <c r="K92" s="1131">
        <v>0</v>
      </c>
      <c r="L92" s="1131">
        <v>0</v>
      </c>
      <c r="M92" s="1131">
        <v>0</v>
      </c>
      <c r="N92" s="1131">
        <v>0</v>
      </c>
      <c r="O92" s="1131">
        <v>0</v>
      </c>
      <c r="P92" s="1131">
        <v>0</v>
      </c>
      <c r="Q92" s="1131">
        <v>0</v>
      </c>
      <c r="R92" s="1131">
        <v>0</v>
      </c>
      <c r="S92" s="1131">
        <v>0</v>
      </c>
      <c r="T92" s="1131">
        <v>0</v>
      </c>
      <c r="U92" s="1131">
        <v>0</v>
      </c>
      <c r="V92" s="1131">
        <v>0</v>
      </c>
      <c r="W92" s="1131">
        <v>0</v>
      </c>
      <c r="X92" s="1131">
        <v>0</v>
      </c>
      <c r="Y92" s="1131">
        <v>0</v>
      </c>
      <c r="Z92" s="1131">
        <v>0</v>
      </c>
      <c r="AA92" s="1131">
        <v>0</v>
      </c>
      <c r="AB92" s="1131">
        <v>0</v>
      </c>
      <c r="AC92" s="1151">
        <f t="shared" si="33"/>
        <v>0</v>
      </c>
    </row>
    <row r="93" spans="1:29">
      <c r="A93" s="1145"/>
      <c r="B93" s="1143" t="s">
        <v>1113</v>
      </c>
      <c r="C93" s="1130"/>
      <c r="D93" s="1130"/>
      <c r="E93" s="1131">
        <v>0</v>
      </c>
      <c r="F93" s="1131">
        <v>0</v>
      </c>
      <c r="G93" s="1131">
        <v>0</v>
      </c>
      <c r="H93" s="1131">
        <v>0</v>
      </c>
      <c r="I93" s="1131">
        <v>0</v>
      </c>
      <c r="J93" s="1131">
        <v>0</v>
      </c>
      <c r="K93" s="1131">
        <v>0</v>
      </c>
      <c r="L93" s="1131">
        <v>0</v>
      </c>
      <c r="M93" s="1131">
        <v>0</v>
      </c>
      <c r="N93" s="1131">
        <v>0</v>
      </c>
      <c r="O93" s="1131">
        <v>0</v>
      </c>
      <c r="P93" s="1131">
        <v>0</v>
      </c>
      <c r="Q93" s="1131">
        <v>0</v>
      </c>
      <c r="R93" s="1131">
        <v>0</v>
      </c>
      <c r="S93" s="1131">
        <v>0</v>
      </c>
      <c r="T93" s="1131">
        <v>0</v>
      </c>
      <c r="U93" s="1131">
        <v>0</v>
      </c>
      <c r="V93" s="1131">
        <v>0</v>
      </c>
      <c r="W93" s="1131">
        <v>0</v>
      </c>
      <c r="X93" s="1131">
        <v>0</v>
      </c>
      <c r="Y93" s="1131">
        <v>0</v>
      </c>
      <c r="Z93" s="1131">
        <v>0</v>
      </c>
      <c r="AA93" s="1131">
        <v>0</v>
      </c>
      <c r="AB93" s="1131">
        <v>0</v>
      </c>
      <c r="AC93" s="1151">
        <f t="shared" si="33"/>
        <v>0</v>
      </c>
    </row>
    <row r="94" spans="1:29">
      <c r="A94" s="1145"/>
      <c r="B94" s="1143" t="s">
        <v>1127</v>
      </c>
      <c r="C94" s="1130"/>
      <c r="D94" s="1130"/>
      <c r="E94" s="1152">
        <v>0</v>
      </c>
      <c r="F94" s="1152">
        <v>0</v>
      </c>
      <c r="G94" s="1152">
        <v>0</v>
      </c>
      <c r="H94" s="1152">
        <v>0</v>
      </c>
      <c r="I94" s="1152">
        <v>0</v>
      </c>
      <c r="J94" s="1152">
        <v>0</v>
      </c>
      <c r="K94" s="1152">
        <v>0</v>
      </c>
      <c r="L94" s="1152">
        <v>0</v>
      </c>
      <c r="M94" s="1152">
        <v>98.563828552478867</v>
      </c>
      <c r="N94" s="1152">
        <v>0</v>
      </c>
      <c r="O94" s="1152">
        <v>40.216485858194503</v>
      </c>
      <c r="P94" s="1152">
        <v>406.16937639198215</v>
      </c>
      <c r="Q94" s="1152">
        <v>226.95430267062315</v>
      </c>
      <c r="R94" s="1152">
        <v>64.848607888631093</v>
      </c>
      <c r="S94" s="1152">
        <v>136.3031072160255</v>
      </c>
      <c r="T94" s="1152">
        <v>208.70192837465567</v>
      </c>
      <c r="U94" s="1152">
        <v>1088.4299806879274</v>
      </c>
      <c r="V94" s="1152">
        <v>327.92228060136301</v>
      </c>
      <c r="W94" s="1152">
        <v>520.27496159754219</v>
      </c>
      <c r="X94" s="1152">
        <v>445.7200811359026</v>
      </c>
      <c r="Y94" s="1152">
        <v>2385.3890441587478</v>
      </c>
      <c r="Z94" s="1152">
        <v>443.57847869507322</v>
      </c>
      <c r="AA94" s="1152">
        <v>675.56892286935022</v>
      </c>
      <c r="AB94" s="1152">
        <v>843.4539003033251</v>
      </c>
      <c r="AC94" s="1153">
        <f t="shared" si="33"/>
        <v>7912.0952870018227</v>
      </c>
    </row>
    <row r="95" spans="1:29">
      <c r="A95" s="1145"/>
      <c r="B95" s="1149" t="s">
        <v>1128</v>
      </c>
      <c r="C95" s="1130"/>
      <c r="D95" s="1130"/>
      <c r="E95" s="1132">
        <f t="shared" ref="E95:X95" si="34">SUM(E84:E94)</f>
        <v>27.529683377308707</v>
      </c>
      <c r="F95" s="1132">
        <f t="shared" si="34"/>
        <v>143.47826086956522</v>
      </c>
      <c r="G95" s="1132">
        <f t="shared" si="34"/>
        <v>10.684961106309419</v>
      </c>
      <c r="H95" s="1132">
        <f t="shared" si="34"/>
        <v>0</v>
      </c>
      <c r="I95" s="1132">
        <f t="shared" si="34"/>
        <v>497.90096856414607</v>
      </c>
      <c r="J95" s="1132">
        <f t="shared" si="34"/>
        <v>0</v>
      </c>
      <c r="K95" s="1132">
        <f t="shared" si="34"/>
        <v>63.582842724978967</v>
      </c>
      <c r="L95" s="1132">
        <f t="shared" si="34"/>
        <v>122.62546311889525</v>
      </c>
      <c r="M95" s="1132">
        <f t="shared" si="34"/>
        <v>3041.7672939810977</v>
      </c>
      <c r="N95" s="1132">
        <f t="shared" si="34"/>
        <v>3744.6684263959392</v>
      </c>
      <c r="O95" s="1132">
        <f t="shared" si="34"/>
        <v>4252.2203603254557</v>
      </c>
      <c r="P95" s="1132">
        <f t="shared" si="34"/>
        <v>449.38165367483293</v>
      </c>
      <c r="Q95" s="1132">
        <f t="shared" si="34"/>
        <v>2986.1478872403563</v>
      </c>
      <c r="R95" s="1132">
        <f t="shared" si="34"/>
        <v>1068.8515139211138</v>
      </c>
      <c r="S95" s="1132">
        <f t="shared" si="34"/>
        <v>6539.1042453903938</v>
      </c>
      <c r="T95" s="1132">
        <f t="shared" si="34"/>
        <v>12413.900016528929</v>
      </c>
      <c r="U95" s="1132">
        <f t="shared" si="34"/>
        <v>1531.2585155801451</v>
      </c>
      <c r="V95" s="1132">
        <f t="shared" si="34"/>
        <v>2474.931758830568</v>
      </c>
      <c r="W95" s="1132">
        <f t="shared" si="34"/>
        <v>812.9554070660522</v>
      </c>
      <c r="X95" s="1132">
        <f t="shared" si="34"/>
        <v>5180.3297446299475</v>
      </c>
      <c r="Y95" s="1132">
        <f>SUM(Y84:Y94)</f>
        <v>10983.413079932923</v>
      </c>
      <c r="Z95" s="1132">
        <f>SUM(Z84:Z94)</f>
        <v>2855.8263703950283</v>
      </c>
      <c r="AA95" s="1132">
        <f>SUM(AA84:AA94)</f>
        <v>4911.9569597481441</v>
      </c>
      <c r="AB95" s="1132">
        <f>SUM(AB84:AB94)</f>
        <v>1415.7654667200823</v>
      </c>
      <c r="AC95" s="1151">
        <f>SUM(AC84:AC94)</f>
        <v>65528.28088012222</v>
      </c>
    </row>
    <row r="96" spans="1:29" ht="13.8" thickBot="1">
      <c r="A96" s="1154"/>
      <c r="B96" s="1155"/>
      <c r="C96" s="1155"/>
      <c r="D96" s="1155"/>
      <c r="E96" s="1155"/>
      <c r="F96" s="1155"/>
      <c r="G96" s="1155"/>
      <c r="H96" s="1155"/>
      <c r="I96" s="1155"/>
      <c r="J96" s="1155"/>
      <c r="K96" s="1155"/>
      <c r="L96" s="1155"/>
      <c r="M96" s="1155"/>
      <c r="N96" s="1155"/>
      <c r="O96" s="1155"/>
      <c r="P96" s="1155"/>
      <c r="Q96" s="1155"/>
      <c r="R96" s="1155"/>
      <c r="S96" s="1155"/>
      <c r="T96" s="1155"/>
      <c r="U96" s="1155"/>
      <c r="V96" s="1155"/>
      <c r="W96" s="1155"/>
      <c r="X96" s="1155"/>
      <c r="Y96" s="1155"/>
      <c r="Z96" s="1155"/>
      <c r="AA96" s="1155"/>
      <c r="AB96" s="1155"/>
      <c r="AC96" s="1156"/>
    </row>
  </sheetData>
  <printOptions horizontalCentered="1"/>
  <pageMargins left="0.25" right="0.25" top="0.5" bottom="0.5" header="0.25" footer="0.25"/>
  <pageSetup scale="31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93</vt:i4>
      </vt:variant>
    </vt:vector>
  </HeadingPairs>
  <TitlesOfParts>
    <vt:vector size="116" baseType="lpstr">
      <vt:lpstr>TOC</vt:lpstr>
      <vt:lpstr>Assm</vt:lpstr>
      <vt:lpstr>CF</vt:lpstr>
      <vt:lpstr>Returns</vt:lpstr>
      <vt:lpstr>EINC</vt:lpstr>
      <vt:lpstr>PLRisk</vt:lpstr>
      <vt:lpstr>Trapped</vt:lpstr>
      <vt:lpstr>Turnkey</vt:lpstr>
      <vt:lpstr>Drawdown</vt:lpstr>
      <vt:lpstr>IDC</vt:lpstr>
      <vt:lpstr>Debt Amort</vt:lpstr>
      <vt:lpstr>Sudam</vt:lpstr>
      <vt:lpstr>Taxes</vt:lpstr>
      <vt:lpstr>Depr</vt:lpstr>
      <vt:lpstr>CommonSized</vt:lpstr>
      <vt:lpstr>BS_IS</vt:lpstr>
      <vt:lpstr>Ref1</vt:lpstr>
      <vt:lpstr>Ref2</vt:lpstr>
      <vt:lpstr>Ref3</vt:lpstr>
      <vt:lpstr>Ref4</vt:lpstr>
      <vt:lpstr>Ref5</vt:lpstr>
      <vt:lpstr>Transportation</vt:lpstr>
      <vt:lpstr>Escalation</vt:lpstr>
      <vt:lpstr>Add_Tax</vt:lpstr>
      <vt:lpstr>BL</vt:lpstr>
      <vt:lpstr>BS</vt:lpstr>
      <vt:lpstr>BS_Table</vt:lpstr>
      <vt:lpstr>Capacity</vt:lpstr>
      <vt:lpstr>CF_Table</vt:lpstr>
      <vt:lpstr>Cofins</vt:lpstr>
      <vt:lpstr>Com_Inputs</vt:lpstr>
      <vt:lpstr>Com_Values</vt:lpstr>
      <vt:lpstr>Commit_Factor</vt:lpstr>
      <vt:lpstr>Cost</vt:lpstr>
      <vt:lpstr>CPI</vt:lpstr>
      <vt:lpstr>Sudam!CT_COMFEE</vt:lpstr>
      <vt:lpstr>Curves_Table</vt:lpstr>
      <vt:lpstr>Debt</vt:lpstr>
      <vt:lpstr>Debt_Perc</vt:lpstr>
      <vt:lpstr>Debt_Serv</vt:lpstr>
      <vt:lpstr>Escalation!Dec_Change</vt:lpstr>
      <vt:lpstr>Disc</vt:lpstr>
      <vt:lpstr>Draw_Table</vt:lpstr>
      <vt:lpstr>Draw_Table2</vt:lpstr>
      <vt:lpstr>DS_Table</vt:lpstr>
      <vt:lpstr>Ecf</vt:lpstr>
      <vt:lpstr>Endyr</vt:lpstr>
      <vt:lpstr>Equity</vt:lpstr>
      <vt:lpstr>Equity_Perc</vt:lpstr>
      <vt:lpstr>Est_Commit</vt:lpstr>
      <vt:lpstr>Est_Cost</vt:lpstr>
      <vt:lpstr>Est_Fin</vt:lpstr>
      <vt:lpstr>Est_IDC</vt:lpstr>
      <vt:lpstr>Est_Whtax</vt:lpstr>
      <vt:lpstr>Ex</vt:lpstr>
      <vt:lpstr>Fin_Close</vt:lpstr>
      <vt:lpstr>Fin_Table</vt:lpstr>
      <vt:lpstr>Guarantee_Fee_Table</vt:lpstr>
      <vt:lpstr>Idc_Table</vt:lpstr>
      <vt:lpstr>Idc_Table1</vt:lpstr>
      <vt:lpstr>Inputs</vt:lpstr>
      <vt:lpstr>Int_BL</vt:lpstr>
      <vt:lpstr>Irr</vt:lpstr>
      <vt:lpstr>Iss</vt:lpstr>
      <vt:lpstr>Linefill</vt:lpstr>
      <vt:lpstr>Loopfactor</vt:lpstr>
      <vt:lpstr>Nol</vt:lpstr>
      <vt:lpstr>Npv</vt:lpstr>
      <vt:lpstr>Opic</vt:lpstr>
      <vt:lpstr>Pipe_NTP</vt:lpstr>
      <vt:lpstr>Pipe_RFS</vt:lpstr>
      <vt:lpstr>Pis</vt:lpstr>
      <vt:lpstr>Assm!Print_Area</vt:lpstr>
      <vt:lpstr>BS_IS!Print_Area</vt:lpstr>
      <vt:lpstr>CF!Print_Area</vt:lpstr>
      <vt:lpstr>'Debt Amort'!Print_Area</vt:lpstr>
      <vt:lpstr>Depr!Print_Area</vt:lpstr>
      <vt:lpstr>Drawdown!Print_Area</vt:lpstr>
      <vt:lpstr>EINC!Print_Area</vt:lpstr>
      <vt:lpstr>Escalation!Print_Area</vt:lpstr>
      <vt:lpstr>IDC!Print_Area</vt:lpstr>
      <vt:lpstr>PLRisk!Print_Area</vt:lpstr>
      <vt:lpstr>Ref1!Print_Area</vt:lpstr>
      <vt:lpstr>Ref2!Print_Area</vt:lpstr>
      <vt:lpstr>Ref4!Print_Area</vt:lpstr>
      <vt:lpstr>Ref5!Print_Area</vt:lpstr>
      <vt:lpstr>Returns!Print_Area</vt:lpstr>
      <vt:lpstr>Sudam!Print_Area</vt:lpstr>
      <vt:lpstr>Taxes!Print_Area</vt:lpstr>
      <vt:lpstr>TOC!Print_Area</vt:lpstr>
      <vt:lpstr>Trapped!Print_Area</vt:lpstr>
      <vt:lpstr>Turnkey!Print_Area</vt:lpstr>
      <vt:lpstr>Escalation!Print_Titles</vt:lpstr>
      <vt:lpstr>Reserve_Table</vt:lpstr>
      <vt:lpstr>RET_TABLE</vt:lpstr>
      <vt:lpstr>Revenue_Table</vt:lpstr>
      <vt:lpstr>Soc_Tax</vt:lpstr>
      <vt:lpstr>Startconst</vt:lpstr>
      <vt:lpstr>Startops1</vt:lpstr>
      <vt:lpstr>Startops2</vt:lpstr>
      <vt:lpstr>Subdebt_Perc</vt:lpstr>
      <vt:lpstr>Sudam_Table</vt:lpstr>
      <vt:lpstr>Target</vt:lpstr>
      <vt:lpstr>Tariff_Cap</vt:lpstr>
      <vt:lpstr>Tariff_Var</vt:lpstr>
      <vt:lpstr>Tax</vt:lpstr>
      <vt:lpstr>Tax_Table</vt:lpstr>
      <vt:lpstr>Term</vt:lpstr>
      <vt:lpstr>Term_C</vt:lpstr>
      <vt:lpstr>Total_BL</vt:lpstr>
      <vt:lpstr>USTax</vt:lpstr>
      <vt:lpstr>Values</vt:lpstr>
      <vt:lpstr>Wcap</vt:lpstr>
      <vt:lpstr>Wh_Div</vt:lpstr>
      <vt:lpstr>Wh_Int</vt:lpstr>
      <vt:lpstr>Wh_Serv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L. Gobbi</dc:creator>
  <cp:lastModifiedBy>Havlíček Jan</cp:lastModifiedBy>
  <cp:lastPrinted>2000-06-05T15:17:20Z</cp:lastPrinted>
  <dcterms:created xsi:type="dcterms:W3CDTF">1997-08-11T15:08:58Z</dcterms:created>
  <dcterms:modified xsi:type="dcterms:W3CDTF">2023-09-10T11:43:31Z</dcterms:modified>
</cp:coreProperties>
</file>