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0380" windowHeight="5820" tabRatio="596" activeTab="3"/>
  </bookViews>
  <sheets>
    <sheet name="Assumptions" sheetId="1" r:id="rId1"/>
    <sheet name="STB" sheetId="2" r:id="rId2"/>
    <sheet name="Network" sheetId="3" r:id="rId3"/>
    <sheet name="Streaming" sheetId="4" r:id="rId4"/>
    <sheet name="Storage" sheetId="5" r:id="rId5"/>
    <sheet name="Encoding" sheetId="6" r:id="rId6"/>
    <sheet name="DRM" sheetId="7" r:id="rId7"/>
    <sheet name="LH Bandwidth" sheetId="8" r:id="rId8"/>
    <sheet name="Local Loop" sheetId="9" r:id="rId9"/>
    <sheet name="Distribution" sheetId="10" r:id="rId10"/>
    <sheet name="CRM" sheetId="11" r:id="rId11"/>
    <sheet name="O&amp;M" sheetId="12" r:id="rId12"/>
    <sheet name="Marketing" sheetId="13" r:id="rId13"/>
    <sheet name="Royalties" sheetId="14" r:id="rId14"/>
    <sheet name="Depreciation" sheetId="15" r:id="rId15"/>
    <sheet name="EBS &amp; EOD FCF" sheetId="16" r:id="rId16"/>
    <sheet name="Project FCF" sheetId="17" r:id="rId17"/>
    <sheet name="BBI FCF" sheetId="18" r:id="rId18"/>
    <sheet name="Scenario" sheetId="19" r:id="rId19"/>
    <sheet name="Metro" sheetId="20" r:id="rId20"/>
  </sheets>
  <definedNames>
    <definedName name="_xlnm.Print_Area" localSheetId="0">Assumptions!$A$1:$AA$326</definedName>
    <definedName name="_xlnm.Print_Area" localSheetId="7">'LH Bandwidth'!$A$1:$Z$38</definedName>
    <definedName name="_xlnm.Print_Area" localSheetId="18">Scenario!$A$1:$Z$92</definedName>
    <definedName name="_xlnm.Print_Area" localSheetId="4">Storage!$A$1:$AA$66</definedName>
    <definedName name="_xlnm.Print_Titles" localSheetId="0">Assumptions!$1:$2</definedName>
    <definedName name="Z_00A591F2_C6CE_11D4_B3FE_00409628F381_.wvu.Cols" localSheetId="4" hidden="1">Storage!$E:$E</definedName>
    <definedName name="Z_00A591F2_C6CE_11D4_B3FE_00409628F381_.wvu.PrintArea" localSheetId="0" hidden="1">Assumptions!$A$1:$AA$326</definedName>
    <definedName name="Z_00A591F2_C6CE_11D4_B3FE_00409628F381_.wvu.PrintArea" localSheetId="7" hidden="1">'LH Bandwidth'!$A$1:$Z$38</definedName>
    <definedName name="Z_00A591F2_C6CE_11D4_B3FE_00409628F381_.wvu.PrintArea" localSheetId="18" hidden="1">Scenario!$A$1:$Z$92</definedName>
    <definedName name="Z_00A591F2_C6CE_11D4_B3FE_00409628F381_.wvu.PrintArea" localSheetId="4" hidden="1">Storage!$A$1:$AA$66</definedName>
    <definedName name="Z_00A591F2_C6CE_11D4_B3FE_00409628F381_.wvu.PrintTitles" localSheetId="0" hidden="1">Assumptions!$1:$2</definedName>
    <definedName name="Z_00A591F2_C6CE_11D4_B3FE_00409628F381_.wvu.Rows" localSheetId="0" hidden="1">Assumptions!$47:$47,Assumptions!$232:$234</definedName>
    <definedName name="Z_00A591F2_C6CE_11D4_B3FE_00409628F381_.wvu.Rows" localSheetId="15" hidden="1">'EBS &amp; EOD FCF'!$54:$64</definedName>
    <definedName name="Z_00A591F2_C6CE_11D4_B3FE_00409628F381_.wvu.Rows" localSheetId="12" hidden="1">Marketing!$3:$7</definedName>
    <definedName name="Z_00A591F2_C6CE_11D4_B3FE_00409628F381_.wvu.Rows" localSheetId="16" hidden="1">'Project FCF'!$50:$54</definedName>
    <definedName name="Z_00A591F2_C6CE_11D4_B3FE_00409628F381_.wvu.Rows" localSheetId="18" hidden="1">Scenario!$4:$4</definedName>
    <definedName name="Z_00A591F2_C6CE_11D4_B3FE_00409628F381_.wvu.Rows" localSheetId="1" hidden="1">STB!$64:$78</definedName>
    <definedName name="Z_00A591F2_C6CE_11D4_B3FE_00409628F381_.wvu.Rows" localSheetId="3" hidden="1">Streaming!$85:$90</definedName>
    <definedName name="Z_39AEF1F3_C6CC_11D4_B3CC_0080C71F7D28_.wvu.Cols" localSheetId="4" hidden="1">Storage!$E:$E</definedName>
    <definedName name="Z_39AEF1F3_C6CC_11D4_B3CC_0080C71F7D28_.wvu.PrintArea" localSheetId="0" hidden="1">Assumptions!$A$1:$AA$326</definedName>
    <definedName name="Z_39AEF1F3_C6CC_11D4_B3CC_0080C71F7D28_.wvu.PrintArea" localSheetId="7" hidden="1">'LH Bandwidth'!$A$1:$Z$38</definedName>
    <definedName name="Z_39AEF1F3_C6CC_11D4_B3CC_0080C71F7D28_.wvu.PrintArea" localSheetId="18" hidden="1">Scenario!$A$1:$Z$92</definedName>
    <definedName name="Z_39AEF1F3_C6CC_11D4_B3CC_0080C71F7D28_.wvu.PrintArea" localSheetId="4" hidden="1">Storage!$A$1:$AA$66</definedName>
    <definedName name="Z_39AEF1F3_C6CC_11D4_B3CC_0080C71F7D28_.wvu.PrintTitles" localSheetId="0" hidden="1">Assumptions!$1:$2</definedName>
    <definedName name="Z_39AEF1F3_C6CC_11D4_B3CC_0080C71F7D28_.wvu.Rows" localSheetId="0" hidden="1">Assumptions!$47:$47,Assumptions!$232:$234</definedName>
    <definedName name="Z_39AEF1F3_C6CC_11D4_B3CC_0080C71F7D28_.wvu.Rows" localSheetId="15" hidden="1">'EBS &amp; EOD FCF'!$54:$64</definedName>
    <definedName name="Z_39AEF1F3_C6CC_11D4_B3CC_0080C71F7D28_.wvu.Rows" localSheetId="12" hidden="1">Marketing!$3:$7</definedName>
    <definedName name="Z_39AEF1F3_C6CC_11D4_B3CC_0080C71F7D28_.wvu.Rows" localSheetId="16" hidden="1">'Project FCF'!$50:$54</definedName>
    <definedName name="Z_39AEF1F3_C6CC_11D4_B3CC_0080C71F7D28_.wvu.Rows" localSheetId="18" hidden="1">Scenario!$4:$4</definedName>
    <definedName name="Z_39AEF1F3_C6CC_11D4_B3CC_0080C71F7D28_.wvu.Rows" localSheetId="1" hidden="1">STB!$64:$78</definedName>
    <definedName name="Z_39AEF1F3_C6CC_11D4_B3CC_0080C71F7D28_.wvu.Rows" localSheetId="3" hidden="1">Streaming!$85:$90</definedName>
    <definedName name="Z_B3262CAD_330A_11D4_B597_AAD73BEEFD7F_.wvu.Cols" localSheetId="0" hidden="1">Assumptions!#REF!</definedName>
    <definedName name="Z_B3262CAD_330A_11D4_B597_AAD73BEEFD7F_.wvu.Rows" localSheetId="2" hidden="1">Network!#REF!</definedName>
    <definedName name="Z_B3262CAD_330A_11D4_B597_AAD73BEEFD7F_.wvu.Rows" localSheetId="18" hidden="1">Scenario!$4:$4</definedName>
  </definedNames>
  <calcPr calcId="0" calcMode="manual" fullCalcOnLoad="1" iterate="1" iterateCount="50"/>
  <customWorkbookViews>
    <customWorkbookView name="Kevin X Zheng - Personal View" guid="{00A591F2-C6CE-11D4-B3FE-00409628F381}" mergeInterval="0" personalView="1" maximized="1" windowWidth="1020" windowHeight="607" tabRatio="596" activeSheetId="1"/>
    <customWorkbookView name="Mohit Bhatnagar - Personal View" guid="{B3262CAD-330A-11D4-B597-AAD73BEEFD7F}" mergeInterval="0" personalView="1" maximized="1" windowWidth="1020" windowHeight="579" activeSheetId="1"/>
    <customWorkbookView name="brian_kolle - Personal View" guid="{39AEF1F3-C6CC-11D4-B3CC-0080C71F7D28}" mergeInterval="0" personalView="1" maximized="1" windowWidth="1020" windowHeight="606" tabRatio="596" activeSheetId="19"/>
  </customWorkbookViews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32" i="1"/>
  <c r="G32" i="1"/>
  <c r="H32" i="1"/>
  <c r="I32" i="1"/>
  <c r="J32" i="1"/>
  <c r="K32" i="1"/>
  <c r="L32" i="1"/>
  <c r="M32" i="1"/>
  <c r="N32" i="1"/>
  <c r="O32" i="1"/>
  <c r="AA32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6" i="1"/>
  <c r="G46" i="1"/>
  <c r="H46" i="1"/>
  <c r="I46" i="1"/>
  <c r="J46" i="1"/>
  <c r="K46" i="1"/>
  <c r="L46" i="1"/>
  <c r="M46" i="1"/>
  <c r="N46" i="1"/>
  <c r="O46" i="1"/>
  <c r="AA46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AA53" i="1"/>
  <c r="F57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D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G64" i="1"/>
  <c r="H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R121" i="1"/>
  <c r="S121" i="1"/>
  <c r="T121" i="1"/>
  <c r="U121" i="1"/>
  <c r="V121" i="1"/>
  <c r="W121" i="1"/>
  <c r="X121" i="1"/>
  <c r="Y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F143" i="1"/>
  <c r="F145" i="1"/>
  <c r="O145" i="1"/>
  <c r="F146" i="1"/>
  <c r="J146" i="1"/>
  <c r="M146" i="1"/>
  <c r="O146" i="1"/>
  <c r="F147" i="1"/>
  <c r="J147" i="1"/>
  <c r="M147" i="1"/>
  <c r="O147" i="1"/>
  <c r="J148" i="1"/>
  <c r="M148" i="1"/>
  <c r="O148" i="1"/>
  <c r="I149" i="1"/>
  <c r="K149" i="1"/>
  <c r="L149" i="1"/>
  <c r="N149" i="1"/>
  <c r="O149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F158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F196" i="1"/>
  <c r="F205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F240" i="1"/>
  <c r="F241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AA250" i="1"/>
  <c r="F254" i="1"/>
  <c r="F271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F312" i="1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D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D37" i="18"/>
  <c r="D38" i="18"/>
  <c r="D39" i="18"/>
  <c r="D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D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E10" i="11"/>
  <c r="E11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F7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E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E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E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D44" i="16"/>
  <c r="F44" i="16"/>
  <c r="D45" i="16"/>
  <c r="F45" i="16"/>
  <c r="D46" i="16"/>
  <c r="F46" i="16"/>
  <c r="D47" i="16"/>
  <c r="F47" i="16"/>
  <c r="F48" i="16"/>
  <c r="D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D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F62" i="16"/>
  <c r="F64" i="16"/>
  <c r="E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B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B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B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B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B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B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B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B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B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B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B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E57" i="6"/>
  <c r="F57" i="6"/>
  <c r="G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C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E3" i="9"/>
  <c r="E4" i="9"/>
  <c r="E5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E7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BX2" i="20"/>
  <c r="BY2" i="20"/>
  <c r="BZ2" i="20"/>
  <c r="CA2" i="20"/>
  <c r="BX3" i="20"/>
  <c r="BY3" i="20"/>
  <c r="BZ3" i="20"/>
  <c r="CA3" i="20"/>
  <c r="CC3" i="20"/>
  <c r="CD3" i="20"/>
  <c r="CE3" i="20"/>
  <c r="CF3" i="20"/>
  <c r="BX4" i="20"/>
  <c r="BY4" i="20"/>
  <c r="BZ4" i="20"/>
  <c r="CA4" i="20"/>
  <c r="CC4" i="20"/>
  <c r="CD4" i="20"/>
  <c r="CE4" i="20"/>
  <c r="CF4" i="20"/>
  <c r="BX5" i="20"/>
  <c r="BY5" i="20"/>
  <c r="BZ5" i="20"/>
  <c r="CA5" i="20"/>
  <c r="CC5" i="20"/>
  <c r="CD5" i="20"/>
  <c r="CE5" i="20"/>
  <c r="CF5" i="20"/>
  <c r="BX6" i="20"/>
  <c r="BY6" i="20"/>
  <c r="BZ6" i="20"/>
  <c r="CA6" i="20"/>
  <c r="CC6" i="20"/>
  <c r="CD6" i="20"/>
  <c r="CE6" i="20"/>
  <c r="CF6" i="20"/>
  <c r="BX7" i="20"/>
  <c r="BY7" i="20"/>
  <c r="BZ7" i="20"/>
  <c r="CA7" i="20"/>
  <c r="CC7" i="20"/>
  <c r="CD7" i="20"/>
  <c r="CE7" i="20"/>
  <c r="CF7" i="20"/>
  <c r="BX8" i="20"/>
  <c r="BY8" i="20"/>
  <c r="BZ8" i="20"/>
  <c r="CA8" i="20"/>
  <c r="CC8" i="20"/>
  <c r="CD8" i="20"/>
  <c r="CE8" i="20"/>
  <c r="CF8" i="20"/>
  <c r="BX9" i="20"/>
  <c r="BY9" i="20"/>
  <c r="BZ9" i="20"/>
  <c r="CA9" i="20"/>
  <c r="CC9" i="20"/>
  <c r="CD9" i="20"/>
  <c r="CE9" i="20"/>
  <c r="CF9" i="20"/>
  <c r="BX10" i="20"/>
  <c r="BY10" i="20"/>
  <c r="BZ10" i="20"/>
  <c r="CA10" i="20"/>
  <c r="CC10" i="20"/>
  <c r="CD10" i="20"/>
  <c r="CE10" i="20"/>
  <c r="CF10" i="20"/>
  <c r="BX11" i="20"/>
  <c r="BY11" i="20"/>
  <c r="BZ11" i="20"/>
  <c r="CA11" i="20"/>
  <c r="CC11" i="20"/>
  <c r="CD11" i="20"/>
  <c r="CE11" i="20"/>
  <c r="CF11" i="20"/>
  <c r="BX12" i="20"/>
  <c r="BY12" i="20"/>
  <c r="BZ12" i="20"/>
  <c r="CA12" i="20"/>
  <c r="CC12" i="20"/>
  <c r="CD12" i="20"/>
  <c r="CE12" i="20"/>
  <c r="CF12" i="20"/>
  <c r="BX13" i="20"/>
  <c r="BY13" i="20"/>
  <c r="BZ13" i="20"/>
  <c r="CA13" i="20"/>
  <c r="CC13" i="20"/>
  <c r="CD13" i="20"/>
  <c r="CE13" i="20"/>
  <c r="CF13" i="20"/>
  <c r="BX14" i="20"/>
  <c r="BY14" i="20"/>
  <c r="BZ14" i="20"/>
  <c r="CA14" i="20"/>
  <c r="CC14" i="20"/>
  <c r="CD14" i="20"/>
  <c r="CE14" i="20"/>
  <c r="CF14" i="20"/>
  <c r="BX15" i="20"/>
  <c r="BY15" i="20"/>
  <c r="BZ15" i="20"/>
  <c r="CA15" i="20"/>
  <c r="CC15" i="20"/>
  <c r="CD15" i="20"/>
  <c r="CE15" i="20"/>
  <c r="CF15" i="20"/>
  <c r="BX16" i="20"/>
  <c r="BY16" i="20"/>
  <c r="BZ16" i="20"/>
  <c r="CA16" i="20"/>
  <c r="CC16" i="20"/>
  <c r="CD16" i="20"/>
  <c r="CE16" i="20"/>
  <c r="CF16" i="20"/>
  <c r="BX17" i="20"/>
  <c r="BY17" i="20"/>
  <c r="BZ17" i="20"/>
  <c r="CA17" i="20"/>
  <c r="CC17" i="20"/>
  <c r="CD17" i="20"/>
  <c r="CE17" i="20"/>
  <c r="CF17" i="20"/>
  <c r="BX18" i="20"/>
  <c r="BY18" i="20"/>
  <c r="BZ18" i="20"/>
  <c r="CA18" i="20"/>
  <c r="CC18" i="20"/>
  <c r="CD18" i="20"/>
  <c r="CE18" i="20"/>
  <c r="CF18" i="20"/>
  <c r="BX19" i="20"/>
  <c r="BY19" i="20"/>
  <c r="BZ19" i="20"/>
  <c r="CA19" i="20"/>
  <c r="CC19" i="20"/>
  <c r="CD19" i="20"/>
  <c r="CE19" i="20"/>
  <c r="CF19" i="20"/>
  <c r="BX20" i="20"/>
  <c r="BY20" i="20"/>
  <c r="BZ20" i="20"/>
  <c r="CA20" i="20"/>
  <c r="CC20" i="20"/>
  <c r="CD20" i="20"/>
  <c r="CE20" i="20"/>
  <c r="CF20" i="20"/>
  <c r="BX21" i="20"/>
  <c r="BY21" i="20"/>
  <c r="BZ21" i="20"/>
  <c r="CA21" i="20"/>
  <c r="CC21" i="20"/>
  <c r="CD21" i="20"/>
  <c r="CE21" i="20"/>
  <c r="CF21" i="20"/>
  <c r="BX22" i="20"/>
  <c r="BY22" i="20"/>
  <c r="BZ22" i="20"/>
  <c r="CA22" i="20"/>
  <c r="CC22" i="20"/>
  <c r="CD22" i="20"/>
  <c r="CE22" i="20"/>
  <c r="CF22" i="20"/>
  <c r="BX23" i="20"/>
  <c r="BY23" i="20"/>
  <c r="BZ23" i="20"/>
  <c r="CA23" i="20"/>
  <c r="CC23" i="20"/>
  <c r="CD23" i="20"/>
  <c r="CE23" i="20"/>
  <c r="CF23" i="20"/>
  <c r="BX24" i="20"/>
  <c r="BY24" i="20"/>
  <c r="BZ24" i="20"/>
  <c r="CA24" i="20"/>
  <c r="CE24" i="20"/>
  <c r="BX25" i="20"/>
  <c r="BY25" i="20"/>
  <c r="BZ25" i="20"/>
  <c r="CA25" i="20"/>
  <c r="BX26" i="20"/>
  <c r="BY26" i="20"/>
  <c r="BZ26" i="20"/>
  <c r="CA26" i="20"/>
  <c r="BX27" i="20"/>
  <c r="BY27" i="20"/>
  <c r="BZ27" i="20"/>
  <c r="CA27" i="20"/>
  <c r="BX28" i="20"/>
  <c r="BY28" i="20"/>
  <c r="BZ28" i="20"/>
  <c r="CA28" i="20"/>
  <c r="BX29" i="20"/>
  <c r="BY29" i="20"/>
  <c r="BZ29" i="20"/>
  <c r="CA29" i="20"/>
  <c r="BX30" i="20"/>
  <c r="BY30" i="20"/>
  <c r="BZ30" i="20"/>
  <c r="CA30" i="20"/>
  <c r="BX31" i="20"/>
  <c r="BY31" i="20"/>
  <c r="BZ31" i="20"/>
  <c r="CA31" i="20"/>
  <c r="BX32" i="20"/>
  <c r="BY32" i="20"/>
  <c r="BZ32" i="20"/>
  <c r="CA32" i="20"/>
  <c r="BX33" i="20"/>
  <c r="BY33" i="20"/>
  <c r="BZ33" i="20"/>
  <c r="CA33" i="20"/>
  <c r="BX34" i="20"/>
  <c r="BY34" i="20"/>
  <c r="BZ34" i="20"/>
  <c r="CA34" i="20"/>
  <c r="BX35" i="20"/>
  <c r="BY35" i="20"/>
  <c r="BZ35" i="20"/>
  <c r="CA35" i="20"/>
  <c r="BX36" i="20"/>
  <c r="BY36" i="20"/>
  <c r="BZ36" i="20"/>
  <c r="CA36" i="20"/>
  <c r="BX37" i="20"/>
  <c r="BY37" i="20"/>
  <c r="BZ37" i="20"/>
  <c r="CA37" i="20"/>
  <c r="BX38" i="20"/>
  <c r="BY38" i="20"/>
  <c r="BZ38" i="20"/>
  <c r="CA38" i="20"/>
  <c r="BX39" i="20"/>
  <c r="BY39" i="20"/>
  <c r="BZ39" i="20"/>
  <c r="CA39" i="20"/>
  <c r="BX40" i="20"/>
  <c r="BY40" i="20"/>
  <c r="BZ40" i="20"/>
  <c r="CA40" i="20"/>
  <c r="BX41" i="20"/>
  <c r="BY41" i="20"/>
  <c r="BZ41" i="20"/>
  <c r="CA41" i="20"/>
  <c r="BX42" i="20"/>
  <c r="BY42" i="20"/>
  <c r="BZ42" i="20"/>
  <c r="CA42" i="20"/>
  <c r="BX43" i="20"/>
  <c r="BY43" i="20"/>
  <c r="BZ43" i="20"/>
  <c r="CA43" i="20"/>
  <c r="CC43" i="20"/>
  <c r="CD43" i="20"/>
  <c r="BX44" i="20"/>
  <c r="BY44" i="20"/>
  <c r="BZ44" i="20"/>
  <c r="CA44" i="20"/>
  <c r="BX45" i="20"/>
  <c r="BY45" i="20"/>
  <c r="BZ45" i="20"/>
  <c r="CA45" i="20"/>
  <c r="BX46" i="20"/>
  <c r="BY46" i="20"/>
  <c r="BZ46" i="20"/>
  <c r="CA46" i="20"/>
  <c r="BX47" i="20"/>
  <c r="BY47" i="20"/>
  <c r="BZ47" i="20"/>
  <c r="CA47" i="20"/>
  <c r="BX48" i="20"/>
  <c r="BY48" i="20"/>
  <c r="BZ48" i="20"/>
  <c r="CA48" i="20"/>
  <c r="BX49" i="20"/>
  <c r="BY49" i="20"/>
  <c r="BZ49" i="20"/>
  <c r="CA49" i="20"/>
  <c r="BX50" i="20"/>
  <c r="BY50" i="20"/>
  <c r="BZ50" i="20"/>
  <c r="CA50" i="20"/>
  <c r="BX51" i="20"/>
  <c r="BY51" i="20"/>
  <c r="BZ51" i="20"/>
  <c r="CA51" i="20"/>
  <c r="BX52" i="20"/>
  <c r="BY52" i="20"/>
  <c r="BZ52" i="20"/>
  <c r="CA52" i="20"/>
  <c r="BX53" i="20"/>
  <c r="BY53" i="20"/>
  <c r="BZ53" i="20"/>
  <c r="CA53" i="20"/>
  <c r="BX54" i="20"/>
  <c r="BY54" i="20"/>
  <c r="BZ54" i="20"/>
  <c r="CA54" i="20"/>
  <c r="BX55" i="20"/>
  <c r="BY55" i="20"/>
  <c r="BZ55" i="20"/>
  <c r="CA55" i="20"/>
  <c r="BX56" i="20"/>
  <c r="BY56" i="20"/>
  <c r="BZ56" i="20"/>
  <c r="CA56" i="20"/>
  <c r="BX57" i="20"/>
  <c r="BY57" i="20"/>
  <c r="BZ57" i="20"/>
  <c r="CA57" i="20"/>
  <c r="BX58" i="20"/>
  <c r="BY58" i="20"/>
  <c r="BZ58" i="20"/>
  <c r="CA58" i="20"/>
  <c r="BX59" i="20"/>
  <c r="BY59" i="20"/>
  <c r="BZ59" i="20"/>
  <c r="CA59" i="20"/>
  <c r="BX60" i="20"/>
  <c r="BY60" i="20"/>
  <c r="BZ60" i="20"/>
  <c r="CA60" i="20"/>
  <c r="BX61" i="20"/>
  <c r="BY61" i="20"/>
  <c r="BZ61" i="20"/>
  <c r="CA61" i="20"/>
  <c r="BX62" i="20"/>
  <c r="BY62" i="20"/>
  <c r="BZ62" i="20"/>
  <c r="CA62" i="20"/>
  <c r="BX63" i="20"/>
  <c r="BY63" i="20"/>
  <c r="BZ63" i="20"/>
  <c r="CA63" i="20"/>
  <c r="BX64" i="20"/>
  <c r="BY64" i="20"/>
  <c r="BZ64" i="20"/>
  <c r="CA64" i="20"/>
  <c r="BX65" i="20"/>
  <c r="BY65" i="20"/>
  <c r="BZ65" i="20"/>
  <c r="CA65" i="20"/>
  <c r="BX66" i="20"/>
  <c r="BY66" i="20"/>
  <c r="BZ66" i="20"/>
  <c r="CA66" i="20"/>
  <c r="BX67" i="20"/>
  <c r="BY67" i="20"/>
  <c r="BZ67" i="20"/>
  <c r="CA67" i="20"/>
  <c r="BX68" i="20"/>
  <c r="BY68" i="20"/>
  <c r="BZ68" i="20"/>
  <c r="CA68" i="20"/>
  <c r="BX69" i="20"/>
  <c r="BY69" i="20"/>
  <c r="BZ69" i="20"/>
  <c r="CA69" i="20"/>
  <c r="BX70" i="20"/>
  <c r="BY70" i="20"/>
  <c r="BZ70" i="20"/>
  <c r="CA70" i="20"/>
  <c r="BX71" i="20"/>
  <c r="BY71" i="20"/>
  <c r="BZ71" i="20"/>
  <c r="CA71" i="20"/>
  <c r="BX72" i="20"/>
  <c r="BY72" i="20"/>
  <c r="BZ72" i="20"/>
  <c r="CA72" i="20"/>
  <c r="BX73" i="20"/>
  <c r="BY73" i="20"/>
  <c r="BZ73" i="20"/>
  <c r="CA73" i="20"/>
  <c r="BX74" i="20"/>
  <c r="BY74" i="20"/>
  <c r="BZ74" i="20"/>
  <c r="CA74" i="20"/>
  <c r="BX75" i="20"/>
  <c r="BY75" i="20"/>
  <c r="BZ75" i="20"/>
  <c r="CA75" i="20"/>
  <c r="BX76" i="20"/>
  <c r="BY76" i="20"/>
  <c r="BZ76" i="20"/>
  <c r="CA76" i="20"/>
  <c r="BX77" i="20"/>
  <c r="BY77" i="20"/>
  <c r="BZ77" i="20"/>
  <c r="CA77" i="20"/>
  <c r="BX78" i="20"/>
  <c r="BY78" i="20"/>
  <c r="BZ78" i="20"/>
  <c r="CA78" i="20"/>
  <c r="BX79" i="20"/>
  <c r="BY79" i="20"/>
  <c r="BZ79" i="20"/>
  <c r="CA79" i="20"/>
  <c r="BX80" i="20"/>
  <c r="BY80" i="20"/>
  <c r="BZ80" i="20"/>
  <c r="CA80" i="20"/>
  <c r="BX81" i="20"/>
  <c r="BY81" i="20"/>
  <c r="BZ81" i="20"/>
  <c r="CA81" i="20"/>
  <c r="BX82" i="20"/>
  <c r="BY82" i="20"/>
  <c r="BZ82" i="20"/>
  <c r="CA82" i="20"/>
  <c r="BX83" i="20"/>
  <c r="BY83" i="20"/>
  <c r="BZ83" i="20"/>
  <c r="CA83" i="20"/>
  <c r="BX84" i="20"/>
  <c r="BY84" i="20"/>
  <c r="BZ84" i="20"/>
  <c r="CA84" i="20"/>
  <c r="BX85" i="20"/>
  <c r="BY85" i="20"/>
  <c r="BZ85" i="20"/>
  <c r="CA85" i="20"/>
  <c r="BX86" i="20"/>
  <c r="BY86" i="20"/>
  <c r="BZ86" i="20"/>
  <c r="CA86" i="20"/>
  <c r="BX87" i="20"/>
  <c r="BY87" i="20"/>
  <c r="BZ87" i="20"/>
  <c r="CA87" i="20"/>
  <c r="BX88" i="20"/>
  <c r="BY88" i="20"/>
  <c r="BZ88" i="20"/>
  <c r="CA88" i="20"/>
  <c r="BX89" i="20"/>
  <c r="BY89" i="20"/>
  <c r="BZ89" i="20"/>
  <c r="CA89" i="20"/>
  <c r="BX90" i="20"/>
  <c r="BY90" i="20"/>
  <c r="BZ90" i="20"/>
  <c r="CA90" i="20"/>
  <c r="BX91" i="20"/>
  <c r="BY91" i="20"/>
  <c r="BZ91" i="20"/>
  <c r="CA91" i="20"/>
  <c r="BX92" i="20"/>
  <c r="BY92" i="20"/>
  <c r="BZ92" i="20"/>
  <c r="CA92" i="20"/>
  <c r="BX93" i="20"/>
  <c r="BY93" i="20"/>
  <c r="BZ93" i="20"/>
  <c r="CA93" i="20"/>
  <c r="BX94" i="20"/>
  <c r="BY94" i="20"/>
  <c r="BZ94" i="20"/>
  <c r="CA94" i="20"/>
  <c r="BX95" i="20"/>
  <c r="BY95" i="20"/>
  <c r="BZ95" i="20"/>
  <c r="CA95" i="20"/>
  <c r="BX96" i="20"/>
  <c r="BY96" i="20"/>
  <c r="BZ96" i="20"/>
  <c r="CA96" i="20"/>
  <c r="BX97" i="20"/>
  <c r="BY97" i="20"/>
  <c r="BZ97" i="20"/>
  <c r="CA97" i="20"/>
  <c r="BX98" i="20"/>
  <c r="BY98" i="20"/>
  <c r="BZ98" i="20"/>
  <c r="CA98" i="20"/>
  <c r="BX99" i="20"/>
  <c r="BY99" i="20"/>
  <c r="BZ99" i="20"/>
  <c r="CA99" i="20"/>
  <c r="BX100" i="20"/>
  <c r="BY100" i="20"/>
  <c r="BZ100" i="20"/>
  <c r="CA100" i="20"/>
  <c r="BX101" i="20"/>
  <c r="BY101" i="20"/>
  <c r="BZ101" i="20"/>
  <c r="CA101" i="20"/>
  <c r="BX102" i="20"/>
  <c r="BY102" i="20"/>
  <c r="BZ102" i="20"/>
  <c r="CA102" i="20"/>
  <c r="BX103" i="20"/>
  <c r="BY103" i="20"/>
  <c r="BZ103" i="20"/>
  <c r="CA103" i="20"/>
  <c r="BX104" i="20"/>
  <c r="BY104" i="20"/>
  <c r="BZ104" i="20"/>
  <c r="CA104" i="20"/>
  <c r="BX105" i="20"/>
  <c r="BY105" i="20"/>
  <c r="BZ105" i="20"/>
  <c r="CA105" i="20"/>
  <c r="BX106" i="20"/>
  <c r="BY106" i="20"/>
  <c r="BZ106" i="20"/>
  <c r="CA106" i="20"/>
  <c r="BX107" i="20"/>
  <c r="BY107" i="20"/>
  <c r="BZ107" i="20"/>
  <c r="CA107" i="20"/>
  <c r="BX108" i="20"/>
  <c r="BY108" i="20"/>
  <c r="BZ108" i="20"/>
  <c r="CA108" i="20"/>
  <c r="BX109" i="20"/>
  <c r="BY109" i="20"/>
  <c r="BZ109" i="20"/>
  <c r="CA109" i="20"/>
  <c r="BX110" i="20"/>
  <c r="BY110" i="20"/>
  <c r="BZ110" i="20"/>
  <c r="CA110" i="20"/>
  <c r="BX111" i="20"/>
  <c r="BY111" i="20"/>
  <c r="BZ111" i="20"/>
  <c r="CA111" i="20"/>
  <c r="BX112" i="20"/>
  <c r="BY112" i="20"/>
  <c r="BZ112" i="20"/>
  <c r="CA112" i="20"/>
  <c r="BX113" i="20"/>
  <c r="BY113" i="20"/>
  <c r="BZ113" i="20"/>
  <c r="CA113" i="20"/>
  <c r="BX114" i="20"/>
  <c r="BY114" i="20"/>
  <c r="BZ114" i="20"/>
  <c r="CA114" i="20"/>
  <c r="BX115" i="20"/>
  <c r="BY115" i="20"/>
  <c r="BZ115" i="20"/>
  <c r="CA115" i="20"/>
  <c r="BX116" i="20"/>
  <c r="BY116" i="20"/>
  <c r="BZ116" i="20"/>
  <c r="CA116" i="20"/>
  <c r="BX117" i="20"/>
  <c r="BY117" i="20"/>
  <c r="BZ117" i="20"/>
  <c r="CA117" i="20"/>
  <c r="BX118" i="20"/>
  <c r="BY118" i="20"/>
  <c r="BZ118" i="20"/>
  <c r="CA118" i="20"/>
  <c r="BX119" i="20"/>
  <c r="BY119" i="20"/>
  <c r="BZ119" i="20"/>
  <c r="CA119" i="20"/>
  <c r="BX120" i="20"/>
  <c r="BY120" i="20"/>
  <c r="BZ120" i="20"/>
  <c r="CA120" i="20"/>
  <c r="BX121" i="20"/>
  <c r="BY121" i="20"/>
  <c r="BZ121" i="20"/>
  <c r="CA121" i="20"/>
  <c r="BX122" i="20"/>
  <c r="BY122" i="20"/>
  <c r="BZ122" i="20"/>
  <c r="CA122" i="20"/>
  <c r="BX123" i="20"/>
  <c r="BY123" i="20"/>
  <c r="BZ123" i="20"/>
  <c r="CA123" i="20"/>
  <c r="BX124" i="20"/>
  <c r="BY124" i="20"/>
  <c r="BZ124" i="20"/>
  <c r="CA124" i="20"/>
  <c r="BX125" i="20"/>
  <c r="BY125" i="20"/>
  <c r="BZ125" i="20"/>
  <c r="CA125" i="20"/>
  <c r="BX126" i="20"/>
  <c r="BY126" i="20"/>
  <c r="BZ126" i="20"/>
  <c r="CA126" i="20"/>
  <c r="BX127" i="20"/>
  <c r="BY127" i="20"/>
  <c r="BZ127" i="20"/>
  <c r="CA127" i="20"/>
  <c r="BX128" i="20"/>
  <c r="BY128" i="20"/>
  <c r="BZ128" i="20"/>
  <c r="CA128" i="20"/>
  <c r="BX129" i="20"/>
  <c r="BY129" i="20"/>
  <c r="BZ129" i="20"/>
  <c r="CA129" i="20"/>
  <c r="BX130" i="20"/>
  <c r="BY130" i="20"/>
  <c r="BZ130" i="20"/>
  <c r="CA130" i="20"/>
  <c r="BX131" i="20"/>
  <c r="BY131" i="20"/>
  <c r="BZ131" i="20"/>
  <c r="CA131" i="20"/>
  <c r="BX132" i="20"/>
  <c r="BY132" i="20"/>
  <c r="BZ132" i="20"/>
  <c r="CA132" i="20"/>
  <c r="BX133" i="20"/>
  <c r="BY133" i="20"/>
  <c r="BZ133" i="20"/>
  <c r="CA133" i="20"/>
  <c r="BX134" i="20"/>
  <c r="BY134" i="20"/>
  <c r="BZ134" i="20"/>
  <c r="CA134" i="20"/>
  <c r="BX135" i="20"/>
  <c r="BY135" i="20"/>
  <c r="BZ135" i="20"/>
  <c r="CA135" i="20"/>
  <c r="BX136" i="20"/>
  <c r="BY136" i="20"/>
  <c r="BZ136" i="20"/>
  <c r="CA136" i="20"/>
  <c r="BX137" i="20"/>
  <c r="BY137" i="20"/>
  <c r="BZ137" i="20"/>
  <c r="CA137" i="20"/>
  <c r="BX138" i="20"/>
  <c r="BY138" i="20"/>
  <c r="BZ138" i="20"/>
  <c r="CA138" i="20"/>
  <c r="BX139" i="20"/>
  <c r="BY139" i="20"/>
  <c r="BZ139" i="20"/>
  <c r="CA139" i="20"/>
  <c r="BX140" i="20"/>
  <c r="BY140" i="20"/>
  <c r="BZ140" i="20"/>
  <c r="CA140" i="20"/>
  <c r="BX141" i="20"/>
  <c r="BY141" i="20"/>
  <c r="BZ141" i="20"/>
  <c r="CA141" i="20"/>
  <c r="BX142" i="20"/>
  <c r="BY142" i="20"/>
  <c r="BZ142" i="20"/>
  <c r="CA142" i="20"/>
  <c r="BX143" i="20"/>
  <c r="BY143" i="20"/>
  <c r="BZ143" i="20"/>
  <c r="CA143" i="20"/>
  <c r="BX144" i="20"/>
  <c r="BY144" i="20"/>
  <c r="BZ144" i="20"/>
  <c r="CA144" i="20"/>
  <c r="BX145" i="20"/>
  <c r="BY145" i="20"/>
  <c r="BZ145" i="20"/>
  <c r="CA145" i="20"/>
  <c r="BX146" i="20"/>
  <c r="BY146" i="20"/>
  <c r="BZ146" i="20"/>
  <c r="CA146" i="20"/>
  <c r="BX147" i="20"/>
  <c r="BY147" i="20"/>
  <c r="BZ147" i="20"/>
  <c r="CA147" i="20"/>
  <c r="BX148" i="20"/>
  <c r="BY148" i="20"/>
  <c r="BZ148" i="20"/>
  <c r="CA148" i="20"/>
  <c r="BX149" i="20"/>
  <c r="BY149" i="20"/>
  <c r="BZ149" i="20"/>
  <c r="CA149" i="20"/>
  <c r="BX150" i="20"/>
  <c r="BY150" i="20"/>
  <c r="BZ150" i="20"/>
  <c r="CA150" i="20"/>
  <c r="BX151" i="20"/>
  <c r="BY151" i="20"/>
  <c r="BZ151" i="20"/>
  <c r="CA151" i="20"/>
  <c r="BX152" i="20"/>
  <c r="BY152" i="20"/>
  <c r="BZ152" i="20"/>
  <c r="CA152" i="20"/>
  <c r="BX153" i="20"/>
  <c r="BY153" i="20"/>
  <c r="BZ153" i="20"/>
  <c r="CA153" i="20"/>
  <c r="BX154" i="20"/>
  <c r="BY154" i="20"/>
  <c r="BZ154" i="20"/>
  <c r="CA154" i="20"/>
  <c r="BX155" i="20"/>
  <c r="BY155" i="20"/>
  <c r="BZ155" i="20"/>
  <c r="CA155" i="20"/>
  <c r="BX156" i="20"/>
  <c r="BY156" i="20"/>
  <c r="BZ156" i="20"/>
  <c r="CA156" i="20"/>
  <c r="BX157" i="20"/>
  <c r="BY157" i="20"/>
  <c r="BZ157" i="20"/>
  <c r="CA157" i="20"/>
  <c r="BX158" i="20"/>
  <c r="BY158" i="20"/>
  <c r="BZ158" i="20"/>
  <c r="CA158" i="20"/>
  <c r="BX159" i="20"/>
  <c r="BY159" i="20"/>
  <c r="BZ159" i="20"/>
  <c r="CA159" i="20"/>
  <c r="BX160" i="20"/>
  <c r="BY160" i="20"/>
  <c r="BZ160" i="20"/>
  <c r="CA160" i="20"/>
  <c r="BX161" i="20"/>
  <c r="BY161" i="20"/>
  <c r="BZ161" i="20"/>
  <c r="CA161" i="20"/>
  <c r="BX162" i="20"/>
  <c r="BY162" i="20"/>
  <c r="BZ162" i="20"/>
  <c r="CA162" i="20"/>
  <c r="BX163" i="20"/>
  <c r="BY163" i="20"/>
  <c r="BZ163" i="20"/>
  <c r="CA163" i="20"/>
  <c r="BX164" i="20"/>
  <c r="BY164" i="20"/>
  <c r="BZ164" i="20"/>
  <c r="CA164" i="20"/>
  <c r="BX165" i="20"/>
  <c r="BY165" i="20"/>
  <c r="BZ165" i="20"/>
  <c r="CA165" i="20"/>
  <c r="BX166" i="20"/>
  <c r="BY166" i="20"/>
  <c r="BZ166" i="20"/>
  <c r="CA166" i="20"/>
  <c r="BX167" i="20"/>
  <c r="BY167" i="20"/>
  <c r="BZ167" i="20"/>
  <c r="CA167" i="20"/>
  <c r="BX168" i="20"/>
  <c r="BY168" i="20"/>
  <c r="BZ168" i="20"/>
  <c r="CA168" i="20"/>
  <c r="BX169" i="20"/>
  <c r="BY169" i="20"/>
  <c r="BZ169" i="20"/>
  <c r="CA169" i="20"/>
  <c r="BX170" i="20"/>
  <c r="BY170" i="20"/>
  <c r="BZ170" i="20"/>
  <c r="CA170" i="20"/>
  <c r="BX171" i="20"/>
  <c r="BY171" i="20"/>
  <c r="BZ171" i="20"/>
  <c r="CA171" i="20"/>
  <c r="BX172" i="20"/>
  <c r="BY172" i="20"/>
  <c r="BZ172" i="20"/>
  <c r="CA172" i="20"/>
  <c r="BX173" i="20"/>
  <c r="BY173" i="20"/>
  <c r="BZ173" i="20"/>
  <c r="CA173" i="20"/>
  <c r="BX174" i="20"/>
  <c r="BY174" i="20"/>
  <c r="BZ174" i="20"/>
  <c r="CA174" i="20"/>
  <c r="BX175" i="20"/>
  <c r="BY175" i="20"/>
  <c r="BZ175" i="20"/>
  <c r="CA175" i="20"/>
  <c r="BX176" i="20"/>
  <c r="BY176" i="20"/>
  <c r="BZ176" i="20"/>
  <c r="CA176" i="20"/>
  <c r="BX177" i="20"/>
  <c r="BY177" i="20"/>
  <c r="BZ177" i="20"/>
  <c r="CA177" i="20"/>
  <c r="BX178" i="20"/>
  <c r="BY178" i="20"/>
  <c r="BZ178" i="20"/>
  <c r="CA178" i="20"/>
  <c r="BX179" i="20"/>
  <c r="BY179" i="20"/>
  <c r="BZ179" i="20"/>
  <c r="CA179" i="20"/>
  <c r="BX180" i="20"/>
  <c r="BY180" i="20"/>
  <c r="BZ180" i="20"/>
  <c r="CA180" i="20"/>
  <c r="BX181" i="20"/>
  <c r="BY181" i="20"/>
  <c r="BZ181" i="20"/>
  <c r="CA181" i="20"/>
  <c r="BX182" i="20"/>
  <c r="BY182" i="20"/>
  <c r="BZ182" i="20"/>
  <c r="CA182" i="20"/>
  <c r="BX183" i="20"/>
  <c r="BY183" i="20"/>
  <c r="BZ183" i="20"/>
  <c r="CA183" i="20"/>
  <c r="BX184" i="20"/>
  <c r="BY184" i="20"/>
  <c r="BZ184" i="20"/>
  <c r="CA184" i="20"/>
  <c r="BX185" i="20"/>
  <c r="BY185" i="20"/>
  <c r="BZ185" i="20"/>
  <c r="CA185" i="20"/>
  <c r="BX186" i="20"/>
  <c r="BY186" i="20"/>
  <c r="BZ186" i="20"/>
  <c r="CA186" i="20"/>
  <c r="BX187" i="20"/>
  <c r="BY187" i="20"/>
  <c r="BZ187" i="20"/>
  <c r="CA187" i="20"/>
  <c r="BX188" i="20"/>
  <c r="BY188" i="20"/>
  <c r="BZ188" i="20"/>
  <c r="CA188" i="20"/>
  <c r="BX189" i="20"/>
  <c r="BY189" i="20"/>
  <c r="BZ189" i="20"/>
  <c r="CA189" i="20"/>
  <c r="BX190" i="20"/>
  <c r="BY190" i="20"/>
  <c r="BZ190" i="20"/>
  <c r="CA190" i="20"/>
  <c r="BX191" i="20"/>
  <c r="BY191" i="20"/>
  <c r="BZ191" i="20"/>
  <c r="CA191" i="20"/>
  <c r="BX192" i="20"/>
  <c r="BY192" i="20"/>
  <c r="BZ192" i="20"/>
  <c r="CA192" i="20"/>
  <c r="BX193" i="20"/>
  <c r="BY193" i="20"/>
  <c r="BZ193" i="20"/>
  <c r="CA193" i="20"/>
  <c r="BX194" i="20"/>
  <c r="BY194" i="20"/>
  <c r="BZ194" i="20"/>
  <c r="CA194" i="20"/>
  <c r="BX195" i="20"/>
  <c r="BY195" i="20"/>
  <c r="BZ195" i="20"/>
  <c r="CA195" i="20"/>
  <c r="BX196" i="20"/>
  <c r="BY196" i="20"/>
  <c r="BZ196" i="20"/>
  <c r="CA196" i="20"/>
  <c r="BX197" i="20"/>
  <c r="BY197" i="20"/>
  <c r="BZ197" i="20"/>
  <c r="CA197" i="20"/>
  <c r="BX198" i="20"/>
  <c r="BY198" i="20"/>
  <c r="BZ198" i="20"/>
  <c r="CA198" i="20"/>
  <c r="BX199" i="20"/>
  <c r="BY199" i="20"/>
  <c r="BZ199" i="20"/>
  <c r="CA199" i="20"/>
  <c r="BX200" i="20"/>
  <c r="BY200" i="20"/>
  <c r="BZ200" i="20"/>
  <c r="CA200" i="20"/>
  <c r="BX201" i="20"/>
  <c r="BY201" i="20"/>
  <c r="BZ201" i="20"/>
  <c r="CA201" i="20"/>
  <c r="BX202" i="20"/>
  <c r="BY202" i="20"/>
  <c r="BZ202" i="20"/>
  <c r="CA202" i="20"/>
  <c r="BX203" i="20"/>
  <c r="BY203" i="20"/>
  <c r="BZ203" i="20"/>
  <c r="CA203" i="20"/>
  <c r="BX204" i="20"/>
  <c r="BY204" i="20"/>
  <c r="BZ204" i="20"/>
  <c r="CA204" i="20"/>
  <c r="BX205" i="20"/>
  <c r="BY205" i="20"/>
  <c r="BZ205" i="20"/>
  <c r="CA205" i="20"/>
  <c r="BX206" i="20"/>
  <c r="BY206" i="20"/>
  <c r="BZ206" i="20"/>
  <c r="CA206" i="20"/>
  <c r="BX207" i="20"/>
  <c r="BY207" i="20"/>
  <c r="BZ207" i="20"/>
  <c r="CA207" i="20"/>
  <c r="BX208" i="20"/>
  <c r="BY208" i="20"/>
  <c r="BZ208" i="20"/>
  <c r="CA208" i="20"/>
  <c r="BX209" i="20"/>
  <c r="BY209" i="20"/>
  <c r="BZ209" i="20"/>
  <c r="CA209" i="20"/>
  <c r="BX210" i="20"/>
  <c r="BY210" i="20"/>
  <c r="BZ210" i="20"/>
  <c r="CA210" i="20"/>
  <c r="BX211" i="20"/>
  <c r="BY211" i="20"/>
  <c r="BZ211" i="20"/>
  <c r="CA211" i="20"/>
  <c r="BX212" i="20"/>
  <c r="BY212" i="20"/>
  <c r="BZ212" i="20"/>
  <c r="CA212" i="20"/>
  <c r="BX213" i="20"/>
  <c r="BY213" i="20"/>
  <c r="BZ213" i="20"/>
  <c r="CA213" i="20"/>
  <c r="BX214" i="20"/>
  <c r="BY214" i="20"/>
  <c r="BZ214" i="20"/>
  <c r="CA214" i="20"/>
  <c r="BX215" i="20"/>
  <c r="BY215" i="20"/>
  <c r="BZ215" i="20"/>
  <c r="CA215" i="20"/>
  <c r="BX216" i="20"/>
  <c r="BY216" i="20"/>
  <c r="BZ216" i="20"/>
  <c r="CA216" i="20"/>
  <c r="BX217" i="20"/>
  <c r="BY217" i="20"/>
  <c r="BZ217" i="20"/>
  <c r="CA217" i="20"/>
  <c r="BX218" i="20"/>
  <c r="BY218" i="20"/>
  <c r="BZ218" i="20"/>
  <c r="CA218" i="20"/>
  <c r="BX219" i="20"/>
  <c r="BY219" i="20"/>
  <c r="BZ219" i="20"/>
  <c r="CA219" i="20"/>
  <c r="BX220" i="20"/>
  <c r="BY220" i="20"/>
  <c r="BZ220" i="20"/>
  <c r="CA220" i="20"/>
  <c r="BX221" i="20"/>
  <c r="BY221" i="20"/>
  <c r="BZ221" i="20"/>
  <c r="CA221" i="20"/>
  <c r="BX222" i="20"/>
  <c r="BY222" i="20"/>
  <c r="BZ222" i="20"/>
  <c r="CA222" i="20"/>
  <c r="BX223" i="20"/>
  <c r="BY223" i="20"/>
  <c r="BZ223" i="20"/>
  <c r="CA223" i="20"/>
  <c r="BX224" i="20"/>
  <c r="BY224" i="20"/>
  <c r="BZ224" i="20"/>
  <c r="CA224" i="20"/>
  <c r="BX225" i="20"/>
  <c r="BY225" i="20"/>
  <c r="BZ225" i="20"/>
  <c r="CA225" i="20"/>
  <c r="BX226" i="20"/>
  <c r="BY226" i="20"/>
  <c r="BZ226" i="20"/>
  <c r="CA226" i="20"/>
  <c r="BX227" i="20"/>
  <c r="BY227" i="20"/>
  <c r="BZ227" i="20"/>
  <c r="CA227" i="20"/>
  <c r="BX228" i="20"/>
  <c r="BY228" i="20"/>
  <c r="BZ228" i="20"/>
  <c r="CA228" i="20"/>
  <c r="BX229" i="20"/>
  <c r="BY229" i="20"/>
  <c r="BZ229" i="20"/>
  <c r="CA229" i="20"/>
  <c r="BX230" i="20"/>
  <c r="BY230" i="20"/>
  <c r="BZ230" i="20"/>
  <c r="CA230" i="20"/>
  <c r="BX231" i="20"/>
  <c r="BY231" i="20"/>
  <c r="BZ231" i="20"/>
  <c r="CA231" i="20"/>
  <c r="BX232" i="20"/>
  <c r="BY232" i="20"/>
  <c r="BZ232" i="20"/>
  <c r="CA232" i="20"/>
  <c r="BX233" i="20"/>
  <c r="BY233" i="20"/>
  <c r="BZ233" i="20"/>
  <c r="CA233" i="20"/>
  <c r="BX234" i="20"/>
  <c r="BY234" i="20"/>
  <c r="BZ234" i="20"/>
  <c r="CA234" i="20"/>
  <c r="BX235" i="20"/>
  <c r="BY235" i="20"/>
  <c r="BZ235" i="20"/>
  <c r="CA235" i="20"/>
  <c r="BX236" i="20"/>
  <c r="BY236" i="20"/>
  <c r="BZ236" i="20"/>
  <c r="CA236" i="20"/>
  <c r="BX237" i="20"/>
  <c r="BY237" i="20"/>
  <c r="BZ237" i="20"/>
  <c r="CA237" i="20"/>
  <c r="BX238" i="20"/>
  <c r="BY238" i="20"/>
  <c r="BZ238" i="20"/>
  <c r="CA238" i="20"/>
  <c r="BX239" i="20"/>
  <c r="BY239" i="20"/>
  <c r="BZ239" i="20"/>
  <c r="CA239" i="20"/>
  <c r="BX240" i="20"/>
  <c r="BY240" i="20"/>
  <c r="BZ240" i="20"/>
  <c r="CA240" i="20"/>
  <c r="BX241" i="20"/>
  <c r="BY241" i="20"/>
  <c r="BZ241" i="20"/>
  <c r="CA241" i="20"/>
  <c r="BX242" i="20"/>
  <c r="BY242" i="20"/>
  <c r="BZ242" i="20"/>
  <c r="CA242" i="20"/>
  <c r="BX243" i="20"/>
  <c r="BY243" i="20"/>
  <c r="BZ243" i="20"/>
  <c r="CA243" i="20"/>
  <c r="BX244" i="20"/>
  <c r="BY244" i="20"/>
  <c r="BZ244" i="20"/>
  <c r="CA244" i="20"/>
  <c r="BX245" i="20"/>
  <c r="BY245" i="20"/>
  <c r="BZ245" i="20"/>
  <c r="CA245" i="20"/>
  <c r="BX246" i="20"/>
  <c r="BY246" i="20"/>
  <c r="BZ246" i="20"/>
  <c r="CA246" i="20"/>
  <c r="BX247" i="20"/>
  <c r="BY247" i="20"/>
  <c r="BZ247" i="20"/>
  <c r="CA247" i="20"/>
  <c r="BX248" i="20"/>
  <c r="BY248" i="20"/>
  <c r="BZ248" i="20"/>
  <c r="CA248" i="20"/>
  <c r="BX249" i="20"/>
  <c r="BY249" i="20"/>
  <c r="BZ249" i="20"/>
  <c r="CA249" i="20"/>
  <c r="BX250" i="20"/>
  <c r="BY250" i="20"/>
  <c r="BZ250" i="20"/>
  <c r="CA250" i="20"/>
  <c r="BX251" i="20"/>
  <c r="BY251" i="20"/>
  <c r="BZ251" i="20"/>
  <c r="CA251" i="20"/>
  <c r="BX252" i="20"/>
  <c r="BY252" i="20"/>
  <c r="BZ252" i="20"/>
  <c r="CA252" i="20"/>
  <c r="BX253" i="20"/>
  <c r="BY253" i="20"/>
  <c r="BZ253" i="20"/>
  <c r="CA253" i="20"/>
  <c r="BX254" i="20"/>
  <c r="BY254" i="20"/>
  <c r="BZ254" i="20"/>
  <c r="CA254" i="20"/>
  <c r="BX255" i="20"/>
  <c r="BY255" i="20"/>
  <c r="BZ255" i="20"/>
  <c r="CA255" i="20"/>
  <c r="BX256" i="20"/>
  <c r="BY256" i="20"/>
  <c r="BZ256" i="20"/>
  <c r="CA256" i="20"/>
  <c r="BX257" i="20"/>
  <c r="BY257" i="20"/>
  <c r="BZ257" i="20"/>
  <c r="CA257" i="20"/>
  <c r="BX258" i="20"/>
  <c r="BY258" i="20"/>
  <c r="BZ258" i="20"/>
  <c r="CA258" i="20"/>
  <c r="BX259" i="20"/>
  <c r="BY259" i="20"/>
  <c r="BZ259" i="20"/>
  <c r="CA259" i="20"/>
  <c r="BX260" i="20"/>
  <c r="BY260" i="20"/>
  <c r="BZ260" i="20"/>
  <c r="CA260" i="20"/>
  <c r="BX261" i="20"/>
  <c r="BY261" i="20"/>
  <c r="BZ261" i="20"/>
  <c r="CA261" i="20"/>
  <c r="BX262" i="20"/>
  <c r="BY262" i="20"/>
  <c r="BZ262" i="20"/>
  <c r="CA262" i="20"/>
  <c r="BX263" i="20"/>
  <c r="BY263" i="20"/>
  <c r="BZ263" i="20"/>
  <c r="CA263" i="20"/>
  <c r="BX264" i="20"/>
  <c r="BY264" i="20"/>
  <c r="BZ264" i="20"/>
  <c r="CA264" i="20"/>
  <c r="BX265" i="20"/>
  <c r="BY265" i="20"/>
  <c r="BZ265" i="20"/>
  <c r="CA265" i="20"/>
  <c r="BX266" i="20"/>
  <c r="BY266" i="20"/>
  <c r="BZ266" i="20"/>
  <c r="CA266" i="20"/>
  <c r="BX267" i="20"/>
  <c r="BY267" i="20"/>
  <c r="BZ267" i="20"/>
  <c r="CA267" i="20"/>
  <c r="BX268" i="20"/>
  <c r="BY268" i="20"/>
  <c r="BZ268" i="20"/>
  <c r="CA268" i="20"/>
  <c r="BX269" i="20"/>
  <c r="BY269" i="20"/>
  <c r="BZ269" i="20"/>
  <c r="CA269" i="20"/>
  <c r="BX270" i="20"/>
  <c r="BY270" i="20"/>
  <c r="BZ270" i="20"/>
  <c r="CA270" i="20"/>
  <c r="BX271" i="20"/>
  <c r="BY271" i="20"/>
  <c r="BZ271" i="20"/>
  <c r="CA271" i="20"/>
  <c r="BX272" i="20"/>
  <c r="BY272" i="20"/>
  <c r="BZ272" i="20"/>
  <c r="CA272" i="20"/>
  <c r="BX273" i="20"/>
  <c r="BY273" i="20"/>
  <c r="BZ273" i="20"/>
  <c r="CA273" i="20"/>
  <c r="BX274" i="20"/>
  <c r="BY274" i="20"/>
  <c r="BZ274" i="20"/>
  <c r="CA274" i="20"/>
  <c r="BX275" i="20"/>
  <c r="BY275" i="20"/>
  <c r="BZ275" i="20"/>
  <c r="CA275" i="20"/>
  <c r="BX276" i="20"/>
  <c r="BY276" i="20"/>
  <c r="BZ276" i="20"/>
  <c r="CA276" i="20"/>
  <c r="BX277" i="20"/>
  <c r="BY277" i="20"/>
  <c r="BZ277" i="20"/>
  <c r="CA277" i="20"/>
  <c r="BX278" i="20"/>
  <c r="BY278" i="20"/>
  <c r="BZ278" i="20"/>
  <c r="CA278" i="20"/>
  <c r="BX279" i="20"/>
  <c r="BY279" i="20"/>
  <c r="BZ279" i="20"/>
  <c r="CA279" i="20"/>
  <c r="BX280" i="20"/>
  <c r="BY280" i="20"/>
  <c r="BZ280" i="20"/>
  <c r="CA280" i="20"/>
  <c r="BX281" i="20"/>
  <c r="BY281" i="20"/>
  <c r="BZ281" i="20"/>
  <c r="CA281" i="20"/>
  <c r="BX282" i="20"/>
  <c r="BY282" i="20"/>
  <c r="BZ282" i="20"/>
  <c r="CA282" i="20"/>
  <c r="BX283" i="20"/>
  <c r="BY283" i="20"/>
  <c r="BZ283" i="20"/>
  <c r="CA283" i="20"/>
  <c r="BX284" i="20"/>
  <c r="BY284" i="20"/>
  <c r="BZ284" i="20"/>
  <c r="CA284" i="20"/>
  <c r="BX285" i="20"/>
  <c r="BY285" i="20"/>
  <c r="BZ285" i="20"/>
  <c r="CA285" i="20"/>
  <c r="BX286" i="20"/>
  <c r="BY286" i="20"/>
  <c r="BZ286" i="20"/>
  <c r="CA286" i="20"/>
  <c r="BX287" i="20"/>
  <c r="BY287" i="20"/>
  <c r="BZ287" i="20"/>
  <c r="CA287" i="20"/>
  <c r="BX288" i="20"/>
  <c r="BY288" i="20"/>
  <c r="BZ288" i="20"/>
  <c r="CA288" i="20"/>
  <c r="BX289" i="20"/>
  <c r="BY289" i="20"/>
  <c r="BZ289" i="20"/>
  <c r="CA289" i="20"/>
  <c r="BX290" i="20"/>
  <c r="BY290" i="20"/>
  <c r="BZ290" i="20"/>
  <c r="CA290" i="20"/>
  <c r="BX291" i="20"/>
  <c r="BY291" i="20"/>
  <c r="BZ291" i="20"/>
  <c r="CA291" i="20"/>
  <c r="BX292" i="20"/>
  <c r="BY292" i="20"/>
  <c r="BZ292" i="20"/>
  <c r="CA292" i="20"/>
  <c r="BX293" i="20"/>
  <c r="BY293" i="20"/>
  <c r="BZ293" i="20"/>
  <c r="CA293" i="20"/>
  <c r="BX294" i="20"/>
  <c r="BY294" i="20"/>
  <c r="BZ294" i="20"/>
  <c r="CA294" i="20"/>
  <c r="BX295" i="20"/>
  <c r="BY295" i="20"/>
  <c r="BZ295" i="20"/>
  <c r="CA295" i="20"/>
  <c r="BX296" i="20"/>
  <c r="BY296" i="20"/>
  <c r="BZ296" i="20"/>
  <c r="CA296" i="20"/>
  <c r="BX297" i="20"/>
  <c r="BY297" i="20"/>
  <c r="BZ297" i="20"/>
  <c r="CA297" i="20"/>
  <c r="BX298" i="20"/>
  <c r="BY298" i="20"/>
  <c r="BZ298" i="20"/>
  <c r="CA298" i="20"/>
  <c r="BX299" i="20"/>
  <c r="BY299" i="20"/>
  <c r="BZ299" i="20"/>
  <c r="CA299" i="20"/>
  <c r="BX300" i="20"/>
  <c r="BY300" i="20"/>
  <c r="BZ300" i="20"/>
  <c r="CA300" i="20"/>
  <c r="BX301" i="20"/>
  <c r="BY301" i="20"/>
  <c r="BZ301" i="20"/>
  <c r="CA301" i="20"/>
  <c r="BX302" i="20"/>
  <c r="BY302" i="20"/>
  <c r="BZ302" i="20"/>
  <c r="CA302" i="20"/>
  <c r="BX303" i="20"/>
  <c r="BY303" i="20"/>
  <c r="BZ303" i="20"/>
  <c r="CA303" i="20"/>
  <c r="BX304" i="20"/>
  <c r="BY304" i="20"/>
  <c r="BZ304" i="20"/>
  <c r="CA304" i="20"/>
  <c r="BX305" i="20"/>
  <c r="BY305" i="20"/>
  <c r="BZ305" i="20"/>
  <c r="CA305" i="20"/>
  <c r="BX306" i="20"/>
  <c r="BY306" i="20"/>
  <c r="BZ306" i="20"/>
  <c r="CA306" i="20"/>
  <c r="BX307" i="20"/>
  <c r="BY307" i="20"/>
  <c r="BZ307" i="20"/>
  <c r="CA307" i="20"/>
  <c r="BX308" i="20"/>
  <c r="BY308" i="20"/>
  <c r="BZ308" i="20"/>
  <c r="CA308" i="20"/>
  <c r="BX309" i="20"/>
  <c r="BY309" i="20"/>
  <c r="BZ309" i="20"/>
  <c r="CA309" i="20"/>
  <c r="BX310" i="20"/>
  <c r="BY310" i="20"/>
  <c r="BZ310" i="20"/>
  <c r="CA310" i="20"/>
  <c r="BX311" i="20"/>
  <c r="BY311" i="20"/>
  <c r="BZ311" i="20"/>
  <c r="CA311" i="20"/>
  <c r="BX312" i="20"/>
  <c r="BY312" i="20"/>
  <c r="BZ312" i="20"/>
  <c r="CA312" i="20"/>
  <c r="BX313" i="20"/>
  <c r="BY313" i="20"/>
  <c r="BZ313" i="20"/>
  <c r="CA313" i="20"/>
  <c r="BX314" i="20"/>
  <c r="BY314" i="20"/>
  <c r="BZ314" i="20"/>
  <c r="CA314" i="20"/>
  <c r="BX315" i="20"/>
  <c r="BY315" i="20"/>
  <c r="BZ315" i="20"/>
  <c r="CA315" i="20"/>
  <c r="BX316" i="20"/>
  <c r="BY316" i="20"/>
  <c r="BZ316" i="20"/>
  <c r="CA316" i="20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D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D43" i="17"/>
  <c r="D44" i="17"/>
  <c r="D45" i="17"/>
  <c r="F46" i="17"/>
  <c r="D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D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C3" i="19"/>
  <c r="D3" i="19"/>
  <c r="E3" i="19"/>
  <c r="F3" i="19"/>
  <c r="G3" i="19"/>
  <c r="H3" i="19"/>
  <c r="J3" i="19"/>
  <c r="K3" i="19"/>
  <c r="C6" i="19"/>
  <c r="D6" i="19"/>
  <c r="E6" i="19"/>
  <c r="F6" i="19"/>
  <c r="G6" i="19"/>
  <c r="H6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9" i="19"/>
  <c r="C29" i="19"/>
  <c r="D29" i="19"/>
  <c r="E29" i="19"/>
  <c r="F29" i="19"/>
  <c r="G29" i="19"/>
  <c r="H29" i="19"/>
  <c r="I29" i="19"/>
  <c r="J29" i="19"/>
  <c r="K29" i="19"/>
  <c r="B30" i="19"/>
  <c r="C30" i="19"/>
  <c r="D30" i="19"/>
  <c r="E30" i="19"/>
  <c r="F30" i="19"/>
  <c r="G30" i="19"/>
  <c r="H30" i="19"/>
  <c r="I30" i="19"/>
  <c r="J30" i="19"/>
  <c r="K30" i="19"/>
  <c r="B31" i="19"/>
  <c r="C31" i="19"/>
  <c r="D31" i="19"/>
  <c r="E31" i="19"/>
  <c r="F31" i="19"/>
  <c r="G31" i="19"/>
  <c r="H31" i="19"/>
  <c r="I31" i="19"/>
  <c r="J31" i="19"/>
  <c r="K31" i="19"/>
  <c r="B32" i="19"/>
  <c r="C32" i="19"/>
  <c r="D32" i="19"/>
  <c r="E32" i="19"/>
  <c r="F32" i="19"/>
  <c r="G32" i="19"/>
  <c r="H32" i="19"/>
  <c r="I32" i="19"/>
  <c r="J32" i="19"/>
  <c r="K32" i="19"/>
  <c r="B33" i="19"/>
  <c r="C33" i="19"/>
  <c r="D33" i="19"/>
  <c r="E33" i="19"/>
  <c r="F33" i="19"/>
  <c r="G33" i="19"/>
  <c r="H33" i="19"/>
  <c r="I33" i="19"/>
  <c r="J33" i="19"/>
  <c r="K33" i="19"/>
  <c r="B34" i="19"/>
  <c r="C34" i="19"/>
  <c r="D34" i="19"/>
  <c r="E34" i="19"/>
  <c r="F34" i="19"/>
  <c r="G34" i="19"/>
  <c r="H34" i="19"/>
  <c r="I34" i="19"/>
  <c r="J34" i="19"/>
  <c r="K34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L39" i="19"/>
  <c r="M39" i="19"/>
  <c r="N39" i="19"/>
  <c r="O39" i="19"/>
  <c r="P39" i="19"/>
  <c r="Q39" i="19"/>
  <c r="R39" i="19"/>
  <c r="S39" i="19"/>
  <c r="T39" i="19"/>
  <c r="U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Y40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Y44" i="19"/>
  <c r="B46" i="19"/>
  <c r="C46" i="19"/>
  <c r="D46" i="19"/>
  <c r="E46" i="19"/>
  <c r="F46" i="19"/>
  <c r="G46" i="19"/>
  <c r="H46" i="19"/>
  <c r="I46" i="19"/>
  <c r="J46" i="19"/>
  <c r="Y46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Y60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Y62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X66" i="19"/>
  <c r="Y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X67" i="19"/>
  <c r="Z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X68" i="19"/>
  <c r="Y68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Y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Y74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20" i="2"/>
  <c r="E21" i="2"/>
  <c r="E22" i="2"/>
  <c r="E24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Z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E32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D49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D53" i="2"/>
  <c r="F53" i="2"/>
  <c r="G53" i="2"/>
  <c r="H53" i="2"/>
  <c r="D54" i="2"/>
  <c r="G54" i="2"/>
  <c r="H54" i="2"/>
  <c r="I54" i="2"/>
  <c r="D55" i="2"/>
  <c r="H55" i="2"/>
  <c r="I55" i="2"/>
  <c r="J55" i="2"/>
  <c r="D56" i="2"/>
  <c r="I56" i="2"/>
  <c r="J56" i="2"/>
  <c r="K56" i="2"/>
  <c r="D57" i="2"/>
  <c r="J57" i="2"/>
  <c r="K57" i="2"/>
  <c r="L57" i="2"/>
  <c r="D58" i="2"/>
  <c r="K58" i="2"/>
  <c r="L58" i="2"/>
  <c r="M58" i="2"/>
  <c r="D59" i="2"/>
  <c r="L59" i="2"/>
  <c r="M59" i="2"/>
  <c r="N59" i="2"/>
  <c r="D60" i="2"/>
  <c r="M60" i="2"/>
  <c r="N60" i="2"/>
  <c r="D61" i="2"/>
  <c r="N61" i="2"/>
  <c r="E62" i="2"/>
  <c r="F62" i="2"/>
  <c r="G62" i="2"/>
  <c r="H62" i="2"/>
  <c r="I62" i="2"/>
  <c r="J62" i="2"/>
  <c r="K62" i="2"/>
  <c r="L62" i="2"/>
  <c r="M62" i="2"/>
  <c r="N62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D66" i="2"/>
  <c r="F66" i="2"/>
  <c r="G66" i="2"/>
  <c r="H66" i="2"/>
  <c r="D67" i="2"/>
  <c r="G67" i="2"/>
  <c r="H67" i="2"/>
  <c r="I67" i="2"/>
  <c r="D68" i="2"/>
  <c r="H68" i="2"/>
  <c r="I68" i="2"/>
  <c r="J68" i="2"/>
  <c r="D69" i="2"/>
  <c r="I69" i="2"/>
  <c r="J69" i="2"/>
  <c r="K69" i="2"/>
  <c r="D70" i="2"/>
  <c r="J70" i="2"/>
  <c r="K70" i="2"/>
  <c r="L70" i="2"/>
  <c r="D71" i="2"/>
  <c r="K71" i="2"/>
  <c r="L71" i="2"/>
  <c r="M71" i="2"/>
  <c r="D72" i="2"/>
  <c r="L72" i="2"/>
  <c r="M72" i="2"/>
  <c r="N72" i="2"/>
  <c r="D73" i="2"/>
  <c r="M73" i="2"/>
  <c r="N73" i="2"/>
  <c r="D74" i="2"/>
  <c r="N74" i="2"/>
  <c r="E75" i="2"/>
  <c r="F75" i="2"/>
  <c r="G75" i="2"/>
  <c r="H75" i="2"/>
  <c r="I75" i="2"/>
  <c r="J75" i="2"/>
  <c r="K75" i="2"/>
  <c r="L75" i="2"/>
  <c r="M75" i="2"/>
  <c r="N75" i="2"/>
  <c r="E77" i="2"/>
  <c r="F77" i="2"/>
  <c r="G77" i="2"/>
  <c r="H77" i="2"/>
  <c r="I77" i="2"/>
  <c r="J77" i="2"/>
  <c r="K77" i="2"/>
  <c r="L77" i="2"/>
  <c r="M77" i="2"/>
  <c r="N77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</calcChain>
</file>

<file path=xl/comments1.xml><?xml version="1.0" encoding="utf-8"?>
<comments xmlns="http://schemas.openxmlformats.org/spreadsheetml/2006/main">
  <authors>
    <author>Kevin X Zheng</author>
  </authors>
  <commentList>
    <comment ref="H2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7.8 MM in Kagan Report</t>
        </r>
      </text>
    </comment>
    <comment ref="D67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$6.99/mo lease for three yr w/o interest</t>
        </r>
      </text>
    </comment>
    <comment ref="F141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nCube term sheet</t>
        </r>
      </text>
    </comment>
    <comment ref="F15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nCube term sheet</t>
        </r>
      </text>
    </comment>
    <comment ref="F16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BDP, could as high as 60%?</t>
        </r>
      </text>
    </comment>
    <comment ref="D181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included in nCuber server support fee</t>
        </r>
      </text>
    </comment>
    <comment ref="D182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Covered by nCube</t>
        </r>
      </text>
    </comment>
    <comment ref="D199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Covered by nCube</t>
        </r>
      </text>
    </comment>
  </commentList>
</comments>
</file>

<file path=xl/comments2.xml><?xml version="1.0" encoding="utf-8"?>
<comments xmlns="http://schemas.openxmlformats.org/spreadsheetml/2006/main">
  <authors>
    <author>Kevin X Zheng</author>
  </authors>
  <commentList>
    <comment ref="C35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3 year depreciation</t>
        </r>
      </text>
    </comment>
  </commentList>
</comments>
</file>

<file path=xl/sharedStrings.xml><?xml version="1.0" encoding="utf-8"?>
<sst xmlns="http://schemas.openxmlformats.org/spreadsheetml/2006/main" count="1494" uniqueCount="1120">
  <si>
    <t>Number of metro areas for roll-out</t>
  </si>
  <si>
    <t>Homes/CO</t>
  </si>
  <si>
    <t>DSL speed needed for VoD (Mbps)</t>
  </si>
  <si>
    <t>Total number of homes in the select metros</t>
  </si>
  <si>
    <t>Size of each movie (GB)</t>
  </si>
  <si>
    <t>Length of movie stored on the STB (min)</t>
  </si>
  <si>
    <t>Number of movies stored on the STB</t>
  </si>
  <si>
    <t>DSL penetration in homes within metros (%)</t>
  </si>
  <si>
    <t>% DSL homes with speeds needed for VoD</t>
  </si>
  <si>
    <t>POP</t>
  </si>
  <si>
    <t>POP to CO transfer</t>
  </si>
  <si>
    <t>Comments</t>
  </si>
  <si>
    <t>Average number of ISP POPs per metro</t>
  </si>
  <si>
    <t>% adoption of VoD in DSL homes with fast access</t>
  </si>
  <si>
    <t>% share of BBI/EBS of DSL VoD market</t>
  </si>
  <si>
    <t>Basic model - STB storage (GB)</t>
  </si>
  <si>
    <t>Master POP</t>
  </si>
  <si>
    <t>Total number of movies available at Master POP</t>
  </si>
  <si>
    <t>Storage cost at the Master POP ($/GB)</t>
  </si>
  <si>
    <t>Number of Master POPs</t>
  </si>
  <si>
    <t>Total number of movies available at each ISP POP</t>
  </si>
  <si>
    <t>ISP POP</t>
  </si>
  <si>
    <t>Built-in storage capacity available for storing movies (GB)</t>
  </si>
  <si>
    <t>Encoding costs</t>
  </si>
  <si>
    <t>Total number of ISP POP</t>
  </si>
  <si>
    <t>CO</t>
  </si>
  <si>
    <t xml:space="preserve">Total number of CO </t>
  </si>
  <si>
    <t>Number of CO per metro</t>
  </si>
  <si>
    <t>DSL homes per CO</t>
  </si>
  <si>
    <t>Number of Master POP</t>
  </si>
  <si>
    <t>Total storage needed at each Master POP (GB)</t>
  </si>
  <si>
    <t>Total storage needed at each ISP POP (GB)</t>
  </si>
  <si>
    <t>Number of ISP POPs</t>
  </si>
  <si>
    <t>Number of top metros used for averaging</t>
  </si>
  <si>
    <t>Home growth rate in the metros</t>
  </si>
  <si>
    <t>Monthly streaming capacity of servers at Master POP (GB)</t>
  </si>
  <si>
    <t>Additional storage needed at each ISP POP</t>
  </si>
  <si>
    <t>Number of  homes  per POP</t>
  </si>
  <si>
    <t>Max number of homes per POP at peak load</t>
  </si>
  <si>
    <t>Number of BBI VoD homes per CO</t>
  </si>
  <si>
    <t>Cost of Master POP streaming servers ($/server)</t>
  </si>
  <si>
    <t>Cost of ISP POP streaming servers ($/server)</t>
  </si>
  <si>
    <t>Total amount streamed to all ISP POPs per month (GB)</t>
  </si>
  <si>
    <t>Streaming rate of Master POP servers (Mbps)</t>
  </si>
  <si>
    <t>Streaming rate of ISP POP servers (Mbps)</t>
  </si>
  <si>
    <t>Number of servers needed at each ISP POP to handle peak loads</t>
  </si>
  <si>
    <t>Life of streaming servers (years)</t>
  </si>
  <si>
    <t>Bandwidth cost from POP to CO ($/GB) - Peak</t>
  </si>
  <si>
    <t>Bandwidth cost from POP to CO ($/GB) - Off-Peak</t>
  </si>
  <si>
    <t>Number of CO per POP</t>
  </si>
  <si>
    <t>Max stream rate needed per POP at peak loads (Mbps)</t>
  </si>
  <si>
    <t>CO to home transfer</t>
  </si>
  <si>
    <t>Subscriber Assumptions</t>
  </si>
  <si>
    <t>Calculation of Eligible Homes</t>
  </si>
  <si>
    <t>DSL Penetration in Eligible Metros</t>
  </si>
  <si>
    <t>Projected Subscribers</t>
  </si>
  <si>
    <t>Assumption Source</t>
  </si>
  <si>
    <t>Blockbuster</t>
  </si>
  <si>
    <t>Homes Eligible for VOD service</t>
  </si>
  <si>
    <t>Usage Assumptions</t>
  </si>
  <si>
    <t>Max  % of  users at peak</t>
  </si>
  <si>
    <t>Movie Assumptions</t>
  </si>
  <si>
    <t>Avg. Length of movie (min)</t>
  </si>
  <si>
    <t>Set-Top Box Assumptions</t>
  </si>
  <si>
    <t>STB Manufacturer List Price</t>
  </si>
  <si>
    <t>STB Price to Consumer</t>
  </si>
  <si>
    <t>Storage Required on STB (GB)</t>
  </si>
  <si>
    <t>Additional Storage Required (GB)</t>
  </si>
  <si>
    <t>Price per GB for Add'l Storage</t>
  </si>
  <si>
    <t>% ENE Ownership</t>
  </si>
  <si>
    <t>% BBI Ownership</t>
  </si>
  <si>
    <t>% Third Party Ownership</t>
  </si>
  <si>
    <t>Third Party Subsidies for Box Deployment ($MM)</t>
  </si>
  <si>
    <t>Subscriber Pricing Assumptions</t>
  </si>
  <si>
    <t>VoD service fee ($/month)</t>
  </si>
  <si>
    <t>EBS Share of VOD service fee</t>
  </si>
  <si>
    <t>BBI Share of VOD service fee</t>
  </si>
  <si>
    <t>RBOC VOD service fee</t>
  </si>
  <si>
    <t>EBS VOD service fee</t>
  </si>
  <si>
    <t>BBI VOD service fee</t>
  </si>
  <si>
    <t>EBS Share of Rental Revenue</t>
  </si>
  <si>
    <t>Number of RBOC ISP POPs per metro</t>
  </si>
  <si>
    <t>POP and CO Specs</t>
  </si>
  <si>
    <t>Bandwidth</t>
  </si>
  <si>
    <t>Data center to ISP POP</t>
  </si>
  <si>
    <t>Price Sharing Mechanism with RBOC</t>
  </si>
  <si>
    <t>1=Revenue sharing, 2=Lump sum payment, 3=monthly recurring service charge</t>
  </si>
  <si>
    <t>Method 1 - Revenue Sharing</t>
  </si>
  <si>
    <t>Method  2 - Lump Sum Payment</t>
  </si>
  <si>
    <t>Method 3 - Monthly Recurring Service Charge</t>
  </si>
  <si>
    <t>RBOCs signed per Year</t>
  </si>
  <si>
    <t>Lump sum paid per other distribution partner</t>
  </si>
  <si>
    <t>Other Distribution partners signed per year</t>
  </si>
  <si>
    <t>% of Lump sum paid by EBS</t>
  </si>
  <si>
    <t>% of Lump sum paid by BBI</t>
  </si>
  <si>
    <t>Lump sum paid per RBOC distribution partner ($MM)</t>
  </si>
  <si>
    <t>NETWORK TOPOLOGY</t>
  </si>
  <si>
    <t xml:space="preserve">   Basic model - STB storage (GB)</t>
  </si>
  <si>
    <t xml:space="preserve">   Additional Storage Required (GB)</t>
  </si>
  <si>
    <t xml:space="preserve">   Price per GB for Add'l Storage</t>
  </si>
  <si>
    <t xml:space="preserve">   Additional Storage Cost</t>
  </si>
  <si>
    <t>STB Manufacturer Price</t>
  </si>
  <si>
    <t>Storage YOY Price Change</t>
  </si>
  <si>
    <t>Box Sales Revenues</t>
  </si>
  <si>
    <t>Box Purchasing Expenses</t>
  </si>
  <si>
    <t>Net Cash Flow pre-subsidy</t>
  </si>
  <si>
    <t>Net Cash Flow post subsidy</t>
  </si>
  <si>
    <t>Cash Flow to Enron</t>
  </si>
  <si>
    <t>Cum IRR</t>
  </si>
  <si>
    <t>Cash Flow to BBI</t>
  </si>
  <si>
    <t>Boxes per Household subscribing to service</t>
  </si>
  <si>
    <t>Total Boxes Deployed</t>
  </si>
  <si>
    <t>Projected Subscribers under chosen Method</t>
  </si>
  <si>
    <t>Boxes Depoyed for EBS/BBI Service</t>
  </si>
  <si>
    <t>Excludes additional box sales</t>
  </si>
  <si>
    <t>Third Party Subsidies</t>
  </si>
  <si>
    <t>STREAMING COSTS</t>
  </si>
  <si>
    <t>Data Center Streaming Costs</t>
  </si>
  <si>
    <t>Movies streamed from Master POP to each ISP POP per month</t>
  </si>
  <si>
    <t>Movie Size (GB)</t>
  </si>
  <si>
    <t>GBs Streamed from Master POP to each ISP POP per month</t>
  </si>
  <si>
    <t>Assuming 100% utilization throughout the entire month;Mbps to GB using 3600 sec/hr, 24 hr/day, 30 day/month, 8 bit/byte, 1024 MB/GB</t>
  </si>
  <si>
    <t>Number of Data Center POPs</t>
  </si>
  <si>
    <t>Total cost for streaming servers at Master POPs ('$000)</t>
  </si>
  <si>
    <t>Cost of Master POP streaming servers ($'000/server)</t>
  </si>
  <si>
    <t>Yearly Decline in Server Costs</t>
  </si>
  <si>
    <t>Streaming servers Required per Data Center POP</t>
  </si>
  <si>
    <t>Incremental servers required per DC POP</t>
  </si>
  <si>
    <t>Assumes 1 yr life</t>
  </si>
  <si>
    <t>Annual O&amp;M cost for each server</t>
  </si>
  <si>
    <t>Annual O&amp;M cost per server as a % of server cost</t>
  </si>
  <si>
    <t>ISP POP Streaming Costs</t>
  </si>
  <si>
    <t>Stream Rate Required to Support VOD (Mbps)</t>
  </si>
  <si>
    <t>Cost of ISP POP streaming servers ($'000/server)</t>
  </si>
  <si>
    <t>Total O&amp;M cost for ISP POP servers</t>
  </si>
  <si>
    <t>STORAGE COSTS</t>
  </si>
  <si>
    <t>Yearly Decline in Storage Costs</t>
  </si>
  <si>
    <t>Data Center Storage Costs</t>
  </si>
  <si>
    <t>Total storage cost for Master POPs ($ 000)</t>
  </si>
  <si>
    <t>ISP POP Storage Costs</t>
  </si>
  <si>
    <t>Available capacity of server for storing movies (GB)</t>
  </si>
  <si>
    <t>Storage cost at the ISP POP ($/GB)</t>
  </si>
  <si>
    <t>Total storage cost for ISP POPs ($ '000)</t>
  </si>
  <si>
    <t>Bit rate per movie (kbps)</t>
  </si>
  <si>
    <t>Monthly Encoding Requirement in minutes</t>
  </si>
  <si>
    <t>Minutes encoded yearly</t>
  </si>
  <si>
    <t>Price per minute encoded</t>
  </si>
  <si>
    <t>Total Encoding Costs</t>
  </si>
  <si>
    <t>Cumulative Encoding Costs</t>
  </si>
  <si>
    <t># of subscribers</t>
  </si>
  <si>
    <t>Videos per year per subscriber</t>
  </si>
  <si>
    <t>Total Rentals per year</t>
  </si>
  <si>
    <t>Titles</t>
  </si>
  <si>
    <t>Avg. # of times each title rented</t>
  </si>
  <si>
    <t>DISTRIBUTION</t>
  </si>
  <si>
    <t>RBOC Economics</t>
  </si>
  <si>
    <t xml:space="preserve">  Revenue Sharing</t>
  </si>
  <si>
    <t xml:space="preserve">  Lump Sum Payments</t>
  </si>
  <si>
    <t xml:space="preserve">  Monthly Service Charges</t>
  </si>
  <si>
    <t>Movie Rental Price</t>
  </si>
  <si>
    <t>Rental Fee</t>
  </si>
  <si>
    <t>Yearly Rentals</t>
  </si>
  <si>
    <t>Total Rentals per Year</t>
  </si>
  <si>
    <t>Revenues ($'000)</t>
  </si>
  <si>
    <t>Number of Subscribers</t>
  </si>
  <si>
    <t>Total RBOC Revenue</t>
  </si>
  <si>
    <t>Expenses ($'000)</t>
  </si>
  <si>
    <t>Total RBOC Bandwidth Expenses</t>
  </si>
  <si>
    <t xml:space="preserve">  Bandwidth Expenses - POP to CO</t>
  </si>
  <si>
    <t>Net RBOC Cash Flow - ENE/BBI VOD Service</t>
  </si>
  <si>
    <t>DRM Costs</t>
  </si>
  <si>
    <t>DRM Cost Sharing</t>
  </si>
  <si>
    <t>DRM</t>
  </si>
  <si>
    <t>Method to Use</t>
  </si>
  <si>
    <t>Revenue per Rental</t>
  </si>
  <si>
    <t>Storage</t>
  </si>
  <si>
    <t>Total Data Center Streaming Costs</t>
  </si>
  <si>
    <t>Total ISP POP Streaming Costs</t>
  </si>
  <si>
    <t>Per Rental Specs</t>
  </si>
  <si>
    <t>Cumulative Rentals</t>
  </si>
  <si>
    <t>Deployment Cost per Server ($/server)</t>
  </si>
  <si>
    <t>Total O&amp;M cost for Master POP servers ($ '000)</t>
  </si>
  <si>
    <t>Server Deployment Cost ($'000)</t>
  </si>
  <si>
    <t>Server Deployment Cost ($ '000)</t>
  </si>
  <si>
    <t>Total number of servers needed for all ISP POPs</t>
  </si>
  <si>
    <t>Total cost for streaming servers added at all ISP POPs ($ '000)</t>
  </si>
  <si>
    <t>TOTAL STREAMING COSTS</t>
  </si>
  <si>
    <t>Total Streaming Costs ($ '000)</t>
  </si>
  <si>
    <t>Cumulative Streaming Costs ($ '000)</t>
  </si>
  <si>
    <t>Total Rentals (000)</t>
  </si>
  <si>
    <t>Cumulative Direct Streaming Costs per Rental</t>
  </si>
  <si>
    <t>Storage Deployment Costs ($/GB)</t>
  </si>
  <si>
    <t>Deployment Cost for Data Center POPs ($000)</t>
  </si>
  <si>
    <t>Deployment Cost per GB storage</t>
  </si>
  <si>
    <t>Total Data Center Storage Costs</t>
  </si>
  <si>
    <t>Deployment Cost for ISP POPs ($000)</t>
  </si>
  <si>
    <t>Deployment Cost per GB of storage</t>
  </si>
  <si>
    <t>Total ISP POP Storage Costs</t>
  </si>
  <si>
    <t>TOTAL STORAGE COSTS</t>
  </si>
  <si>
    <t>Cum. Storage Costs per GB</t>
  </si>
  <si>
    <t>Storage Required (GB)</t>
  </si>
  <si>
    <t>Cumulative Storage Costs ($ '000)</t>
  </si>
  <si>
    <t>Total Storage Costs ($ '000)</t>
  </si>
  <si>
    <t>Movies ordered per month per home</t>
  </si>
  <si>
    <t>Cumulative Direct Storage Cost per Stored Video (in dollars)</t>
  </si>
  <si>
    <t>Direct Storage Cost per Rental</t>
  </si>
  <si>
    <t>BBI Expenses ($ '000)</t>
  </si>
  <si>
    <t>TOTAL EBS DRM EXPENSES</t>
  </si>
  <si>
    <t>TOTAL BBI DRM EXPENSES</t>
  </si>
  <si>
    <t>Cumulative Enron Costs/Revenues</t>
  </si>
  <si>
    <t>Cost per Rental</t>
  </si>
  <si>
    <t>Cumulative Rentals (in 000)</t>
  </si>
  <si>
    <t>Bandwidth Cost per Rental</t>
  </si>
  <si>
    <t>Life of Box (years)</t>
  </si>
  <si>
    <t>Incremental Boxes Deployed</t>
  </si>
  <si>
    <t>Enron Box Revenues</t>
  </si>
  <si>
    <t>Enron Box Expenses</t>
  </si>
  <si>
    <t>BBI Box Revenues</t>
  </si>
  <si>
    <t>BBI Box Expenses</t>
  </si>
  <si>
    <t>DRM Expenses</t>
  </si>
  <si>
    <t>Total Number of ISP POPs</t>
  </si>
  <si>
    <t>Percent data transferred at peak times</t>
  </si>
  <si>
    <t>Bandwidth from DC POP to ISP POPs ($/GB) - Off-Peak</t>
  </si>
  <si>
    <t>Bandwidth from DC POP to ISP POP ($/GB) - Peak</t>
  </si>
  <si>
    <t>Bandwidth cost during peak loads ($/mo)</t>
  </si>
  <si>
    <t>Bandwidth cost during off-peak loads ($/mo)</t>
  </si>
  <si>
    <t>Annual bandwidth cost - DC to ISP POPs ($ '000)</t>
  </si>
  <si>
    <t>Cumulative DRM Expenses</t>
  </si>
  <si>
    <t>DRM Expense per Rental</t>
  </si>
  <si>
    <t>ENE Economics</t>
  </si>
  <si>
    <t>Total ENE Revenue</t>
  </si>
  <si>
    <t>BBI Economics</t>
  </si>
  <si>
    <t>Total ENE Expenses</t>
  </si>
  <si>
    <t>Cumulative</t>
  </si>
  <si>
    <t>Cash Flow per Rental</t>
  </si>
  <si>
    <t>Cumulative Rentals (000)</t>
  </si>
  <si>
    <t>Server Specifications</t>
  </si>
  <si>
    <t>nCube</t>
  </si>
  <si>
    <t>Streaming Rate of nCube Servers (Mbps)</t>
  </si>
  <si>
    <t>YOY Price Decrease Peak Bandwidth</t>
  </si>
  <si>
    <t>YOY Price Decrease Off-Peak Bandwidth</t>
  </si>
  <si>
    <t>Customer Base</t>
  </si>
  <si>
    <t>Per Customer per month</t>
  </si>
  <si>
    <t>DS-3 Cost/mo</t>
  </si>
  <si>
    <t>Peak Homes</t>
  </si>
  <si>
    <t>Peak Load</t>
  </si>
  <si>
    <t>Capacity per DS-3 (Mbps)</t>
  </si>
  <si>
    <t>DS-3s Required</t>
  </si>
  <si>
    <t>$/home/month</t>
  </si>
  <si>
    <t>ATM Overhead</t>
  </si>
  <si>
    <t>Long-Haul Bandwidth</t>
  </si>
  <si>
    <t>Per Subscriber Customer Service Costs per Month</t>
  </si>
  <si>
    <t>Total CS/Billing Costs ($000)</t>
  </si>
  <si>
    <t>BBI Share of Customer Service Expenses ($ '000)</t>
  </si>
  <si>
    <t>Effective Capacity per DS-3</t>
  </si>
  <si>
    <t>Cost per DS-3 mile (first mile) per month</t>
  </si>
  <si>
    <t>DS-3 Cost/year</t>
  </si>
  <si>
    <t>DS-3 Cost per CO ($ '000)</t>
  </si>
  <si>
    <t>Number of Cos</t>
  </si>
  <si>
    <t>Deployment FTE/metro</t>
  </si>
  <si>
    <t>Server O&amp;M, Network traffic, RBOC interface FTE/metro</t>
  </si>
  <si>
    <t>FTE for Deployment</t>
  </si>
  <si>
    <t>FTE for O&amp;M, traffic, RBOC interface</t>
  </si>
  <si>
    <t>FTE for Commercial Relationships w/ vendors (BBI/NOC/purc.)</t>
  </si>
  <si>
    <t>Total FTE staffing</t>
  </si>
  <si>
    <t>$/FTE ('$ 000)</t>
  </si>
  <si>
    <t>New Metros Rolled Out</t>
  </si>
  <si>
    <t>Total FTE Cost ('$ 000)</t>
  </si>
  <si>
    <t>EBS O&amp;M COSTS</t>
  </si>
  <si>
    <t>Storage Available per server (GB)</t>
  </si>
  <si>
    <t>Marketing Expenses</t>
  </si>
  <si>
    <t>Total BBI Revenue</t>
  </si>
  <si>
    <t>Total BBI Expenses</t>
  </si>
  <si>
    <t>Net Cash Flow to Enron ($ 000)</t>
  </si>
  <si>
    <t>Net Cash Flow to BBI ($ 000)</t>
  </si>
  <si>
    <t>Total Number of Rentals</t>
  </si>
  <si>
    <t>Cumulative Number of Rentals</t>
  </si>
  <si>
    <t>Cumulative Expenses ($ 000)</t>
  </si>
  <si>
    <t>EBS Share of Customer Service Expenses ($ 000)</t>
  </si>
  <si>
    <t>Cumulative O&amp;M Costs</t>
  </si>
  <si>
    <t>O&amp;M Cost per Rental</t>
  </si>
  <si>
    <t>BBI Royalty to Studios (as a % of rental price)</t>
  </si>
  <si>
    <t>BBI Royalty Paid per Rental</t>
  </si>
  <si>
    <t>BBI Royalty per Rental</t>
  </si>
  <si>
    <t>Total Royalties Paid by BBI ($ 000)</t>
  </si>
  <si>
    <t>Revenues</t>
  </si>
  <si>
    <t>Total Number of Customers</t>
  </si>
  <si>
    <t>Movie Rentals</t>
  </si>
  <si>
    <t>VOD Monthly Access Fees</t>
  </si>
  <si>
    <t>STB Sales Revenue</t>
  </si>
  <si>
    <t>Set-Top Box Company Economics (in '000) - Income</t>
  </si>
  <si>
    <t>Smoothed Recognition of Box Revenue/Expense</t>
  </si>
  <si>
    <t xml:space="preserve">Total </t>
  </si>
  <si>
    <t>Expenses</t>
  </si>
  <si>
    <t>Smoothed Box Revenues/Expenses</t>
  </si>
  <si>
    <t>STB</t>
  </si>
  <si>
    <t>Royalties</t>
  </si>
  <si>
    <t>Cost per Subscriber per Year</t>
  </si>
  <si>
    <t>EBS O&amp;M</t>
  </si>
  <si>
    <t>DSL penetration</t>
  </si>
  <si>
    <t>Medium</t>
  </si>
  <si>
    <t>% DSL users with VoD access</t>
  </si>
  <si>
    <t>2001-2003 case based on discussion with McKinsey team</t>
  </si>
  <si>
    <t>VoD adoption in DSL homes with fast access</t>
  </si>
  <si>
    <t>% users at peak for an average CO</t>
  </si>
  <si>
    <t>Local loop cost ($/DS-3)</t>
  </si>
  <si>
    <t>YTY change</t>
  </si>
  <si>
    <t>POP-CO distance (miles)</t>
  </si>
  <si>
    <t>O&amp;M cost (000s)</t>
  </si>
  <si>
    <t>Based on Team esti mates</t>
  </si>
  <si>
    <t>Box subsidy</t>
  </si>
  <si>
    <t>2001 cost</t>
  </si>
  <si>
    <t>Encoding Cost per Rental</t>
  </si>
  <si>
    <t>Long Haul Bandwidth</t>
  </si>
  <si>
    <t>TOTAL DRM EXPENSES</t>
  </si>
  <si>
    <t>NPV Assumptions</t>
  </si>
  <si>
    <t>Discount Rate</t>
  </si>
  <si>
    <t>Current Scenarion</t>
  </si>
  <si>
    <t>DSL %</t>
  </si>
  <si>
    <t>VoD %</t>
  </si>
  <si>
    <t>Peak load</t>
  </si>
  <si>
    <t>Local loop cost</t>
  </si>
  <si>
    <t>Project NPV (M)</t>
  </si>
  <si>
    <t>Common scenarios</t>
  </si>
  <si>
    <t>Scenario #</t>
  </si>
  <si>
    <t>Scenario NPV (M)</t>
  </si>
  <si>
    <t>Worst case</t>
  </si>
  <si>
    <t>Medium case</t>
  </si>
  <si>
    <t>M</t>
  </si>
  <si>
    <t>Best case</t>
  </si>
  <si>
    <t>Worst penetration</t>
  </si>
  <si>
    <t>Best penetration</t>
  </si>
  <si>
    <t>Worst peak load</t>
  </si>
  <si>
    <t>Best peak load</t>
  </si>
  <si>
    <t>Worst local loop cost</t>
  </si>
  <si>
    <t>Best local loop cost</t>
  </si>
  <si>
    <t>Worst O&amp;M cost</t>
  </si>
  <si>
    <t>Best O&amp;M cost</t>
  </si>
  <si>
    <t>Worst box subsidy</t>
  </si>
  <si>
    <t>Best box subsidy</t>
  </si>
  <si>
    <t>Worst  penetration, worst peak load</t>
  </si>
  <si>
    <t>Worst  penetration, best peak load</t>
  </si>
  <si>
    <t>Best penetration, worst peak load</t>
  </si>
  <si>
    <t>Best penetration, best peak load</t>
  </si>
  <si>
    <t>Worst penetration, local loop and box subsidy</t>
  </si>
  <si>
    <t>Assumptions for the current scenario</t>
  </si>
  <si>
    <t>Worst</t>
  </si>
  <si>
    <t>Best</t>
  </si>
  <si>
    <t>O&amp;M staffing required</t>
  </si>
  <si>
    <t>Average number of homes per metro</t>
  </si>
  <si>
    <t>Total number of homes in all metros</t>
  </si>
  <si>
    <t>Compressed stream rate needed for VoD (Mbps)</t>
  </si>
  <si>
    <t>Effective Stream Rate needed for VOD (Mbps)</t>
  </si>
  <si>
    <t>Box Price to End Consumer</t>
  </si>
  <si>
    <t>Box Manufacture Cost per Box</t>
  </si>
  <si>
    <t>W</t>
  </si>
  <si>
    <t>B</t>
  </si>
  <si>
    <t>BBI VOD Penetration</t>
  </si>
  <si>
    <t>Cost per each additional DS-3 mile per month</t>
  </si>
  <si>
    <t>Local loop cost ($/DS-3/mo)</t>
  </si>
  <si>
    <t>Total Basecase FTE staffing</t>
  </si>
  <si>
    <t>FTE Staffing Scenario in Model</t>
  </si>
  <si>
    <t>LONG HAUL BANDWIDTH</t>
  </si>
  <si>
    <t>BBI MARKETING EXPENSES</t>
  </si>
  <si>
    <t>BBI 1999 Marketing Expenses (MM)</t>
  </si>
  <si>
    <t>BBI 1999 Revenues (MM)</t>
  </si>
  <si>
    <t>information purposes only</t>
  </si>
  <si>
    <t>Number of Metros</t>
  </si>
  <si>
    <t>Total Marketing Expenses ($ 000)</t>
  </si>
  <si>
    <t>Number of metro areas</t>
  </si>
  <si>
    <t>Projected Marketing Expenses per Metro ($ 000)</t>
  </si>
  <si>
    <t>BBI 1999 Rental Revenues (MM)</t>
  </si>
  <si>
    <t>$ marketing per $ Rental Revenue</t>
  </si>
  <si>
    <t>$ marketing per $ rental revenue</t>
  </si>
  <si>
    <t>ENCODING</t>
  </si>
  <si>
    <t>BBI ROYALTY CALCULATIONS</t>
  </si>
  <si>
    <t>Number of movies pushed from Data Center to PoPs/mo.</t>
  </si>
  <si>
    <t>Time of day pushed</t>
  </si>
  <si>
    <t>Off-peak</t>
  </si>
  <si>
    <t>Streaming 50 movies per month to ISP POPs</t>
  </si>
  <si>
    <t>Number of movies streamed</t>
  </si>
  <si>
    <t>Additional storage needed at each data center POP</t>
  </si>
  <si>
    <t>Original 500 movies encoding</t>
  </si>
  <si>
    <t>Cumulative Bandwidth Cost ($ 000)</t>
  </si>
  <si>
    <t>EBS NPV (M)</t>
  </si>
  <si>
    <t>Monthly Access Fees</t>
  </si>
  <si>
    <t>Marketing</t>
  </si>
  <si>
    <t>EBS</t>
  </si>
  <si>
    <t>ENE/MCK estimates</t>
  </si>
  <si>
    <t>Based on BBI figures, nCube statistics</t>
  </si>
  <si>
    <t>Cost per Add'l Mile</t>
  </si>
  <si>
    <t>Available capacity of each server for storing movies (GB)</t>
  </si>
  <si>
    <t>Number of servers</t>
  </si>
  <si>
    <t>Total number of ISP POPs</t>
  </si>
  <si>
    <t>Streaming non-premium movies per month to ISP POPs</t>
  </si>
  <si>
    <t>Movies Stored at Edge</t>
  </si>
  <si>
    <t>Streaming non-premium movies</t>
  </si>
  <si>
    <t>Movies streamed per month</t>
  </si>
  <si>
    <t>Total GBs streamed per month</t>
  </si>
  <si>
    <t>Percent streamed at peak times</t>
  </si>
  <si>
    <t>Movie Updates pushed durning peak times</t>
  </si>
  <si>
    <t>Movie Updates pushed during off-peak times</t>
  </si>
  <si>
    <t>Movies Streamed from data center during peak times</t>
  </si>
  <si>
    <t>% of edge movies among the movies ordered</t>
  </si>
  <si>
    <t>% of data center movies among the movies ordered</t>
  </si>
  <si>
    <t>Method 1</t>
  </si>
  <si>
    <t>90% of MSDW analysis through 2010, 4% after</t>
  </si>
  <si>
    <t>McKinsey/Bernstein analysis for 2001-2004. Basecase after 2010</t>
  </si>
  <si>
    <t>DSL Subscribers to EBS/BBI Service</t>
  </si>
  <si>
    <t>Percentage of transaction value charged</t>
  </si>
  <si>
    <t>Basis Points Transactions</t>
  </si>
  <si>
    <t>Method 2</t>
  </si>
  <si>
    <t>O&amp;M/ Cust Svc. cost</t>
  </si>
  <si>
    <t>Customer Service and Billing Cost</t>
  </si>
  <si>
    <t>Extra expense for VoD rental as compared to video rental business</t>
  </si>
  <si>
    <t>1=Method 1, 2=Method 2</t>
  </si>
  <si>
    <t>Projected Fixed Marketing Expenses per Metro ($ 000)</t>
  </si>
  <si>
    <t>Subsidy</t>
  </si>
  <si>
    <t>Cumulative Revenues</t>
  </si>
  <si>
    <t>Cumulative Expenses</t>
  </si>
  <si>
    <t>Per Rental Stats</t>
  </si>
  <si>
    <t>Monthly Access Fees (000)</t>
  </si>
  <si>
    <t>LL Circuit Costs (000)</t>
  </si>
  <si>
    <t>Access fee per rental</t>
  </si>
  <si>
    <t>Circuit Costs per rental</t>
  </si>
  <si>
    <t>Cum Access Fees</t>
  </si>
  <si>
    <t>Cum Circuit Costs</t>
  </si>
  <si>
    <t>Rental Fees</t>
  </si>
  <si>
    <t>CRM Expenses</t>
  </si>
  <si>
    <t>Local loop circuit costs</t>
  </si>
  <si>
    <t>ASSUMPTIONS</t>
  </si>
  <si>
    <t>Master Services Agreement</t>
  </si>
  <si>
    <t>Rate EBS uses for analyst presentations; equity risk in US start-up</t>
  </si>
  <si>
    <t>Plus:   Hub/RF/Wire</t>
  </si>
  <si>
    <t>Total STB Cost</t>
  </si>
  <si>
    <t>Local Circuit</t>
  </si>
  <si>
    <t>MSA</t>
  </si>
  <si>
    <t>MSA_NAME</t>
  </si>
  <si>
    <t>POP_80</t>
  </si>
  <si>
    <t>POP_90</t>
  </si>
  <si>
    <t>POP_98</t>
  </si>
  <si>
    <t>POP_03</t>
  </si>
  <si>
    <t>POPGROWTH</t>
  </si>
  <si>
    <t>POPGROWRNK</t>
  </si>
  <si>
    <t>HHS_90</t>
  </si>
  <si>
    <t>HHS_98</t>
  </si>
  <si>
    <t>HHS_03</t>
  </si>
  <si>
    <t>HH_GROWTH</t>
  </si>
  <si>
    <t>AVGHHSIZE</t>
  </si>
  <si>
    <t>FAMS_90</t>
  </si>
  <si>
    <t>FAMS_98</t>
  </si>
  <si>
    <t>FAM_GROWTH</t>
  </si>
  <si>
    <t>PCTWPOP90</t>
  </si>
  <si>
    <t>PCTWPOP98</t>
  </si>
  <si>
    <t>PCTBPOP90</t>
  </si>
  <si>
    <t>PCTBPOP98</t>
  </si>
  <si>
    <t>PCTAPOP90</t>
  </si>
  <si>
    <t>PCTAPOP98</t>
  </si>
  <si>
    <t>PCTHPOP90</t>
  </si>
  <si>
    <t>PCTHPOP98</t>
  </si>
  <si>
    <t>P_AGE0_98</t>
  </si>
  <si>
    <t>P_AGE5_98</t>
  </si>
  <si>
    <t>P_AGE10_98</t>
  </si>
  <si>
    <t>P_AGE15_98</t>
  </si>
  <si>
    <t>P_AGE20_98</t>
  </si>
  <si>
    <t>P_AGE25_98</t>
  </si>
  <si>
    <t>P_AGE45_98</t>
  </si>
  <si>
    <t>P_AGE65_98</t>
  </si>
  <si>
    <t>P_AGE8598</t>
  </si>
  <si>
    <t>P_AGE18U98</t>
  </si>
  <si>
    <t>MEDAGE_90</t>
  </si>
  <si>
    <t>MEDAGE_98</t>
  </si>
  <si>
    <t>MFRATIO_98</t>
  </si>
  <si>
    <t>PCAPINC_98</t>
  </si>
  <si>
    <t>HHINCB_98</t>
  </si>
  <si>
    <t>PHHI0_98</t>
  </si>
  <si>
    <t>PHH15_98</t>
  </si>
  <si>
    <t>PHH25_98</t>
  </si>
  <si>
    <t>PHH50_98</t>
  </si>
  <si>
    <t>PHH100_98</t>
  </si>
  <si>
    <t>PHH150_98</t>
  </si>
  <si>
    <t>MDHHINC_98</t>
  </si>
  <si>
    <t>MDHHINC_03</t>
  </si>
  <si>
    <t>HHINCNRANK</t>
  </si>
  <si>
    <t>AVDSPINC</t>
  </si>
  <si>
    <t>AVDSPINC0</t>
  </si>
  <si>
    <t>AVDSPINC35</t>
  </si>
  <si>
    <t>AVDSPINC45</t>
  </si>
  <si>
    <t>AVDSPINC55</t>
  </si>
  <si>
    <t>AVDSPINC65</t>
  </si>
  <si>
    <t>AUTO_LOAN</t>
  </si>
  <si>
    <t>HOME_LOAN</t>
  </si>
  <si>
    <t>INVESTMENT</t>
  </si>
  <si>
    <t>RETIRPLANS</t>
  </si>
  <si>
    <t>HOMEREPAIR</t>
  </si>
  <si>
    <t>LAWN_GARDN</t>
  </si>
  <si>
    <t>REMODELING</t>
  </si>
  <si>
    <t>APPLIANCES</t>
  </si>
  <si>
    <t>ELECTRONIC</t>
  </si>
  <si>
    <t>FURNITURE</t>
  </si>
  <si>
    <t>RESTAURANT</t>
  </si>
  <si>
    <t>SPRTNG_GDS</t>
  </si>
  <si>
    <t>THEATERCON</t>
  </si>
  <si>
    <t>TOYS_HOBBY</t>
  </si>
  <si>
    <t>TRAVEL</t>
  </si>
  <si>
    <t>VIDEO_RENT</t>
  </si>
  <si>
    <t>APPAREL</t>
  </si>
  <si>
    <t>AUTO_AFTER</t>
  </si>
  <si>
    <t>HEALTH_INS</t>
  </si>
  <si>
    <t>PET_SUPPL</t>
  </si>
  <si>
    <t>Cumul Pop</t>
  </si>
  <si>
    <t>Cumul HH</t>
  </si>
  <si>
    <t>NEW YORK, NY</t>
  </si>
  <si>
    <t>Top metro</t>
  </si>
  <si>
    <t>% population</t>
  </si>
  <si>
    <t>% HH</t>
  </si>
  <si>
    <t>Total HH in 2003</t>
  </si>
  <si>
    <t>Average # of HH in 2001</t>
  </si>
  <si>
    <t>LOS ANGELES-L.BEACH</t>
  </si>
  <si>
    <t>CHICAGO, IL</t>
  </si>
  <si>
    <t>BOSTON-WOR-LAW-LW-BR</t>
  </si>
  <si>
    <t>WASHINGTON, DC</t>
  </si>
  <si>
    <t>PHILADELPHIA, PA-NJ</t>
  </si>
  <si>
    <t>DETROIT, MI</t>
  </si>
  <si>
    <t>ATLANTA, GA</t>
  </si>
  <si>
    <t>HOUSTON, TX</t>
  </si>
  <si>
    <t>DALLAS, TX</t>
  </si>
  <si>
    <t>PHOENIX-MESA, AZ</t>
  </si>
  <si>
    <t>RIVERSIDE-SAN BERN.</t>
  </si>
  <si>
    <t>MINNEAPOLIS-ST. PAUL</t>
  </si>
  <si>
    <t>SAN DIEGO, CA</t>
  </si>
  <si>
    <t>ORANGE COUNTY, CA</t>
  </si>
  <si>
    <t>SEATTLE-BELLEV-EV'TT</t>
  </si>
  <si>
    <t>ST. LOUIS, MO-IL</t>
  </si>
  <si>
    <t>TAMPA-ST.PETE-CLEARW</t>
  </si>
  <si>
    <t>BALTIMORE, MD</t>
  </si>
  <si>
    <t>PITTSBURGH, PA</t>
  </si>
  <si>
    <t>NASSAU-SUFFOLK, NY</t>
  </si>
  <si>
    <t>OAKLAND, CA</t>
  </si>
  <si>
    <t>CLEVELAND-LORAIN-ELY</t>
  </si>
  <si>
    <t>DENVER, CO</t>
  </si>
  <si>
    <t>PORTLAND-VANCOUVER</t>
  </si>
  <si>
    <t>MIAMI, FL</t>
  </si>
  <si>
    <t>NEWARK, NJ</t>
  </si>
  <si>
    <t>KANSAS CITY, MO-KS</t>
  </si>
  <si>
    <t>SAN FRANCISCO, CA</t>
  </si>
  <si>
    <t>FORT LAUDERDALE, FL</t>
  </si>
  <si>
    <t>FT. WORTH-ARLINGTON</t>
  </si>
  <si>
    <t>CINCINNATI, OH-KY-IN</t>
  </si>
  <si>
    <t>INDIANAPOLIS, IN</t>
  </si>
  <si>
    <t>LAS VEGAS, NV-AZ</t>
  </si>
  <si>
    <t>ORLANDO, FL</t>
  </si>
  <si>
    <t>SACRAMENTO, CA</t>
  </si>
  <si>
    <t>N.HAVEN-BRDGPRT..,CT</t>
  </si>
  <si>
    <t>COLUMBUS, OH</t>
  </si>
  <si>
    <t>SAN ANTONIO, TX</t>
  </si>
  <si>
    <t>NRFOLK-VA BCH-N.NEWS</t>
  </si>
  <si>
    <t>SAN JOSE, CA</t>
  </si>
  <si>
    <t>Pop 2003</t>
  </si>
  <si>
    <t>HH 2003</t>
  </si>
  <si>
    <t>CHARLOTTE-GAST-ROCK</t>
  </si>
  <si>
    <t>All</t>
  </si>
  <si>
    <t>MILWAUKEE-WAUKESHA</t>
  </si>
  <si>
    <t>AUSTIN-SAN MARCOS,TX</t>
  </si>
  <si>
    <t>NEW ORLEANS, LA</t>
  </si>
  <si>
    <t>BERGEN-PASSAIC, NJ</t>
  </si>
  <si>
    <t>G'BORO-W.SLM-H.PT,NC</t>
  </si>
  <si>
    <t>NASHVILLE, TN</t>
  </si>
  <si>
    <t>RALEIGH-DURHAM-CH.H.</t>
  </si>
  <si>
    <t>SALT LAKE CITY-OGDEN</t>
  </si>
  <si>
    <t>W.PALM BEACH-B.RATON</t>
  </si>
  <si>
    <t>BUFFALO-NIAGARA FLLS</t>
  </si>
  <si>
    <t>MONMOUTH-OCEAN, NJ</t>
  </si>
  <si>
    <t>MID'SX-SOMER'T-HUNT.</t>
  </si>
  <si>
    <t>JACKSONVILLE, FL</t>
  </si>
  <si>
    <t>MEMPHIS, TN-AR-MS</t>
  </si>
  <si>
    <t>ROCHESTER, NY</t>
  </si>
  <si>
    <t>OKLAHOMA CITY, OK</t>
  </si>
  <si>
    <t>HARTFORD, CT</t>
  </si>
  <si>
    <t>LOUISVILLE, KY-IN</t>
  </si>
  <si>
    <t>GR.RAPIDS-MSKGN-HOLL</t>
  </si>
  <si>
    <t>RICHMOND-PETERSBURG</t>
  </si>
  <si>
    <t>GREENVL-SPAR'BG-ANDR</t>
  </si>
  <si>
    <t>BIRMINGHAM, AL</t>
  </si>
  <si>
    <t>DAYTON-SPRINGFLD, OH</t>
  </si>
  <si>
    <t>TUCSON, AZ</t>
  </si>
  <si>
    <t>ALBANY-SCH.-TROY, NY</t>
  </si>
  <si>
    <t>PROVID.-WARWICK-PAW.</t>
  </si>
  <si>
    <t>TULSA, OK</t>
  </si>
  <si>
    <t>FRESNO, CA</t>
  </si>
  <si>
    <t>HONOLULU, HI</t>
  </si>
  <si>
    <t>KNOXVILLE, TN</t>
  </si>
  <si>
    <t>ALBUQUERQUE, NM</t>
  </si>
  <si>
    <t>AKRON, OH</t>
  </si>
  <si>
    <t>SYRACUSE, NY</t>
  </si>
  <si>
    <t>OMAHA, NE-IA</t>
  </si>
  <si>
    <t>TACOMA, WA</t>
  </si>
  <si>
    <t>VENTURA, CA</t>
  </si>
  <si>
    <t>SARASOTA-BRADENTON</t>
  </si>
  <si>
    <t>HARR'BG-LEBANON-CARL</t>
  </si>
  <si>
    <t>EL PASO, TX</t>
  </si>
  <si>
    <t>ALLENTWN-BETH-EASTON</t>
  </si>
  <si>
    <t>SCRANTON-W.BARRE-HAZ</t>
  </si>
  <si>
    <t>GARY, IN</t>
  </si>
  <si>
    <t>TOLEDO, OH</t>
  </si>
  <si>
    <t>YOUNGSTOWN-WARREN,OH</t>
  </si>
  <si>
    <t>WILMINGTON-NEWARK</t>
  </si>
  <si>
    <t>BATON ROUGE, LA</t>
  </si>
  <si>
    <t>BAKERSFIELD, CA</t>
  </si>
  <si>
    <t>SPRINGFIELD, MA</t>
  </si>
  <si>
    <t>LITTLE ROCK-N.LITTLE</t>
  </si>
  <si>
    <t>WICHITA, KS</t>
  </si>
  <si>
    <t>MOBILE, AL</t>
  </si>
  <si>
    <t>ANN ARBOR, MI</t>
  </si>
  <si>
    <t>DAYTONA BEACH, FL</t>
  </si>
  <si>
    <t>JERSEY CITY, NJ</t>
  </si>
  <si>
    <t>COLORADO SPRINGS, CO</t>
  </si>
  <si>
    <t>COLUMBIA, SC</t>
  </si>
  <si>
    <t>MELBRN-TITUSVL-P.BAY</t>
  </si>
  <si>
    <t>CHARLESTON-N.CHARLES</t>
  </si>
  <si>
    <t>J.CITY-KNGSPRT-BRIST</t>
  </si>
  <si>
    <t>STOCKTON-LODI, CA</t>
  </si>
  <si>
    <t>FORT WAYNE, IN</t>
  </si>
  <si>
    <t>LEXINGTON, KY</t>
  </si>
  <si>
    <t>CHATTANOOGA, TN-GA</t>
  </si>
  <si>
    <t>DES MOINES, IA</t>
  </si>
  <si>
    <t>LAKELND-WINTER HAVEN</t>
  </si>
  <si>
    <t>VALLEJO-FAIRFLD-NAPA</t>
  </si>
  <si>
    <t>AUGUSTA-AIKEN, GA-SC</t>
  </si>
  <si>
    <t>KALAMAZOO-BATTLE CRK</t>
  </si>
  <si>
    <t>SANTA ROSA, CA</t>
  </si>
  <si>
    <t>FT. MYERS-CAPE CORAL</t>
  </si>
  <si>
    <t>LANCASTER, PA</t>
  </si>
  <si>
    <t>SPOKANE, WA</t>
  </si>
  <si>
    <t>LANSING-E.LANSING,MI</t>
  </si>
  <si>
    <t>BOISE CITY, ID</t>
  </si>
  <si>
    <t>FLINT, MI</t>
  </si>
  <si>
    <t>MCALLN-EDNBG-MISSION</t>
  </si>
  <si>
    <t>MADISON, WI</t>
  </si>
  <si>
    <t>JACKSON, MS</t>
  </si>
  <si>
    <t>PENSACOLA, FL</t>
  </si>
  <si>
    <t>CANTON-MASSILLON, OH</t>
  </si>
  <si>
    <t>SAGINAW-B.CITY-MIDL.</t>
  </si>
  <si>
    <t>MODESTO, CA</t>
  </si>
  <si>
    <t>YORK, PA</t>
  </si>
  <si>
    <t>LAFAYETTE, LA</t>
  </si>
  <si>
    <t>SHREVEPRT-BOS'R CITY</t>
  </si>
  <si>
    <t>BEAUMONT-P.ARTHUR,TX</t>
  </si>
  <si>
    <t>HUNTSVILLE, AL</t>
  </si>
  <si>
    <t>CORPUS CHRISTI, TX</t>
  </si>
  <si>
    <t>S.BARB-S.MARIA-LOMP.</t>
  </si>
  <si>
    <t>ROCKFORD, IL</t>
  </si>
  <si>
    <t>DVNPRT-MOL.-R.ISLAND</t>
  </si>
  <si>
    <t>READING, PA</t>
  </si>
  <si>
    <t>RENO, NV</t>
  </si>
  <si>
    <t>BILOXI-GULFPORT-PAS.</t>
  </si>
  <si>
    <t>APPLTN-OSHKSH-NEENAH</t>
  </si>
  <si>
    <t>SALEM, OR</t>
  </si>
  <si>
    <t>ATLANTIC-CAPE MAY,NJ</t>
  </si>
  <si>
    <t>NEWBURGH, NY-PA</t>
  </si>
  <si>
    <t>EUGENE-SPRINGFLD, OR</t>
  </si>
  <si>
    <t>PEORIA-PEKIN, IL</t>
  </si>
  <si>
    <t>HICKRY-MRGNTN-LENOIR</t>
  </si>
  <si>
    <t>HAMILTON-MIDDLETOWN</t>
  </si>
  <si>
    <t>FT.PIERCE-P.ST.LUCIE</t>
  </si>
  <si>
    <t>MACON, GA</t>
  </si>
  <si>
    <t>SPRINGFIELD, MO</t>
  </si>
  <si>
    <t>MONTGOMERY, AL</t>
  </si>
  <si>
    <t>HUNTINGTON-ASHLAND</t>
  </si>
  <si>
    <t>FAYETTEVL-SPRNGD-ROG</t>
  </si>
  <si>
    <t>SALINAS, CA</t>
  </si>
  <si>
    <t>TRENTON, NJ</t>
  </si>
  <si>
    <t>VISALIA-TULARE-P'VLE</t>
  </si>
  <si>
    <t>EVANSVILLE-HENDERSON</t>
  </si>
  <si>
    <t>BOULDER-LONGMONT, CO</t>
  </si>
  <si>
    <t>SAVANNAH, GA</t>
  </si>
  <si>
    <t>KILLEEN-TEMPLE, TX</t>
  </si>
  <si>
    <t>BRWNSVL-HARL-S.BENIT</t>
  </si>
  <si>
    <t>PORTLAND, ME</t>
  </si>
  <si>
    <t>UTICA-ROME, NY</t>
  </si>
  <si>
    <t>CHARLESTON, WV</t>
  </si>
  <si>
    <t>OCALA, FL</t>
  </si>
  <si>
    <t>ERIE, PA</t>
  </si>
  <si>
    <t>ANCHORAGE, AK</t>
  </si>
  <si>
    <t>TALLAHASSEE, FL</t>
  </si>
  <si>
    <t>PROVO-OREM, UT</t>
  </si>
  <si>
    <t>COLUMBUS, GA-AL</t>
  </si>
  <si>
    <t>GALVESTON-TEXAS CITY</t>
  </si>
  <si>
    <t>SOUTH BEND, IN</t>
  </si>
  <si>
    <t>WILMINGTON, NC</t>
  </si>
  <si>
    <t>FAYETTEVILLE, NC</t>
  </si>
  <si>
    <t>FT. COLLINS-LOVELAND</t>
  </si>
  <si>
    <t>BREMERTON, WA</t>
  </si>
  <si>
    <t>LINCOLN, NE</t>
  </si>
  <si>
    <t>DULUTH-SUPERIOR</t>
  </si>
  <si>
    <t>BARNSTABLE-YARMOUTH</t>
  </si>
  <si>
    <t>DUTCHESS COUNTY, NY</t>
  </si>
  <si>
    <t>ROANOKE, VA</t>
  </si>
  <si>
    <t>ODESSA-MIDLAND, TX</t>
  </si>
  <si>
    <t>BINGHAMTON, NY</t>
  </si>
  <si>
    <t>NEW LONDON-NORWICH</t>
  </si>
  <si>
    <t>NAPLES, FL</t>
  </si>
  <si>
    <t>ASHEVILLE, NC</t>
  </si>
  <si>
    <t>S.LUIS O.-ATASC-PASO</t>
  </si>
  <si>
    <t>SANTA CRUZ-WATSONVLL</t>
  </si>
  <si>
    <t>OLYMPIA, WA</t>
  </si>
  <si>
    <t>LUBBOCK, TX</t>
  </si>
  <si>
    <t>JOHNSTOWN, PA</t>
  </si>
  <si>
    <t>GREEN BAY, WI</t>
  </si>
  <si>
    <t>BRAZORIA, TX</t>
  </si>
  <si>
    <t>AMARILLO, TX</t>
  </si>
  <si>
    <t>SPRINGFIELD, IL</t>
  </si>
  <si>
    <t>LYNCHBURG, VA</t>
  </si>
  <si>
    <t>LONGVIEW-MARSHALL,TX</t>
  </si>
  <si>
    <t>YAKIMA, WA</t>
  </si>
  <si>
    <t>WACO, TX</t>
  </si>
  <si>
    <t>MYRTLE BEACH, SC</t>
  </si>
  <si>
    <t>GAINESVILLE, FL</t>
  </si>
  <si>
    <t>CLARKSVLL-HOPKINSVLL</t>
  </si>
  <si>
    <t>BURLINGTON, VT</t>
  </si>
  <si>
    <t>CHICO-PARADISE, CA</t>
  </si>
  <si>
    <t>FORT SMITH, AR-OK</t>
  </si>
  <si>
    <t>CEDAR RAPIDS, IA</t>
  </si>
  <si>
    <t>MEDFORD-ASHLAND, OR</t>
  </si>
  <si>
    <t>RICHLAND-K'WCK-PASCO</t>
  </si>
  <si>
    <t>RACINE, WI</t>
  </si>
  <si>
    <t>LAKE CHARLES, LA</t>
  </si>
  <si>
    <t>TYLER, TX</t>
  </si>
  <si>
    <t>FARGO-MOORHEAD,ND-MN</t>
  </si>
  <si>
    <t>HOUMA, LA</t>
  </si>
  <si>
    <t>ELKHART-GOSHEN, IN</t>
  </si>
  <si>
    <t>MANSFIELD, OH</t>
  </si>
  <si>
    <t>BELLINGHAM, WA</t>
  </si>
  <si>
    <t>FORT WALTON BEACH,FL</t>
  </si>
  <si>
    <t>LAS CRUCES, NM</t>
  </si>
  <si>
    <t>TOPEKA, KS</t>
  </si>
  <si>
    <t>REDDING, CA</t>
  </si>
  <si>
    <t>LAFAYETTE, IN</t>
  </si>
  <si>
    <t>SIOUX FALLS, SD</t>
  </si>
  <si>
    <t>TUSCALOOSA, AL</t>
  </si>
  <si>
    <t>PUNTA GORDA, FL</t>
  </si>
  <si>
    <t>GREELEY, CO</t>
  </si>
  <si>
    <t>MERCED, CA</t>
  </si>
  <si>
    <t>CHAMPAIGN-URBANA, IL</t>
  </si>
  <si>
    <t>SANTA FE, NM</t>
  </si>
  <si>
    <t>BENTON HARBOR, MI</t>
  </si>
  <si>
    <t>JOPLIN, MO</t>
  </si>
  <si>
    <t>WHEELING, WV-OH</t>
  </si>
  <si>
    <t>PARKERSBURG-MARIETTA</t>
  </si>
  <si>
    <t>JANESVILLE-BELOIT,WI</t>
  </si>
  <si>
    <t>CHARLOTTESVILLE, VA</t>
  </si>
  <si>
    <t>PANAMA CITY, FL</t>
  </si>
  <si>
    <t>ST. CLOUD, MN</t>
  </si>
  <si>
    <t>JACKSON, MI</t>
  </si>
  <si>
    <t>YOLO, CA</t>
  </si>
  <si>
    <t>DECATUR, AL</t>
  </si>
  <si>
    <t>KENOSHA, WI</t>
  </si>
  <si>
    <t>LAREDO, TX</t>
  </si>
  <si>
    <t>ROCKY MOUNT, NC</t>
  </si>
  <si>
    <t>TERRE HAUTE, IN</t>
  </si>
  <si>
    <t>FLORENCE, AL</t>
  </si>
  <si>
    <t>ATHENS, GA</t>
  </si>
  <si>
    <t>LIMA, OH</t>
  </si>
  <si>
    <t>EAU CLAIRE, WI</t>
  </si>
  <si>
    <t>BLOOMINGTN-NORMAL,IL</t>
  </si>
  <si>
    <t>BANGOR, ME</t>
  </si>
  <si>
    <t>PUEBLO, CO</t>
  </si>
  <si>
    <t>MONROE, LA</t>
  </si>
  <si>
    <t>BILLINGS, MT</t>
  </si>
  <si>
    <t>PITTSFIELD, MA</t>
  </si>
  <si>
    <t>COLUMBIA, MO</t>
  </si>
  <si>
    <t>YUMA, AZ</t>
  </si>
  <si>
    <t>DOTHAN, AL</t>
  </si>
  <si>
    <t>STEUBENVILLE-WEIRTON</t>
  </si>
  <si>
    <t>YUBA CITY, CA</t>
  </si>
  <si>
    <t>JAMESTOWN, NY</t>
  </si>
  <si>
    <t>BRYAN-COLLEGE STA,TX</t>
  </si>
  <si>
    <t>WICHITA FALLS, TX</t>
  </si>
  <si>
    <t>ALTOONA, PA</t>
  </si>
  <si>
    <t>GREENVILLE, NC</t>
  </si>
  <si>
    <t>GRAND JUNCTION, CO</t>
  </si>
  <si>
    <t>DOVER, DE</t>
  </si>
  <si>
    <t>HAGERSTOWN, MD</t>
  </si>
  <si>
    <t>FLORENCE, SC</t>
  </si>
  <si>
    <t>STATE COLLEGE, PA</t>
  </si>
  <si>
    <t>VINELND-M'VLE-BRDGTN</t>
  </si>
  <si>
    <t>LA CROSSE, WI-MN</t>
  </si>
  <si>
    <t>TEXARKANA, TX-AR</t>
  </si>
  <si>
    <t>WAUSAU, WI</t>
  </si>
  <si>
    <t>SIOUX CITY, IA-NE</t>
  </si>
  <si>
    <t>SHARON, PA</t>
  </si>
  <si>
    <t>WATERLOO-CEDAR FALLS</t>
  </si>
  <si>
    <t>GLENS FALLS, NY</t>
  </si>
  <si>
    <t>ANNISTON, AL</t>
  </si>
  <si>
    <t>ROCHESTER, MN</t>
  </si>
  <si>
    <t>ABILENE, TX</t>
  </si>
  <si>
    <t>BLOOMINGTON, IN</t>
  </si>
  <si>
    <t>ALEXANDRIA, LA</t>
  </si>
  <si>
    <t>HATTIESBURG, MS</t>
  </si>
  <si>
    <t>WILLIAMSPORT, PA</t>
  </si>
  <si>
    <t>MUNCIE, IN</t>
  </si>
  <si>
    <t>FLAGSTAFF, AZ-UT</t>
  </si>
  <si>
    <t>GADSDEN, AL</t>
  </si>
  <si>
    <t>ALBANY, GA</t>
  </si>
  <si>
    <t>SHEBOYGAN, WI</t>
  </si>
  <si>
    <t>DECATUR, IL</t>
  </si>
  <si>
    <t>DANVILLE, VA</t>
  </si>
  <si>
    <t>SHERMAN-DENISON, TX</t>
  </si>
  <si>
    <t>GOLDSBORO, NC</t>
  </si>
  <si>
    <t>KOKOMO, IN</t>
  </si>
  <si>
    <t>IOWA CITY, IA</t>
  </si>
  <si>
    <t>JACKSON, TN</t>
  </si>
  <si>
    <t>JACKSONVILLE, NC</t>
  </si>
  <si>
    <t>SAN ANGELO, TX</t>
  </si>
  <si>
    <t>LEWISTON-AUBURN, ME</t>
  </si>
  <si>
    <t>CUMBERLAND, MD-WV</t>
  </si>
  <si>
    <t>KANKAKEE, IL</t>
  </si>
  <si>
    <t>LAWTON, OK</t>
  </si>
  <si>
    <t>LAWRENCE, KS</t>
  </si>
  <si>
    <t>BISMARCK, ND</t>
  </si>
  <si>
    <t>ST. JOSEPH, MO</t>
  </si>
  <si>
    <t>SUMTER, SC</t>
  </si>
  <si>
    <t>OWENSBORO, KY</t>
  </si>
  <si>
    <t>GRAND FORKS, ND-MN</t>
  </si>
  <si>
    <t>RAPID CITY, SD</t>
  </si>
  <si>
    <t>ELMIRA, NY</t>
  </si>
  <si>
    <t>CHEYENNE, WY</t>
  </si>
  <si>
    <t>DUBUQUE, IA</t>
  </si>
  <si>
    <t>JONESBORO, AR</t>
  </si>
  <si>
    <t>GREAT FALLS, MT</t>
  </si>
  <si>
    <t>VICTORIA, TX</t>
  </si>
  <si>
    <t>POCATELLO, ID</t>
  </si>
  <si>
    <t>PINE BLUFF, AR</t>
  </si>
  <si>
    <t>CASPER, WY</t>
  </si>
  <si>
    <t>ENID, OK</t>
  </si>
  <si>
    <t>Jeff Palmer</t>
  </si>
  <si>
    <t>STB Team</t>
  </si>
  <si>
    <t>Scenario Analysis</t>
  </si>
  <si>
    <t xml:space="preserve">SET-TOP BOX </t>
  </si>
  <si>
    <t>STB CO. Economics (in '000) - Cash Flow</t>
  </si>
  <si>
    <t xml:space="preserve">LOCAL LOOP COST </t>
  </si>
  <si>
    <t>Total Streaming Server Needed</t>
  </si>
  <si>
    <t>Per Server Cost ('000)</t>
  </si>
  <si>
    <t>Total Server Cost from nCube</t>
  </si>
  <si>
    <t>DSL Homes per CO</t>
  </si>
  <si>
    <t>Number of new release per month</t>
  </si>
  <si>
    <t>Streams</t>
  </si>
  <si>
    <t>Year 1</t>
  </si>
  <si>
    <t>Year 2</t>
  </si>
  <si>
    <t>Commitment</t>
  </si>
  <si>
    <t>$/mbps</t>
  </si>
  <si>
    <t>nABLE/stream</t>
  </si>
  <si>
    <t>Price Drop</t>
  </si>
  <si>
    <t>$5MM</t>
  </si>
  <si>
    <t>$10MM</t>
  </si>
  <si>
    <t>$15MM</t>
  </si>
  <si>
    <t>$20MM</t>
  </si>
  <si>
    <t>nCube Pricing Matrix</t>
  </si>
  <si>
    <t>Average</t>
  </si>
  <si>
    <t>of server price</t>
  </si>
  <si>
    <t>Bandwidth Expenses Allocated</t>
  </si>
  <si>
    <t>% of Bandwidth Costs RBOC Allocated</t>
  </si>
  <si>
    <t>Data transported to each ISP POP per month (GB/POP)</t>
  </si>
  <si>
    <t>Content Updates From Data Center to ISP POPs</t>
  </si>
  <si>
    <t>Total GBs Transported from Data Center to ISP POPs</t>
  </si>
  <si>
    <t>Total Content Updates Cost ($ 000)</t>
  </si>
  <si>
    <t>Need Server Redundancy?</t>
  </si>
  <si>
    <t>No</t>
  </si>
  <si>
    <t>VOD Market Size</t>
  </si>
  <si>
    <t>Maximum library capacity</t>
  </si>
  <si>
    <t>3% inflation</t>
  </si>
  <si>
    <t>Martin Sacchi</t>
  </si>
  <si>
    <t>Encoding charge per minute</t>
  </si>
  <si>
    <t>License Fee ($000)</t>
  </si>
  <si>
    <t>Product Support Fee per Quarter ($000)</t>
  </si>
  <si>
    <t>DRM License Fee</t>
  </si>
  <si>
    <t>Product Support Fee</t>
  </si>
  <si>
    <t>Share %</t>
  </si>
  <si>
    <t>Network O&amp;M Costs</t>
  </si>
  <si>
    <t>Customer Relationship Management Costs (CRM)</t>
  </si>
  <si>
    <t>Historical spending</t>
  </si>
  <si>
    <t>Nikhil Shah</t>
  </si>
  <si>
    <t>Charge from InterTrust</t>
  </si>
  <si>
    <t>Charge from Macrovision</t>
  </si>
  <si>
    <t>One-time Royalty ($000)</t>
  </si>
  <si>
    <t>Standard Transaction Royalty</t>
  </si>
  <si>
    <t>on transaction revenue</t>
  </si>
  <si>
    <t>Pay-to-Tape Supplement Royalty</t>
  </si>
  <si>
    <t>on per authorized copy tape</t>
  </si>
  <si>
    <t>InterTrust Charge</t>
  </si>
  <si>
    <t>Macrovision Charge</t>
  </si>
  <si>
    <t>Enron Expenses ($000)</t>
  </si>
  <si>
    <t xml:space="preserve">One-time Royalty </t>
  </si>
  <si>
    <t>Total Movie Rental Revenue ($000)</t>
  </si>
  <si>
    <t>Total Movie Sale Revenue ($000)</t>
  </si>
  <si>
    <t>Total InterTrust</t>
  </si>
  <si>
    <t>Total Macrovision</t>
  </si>
  <si>
    <t>On Per Rental Basis</t>
  </si>
  <si>
    <t>Revenue</t>
  </si>
  <si>
    <t>Expense</t>
  </si>
  <si>
    <t xml:space="preserve">Net Margin </t>
  </si>
  <si>
    <t>Note</t>
  </si>
  <si>
    <t>CRM Cost Sharing</t>
  </si>
  <si>
    <t>Plus:   Installation (Customer Activation)</t>
  </si>
  <si>
    <t>Access Fee Sensitivity Range: $0 - $10</t>
  </si>
  <si>
    <t>Total Local Loop Costs ('$ 000)</t>
  </si>
  <si>
    <t>Distribution Assumptions</t>
  </si>
  <si>
    <t>Network Topology</t>
  </si>
  <si>
    <t>Bandwidth cost from CO to home ($/GB) - Peak</t>
  </si>
  <si>
    <t>Bandwidth cost from CO to home ($/GB) - Off-Peak</t>
  </si>
  <si>
    <t>Minutes per movie</t>
  </si>
  <si>
    <t>Total bandwidth cost from DC to ISP per month ($)</t>
  </si>
  <si>
    <t>$1100 for 1 mile; $40/mile; 5 mile average distance between CO and POP</t>
  </si>
  <si>
    <t>Average milesbetween CO and POP</t>
  </si>
  <si>
    <t>BBI Share of CRM Cost</t>
  </si>
  <si>
    <t>Revenues ($000)</t>
  </si>
  <si>
    <t>Earning Before Interest &amp; Tax (EBIT)</t>
  </si>
  <si>
    <t>Expenses ($000)</t>
  </si>
  <si>
    <t>Less: Depreciation</t>
  </si>
  <si>
    <t>Earning Before Interest,Tax,Depr. &amp; Amort. (EBITDA)</t>
  </si>
  <si>
    <t>Average Income Tax Rate (Federal plus local)</t>
  </si>
  <si>
    <t>Income Tax Rate (Federal plus local)</t>
  </si>
  <si>
    <t>Richard Anderson, EBS Tax</t>
  </si>
  <si>
    <t>Plus: Depreciation</t>
  </si>
  <si>
    <t>Less: Capital Expenditures</t>
  </si>
  <si>
    <t>Server</t>
  </si>
  <si>
    <t>Other</t>
  </si>
  <si>
    <t>Depreciation Assumptions</t>
  </si>
  <si>
    <t>Average tax rate</t>
  </si>
  <si>
    <t>Working Capital Assumption</t>
  </si>
  <si>
    <t>Set-top Box</t>
  </si>
  <si>
    <t>Depr. Life</t>
  </si>
  <si>
    <t>Depr. Method</t>
  </si>
  <si>
    <t>Salvage Value</t>
  </si>
  <si>
    <t>S/L</t>
  </si>
  <si>
    <t>*</t>
  </si>
  <si>
    <t>Less: Cash Income Tax</t>
  </si>
  <si>
    <t>Net Operating Profit Less Adjusted Tax (NOPLAT)</t>
  </si>
  <si>
    <t>Operating Free Cash Flow</t>
  </si>
  <si>
    <t>Gross Cash Flow</t>
  </si>
  <si>
    <t>Streaming Server</t>
  </si>
  <si>
    <t>Capital Expenditure</t>
  </si>
  <si>
    <t>Depreciation Basis</t>
  </si>
  <si>
    <t>CAPEX ($000)</t>
  </si>
  <si>
    <t>Useful Life (Yrs)</t>
  </si>
  <si>
    <r>
      <t>*</t>
    </r>
    <r>
      <rPr>
        <sz val="10"/>
        <rFont val="Arial"/>
        <family val="2"/>
      </rPr>
      <t xml:space="preserve"> </t>
    </r>
    <r>
      <rPr>
        <sz val="9"/>
        <rFont val="Arial"/>
        <family val="2"/>
      </rPr>
      <t>S/L - Straight Line</t>
    </r>
  </si>
  <si>
    <t>Remaining Asset Value</t>
  </si>
  <si>
    <t>Total Asset Depreciation ($000)</t>
  </si>
  <si>
    <t>CUSTOMER RELATIONSHIP MANAGEMENT</t>
  </si>
  <si>
    <t>DEPRECIATION SCHEDULE</t>
  </si>
  <si>
    <t>Current Year Asset Depreciation</t>
  </si>
  <si>
    <t>PROJECT FREE CASH FLOW</t>
  </si>
  <si>
    <t>EBS FREE CASH FLOW</t>
  </si>
  <si>
    <r>
      <t xml:space="preserve">PROJECT </t>
    </r>
    <r>
      <rPr>
        <b/>
        <sz val="10"/>
        <rFont val="Arial"/>
        <family val="2"/>
      </rPr>
      <t>CASH FLOW (in $000)</t>
    </r>
  </si>
  <si>
    <t>Set-Top Box Revenues</t>
  </si>
  <si>
    <t xml:space="preserve">Total Revenues </t>
  </si>
  <si>
    <t xml:space="preserve">Total Expenses </t>
  </si>
  <si>
    <t>Total Revenue</t>
  </si>
  <si>
    <r>
      <t xml:space="preserve">EBS </t>
    </r>
    <r>
      <rPr>
        <b/>
        <sz val="10"/>
        <rFont val="Arial"/>
        <family val="2"/>
      </rPr>
      <t>CASH FLOW (in $000)</t>
    </r>
  </si>
  <si>
    <t>Total Expenses</t>
  </si>
  <si>
    <t>STB Depreciation? (1 = Yes, 0= No)</t>
  </si>
  <si>
    <r>
      <t xml:space="preserve">NPV Project Value ($000) - </t>
    </r>
    <r>
      <rPr>
        <b/>
        <sz val="10"/>
        <color indexed="10"/>
        <rFont val="Arial"/>
        <family val="2"/>
      </rPr>
      <t>20 Year</t>
    </r>
  </si>
  <si>
    <r>
      <t xml:space="preserve">NPV Project Value ($000) - </t>
    </r>
    <r>
      <rPr>
        <b/>
        <sz val="10"/>
        <color indexed="10"/>
        <rFont val="Arial"/>
        <family val="2"/>
      </rPr>
      <t>3 Year</t>
    </r>
  </si>
  <si>
    <r>
      <t xml:space="preserve">NPV Project Value ($000) - </t>
    </r>
    <r>
      <rPr>
        <b/>
        <sz val="10"/>
        <color indexed="10"/>
        <rFont val="Arial"/>
        <family val="2"/>
      </rPr>
      <t>5 Year</t>
    </r>
  </si>
  <si>
    <r>
      <t xml:space="preserve">NPV Project Value ($000) - </t>
    </r>
    <r>
      <rPr>
        <b/>
        <sz val="10"/>
        <color indexed="10"/>
        <rFont val="Arial"/>
        <family val="2"/>
      </rPr>
      <t>10 Year</t>
    </r>
  </si>
  <si>
    <r>
      <t xml:space="preserve">NPV EBS Value ($000) - </t>
    </r>
    <r>
      <rPr>
        <b/>
        <sz val="10"/>
        <color indexed="10"/>
        <rFont val="Arial"/>
        <family val="2"/>
      </rPr>
      <t>20 Year</t>
    </r>
  </si>
  <si>
    <r>
      <t xml:space="preserve">NPV EBS Value ($000) - </t>
    </r>
    <r>
      <rPr>
        <b/>
        <sz val="10"/>
        <color indexed="10"/>
        <rFont val="Arial"/>
        <family val="2"/>
      </rPr>
      <t>3 Year</t>
    </r>
  </si>
  <si>
    <r>
      <t xml:space="preserve">NPV EBS Value ($000) - </t>
    </r>
    <r>
      <rPr>
        <b/>
        <sz val="10"/>
        <color indexed="10"/>
        <rFont val="Arial"/>
        <family val="2"/>
      </rPr>
      <t>5 Year</t>
    </r>
  </si>
  <si>
    <r>
      <t xml:space="preserve">NPV EBS Value ($000) - </t>
    </r>
    <r>
      <rPr>
        <b/>
        <sz val="10"/>
        <color indexed="10"/>
        <rFont val="Arial"/>
        <family val="2"/>
      </rPr>
      <t>10 Year</t>
    </r>
  </si>
  <si>
    <t>Breakeven/Payback Year (Discounted)</t>
  </si>
  <si>
    <t>Breakeven/Payback Year (Cumulative)</t>
  </si>
  <si>
    <r>
      <t xml:space="preserve">BBI </t>
    </r>
    <r>
      <rPr>
        <b/>
        <sz val="10"/>
        <rFont val="Arial"/>
        <family val="2"/>
      </rPr>
      <t>CASH FLOW (in $000)</t>
    </r>
  </si>
  <si>
    <t>BBI FREE CASH FLOW</t>
  </si>
  <si>
    <t>EBS Network Service Fee</t>
  </si>
  <si>
    <t>Studio Royalties</t>
  </si>
  <si>
    <t>Depreciation</t>
  </si>
  <si>
    <t>average from three encoding houses</t>
  </si>
  <si>
    <t>DLT Formating</t>
  </si>
  <si>
    <t>per movie</t>
  </si>
  <si>
    <t>Shipping</t>
  </si>
  <si>
    <t>Other Encoding Costs</t>
  </si>
  <si>
    <t>Encoding Charge</t>
  </si>
  <si>
    <t>Average Salary/FTE ('$ 000)</t>
  </si>
  <si>
    <t>Overhead %</t>
  </si>
  <si>
    <t>Total $/FTE ('$ 000)</t>
  </si>
  <si>
    <t>Gay Mayeux, CRM Team; SONETA Agreement</t>
  </si>
  <si>
    <t>Based on nCube Purchase Agreement</t>
  </si>
  <si>
    <t>Simultaneous Stream Bit Rate</t>
  </si>
  <si>
    <t>Streaming Server Throughput</t>
  </si>
  <si>
    <t>Simultaneous Streams per Server</t>
  </si>
  <si>
    <t>Price/Hardware (Equipment)</t>
  </si>
  <si>
    <t>Price/Software (nABLE)</t>
  </si>
  <si>
    <t>Price/Server ($000) - Hardware and Software</t>
  </si>
  <si>
    <t>Product Support</t>
  </si>
  <si>
    <t>per Mbps</t>
  </si>
  <si>
    <t>per stream</t>
  </si>
  <si>
    <t>(scalable)</t>
  </si>
  <si>
    <t>nCube Purchase Agreement</t>
  </si>
  <si>
    <t>Yearly Decline Rate on Server Cost</t>
  </si>
  <si>
    <t>EBS Technical Team</t>
  </si>
  <si>
    <t>EBS Technical projection</t>
  </si>
  <si>
    <t>BBI - Allen Klose</t>
  </si>
  <si>
    <t>EBS/McKinsey</t>
  </si>
  <si>
    <t>EBS Marketing/McKinsey</t>
  </si>
  <si>
    <t>Based on US average of 14,100/CO. Increased by10% for high-density in metros; McKinsey estimates</t>
  </si>
  <si>
    <t>Level III pricing from desk; RBOC quotes from McKinsey</t>
  </si>
  <si>
    <t>BBI/EBS - based on Marketing Plan</t>
  </si>
  <si>
    <t>EBS/McKinsey - population estimates</t>
  </si>
  <si>
    <t>Year over year growth from MSDW Broadband Report</t>
  </si>
  <si>
    <t>BBI - based on focus group customers</t>
  </si>
  <si>
    <t>EBS projection - only stream from local POP to cust.</t>
  </si>
  <si>
    <t>EBS projection -  Need to confirm for RAC group</t>
  </si>
  <si>
    <t>BBI - includes previews and some trailers</t>
  </si>
  <si>
    <t>Assume that customer purchases STB from retail</t>
  </si>
  <si>
    <t xml:space="preserve">   stores (Circuit City, Best Buy, etc.)  after 2003</t>
  </si>
  <si>
    <t>Jeff Palmer - engineer in STB group</t>
  </si>
  <si>
    <t>EBS Marketing - assume "plug &amp; play" post 2003</t>
  </si>
  <si>
    <t>EBS - Based on $6.99/mo for 36 mos yrs 2001 - 3</t>
  </si>
  <si>
    <t>EBS or STB Manu must fund this amount</t>
  </si>
  <si>
    <t>Based on STB priced in line 73</t>
  </si>
  <si>
    <t>BBI Marketing - Avg price per movie</t>
  </si>
  <si>
    <t>Paid directly to Studios</t>
  </si>
  <si>
    <t>EBS Marketing Team</t>
  </si>
  <si>
    <t>Access fee for VOD service - in addition to monthly fee</t>
  </si>
  <si>
    <t xml:space="preserve">  paid to BDP for standard DSL service</t>
  </si>
  <si>
    <t>% EBS Ownership</t>
  </si>
  <si>
    <t>% of POP to CO Bandwidth Cost Borne by EBS/BBI</t>
  </si>
  <si>
    <t>Price Sharing Mechanism with BDP</t>
  </si>
  <si>
    <t>Lump sum paid per BDP distribution partner ($MM)</t>
  </si>
  <si>
    <t>BDPs signed per Year</t>
  </si>
  <si>
    <t>BDP Share of VOD service fee</t>
  </si>
  <si>
    <t>BDP VOD service fee</t>
  </si>
  <si>
    <t xml:space="preserve">     split between parties has not been presented to</t>
  </si>
  <si>
    <t xml:space="preserve">     BDPs, although it is understood there will be some</t>
  </si>
  <si>
    <t xml:space="preserve">      form of Revenue sharing</t>
  </si>
  <si>
    <t xml:space="preserve">EBS Commercial Team -  Access fee and associated </t>
  </si>
  <si>
    <t>EBS - Estimated cost for BDP to upgrade service</t>
  </si>
  <si>
    <t>EBS Network - located in Houston, Portland &amp; NYC</t>
  </si>
  <si>
    <t>Full VOD library stored at each Master POP</t>
  </si>
  <si>
    <t>Hardware + Software costs</t>
  </si>
  <si>
    <t>(Edge Servers)</t>
  </si>
  <si>
    <t>Stream most popular movies to Edge</t>
  </si>
  <si>
    <t>Sherron Watkins</t>
  </si>
  <si>
    <t>(Long Haul Costs)</t>
  </si>
  <si>
    <t>(Local Loop Costs)</t>
  </si>
  <si>
    <t>Technical Team</t>
  </si>
  <si>
    <t>Standard capacity by definition</t>
  </si>
  <si>
    <t>InterTrust License Agreement</t>
  </si>
  <si>
    <t>MacroVision Service Agreement (Draft)</t>
  </si>
  <si>
    <t xml:space="preserve">Encrypts content to prevent theft from network &amp; </t>
  </si>
  <si>
    <t xml:space="preserve">   software on STB provides encryption key.</t>
  </si>
  <si>
    <t>Prevents quality taping off STB - addl. theft control</t>
  </si>
  <si>
    <t>EBS Share of CRM Cost</t>
  </si>
  <si>
    <t>Convert analog content to digital</t>
  </si>
  <si>
    <t>100% BBI Responsibility</t>
  </si>
  <si>
    <t>Total Recurring Encoding Costs</t>
  </si>
  <si>
    <t>Monthly</t>
  </si>
  <si>
    <t>Amortization Schedule</t>
  </si>
  <si>
    <t>Movies Encoded Monthly</t>
  </si>
  <si>
    <t>Total Monthly Encoding Costs</t>
  </si>
  <si>
    <t>Yearly</t>
  </si>
  <si>
    <t>Monthly + Other  Encoded Movies</t>
  </si>
  <si>
    <t>Total Yearly Encoding</t>
  </si>
  <si>
    <t>Beg Inventory</t>
  </si>
  <si>
    <t>End Inventory</t>
  </si>
  <si>
    <t>Encoding Charge for Orig 500 Movies</t>
  </si>
  <si>
    <t>Mos</t>
  </si>
  <si>
    <t>Movies from Year 1</t>
  </si>
  <si>
    <t>Movies from Year 2</t>
  </si>
  <si>
    <t>Movies from Year 3</t>
  </si>
  <si>
    <t>50% Amortized over first 3 mos of movie release to VOD service, remaining 50% over next 33 mos.</t>
  </si>
  <si>
    <t>Connie Lee - based on BBI amortization of videos</t>
  </si>
  <si>
    <t>Encoding amortization (treated as inventory)</t>
  </si>
  <si>
    <t>COGS</t>
  </si>
  <si>
    <t>Encoding</t>
  </si>
  <si>
    <t>Working Capital Calculations</t>
  </si>
  <si>
    <t>Changes in Inventory</t>
  </si>
  <si>
    <t>Additions</t>
  </si>
  <si>
    <t>Recognition of Encoding Costs</t>
  </si>
  <si>
    <t>Beg A/R</t>
  </si>
  <si>
    <t>Collections</t>
  </si>
  <si>
    <t>End A/R</t>
  </si>
  <si>
    <t>Changes in A/R</t>
  </si>
  <si>
    <t>Assume STB income is recognized upfront       1=Yes  0=No</t>
  </si>
  <si>
    <t>Accounts Receivable</t>
  </si>
  <si>
    <t>Inventory</t>
  </si>
  <si>
    <t>Less:  Investments in WC</t>
  </si>
  <si>
    <t>Assume project bears STB responsibility (1 = Yes, 0 = No)</t>
  </si>
  <si>
    <t>ENE Share of CRM Cost</t>
  </si>
  <si>
    <t>Per Subscriber per month CRM Cost Curve</t>
  </si>
  <si>
    <t>Server Declining 25%</t>
  </si>
  <si>
    <t>10 Yr NPV</t>
  </si>
  <si>
    <t>Lower Bit Rate 1.5 to 1.1 starting year 2002</t>
  </si>
  <si>
    <t>Server useful Life from 3 year to 5 year</t>
  </si>
  <si>
    <t>ISP POP from 1 to 3 per metro</t>
  </si>
  <si>
    <t>Additional 20% Equipment Cost</t>
  </si>
  <si>
    <t>Total Rack Equipment Cost</t>
  </si>
  <si>
    <t>Additional Rack Equipment</t>
  </si>
  <si>
    <t>of server cost</t>
  </si>
  <si>
    <t>Local Loop $0.2, $2.5 access, no home inst.</t>
  </si>
  <si>
    <t>Martin Sacchi - assume "plug &amp; play" post 2003</t>
  </si>
  <si>
    <t xml:space="preserve">Revenue share paid by Blockbuster </t>
  </si>
  <si>
    <t>Revenue share paid by EBS</t>
  </si>
  <si>
    <t>Re-encoding initial titles due to lower bit rate</t>
  </si>
  <si>
    <t>Previous 10 Year NPV</t>
  </si>
  <si>
    <t>NPV % Drop</t>
  </si>
  <si>
    <t>Incremental servers required for all ISP POPs (5 yr life)</t>
  </si>
  <si>
    <t>Total number of servers needed for all DC POPs (5 yr life)</t>
  </si>
  <si>
    <t>Based on avg # of subscribers per year</t>
  </si>
  <si>
    <t>EBS/nCube; BBI store data</t>
  </si>
  <si>
    <t>Master Services Agreement (New)</t>
  </si>
  <si>
    <t>Master Service Agreement (New)</t>
  </si>
  <si>
    <t xml:space="preserve">Pricing from Distribution Group as of </t>
  </si>
  <si>
    <t>Daryl Flaming</t>
  </si>
  <si>
    <t xml:space="preserve">   </t>
  </si>
  <si>
    <t>CRM</t>
  </si>
  <si>
    <t>Working Capital Calculations--Project</t>
  </si>
  <si>
    <t>Working Capital Calculations--EBSCS</t>
  </si>
  <si>
    <t>Gay Mayeux</t>
  </si>
  <si>
    <t>MSA Agreement, Consent &amp; Amendment to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</si>
</sst>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%"/>
    <numFmt numFmtId="169" formatCode="0.000"/>
    <numFmt numFmtId="170" formatCode="0.0"/>
    <numFmt numFmtId="179" formatCode="_(* #,##0.0000000_);_(* \(#,##0.0000000\);_(* &quot;-&quot;??_);_(@_)"/>
    <numFmt numFmtId="180" formatCode="#,##0.0"/>
    <numFmt numFmtId="181" formatCode="0_);\(0\)"/>
    <numFmt numFmtId="182" formatCode="0.0_);\(0.0\)"/>
    <numFmt numFmtId="185" formatCode="_(&quot;$&quot;* #,##0_);_(&quot;$&quot;* \(#,##0\);_(&quot;$&quot;* &quot;-&quot;??_);_(@_)"/>
    <numFmt numFmtId="204" formatCode="&quot;$&quot;#,##0"/>
    <numFmt numFmtId="205" formatCode="&quot;$&quot;#,##0.0"/>
    <numFmt numFmtId="206" formatCode="&quot;$&quot;#,##0.00"/>
    <numFmt numFmtId="207" formatCode="&quot;$&quot;#,##0.000"/>
    <numFmt numFmtId="212" formatCode="&quot;$&quot;#,##0.0_);[Red]\(&quot;$&quot;#,##0.0\)"/>
    <numFmt numFmtId="222" formatCode="0.0\ &quot;Mbps&quot;"/>
    <numFmt numFmtId="245" formatCode="General\ &quot;year&quot;"/>
    <numFmt numFmtId="246" formatCode="0\ &quot;Mbps&quot;"/>
  </numFmts>
  <fonts count="4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 val="doubleAccounting"/>
      <sz val="10"/>
      <name val="Arial"/>
      <family val="2"/>
    </font>
    <font>
      <i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b/>
      <i/>
      <u/>
      <sz val="10"/>
      <color indexed="10"/>
      <name val="Arial"/>
      <family val="2"/>
    </font>
    <font>
      <b/>
      <i/>
      <sz val="11"/>
      <color indexed="23"/>
      <name val="Arial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Arial"/>
    </font>
    <font>
      <sz val="10"/>
      <color indexed="9"/>
      <name val="Times New Roman"/>
      <family val="1"/>
    </font>
    <font>
      <b/>
      <sz val="10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2">
    <xf numFmtId="0" fontId="0" fillId="0" borderId="0" xfId="0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4" fillId="0" borderId="1" xfId="0" applyFont="1" applyBorder="1"/>
    <xf numFmtId="0" fontId="6" fillId="2" borderId="0" xfId="0" applyFont="1" applyFill="1"/>
    <xf numFmtId="0" fontId="7" fillId="2" borderId="0" xfId="0" applyFont="1" applyFill="1"/>
    <xf numFmtId="0" fontId="7" fillId="0" borderId="0" xfId="0" applyFont="1" applyFill="1"/>
    <xf numFmtId="9" fontId="8" fillId="3" borderId="2" xfId="3" applyFont="1" applyFill="1" applyBorder="1" applyAlignment="1">
      <alignment horizontal="center"/>
    </xf>
    <xf numFmtId="180" fontId="8" fillId="3" borderId="2" xfId="3" applyNumberFormat="1" applyFont="1" applyFill="1" applyBorder="1" applyAlignment="1">
      <alignment horizontal="center"/>
    </xf>
    <xf numFmtId="3" fontId="8" fillId="3" borderId="2" xfId="3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4" borderId="0" xfId="0" applyFont="1" applyFill="1"/>
    <xf numFmtId="0" fontId="9" fillId="0" borderId="0" xfId="0" applyFont="1"/>
    <xf numFmtId="0" fontId="9" fillId="0" borderId="3" xfId="0" applyFont="1" applyBorder="1"/>
    <xf numFmtId="0" fontId="9" fillId="0" borderId="0" xfId="0" applyFont="1" applyBorder="1"/>
    <xf numFmtId="0" fontId="10" fillId="0" borderId="3" xfId="0" applyFont="1" applyBorder="1"/>
    <xf numFmtId="0" fontId="4" fillId="0" borderId="0" xfId="0" applyFont="1" applyBorder="1"/>
    <xf numFmtId="0" fontId="9" fillId="0" borderId="1" xfId="0" applyFont="1" applyBorder="1"/>
    <xf numFmtId="3" fontId="9" fillId="0" borderId="1" xfId="0" applyNumberFormat="1" applyFont="1" applyBorder="1"/>
    <xf numFmtId="3" fontId="9" fillId="0" borderId="0" xfId="0" applyNumberFormat="1" applyFont="1" applyBorder="1"/>
    <xf numFmtId="3" fontId="12" fillId="0" borderId="0" xfId="0" applyNumberFormat="1" applyFont="1" applyBorder="1"/>
    <xf numFmtId="3" fontId="4" fillId="0" borderId="0" xfId="0" applyNumberFormat="1" applyFont="1" applyBorder="1"/>
    <xf numFmtId="37" fontId="9" fillId="0" borderId="0" xfId="0" applyNumberFormat="1" applyFont="1" applyBorder="1"/>
    <xf numFmtId="38" fontId="9" fillId="0" borderId="0" xfId="0" applyNumberFormat="1" applyFont="1" applyBorder="1"/>
    <xf numFmtId="8" fontId="9" fillId="0" borderId="0" xfId="0" applyNumberFormat="1" applyFont="1"/>
    <xf numFmtId="37" fontId="12" fillId="0" borderId="0" xfId="0" applyNumberFormat="1" applyFont="1" applyBorder="1"/>
    <xf numFmtId="37" fontId="4" fillId="0" borderId="0" xfId="0" applyNumberFormat="1" applyFont="1" applyBorder="1"/>
    <xf numFmtId="38" fontId="4" fillId="0" borderId="0" xfId="0" applyNumberFormat="1" applyFont="1" applyBorder="1"/>
    <xf numFmtId="38" fontId="13" fillId="0" borderId="4" xfId="0" applyNumberFormat="1" applyFont="1" applyBorder="1"/>
    <xf numFmtId="9" fontId="9" fillId="0" borderId="1" xfId="3" applyFont="1" applyBorder="1"/>
    <xf numFmtId="0" fontId="9" fillId="0" borderId="5" xfId="0" applyFont="1" applyBorder="1"/>
    <xf numFmtId="37" fontId="5" fillId="0" borderId="0" xfId="0" applyNumberFormat="1" applyFont="1" applyBorder="1"/>
    <xf numFmtId="0" fontId="9" fillId="0" borderId="0" xfId="0" applyFont="1" applyBorder="1" applyAlignment="1"/>
    <xf numFmtId="0" fontId="9" fillId="0" borderId="1" xfId="0" applyFont="1" applyBorder="1" applyAlignment="1"/>
    <xf numFmtId="38" fontId="9" fillId="0" borderId="1" xfId="0" applyNumberFormat="1" applyFont="1" applyBorder="1"/>
    <xf numFmtId="38" fontId="9" fillId="0" borderId="0" xfId="0" applyNumberFormat="1" applyFont="1"/>
    <xf numFmtId="0" fontId="6" fillId="4" borderId="0" xfId="0" applyFont="1" applyFill="1" applyBorder="1"/>
    <xf numFmtId="0" fontId="9" fillId="0" borderId="0" xfId="0" applyFont="1" applyFill="1"/>
    <xf numFmtId="3" fontId="7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4" fontId="9" fillId="0" borderId="0" xfId="0" applyNumberFormat="1" applyFont="1"/>
    <xf numFmtId="4" fontId="9" fillId="0" borderId="0" xfId="0" applyNumberFormat="1" applyFont="1" applyFill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9" fontId="9" fillId="0" borderId="0" xfId="0" applyNumberFormat="1" applyFont="1"/>
    <xf numFmtId="0" fontId="9" fillId="0" borderId="4" xfId="0" applyFont="1" applyBorder="1"/>
    <xf numFmtId="38" fontId="4" fillId="0" borderId="4" xfId="0" applyNumberFormat="1" applyFont="1" applyBorder="1"/>
    <xf numFmtId="0" fontId="9" fillId="0" borderId="0" xfId="0" applyFont="1" applyAlignment="1">
      <alignment horizontal="right"/>
    </xf>
    <xf numFmtId="37" fontId="9" fillId="0" borderId="0" xfId="0" applyNumberFormat="1" applyFont="1"/>
    <xf numFmtId="0" fontId="9" fillId="0" borderId="0" xfId="0" applyFont="1" applyProtection="1">
      <protection locked="0"/>
    </xf>
    <xf numFmtId="3" fontId="9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5" borderId="0" xfId="0" applyFont="1" applyFill="1" applyAlignment="1" applyProtection="1">
      <alignment horizontal="center" wrapText="1"/>
    </xf>
    <xf numFmtId="0" fontId="9" fillId="0" borderId="0" xfId="0" applyFont="1" applyProtection="1">
      <protection locked="0" hidden="1"/>
    </xf>
    <xf numFmtId="0" fontId="4" fillId="0" borderId="0" xfId="0" applyFont="1" applyAlignment="1" applyProtection="1">
      <alignment horizontal="center" wrapText="1"/>
    </xf>
    <xf numFmtId="0" fontId="9" fillId="0" borderId="6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5" borderId="1" xfId="0" applyFont="1" applyFill="1" applyBorder="1" applyAlignment="1" applyProtection="1">
      <alignment horizontal="center"/>
      <protection locked="0"/>
    </xf>
    <xf numFmtId="3" fontId="15" fillId="0" borderId="0" xfId="0" applyNumberFormat="1" applyFont="1" applyProtection="1">
      <protection locked="0"/>
    </xf>
    <xf numFmtId="0" fontId="9" fillId="5" borderId="7" xfId="0" applyFont="1" applyFill="1" applyBorder="1" applyAlignment="1" applyProtection="1">
      <alignment horizontal="center"/>
      <protection locked="0"/>
    </xf>
    <xf numFmtId="0" fontId="9" fillId="5" borderId="9" xfId="0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 applyProtection="1">
      <alignment horizontal="center"/>
      <protection locked="0"/>
    </xf>
    <xf numFmtId="0" fontId="9" fillId="0" borderId="10" xfId="0" applyFont="1" applyBorder="1" applyProtection="1">
      <protection locked="0"/>
    </xf>
    <xf numFmtId="0" fontId="9" fillId="5" borderId="10" xfId="0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5" borderId="11" xfId="0" applyFont="1" applyFill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3" fontId="15" fillId="0" borderId="0" xfId="0" applyNumberFormat="1" applyFont="1" applyAlignment="1" applyProtection="1">
      <alignment wrapText="1"/>
      <protection locked="0"/>
    </xf>
    <xf numFmtId="0" fontId="4" fillId="0" borderId="12" xfId="0" applyFont="1" applyFill="1" applyBorder="1" applyProtection="1">
      <protection locked="0"/>
    </xf>
    <xf numFmtId="3" fontId="15" fillId="0" borderId="6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4" fillId="0" borderId="3" xfId="0" applyFont="1" applyFill="1" applyBorder="1" applyProtection="1">
      <protection locked="0"/>
    </xf>
    <xf numFmtId="167" fontId="9" fillId="0" borderId="0" xfId="0" applyNumberFormat="1" applyFont="1" applyBorder="1" applyProtection="1">
      <protection locked="0"/>
    </xf>
    <xf numFmtId="9" fontId="9" fillId="0" borderId="0" xfId="0" applyNumberFormat="1" applyFont="1" applyBorder="1" applyProtection="1">
      <protection locked="0"/>
    </xf>
    <xf numFmtId="37" fontId="9" fillId="0" borderId="0" xfId="0" applyNumberFormat="1" applyFont="1" applyBorder="1" applyProtection="1">
      <protection locked="0"/>
    </xf>
    <xf numFmtId="165" fontId="9" fillId="0" borderId="0" xfId="0" applyNumberFormat="1" applyFont="1" applyFill="1" applyBorder="1" applyProtection="1">
      <protection locked="0"/>
    </xf>
    <xf numFmtId="43" fontId="9" fillId="0" borderId="0" xfId="0" applyNumberFormat="1" applyFont="1" applyFill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9" fontId="9" fillId="5" borderId="0" xfId="3" applyNumberFormat="1" applyFont="1" applyFill="1" applyBorder="1" applyProtection="1">
      <protection locked="0"/>
    </xf>
    <xf numFmtId="9" fontId="9" fillId="0" borderId="0" xfId="3" applyFont="1" applyFill="1" applyBorder="1" applyProtection="1">
      <protection locked="0"/>
    </xf>
    <xf numFmtId="167" fontId="9" fillId="0" borderId="0" xfId="3" applyNumberFormat="1" applyFont="1" applyFill="1" applyBorder="1" applyProtection="1">
      <protection locked="0"/>
    </xf>
    <xf numFmtId="9" fontId="9" fillId="5" borderId="0" xfId="0" applyNumberFormat="1" applyFont="1" applyFill="1" applyBorder="1" applyProtection="1">
      <protection locked="0"/>
    </xf>
    <xf numFmtId="167" fontId="9" fillId="5" borderId="0" xfId="0" applyNumberFormat="1" applyFont="1" applyFill="1" applyBorder="1" applyProtection="1">
      <protection locked="0"/>
    </xf>
    <xf numFmtId="167" fontId="9" fillId="0" borderId="0" xfId="0" applyNumberFormat="1" applyFont="1" applyFill="1" applyBorder="1" applyProtection="1">
      <protection locked="0"/>
    </xf>
    <xf numFmtId="167" fontId="9" fillId="5" borderId="0" xfId="3" applyNumberFormat="1" applyFont="1" applyFill="1" applyBorder="1" applyProtection="1">
      <protection locked="0"/>
    </xf>
    <xf numFmtId="0" fontId="9" fillId="0" borderId="12" xfId="0" applyFont="1" applyBorder="1" applyProtection="1">
      <protection locked="0"/>
    </xf>
    <xf numFmtId="0" fontId="4" fillId="0" borderId="3" xfId="0" applyFont="1" applyBorder="1" applyAlignment="1" applyProtection="1">
      <alignment wrapText="1"/>
      <protection locked="0"/>
    </xf>
    <xf numFmtId="9" fontId="9" fillId="5" borderId="0" xfId="3" applyFont="1" applyFill="1" applyBorder="1" applyProtection="1">
      <protection locked="0"/>
    </xf>
    <xf numFmtId="167" fontId="9" fillId="5" borderId="2" xfId="3" applyNumberFormat="1" applyFont="1" applyFill="1" applyBorder="1" applyProtection="1">
      <protection locked="0"/>
    </xf>
    <xf numFmtId="9" fontId="9" fillId="5" borderId="2" xfId="3" applyFont="1" applyFill="1" applyBorder="1" applyProtection="1">
      <protection locked="0"/>
    </xf>
    <xf numFmtId="10" fontId="9" fillId="0" borderId="0" xfId="0" applyNumberFormat="1" applyFont="1" applyFill="1" applyBorder="1" applyProtection="1">
      <protection locked="0"/>
    </xf>
    <xf numFmtId="0" fontId="4" fillId="0" borderId="5" xfId="0" applyFont="1" applyBorder="1" applyAlignment="1" applyProtection="1">
      <alignment horizontal="right"/>
      <protection locked="0"/>
    </xf>
    <xf numFmtId="10" fontId="9" fillId="0" borderId="1" xfId="0" applyNumberFormat="1" applyFont="1" applyFill="1" applyBorder="1" applyProtection="1">
      <protection locked="0"/>
    </xf>
    <xf numFmtId="9" fontId="9" fillId="0" borderId="0" xfId="0" applyNumberFormat="1" applyFont="1" applyFill="1" applyBorder="1" applyProtection="1">
      <protection locked="0"/>
    </xf>
    <xf numFmtId="167" fontId="9" fillId="0" borderId="1" xfId="0" applyNumberFormat="1" applyFont="1" applyFill="1" applyBorder="1" applyProtection="1">
      <protection locked="0"/>
    </xf>
    <xf numFmtId="9" fontId="9" fillId="0" borderId="1" xfId="0" applyNumberFormat="1" applyFont="1" applyFill="1" applyBorder="1" applyProtection="1">
      <protection locked="0"/>
    </xf>
    <xf numFmtId="3" fontId="9" fillId="0" borderId="0" xfId="0" applyNumberFormat="1" applyFont="1" applyFill="1" applyBorder="1" applyProtection="1">
      <protection locked="0"/>
    </xf>
    <xf numFmtId="9" fontId="9" fillId="5" borderId="0" xfId="0" applyNumberFormat="1" applyFont="1" applyFill="1" applyBorder="1" applyAlignment="1" applyProtection="1">
      <alignment horizontal="center"/>
      <protection locked="0"/>
    </xf>
    <xf numFmtId="1" fontId="9" fillId="5" borderId="0" xfId="0" applyNumberFormat="1" applyFont="1" applyFill="1" applyBorder="1" applyAlignment="1" applyProtection="1">
      <alignment horizontal="center"/>
      <protection locked="0"/>
    </xf>
    <xf numFmtId="0" fontId="9" fillId="5" borderId="8" xfId="0" applyFont="1" applyFill="1" applyBorder="1" applyProtection="1">
      <protection locked="0"/>
    </xf>
    <xf numFmtId="3" fontId="9" fillId="0" borderId="0" xfId="0" applyNumberFormat="1" applyFont="1" applyBorder="1" applyAlignment="1" applyProtection="1">
      <alignment wrapText="1"/>
      <protection locked="0"/>
    </xf>
    <xf numFmtId="3" fontId="9" fillId="0" borderId="0" xfId="0" applyNumberFormat="1" applyFont="1" applyFill="1" applyBorder="1" applyAlignment="1" applyProtection="1">
      <alignment wrapText="1"/>
      <protection locked="0"/>
    </xf>
    <xf numFmtId="0" fontId="4" fillId="0" borderId="12" xfId="0" applyFont="1" applyBorder="1" applyAlignment="1" applyProtection="1">
      <alignment horizontal="left"/>
      <protection locked="0"/>
    </xf>
    <xf numFmtId="9" fontId="9" fillId="0" borderId="6" xfId="0" applyNumberFormat="1" applyFont="1" applyFill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1" fontId="9" fillId="0" borderId="0" xfId="0" applyNumberFormat="1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9" fontId="9" fillId="5" borderId="0" xfId="0" applyNumberFormat="1" applyFont="1" applyFill="1" applyBorder="1" applyAlignment="1" applyProtection="1">
      <alignment horizontal="right"/>
      <protection locked="0"/>
    </xf>
    <xf numFmtId="1" fontId="9" fillId="0" borderId="1" xfId="0" applyNumberFormat="1" applyFont="1" applyBorder="1" applyProtection="1">
      <protection locked="0"/>
    </xf>
    <xf numFmtId="9" fontId="9" fillId="0" borderId="1" xfId="0" applyNumberFormat="1" applyFont="1" applyBorder="1" applyProtection="1">
      <protection locked="0"/>
    </xf>
    <xf numFmtId="0" fontId="9" fillId="5" borderId="1" xfId="0" applyFont="1" applyFill="1" applyBorder="1" applyProtection="1">
      <protection locked="0"/>
    </xf>
    <xf numFmtId="9" fontId="9" fillId="5" borderId="1" xfId="0" applyNumberFormat="1" applyFont="1" applyFill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 wrapText="1"/>
      <protection locked="0"/>
    </xf>
    <xf numFmtId="165" fontId="15" fillId="0" borderId="0" xfId="1" applyNumberFormat="1" applyFont="1" applyAlignment="1" applyProtection="1">
      <alignment horizontal="center" wrapText="1"/>
      <protection locked="0"/>
    </xf>
    <xf numFmtId="3" fontId="15" fillId="0" borderId="0" xfId="0" applyNumberFormat="1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38" fontId="15" fillId="0" borderId="0" xfId="0" applyNumberFormat="1" applyFont="1" applyAlignment="1" applyProtection="1">
      <alignment horizontal="center" wrapText="1"/>
      <protection locked="0"/>
    </xf>
    <xf numFmtId="0" fontId="4" fillId="0" borderId="5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6" xfId="0" applyFont="1" applyBorder="1" applyProtection="1">
      <protection locked="0"/>
    </xf>
    <xf numFmtId="170" fontId="9" fillId="0" borderId="1" xfId="0" applyNumberFormat="1" applyFont="1" applyBorder="1" applyProtection="1">
      <protection locked="0"/>
    </xf>
    <xf numFmtId="0" fontId="17" fillId="2" borderId="0" xfId="0" applyFont="1" applyFill="1" applyProtection="1">
      <protection locked="0"/>
    </xf>
    <xf numFmtId="2" fontId="9" fillId="0" borderId="1" xfId="0" applyNumberFormat="1" applyFont="1" applyBorder="1" applyProtection="1">
      <protection locked="0"/>
    </xf>
    <xf numFmtId="0" fontId="8" fillId="0" borderId="0" xfId="0" applyFont="1" applyFill="1" applyBorder="1" applyAlignment="1">
      <alignment horizontal="center"/>
    </xf>
    <xf numFmtId="0" fontId="6" fillId="2" borderId="0" xfId="0" applyFont="1" applyFill="1" applyAlignment="1"/>
    <xf numFmtId="0" fontId="9" fillId="0" borderId="0" xfId="0" applyFont="1" applyAlignment="1"/>
    <xf numFmtId="0" fontId="4" fillId="0" borderId="0" xfId="0" applyFont="1" applyBorder="1" applyAlignment="1"/>
    <xf numFmtId="0" fontId="4" fillId="0" borderId="0" xfId="0" applyFont="1" applyFill="1"/>
    <xf numFmtId="6" fontId="4" fillId="0" borderId="0" xfId="0" applyNumberFormat="1" applyFont="1"/>
    <xf numFmtId="0" fontId="18" fillId="0" borderId="0" xfId="0" applyFont="1"/>
    <xf numFmtId="0" fontId="6" fillId="4" borderId="0" xfId="0" applyFont="1" applyFill="1" applyBorder="1" applyAlignment="1">
      <alignment wrapText="1"/>
    </xf>
    <xf numFmtId="180" fontId="9" fillId="0" borderId="0" xfId="0" applyNumberFormat="1" applyFont="1" applyBorder="1"/>
    <xf numFmtId="7" fontId="9" fillId="0" borderId="0" xfId="0" applyNumberFormat="1" applyFont="1" applyBorder="1"/>
    <xf numFmtId="1" fontId="9" fillId="0" borderId="0" xfId="0" applyNumberFormat="1" applyFont="1" applyBorder="1" applyAlignment="1">
      <alignment wrapText="1"/>
    </xf>
    <xf numFmtId="3" fontId="9" fillId="0" borderId="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3" fontId="9" fillId="0" borderId="0" xfId="0" applyNumberFormat="1" applyFont="1" applyBorder="1" applyAlignment="1"/>
    <xf numFmtId="0" fontId="6" fillId="2" borderId="0" xfId="0" applyFont="1" applyFill="1" applyAlignment="1">
      <alignment vertical="top"/>
    </xf>
    <xf numFmtId="0" fontId="4" fillId="0" borderId="0" xfId="0" applyFont="1" applyAlignment="1"/>
    <xf numFmtId="0" fontId="19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0" borderId="12" xfId="0" applyFont="1" applyBorder="1" applyAlignment="1">
      <alignment wrapText="1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9" fillId="0" borderId="6" xfId="0" applyFont="1" applyFill="1" applyBorder="1"/>
    <xf numFmtId="0" fontId="9" fillId="0" borderId="7" xfId="0" applyFont="1" applyBorder="1"/>
    <xf numFmtId="0" fontId="9" fillId="0" borderId="3" xfId="0" applyFont="1" applyBorder="1" applyAlignment="1">
      <alignment wrapText="1"/>
    </xf>
    <xf numFmtId="0" fontId="4" fillId="0" borderId="0" xfId="0" applyFont="1" applyBorder="1" applyAlignment="1">
      <alignment vertical="top"/>
    </xf>
    <xf numFmtId="0" fontId="9" fillId="0" borderId="0" xfId="0" applyFont="1" applyBorder="1" applyAlignment="1">
      <alignment wrapText="1"/>
    </xf>
    <xf numFmtId="0" fontId="9" fillId="0" borderId="0" xfId="0" applyFont="1" applyFill="1" applyBorder="1"/>
    <xf numFmtId="0" fontId="9" fillId="0" borderId="8" xfId="0" applyFont="1" applyBorder="1"/>
    <xf numFmtId="0" fontId="9" fillId="0" borderId="0" xfId="0" applyFont="1" applyBorder="1" applyAlignment="1">
      <alignment vertical="top"/>
    </xf>
    <xf numFmtId="0" fontId="4" fillId="0" borderId="0" xfId="0" applyFont="1" applyFill="1" applyBorder="1"/>
    <xf numFmtId="0" fontId="4" fillId="0" borderId="8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165" fontId="9" fillId="0" borderId="0" xfId="1" applyNumberFormat="1" applyFont="1" applyBorder="1"/>
    <xf numFmtId="0" fontId="18" fillId="0" borderId="0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8" fillId="3" borderId="0" xfId="0" applyFont="1" applyFill="1" applyBorder="1" applyAlignment="1">
      <alignment wrapText="1"/>
    </xf>
    <xf numFmtId="165" fontId="9" fillId="0" borderId="0" xfId="1" applyNumberFormat="1" applyFont="1" applyFill="1" applyBorder="1"/>
    <xf numFmtId="0" fontId="9" fillId="0" borderId="3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wrapText="1"/>
    </xf>
    <xf numFmtId="0" fontId="9" fillId="0" borderId="8" xfId="0" applyFont="1" applyFill="1" applyBorder="1"/>
    <xf numFmtId="9" fontId="8" fillId="3" borderId="0" xfId="3" applyFont="1" applyFill="1" applyBorder="1" applyAlignment="1">
      <alignment wrapText="1"/>
    </xf>
    <xf numFmtId="9" fontId="9" fillId="0" borderId="0" xfId="0" applyNumberFormat="1" applyFont="1" applyFill="1" applyBorder="1" applyAlignment="1">
      <alignment wrapText="1"/>
    </xf>
    <xf numFmtId="165" fontId="8" fillId="3" borderId="14" xfId="1" applyNumberFormat="1" applyFont="1" applyFill="1" applyBorder="1" applyAlignment="1">
      <alignment wrapText="1"/>
    </xf>
    <xf numFmtId="165" fontId="9" fillId="0" borderId="0" xfId="1" applyNumberFormat="1" applyFont="1" applyFill="1" applyBorder="1" applyAlignment="1">
      <alignment wrapText="1"/>
    </xf>
    <xf numFmtId="165" fontId="9" fillId="0" borderId="0" xfId="0" applyNumberFormat="1" applyFont="1" applyFill="1" applyBorder="1" applyAlignment="1">
      <alignment wrapText="1"/>
    </xf>
    <xf numFmtId="3" fontId="9" fillId="0" borderId="0" xfId="0" applyNumberFormat="1" applyFont="1" applyBorder="1" applyAlignment="1">
      <alignment wrapText="1"/>
    </xf>
    <xf numFmtId="9" fontId="9" fillId="6" borderId="0" xfId="3" applyNumberFormat="1" applyFont="1" applyFill="1" applyBorder="1"/>
    <xf numFmtId="9" fontId="9" fillId="6" borderId="0" xfId="3" applyFont="1" applyFill="1" applyBorder="1"/>
    <xf numFmtId="9" fontId="9" fillId="0" borderId="0" xfId="3" applyFont="1" applyFill="1" applyBorder="1"/>
    <xf numFmtId="164" fontId="8" fillId="3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9" fontId="9" fillId="6" borderId="14" xfId="3" applyFont="1" applyFill="1" applyBorder="1"/>
    <xf numFmtId="3" fontId="9" fillId="0" borderId="0" xfId="3" applyNumberFormat="1" applyFont="1" applyFill="1" applyBorder="1"/>
    <xf numFmtId="10" fontId="9" fillId="0" borderId="0" xfId="3" applyNumberFormat="1" applyFont="1" applyFill="1" applyBorder="1"/>
    <xf numFmtId="3" fontId="4" fillId="0" borderId="0" xfId="3" applyNumberFormat="1" applyFont="1" applyFill="1" applyBorder="1"/>
    <xf numFmtId="10" fontId="9" fillId="0" borderId="0" xfId="3" applyNumberFormat="1" applyFont="1" applyBorder="1" applyAlignment="1">
      <alignment wrapText="1"/>
    </xf>
    <xf numFmtId="3" fontId="8" fillId="3" borderId="0" xfId="0" applyNumberFormat="1" applyFont="1" applyFill="1" applyBorder="1" applyAlignment="1">
      <alignment wrapText="1"/>
    </xf>
    <xf numFmtId="3" fontId="8" fillId="3" borderId="0" xfId="0" applyNumberFormat="1" applyFont="1" applyFill="1" applyBorder="1"/>
    <xf numFmtId="3" fontId="9" fillId="0" borderId="0" xfId="0" applyNumberFormat="1" applyFont="1" applyFill="1" applyBorder="1"/>
    <xf numFmtId="3" fontId="9" fillId="0" borderId="0" xfId="3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0" fontId="9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9" xfId="0" applyFont="1" applyBorder="1"/>
    <xf numFmtId="0" fontId="9" fillId="0" borderId="12" xfId="0" applyFont="1" applyBorder="1"/>
    <xf numFmtId="0" fontId="4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8" xfId="0" applyFont="1" applyBorder="1" applyAlignment="1">
      <alignment horizontal="center" wrapText="1"/>
    </xf>
    <xf numFmtId="164" fontId="8" fillId="3" borderId="0" xfId="1" applyNumberFormat="1" applyFont="1" applyFill="1" applyBorder="1"/>
    <xf numFmtId="3" fontId="4" fillId="0" borderId="0" xfId="1" applyNumberFormat="1" applyFont="1" applyFill="1" applyBorder="1"/>
    <xf numFmtId="164" fontId="9" fillId="0" borderId="0" xfId="1" applyNumberFormat="1" applyFont="1" applyFill="1" applyBorder="1"/>
    <xf numFmtId="9" fontId="8" fillId="3" borderId="0" xfId="3" applyFont="1" applyFill="1" applyBorder="1"/>
    <xf numFmtId="3" fontId="8" fillId="3" borderId="0" xfId="3" applyNumberFormat="1" applyFont="1" applyFill="1" applyBorder="1"/>
    <xf numFmtId="9" fontId="4" fillId="3" borderId="2" xfId="3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9" fontId="9" fillId="0" borderId="6" xfId="3" applyFont="1" applyBorder="1"/>
    <xf numFmtId="0" fontId="9" fillId="7" borderId="0" xfId="0" applyFont="1" applyFill="1" applyBorder="1" applyAlignment="1">
      <alignment wrapText="1"/>
    </xf>
    <xf numFmtId="165" fontId="8" fillId="3" borderId="0" xfId="1" applyNumberFormat="1" applyFont="1" applyFill="1" applyBorder="1"/>
    <xf numFmtId="179" fontId="9" fillId="0" borderId="1" xfId="1" applyNumberFormat="1" applyFont="1" applyFill="1" applyBorder="1"/>
    <xf numFmtId="164" fontId="9" fillId="0" borderId="1" xfId="1" applyNumberFormat="1" applyFont="1" applyFill="1" applyBorder="1"/>
    <xf numFmtId="179" fontId="9" fillId="0" borderId="6" xfId="1" applyNumberFormat="1" applyFont="1" applyFill="1" applyBorder="1"/>
    <xf numFmtId="164" fontId="9" fillId="0" borderId="6" xfId="1" applyNumberFormat="1" applyFont="1" applyFill="1" applyBorder="1"/>
    <xf numFmtId="164" fontId="4" fillId="0" borderId="0" xfId="1" applyNumberFormat="1" applyFont="1" applyFill="1" applyBorder="1"/>
    <xf numFmtId="9" fontId="8" fillId="3" borderId="2" xfId="3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3" fontId="9" fillId="6" borderId="0" xfId="0" applyNumberFormat="1" applyFont="1" applyFill="1" applyBorder="1"/>
    <xf numFmtId="0" fontId="8" fillId="0" borderId="0" xfId="0" applyFont="1" applyFill="1" applyBorder="1"/>
    <xf numFmtId="3" fontId="20" fillId="3" borderId="0" xfId="0" applyNumberFormat="1" applyFont="1" applyFill="1" applyBorder="1"/>
    <xf numFmtId="180" fontId="9" fillId="0" borderId="0" xfId="0" applyNumberFormat="1" applyFont="1" applyFill="1" applyBorder="1"/>
    <xf numFmtId="0" fontId="8" fillId="3" borderId="0" xfId="0" applyFont="1" applyFill="1" applyBorder="1"/>
    <xf numFmtId="3" fontId="8" fillId="3" borderId="0" xfId="1" applyNumberFormat="1" applyFont="1" applyFill="1" applyBorder="1"/>
    <xf numFmtId="4" fontId="9" fillId="0" borderId="0" xfId="1" applyNumberFormat="1" applyFont="1" applyFill="1" applyBorder="1"/>
    <xf numFmtId="3" fontId="9" fillId="0" borderId="0" xfId="1" applyNumberFormat="1" applyFont="1" applyFill="1" applyBorder="1"/>
    <xf numFmtId="180" fontId="9" fillId="0" borderId="0" xfId="1" applyNumberFormat="1" applyFont="1" applyFill="1" applyBorder="1"/>
    <xf numFmtId="9" fontId="8" fillId="0" borderId="0" xfId="3" applyFont="1" applyFill="1" applyBorder="1"/>
    <xf numFmtId="7" fontId="8" fillId="3" borderId="0" xfId="1" applyNumberFormat="1" applyFont="1" applyFill="1" applyBorder="1"/>
    <xf numFmtId="43" fontId="9" fillId="0" borderId="0" xfId="1" applyNumberFormat="1" applyFont="1" applyFill="1" applyBorder="1"/>
    <xf numFmtId="7" fontId="9" fillId="0" borderId="0" xfId="1" applyNumberFormat="1" applyFont="1" applyFill="1" applyBorder="1"/>
    <xf numFmtId="7" fontId="4" fillId="8" borderId="2" xfId="1" applyNumberFormat="1" applyFont="1" applyFill="1" applyBorder="1"/>
    <xf numFmtId="7" fontId="10" fillId="0" borderId="0" xfId="1" applyNumberFormat="1" applyFont="1" applyFill="1" applyBorder="1"/>
    <xf numFmtId="43" fontId="9" fillId="0" borderId="1" xfId="0" applyNumberFormat="1" applyFont="1" applyBorder="1"/>
    <xf numFmtId="43" fontId="9" fillId="0" borderId="1" xfId="1" applyNumberFormat="1" applyFont="1" applyFill="1" applyBorder="1"/>
    <xf numFmtId="43" fontId="9" fillId="0" borderId="6" xfId="1" applyNumberFormat="1" applyFont="1" applyBorder="1"/>
    <xf numFmtId="43" fontId="9" fillId="0" borderId="6" xfId="1" applyNumberFormat="1" applyFont="1" applyFill="1" applyBorder="1"/>
    <xf numFmtId="43" fontId="9" fillId="0" borderId="0" xfId="1" applyNumberFormat="1" applyFont="1" applyBorder="1"/>
    <xf numFmtId="9" fontId="8" fillId="3" borderId="0" xfId="1" applyNumberFormat="1" applyFont="1" applyFill="1" applyBorder="1"/>
    <xf numFmtId="181" fontId="8" fillId="3" borderId="2" xfId="1" applyNumberFormat="1" applyFont="1" applyFill="1" applyBorder="1" applyAlignment="1">
      <alignment horizontal="center"/>
    </xf>
    <xf numFmtId="0" fontId="21" fillId="0" borderId="0" xfId="0" applyFont="1" applyBorder="1" applyAlignment="1">
      <alignment vertical="top"/>
    </xf>
    <xf numFmtId="181" fontId="8" fillId="3" borderId="0" xfId="1" applyNumberFormat="1" applyFont="1" applyFill="1" applyBorder="1"/>
    <xf numFmtId="182" fontId="8" fillId="3" borderId="0" xfId="1" applyNumberFormat="1" applyFont="1" applyFill="1" applyBorder="1"/>
    <xf numFmtId="43" fontId="8" fillId="0" borderId="0" xfId="1" applyNumberFormat="1" applyFont="1" applyBorder="1"/>
    <xf numFmtId="9" fontId="8" fillId="3" borderId="0" xfId="0" applyNumberFormat="1" applyFont="1" applyFill="1" applyBorder="1" applyAlignment="1">
      <alignment wrapText="1"/>
    </xf>
    <xf numFmtId="43" fontId="9" fillId="0" borderId="0" xfId="1" applyNumberFormat="1" applyFont="1" applyBorder="1" applyAlignment="1">
      <alignment horizontal="right"/>
    </xf>
    <xf numFmtId="7" fontId="9" fillId="0" borderId="1" xfId="1" applyNumberFormat="1" applyFont="1" applyFill="1" applyBorder="1"/>
    <xf numFmtId="7" fontId="9" fillId="0" borderId="6" xfId="1" applyNumberFormat="1" applyFont="1" applyFill="1" applyBorder="1"/>
    <xf numFmtId="0" fontId="9" fillId="0" borderId="8" xfId="0" applyFont="1" applyFill="1" applyBorder="1" applyAlignment="1">
      <alignment wrapText="1"/>
    </xf>
    <xf numFmtId="43" fontId="9" fillId="0" borderId="6" xfId="0" applyNumberFormat="1" applyFont="1" applyBorder="1"/>
    <xf numFmtId="43" fontId="9" fillId="0" borderId="0" xfId="0" applyNumberFormat="1" applyFont="1" applyBorder="1"/>
    <xf numFmtId="0" fontId="8" fillId="3" borderId="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222" fontId="9" fillId="0" borderId="2" xfId="0" applyNumberFormat="1" applyFont="1" applyBorder="1" applyAlignment="1">
      <alignment horizontal="center" wrapText="1"/>
    </xf>
    <xf numFmtId="1" fontId="8" fillId="3" borderId="2" xfId="0" applyNumberFormat="1" applyFont="1" applyFill="1" applyBorder="1" applyAlignment="1">
      <alignment horizontal="center" wrapText="1"/>
    </xf>
    <xf numFmtId="8" fontId="9" fillId="0" borderId="0" xfId="0" applyNumberFormat="1" applyFont="1" applyBorder="1" applyAlignment="1">
      <alignment wrapText="1"/>
    </xf>
    <xf numFmtId="165" fontId="9" fillId="0" borderId="0" xfId="0" applyNumberFormat="1" applyFont="1" applyBorder="1"/>
    <xf numFmtId="0" fontId="9" fillId="0" borderId="8" xfId="0" applyFont="1" applyBorder="1" applyAlignment="1">
      <alignment wrapText="1"/>
    </xf>
    <xf numFmtId="9" fontId="4" fillId="0" borderId="0" xfId="3" applyFont="1" applyFill="1" applyBorder="1" applyAlignment="1">
      <alignment horizontal="left"/>
    </xf>
    <xf numFmtId="0" fontId="14" fillId="0" borderId="0" xfId="0" applyFont="1" applyBorder="1" applyAlignment="1"/>
    <xf numFmtId="0" fontId="14" fillId="0" borderId="8" xfId="0" applyFont="1" applyBorder="1" applyAlignment="1"/>
    <xf numFmtId="3" fontId="9" fillId="0" borderId="0" xfId="3" applyNumberFormat="1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center" wrapText="1"/>
    </xf>
    <xf numFmtId="165" fontId="9" fillId="0" borderId="0" xfId="0" applyNumberFormat="1" applyFont="1" applyFill="1" applyBorder="1"/>
    <xf numFmtId="0" fontId="22" fillId="0" borderId="0" xfId="0" applyFont="1" applyFill="1" applyBorder="1"/>
    <xf numFmtId="165" fontId="8" fillId="3" borderId="2" xfId="1" applyNumberFormat="1" applyFont="1" applyFill="1" applyBorder="1"/>
    <xf numFmtId="165" fontId="8" fillId="0" borderId="0" xfId="1" applyNumberFormat="1" applyFont="1" applyFill="1" applyBorder="1"/>
    <xf numFmtId="0" fontId="9" fillId="0" borderId="5" xfId="0" applyFont="1" applyFill="1" applyBorder="1"/>
    <xf numFmtId="0" fontId="9" fillId="0" borderId="1" xfId="0" applyFont="1" applyFill="1" applyBorder="1" applyAlignment="1">
      <alignment vertical="top"/>
    </xf>
    <xf numFmtId="0" fontId="9" fillId="0" borderId="9" xfId="0" applyFont="1" applyFill="1" applyBorder="1"/>
    <xf numFmtId="0" fontId="9" fillId="0" borderId="12" xfId="0" applyFont="1" applyFill="1" applyBorder="1"/>
    <xf numFmtId="0" fontId="9" fillId="0" borderId="6" xfId="0" applyFont="1" applyFill="1" applyBorder="1" applyAlignment="1">
      <alignment vertical="top"/>
    </xf>
    <xf numFmtId="0" fontId="9" fillId="0" borderId="7" xfId="0" applyFont="1" applyFill="1" applyBorder="1"/>
    <xf numFmtId="0" fontId="4" fillId="0" borderId="0" xfId="0" applyFont="1" applyFill="1" applyBorder="1" applyAlignment="1">
      <alignment vertical="top"/>
    </xf>
    <xf numFmtId="9" fontId="9" fillId="0" borderId="2" xfId="3" applyFont="1" applyFill="1" applyBorder="1" applyAlignment="1">
      <alignment horizontal="center"/>
    </xf>
    <xf numFmtId="0" fontId="4" fillId="0" borderId="0" xfId="0" applyFont="1" applyFill="1" applyBorder="1" applyAlignment="1"/>
    <xf numFmtId="206" fontId="8" fillId="3" borderId="0" xfId="0" applyNumberFormat="1" applyFont="1" applyFill="1" applyBorder="1"/>
    <xf numFmtId="206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3" fontId="9" fillId="6" borderId="0" xfId="0" applyNumberFormat="1" applyFont="1" applyFill="1"/>
    <xf numFmtId="3" fontId="8" fillId="3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4" fillId="0" borderId="6" xfId="0" applyFont="1" applyBorder="1"/>
    <xf numFmtId="0" fontId="14" fillId="0" borderId="6" xfId="0" applyFont="1" applyBorder="1"/>
    <xf numFmtId="1" fontId="9" fillId="0" borderId="6" xfId="1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3" fontId="9" fillId="0" borderId="6" xfId="1" applyNumberFormat="1" applyFont="1" applyFill="1" applyBorder="1" applyAlignment="1">
      <alignment horizontal="center"/>
    </xf>
    <xf numFmtId="0" fontId="14" fillId="0" borderId="0" xfId="0" applyFont="1" applyBorder="1" applyAlignment="1">
      <alignment vertical="top"/>
    </xf>
    <xf numFmtId="0" fontId="4" fillId="0" borderId="8" xfId="0" applyFont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9" fontId="8" fillId="0" borderId="0" xfId="3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165" fontId="8" fillId="3" borderId="0" xfId="1" applyNumberFormat="1" applyFont="1" applyFill="1" applyBorder="1" applyAlignment="1"/>
    <xf numFmtId="167" fontId="8" fillId="3" borderId="0" xfId="3" applyNumberFormat="1" applyFont="1" applyFill="1" applyBorder="1" applyAlignment="1">
      <alignment wrapText="1"/>
    </xf>
    <xf numFmtId="165" fontId="8" fillId="3" borderId="0" xfId="1" applyNumberFormat="1" applyFont="1" applyFill="1" applyBorder="1" applyAlignment="1">
      <alignment horizontal="right"/>
    </xf>
    <xf numFmtId="167" fontId="8" fillId="3" borderId="0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6" fontId="9" fillId="0" borderId="0" xfId="0" applyNumberFormat="1" applyFont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8" fillId="3" borderId="0" xfId="0" applyFont="1" applyFill="1"/>
    <xf numFmtId="9" fontId="8" fillId="3" borderId="0" xfId="3" applyFont="1" applyFill="1"/>
    <xf numFmtId="0" fontId="5" fillId="0" borderId="0" xfId="0" applyFont="1" applyBorder="1" applyAlignment="1">
      <alignment horizontal="center" wrapText="1"/>
    </xf>
    <xf numFmtId="0" fontId="5" fillId="0" borderId="0" xfId="0" applyFont="1" applyBorder="1"/>
    <xf numFmtId="245" fontId="8" fillId="3" borderId="0" xfId="0" applyNumberFormat="1" applyFont="1" applyFill="1" applyAlignment="1">
      <alignment horizontal="center"/>
    </xf>
    <xf numFmtId="0" fontId="23" fillId="0" borderId="0" xfId="0" applyFont="1" applyAlignment="1">
      <alignment vertical="center"/>
    </xf>
    <xf numFmtId="0" fontId="8" fillId="3" borderId="0" xfId="0" applyFont="1" applyFill="1" applyAlignment="1">
      <alignment horizontal="center"/>
    </xf>
    <xf numFmtId="0" fontId="24" fillId="0" borderId="0" xfId="0" applyFont="1" applyBorder="1"/>
    <xf numFmtId="165" fontId="9" fillId="0" borderId="0" xfId="1" applyNumberFormat="1" applyFont="1"/>
    <xf numFmtId="167" fontId="9" fillId="0" borderId="0" xfId="3" applyNumberFormat="1" applyFont="1"/>
    <xf numFmtId="0" fontId="9" fillId="3" borderId="15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9" fillId="3" borderId="18" xfId="0" applyFont="1" applyFill="1" applyBorder="1"/>
    <xf numFmtId="167" fontId="9" fillId="3" borderId="0" xfId="3" applyNumberFormat="1" applyFont="1" applyFill="1" applyBorder="1"/>
    <xf numFmtId="165" fontId="9" fillId="3" borderId="0" xfId="0" applyNumberFormat="1" applyFont="1" applyFill="1" applyBorder="1"/>
    <xf numFmtId="165" fontId="9" fillId="3" borderId="19" xfId="0" applyNumberFormat="1" applyFont="1" applyFill="1" applyBorder="1"/>
    <xf numFmtId="165" fontId="9" fillId="0" borderId="0" xfId="0" applyNumberFormat="1" applyFont="1"/>
    <xf numFmtId="0" fontId="9" fillId="3" borderId="20" xfId="0" applyFont="1" applyFill="1" applyBorder="1"/>
    <xf numFmtId="167" fontId="9" fillId="3" borderId="14" xfId="3" applyNumberFormat="1" applyFont="1" applyFill="1" applyBorder="1"/>
    <xf numFmtId="165" fontId="9" fillId="3" borderId="14" xfId="0" applyNumberFormat="1" applyFont="1" applyFill="1" applyBorder="1"/>
    <xf numFmtId="165" fontId="9" fillId="3" borderId="21" xfId="0" applyNumberFormat="1" applyFont="1" applyFill="1" applyBorder="1"/>
    <xf numFmtId="0" fontId="18" fillId="0" borderId="0" xfId="0" applyFont="1" applyBorder="1"/>
    <xf numFmtId="4" fontId="9" fillId="0" borderId="1" xfId="0" applyNumberFormat="1" applyFont="1" applyBorder="1"/>
    <xf numFmtId="6" fontId="9" fillId="0" borderId="0" xfId="0" applyNumberFormat="1" applyFont="1"/>
    <xf numFmtId="3" fontId="4" fillId="0" borderId="0" xfId="0" applyNumberFormat="1" applyFont="1" applyFill="1"/>
    <xf numFmtId="9" fontId="9" fillId="0" borderId="0" xfId="3" applyFont="1" applyBorder="1"/>
    <xf numFmtId="37" fontId="8" fillId="3" borderId="0" xfId="0" applyNumberFormat="1" applyFont="1" applyFill="1"/>
    <xf numFmtId="185" fontId="26" fillId="3" borderId="22" xfId="2" applyNumberFormat="1" applyFont="1" applyFill="1" applyBorder="1"/>
    <xf numFmtId="0" fontId="9" fillId="9" borderId="0" xfId="0" applyFont="1" applyFill="1"/>
    <xf numFmtId="0" fontId="4" fillId="9" borderId="0" xfId="0" applyFont="1" applyFill="1"/>
    <xf numFmtId="4" fontId="9" fillId="9" borderId="0" xfId="0" applyNumberFormat="1" applyFont="1" applyFill="1"/>
    <xf numFmtId="212" fontId="9" fillId="9" borderId="4" xfId="0" applyNumberFormat="1" applyFont="1" applyFill="1" applyBorder="1" applyAlignment="1">
      <alignment wrapText="1"/>
    </xf>
    <xf numFmtId="0" fontId="9" fillId="9" borderId="1" xfId="0" applyFont="1" applyFill="1" applyBorder="1"/>
    <xf numFmtId="9" fontId="9" fillId="9" borderId="1" xfId="3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11" fillId="0" borderId="1" xfId="0" applyFont="1" applyBorder="1"/>
    <xf numFmtId="3" fontId="9" fillId="5" borderId="2" xfId="0" applyNumberFormat="1" applyFont="1" applyFill="1" applyBorder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6" fillId="4" borderId="0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0" xfId="0" applyFont="1" applyFill="1"/>
    <xf numFmtId="3" fontId="4" fillId="0" borderId="1" xfId="0" applyNumberFormat="1" applyFont="1" applyBorder="1"/>
    <xf numFmtId="4" fontId="4" fillId="0" borderId="0" xfId="0" applyNumberFormat="1" applyFont="1" applyBorder="1"/>
    <xf numFmtId="0" fontId="18" fillId="0" borderId="1" xfId="0" applyFont="1" applyFill="1" applyBorder="1"/>
    <xf numFmtId="0" fontId="11" fillId="0" borderId="0" xfId="0" applyFont="1"/>
    <xf numFmtId="9" fontId="9" fillId="0" borderId="23" xfId="0" applyNumberFormat="1" applyFont="1" applyBorder="1" applyAlignment="1">
      <alignment horizontal="center"/>
    </xf>
    <xf numFmtId="165" fontId="12" fillId="0" borderId="0" xfId="1" applyNumberFormat="1" applyFont="1"/>
    <xf numFmtId="206" fontId="4" fillId="0" borderId="0" xfId="0" applyNumberFormat="1" applyFont="1"/>
    <xf numFmtId="0" fontId="7" fillId="2" borderId="0" xfId="0" applyFont="1" applyFill="1" applyAlignment="1"/>
    <xf numFmtId="0" fontId="9" fillId="0" borderId="12" xfId="0" applyFont="1" applyBorder="1" applyAlignment="1"/>
    <xf numFmtId="0" fontId="9" fillId="0" borderId="6" xfId="0" applyFont="1" applyBorder="1" applyAlignment="1"/>
    <xf numFmtId="0" fontId="9" fillId="0" borderId="3" xfId="0" applyFont="1" applyBorder="1" applyAlignment="1"/>
    <xf numFmtId="0" fontId="18" fillId="0" borderId="0" xfId="0" applyFont="1" applyBorder="1" applyAlignment="1"/>
    <xf numFmtId="0" fontId="6" fillId="4" borderId="0" xfId="0" applyFont="1" applyFill="1" applyBorder="1" applyAlignment="1"/>
    <xf numFmtId="0" fontId="9" fillId="0" borderId="5" xfId="0" applyFont="1" applyBorder="1" applyAlignment="1"/>
    <xf numFmtId="0" fontId="18" fillId="0" borderId="1" xfId="0" applyFont="1" applyBorder="1" applyAlignment="1"/>
    <xf numFmtId="0" fontId="4" fillId="0" borderId="1" xfId="0" applyFont="1" applyBorder="1" applyAlignment="1"/>
    <xf numFmtId="181" fontId="9" fillId="0" borderId="2" xfId="1" applyNumberFormat="1" applyFont="1" applyFill="1" applyBorder="1" applyAlignment="1">
      <alignment horizontal="center"/>
    </xf>
    <xf numFmtId="43" fontId="9" fillId="0" borderId="0" xfId="1" applyNumberFormat="1" applyFont="1" applyBorder="1" applyAlignment="1"/>
    <xf numFmtId="9" fontId="9" fillId="0" borderId="0" xfId="3" applyFont="1" applyFill="1" applyBorder="1" applyAlignment="1"/>
    <xf numFmtId="7" fontId="9" fillId="0" borderId="0" xfId="3" applyNumberFormat="1" applyFont="1" applyFill="1" applyBorder="1" applyAlignment="1"/>
    <xf numFmtId="3" fontId="9" fillId="0" borderId="0" xfId="3" applyNumberFormat="1" applyFont="1" applyFill="1" applyBorder="1" applyAlignment="1"/>
    <xf numFmtId="0" fontId="9" fillId="0" borderId="0" xfId="0" applyFont="1" applyFill="1" applyBorder="1" applyAlignment="1"/>
    <xf numFmtId="182" fontId="9" fillId="0" borderId="0" xfId="1" applyNumberFormat="1" applyFont="1" applyFill="1" applyBorder="1" applyAlignment="1"/>
    <xf numFmtId="181" fontId="9" fillId="0" borderId="0" xfId="1" applyNumberFormat="1" applyFont="1" applyFill="1" applyBorder="1" applyAlignment="1"/>
    <xf numFmtId="43" fontId="9" fillId="0" borderId="0" xfId="1" applyNumberFormat="1" applyFont="1" applyFill="1" applyBorder="1" applyAlignment="1"/>
    <xf numFmtId="37" fontId="9" fillId="0" borderId="0" xfId="1" applyNumberFormat="1" applyFont="1" applyFill="1" applyBorder="1" applyAlignment="1"/>
    <xf numFmtId="0" fontId="11" fillId="0" borderId="0" xfId="0" applyFont="1" applyBorder="1" applyAlignment="1"/>
    <xf numFmtId="38" fontId="9" fillId="0" borderId="0" xfId="0" applyNumberFormat="1" applyFont="1" applyBorder="1" applyAlignment="1"/>
    <xf numFmtId="37" fontId="5" fillId="0" borderId="0" xfId="0" applyNumberFormat="1" applyFont="1" applyBorder="1" applyAlignment="1"/>
    <xf numFmtId="3" fontId="4" fillId="0" borderId="0" xfId="0" applyNumberFormat="1" applyFont="1" applyBorder="1" applyAlignment="1"/>
    <xf numFmtId="3" fontId="5" fillId="0" borderId="0" xfId="0" applyNumberFormat="1" applyFont="1" applyBorder="1" applyAlignment="1"/>
    <xf numFmtId="9" fontId="9" fillId="0" borderId="0" xfId="3" applyFont="1" applyBorder="1" applyAlignment="1"/>
    <xf numFmtId="0" fontId="4" fillId="0" borderId="3" xfId="0" applyFont="1" applyBorder="1" applyAlignment="1"/>
    <xf numFmtId="3" fontId="4" fillId="0" borderId="0" xfId="3" applyNumberFormat="1" applyFont="1" applyBorder="1" applyAlignment="1"/>
    <xf numFmtId="38" fontId="4" fillId="0" borderId="0" xfId="0" applyNumberFormat="1" applyFont="1" applyBorder="1" applyAlignment="1"/>
    <xf numFmtId="40" fontId="9" fillId="0" borderId="0" xfId="0" applyNumberFormat="1" applyFont="1" applyBorder="1" applyAlignment="1"/>
    <xf numFmtId="38" fontId="9" fillId="0" borderId="1" xfId="0" applyNumberFormat="1" applyFont="1" applyBorder="1" applyAlignment="1"/>
    <xf numFmtId="9" fontId="9" fillId="0" borderId="1" xfId="3" applyFont="1" applyBorder="1" applyAlignment="1"/>
    <xf numFmtId="0" fontId="5" fillId="0" borderId="0" xfId="0" applyFont="1" applyBorder="1" applyAlignment="1"/>
    <xf numFmtId="8" fontId="9" fillId="0" borderId="0" xfId="0" applyNumberFormat="1" applyFont="1" applyBorder="1" applyAlignment="1"/>
    <xf numFmtId="0" fontId="18" fillId="0" borderId="0" xfId="0" applyFont="1" applyAlignment="1"/>
    <xf numFmtId="0" fontId="11" fillId="0" borderId="0" xfId="0" applyFont="1" applyAlignment="1"/>
    <xf numFmtId="3" fontId="5" fillId="0" borderId="0" xfId="0" applyNumberFormat="1" applyFont="1" applyAlignment="1"/>
    <xf numFmtId="3" fontId="9" fillId="0" borderId="0" xfId="0" applyNumberFormat="1" applyFont="1" applyAlignment="1"/>
    <xf numFmtId="3" fontId="4" fillId="0" borderId="0" xfId="0" applyNumberFormat="1" applyFont="1" applyAlignment="1"/>
    <xf numFmtId="38" fontId="9" fillId="0" borderId="0" xfId="0" applyNumberFormat="1" applyFont="1" applyAlignment="1"/>
    <xf numFmtId="38" fontId="5" fillId="0" borderId="0" xfId="0" applyNumberFormat="1" applyFont="1" applyAlignment="1"/>
    <xf numFmtId="38" fontId="4" fillId="0" borderId="0" xfId="0" applyNumberFormat="1" applyFont="1" applyAlignment="1"/>
    <xf numFmtId="41" fontId="9" fillId="0" borderId="0" xfId="0" applyNumberFormat="1" applyFont="1" applyAlignment="1"/>
    <xf numFmtId="43" fontId="9" fillId="0" borderId="0" xfId="0" applyNumberFormat="1" applyFont="1" applyAlignment="1"/>
    <xf numFmtId="9" fontId="9" fillId="0" borderId="24" xfId="3" applyFont="1" applyFill="1" applyBorder="1" applyAlignment="1">
      <alignment horizontal="center"/>
    </xf>
    <xf numFmtId="180" fontId="9" fillId="0" borderId="25" xfId="3" applyNumberFormat="1" applyFont="1" applyFill="1" applyBorder="1" applyAlignment="1">
      <alignment horizontal="center"/>
    </xf>
    <xf numFmtId="180" fontId="9" fillId="0" borderId="23" xfId="3" applyNumberFormat="1" applyFont="1" applyFill="1" applyBorder="1" applyAlignment="1">
      <alignment horizontal="center"/>
    </xf>
    <xf numFmtId="180" fontId="9" fillId="0" borderId="0" xfId="3" applyNumberFormat="1" applyFont="1" applyFill="1" applyBorder="1" applyAlignment="1">
      <alignment horizontal="center"/>
    </xf>
    <xf numFmtId="0" fontId="6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" fontId="9" fillId="0" borderId="0" xfId="0" applyNumberFormat="1" applyFont="1" applyBorder="1"/>
    <xf numFmtId="3" fontId="4" fillId="0" borderId="0" xfId="0" applyNumberFormat="1" applyFont="1" applyBorder="1" applyAlignment="1">
      <alignment wrapText="1"/>
    </xf>
    <xf numFmtId="9" fontId="9" fillId="0" borderId="0" xfId="0" applyNumberFormat="1" applyFont="1" applyBorder="1" applyAlignment="1">
      <alignment wrapText="1"/>
    </xf>
    <xf numFmtId="206" fontId="9" fillId="0" borderId="0" xfId="0" applyNumberFormat="1" applyFont="1" applyBorder="1" applyAlignment="1">
      <alignment wrapText="1"/>
    </xf>
    <xf numFmtId="2" fontId="9" fillId="0" borderId="0" xfId="0" applyNumberFormat="1" applyFont="1" applyBorder="1" applyAlignment="1">
      <alignment wrapText="1"/>
    </xf>
    <xf numFmtId="165" fontId="9" fillId="0" borderId="0" xfId="1" applyNumberFormat="1" applyFont="1" applyBorder="1" applyAlignment="1">
      <alignment wrapText="1"/>
    </xf>
    <xf numFmtId="165" fontId="12" fillId="0" borderId="0" xfId="1" applyNumberFormat="1" applyFont="1" applyBorder="1" applyAlignment="1">
      <alignment wrapText="1"/>
    </xf>
    <xf numFmtId="0" fontId="4" fillId="0" borderId="3" xfId="0" applyFont="1" applyBorder="1"/>
    <xf numFmtId="39" fontId="4" fillId="0" borderId="0" xfId="1" applyNumberFormat="1" applyFont="1" applyBorder="1" applyAlignment="1">
      <alignment wrapText="1"/>
    </xf>
    <xf numFmtId="9" fontId="9" fillId="0" borderId="0" xfId="3" applyFont="1" applyBorder="1" applyAlignment="1">
      <alignment wrapText="1"/>
    </xf>
    <xf numFmtId="43" fontId="4" fillId="0" borderId="0" xfId="1" applyNumberFormat="1" applyFont="1" applyBorder="1" applyAlignment="1">
      <alignment wrapText="1"/>
    </xf>
    <xf numFmtId="43" fontId="9" fillId="0" borderId="1" xfId="1" applyNumberFormat="1" applyFont="1" applyBorder="1" applyAlignment="1">
      <alignment wrapText="1"/>
    </xf>
    <xf numFmtId="43" fontId="9" fillId="0" borderId="0" xfId="1" applyNumberFormat="1" applyFont="1" applyBorder="1" applyAlignment="1">
      <alignment wrapText="1"/>
    </xf>
    <xf numFmtId="166" fontId="4" fillId="0" borderId="0" xfId="1" applyNumberFormat="1" applyFont="1" applyBorder="1" applyAlignment="1">
      <alignment wrapText="1"/>
    </xf>
    <xf numFmtId="43" fontId="9" fillId="0" borderId="0" xfId="0" applyNumberFormat="1" applyFont="1"/>
    <xf numFmtId="0" fontId="11" fillId="0" borderId="0" xfId="0" applyFont="1" applyBorder="1" applyAlignment="1">
      <alignment horizontal="center"/>
    </xf>
    <xf numFmtId="7" fontId="5" fillId="0" borderId="0" xfId="0" applyNumberFormat="1" applyFont="1" applyFill="1" applyBorder="1" applyAlignment="1">
      <alignment wrapText="1"/>
    </xf>
    <xf numFmtId="5" fontId="9" fillId="0" borderId="0" xfId="0" applyNumberFormat="1" applyFont="1" applyFill="1" applyBorder="1" applyAlignment="1">
      <alignment wrapText="1"/>
    </xf>
    <xf numFmtId="5" fontId="8" fillId="3" borderId="0" xfId="0" applyNumberFormat="1" applyFont="1" applyFill="1" applyBorder="1" applyAlignment="1">
      <alignment wrapText="1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38" fontId="5" fillId="0" borderId="0" xfId="0" applyNumberFormat="1" applyFont="1" applyBorder="1" applyAlignment="1"/>
    <xf numFmtId="2" fontId="4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204" fontId="5" fillId="0" borderId="0" xfId="0" applyNumberFormat="1" applyFont="1" applyBorder="1"/>
    <xf numFmtId="204" fontId="9" fillId="0" borderId="0" xfId="0" applyNumberFormat="1" applyFont="1" applyBorder="1"/>
    <xf numFmtId="204" fontId="4" fillId="0" borderId="0" xfId="0" applyNumberFormat="1" applyFont="1" applyBorder="1"/>
    <xf numFmtId="204" fontId="4" fillId="0" borderId="1" xfId="0" applyNumberFormat="1" applyFont="1" applyBorder="1"/>
    <xf numFmtId="207" fontId="4" fillId="0" borderId="0" xfId="0" applyNumberFormat="1" applyFont="1" applyBorder="1"/>
    <xf numFmtId="170" fontId="9" fillId="0" borderId="0" xfId="0" applyNumberFormat="1" applyFont="1" applyBorder="1" applyAlignment="1">
      <alignment wrapText="1"/>
    </xf>
    <xf numFmtId="165" fontId="9" fillId="0" borderId="1" xfId="1" applyNumberFormat="1" applyFont="1" applyBorder="1"/>
    <xf numFmtId="0" fontId="9" fillId="0" borderId="12" xfId="0" applyFont="1" applyFill="1" applyBorder="1" applyAlignment="1"/>
    <xf numFmtId="0" fontId="9" fillId="0" borderId="6" xfId="0" applyFont="1" applyFill="1" applyBorder="1" applyAlignment="1"/>
    <xf numFmtId="37" fontId="9" fillId="0" borderId="0" xfId="1" applyNumberFormat="1" applyFont="1" applyBorder="1"/>
    <xf numFmtId="0" fontId="4" fillId="0" borderId="8" xfId="0" applyFont="1" applyBorder="1"/>
    <xf numFmtId="37" fontId="5" fillId="0" borderId="0" xfId="1" applyNumberFormat="1" applyFont="1" applyBorder="1"/>
    <xf numFmtId="165" fontId="4" fillId="0" borderId="0" xfId="1" applyNumberFormat="1" applyFont="1" applyBorder="1"/>
    <xf numFmtId="0" fontId="4" fillId="0" borderId="5" xfId="0" applyFont="1" applyBorder="1" applyAlignment="1"/>
    <xf numFmtId="165" fontId="4" fillId="0" borderId="1" xfId="1" applyNumberFormat="1" applyFont="1" applyBorder="1"/>
    <xf numFmtId="0" fontId="4" fillId="0" borderId="9" xfId="0" applyFont="1" applyBorder="1"/>
    <xf numFmtId="164" fontId="9" fillId="0" borderId="0" xfId="0" applyNumberFormat="1" applyFont="1" applyBorder="1"/>
    <xf numFmtId="165" fontId="4" fillId="0" borderId="0" xfId="0" applyNumberFormat="1" applyFont="1" applyBorder="1"/>
    <xf numFmtId="207" fontId="4" fillId="0" borderId="0" xfId="0" applyNumberFormat="1" applyFont="1" applyFill="1" applyBorder="1"/>
    <xf numFmtId="0" fontId="14" fillId="0" borderId="0" xfId="0" applyFont="1" applyBorder="1"/>
    <xf numFmtId="164" fontId="9" fillId="0" borderId="0" xfId="1" applyNumberFormat="1" applyFont="1" applyBorder="1"/>
    <xf numFmtId="165" fontId="9" fillId="0" borderId="6" xfId="1" applyNumberFormat="1" applyFont="1" applyBorder="1"/>
    <xf numFmtId="1" fontId="9" fillId="0" borderId="0" xfId="1" applyNumberFormat="1" applyFont="1" applyBorder="1"/>
    <xf numFmtId="37" fontId="4" fillId="0" borderId="0" xfId="1" applyNumberFormat="1" applyFont="1" applyBorder="1"/>
    <xf numFmtId="37" fontId="27" fillId="0" borderId="0" xfId="1" applyNumberFormat="1" applyFont="1" applyBorder="1"/>
    <xf numFmtId="0" fontId="4" fillId="10" borderId="3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wrapText="1"/>
    </xf>
    <xf numFmtId="0" fontId="9" fillId="10" borderId="0" xfId="0" applyFont="1" applyFill="1" applyBorder="1" applyAlignment="1">
      <alignment wrapText="1"/>
    </xf>
    <xf numFmtId="165" fontId="9" fillId="10" borderId="0" xfId="1" applyNumberFormat="1" applyFont="1" applyFill="1" applyBorder="1"/>
    <xf numFmtId="0" fontId="4" fillId="10" borderId="8" xfId="0" applyFont="1" applyFill="1" applyBorder="1"/>
    <xf numFmtId="165" fontId="9" fillId="0" borderId="1" xfId="0" applyNumberFormat="1" applyFont="1" applyBorder="1"/>
    <xf numFmtId="0" fontId="4" fillId="0" borderId="3" xfId="0" applyFont="1" applyFill="1" applyBorder="1"/>
    <xf numFmtId="0" fontId="4" fillId="0" borderId="8" xfId="0" applyFont="1" applyFill="1" applyBorder="1"/>
    <xf numFmtId="3" fontId="27" fillId="10" borderId="0" xfId="0" applyNumberFormat="1" applyFont="1" applyFill="1" applyBorder="1"/>
    <xf numFmtId="3" fontId="4" fillId="10" borderId="0" xfId="0" applyNumberFormat="1" applyFont="1" applyFill="1" applyBorder="1"/>
    <xf numFmtId="165" fontId="9" fillId="0" borderId="3" xfId="1" applyNumberFormat="1" applyFont="1" applyBorder="1"/>
    <xf numFmtId="165" fontId="9" fillId="0" borderId="8" xfId="1" applyNumberFormat="1" applyFont="1" applyBorder="1"/>
    <xf numFmtId="165" fontId="4" fillId="0" borderId="3" xfId="1" applyNumberFormat="1" applyFont="1" applyBorder="1"/>
    <xf numFmtId="165" fontId="4" fillId="0" borderId="0" xfId="1" applyNumberFormat="1" applyFont="1" applyBorder="1" applyAlignment="1">
      <alignment wrapText="1"/>
    </xf>
    <xf numFmtId="165" fontId="4" fillId="0" borderId="8" xfId="1" applyNumberFormat="1" applyFont="1" applyBorder="1"/>
    <xf numFmtId="165" fontId="4" fillId="0" borderId="0" xfId="1" applyNumberFormat="1" applyFont="1"/>
    <xf numFmtId="43" fontId="9" fillId="0" borderId="1" xfId="1" applyNumberFormat="1" applyFont="1" applyBorder="1"/>
    <xf numFmtId="166" fontId="9" fillId="0" borderId="0" xfId="1" applyNumberFormat="1" applyFont="1" applyBorder="1"/>
    <xf numFmtId="206" fontId="4" fillId="0" borderId="0" xfId="0" applyNumberFormat="1" applyFont="1" applyBorder="1"/>
    <xf numFmtId="165" fontId="9" fillId="0" borderId="4" xfId="1" applyNumberFormat="1" applyFont="1" applyBorder="1"/>
    <xf numFmtId="0" fontId="6" fillId="4" borderId="0" xfId="0" applyFont="1" applyFill="1" applyAlignment="1">
      <alignment wrapText="1"/>
    </xf>
    <xf numFmtId="0" fontId="9" fillId="0" borderId="5" xfId="0" applyFont="1" applyFill="1" applyBorder="1" applyAlignment="1"/>
    <xf numFmtId="0" fontId="9" fillId="0" borderId="1" xfId="0" applyFont="1" applyFill="1" applyBorder="1" applyAlignment="1"/>
    <xf numFmtId="0" fontId="9" fillId="0" borderId="1" xfId="0" applyFont="1" applyFill="1" applyBorder="1" applyAlignment="1">
      <alignment wrapText="1"/>
    </xf>
    <xf numFmtId="165" fontId="9" fillId="0" borderId="1" xfId="1" applyNumberFormat="1" applyFont="1" applyFill="1" applyBorder="1"/>
    <xf numFmtId="165" fontId="9" fillId="0" borderId="6" xfId="1" applyNumberFormat="1" applyFont="1" applyFill="1" applyBorder="1"/>
    <xf numFmtId="167" fontId="9" fillId="0" borderId="1" xfId="3" applyNumberFormat="1" applyFont="1" applyBorder="1"/>
    <xf numFmtId="9" fontId="9" fillId="0" borderId="0" xfId="3" applyFont="1" applyAlignment="1">
      <alignment wrapText="1"/>
    </xf>
    <xf numFmtId="0" fontId="9" fillId="0" borderId="7" xfId="0" applyFont="1" applyBorder="1" applyAlignment="1"/>
    <xf numFmtId="0" fontId="11" fillId="0" borderId="8" xfId="0" applyFont="1" applyBorder="1" applyAlignment="1">
      <alignment horizontal="center"/>
    </xf>
    <xf numFmtId="0" fontId="9" fillId="0" borderId="8" xfId="0" applyFont="1" applyBorder="1" applyAlignment="1"/>
    <xf numFmtId="3" fontId="9" fillId="0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1" fontId="9" fillId="0" borderId="0" xfId="0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0" borderId="9" xfId="0" applyFont="1" applyBorder="1" applyAlignment="1"/>
    <xf numFmtId="0" fontId="11" fillId="0" borderId="8" xfId="0" applyFont="1" applyBorder="1" applyAlignment="1"/>
    <xf numFmtId="9" fontId="9" fillId="0" borderId="0" xfId="0" applyNumberFormat="1" applyFont="1" applyBorder="1" applyAlignment="1"/>
    <xf numFmtId="9" fontId="28" fillId="0" borderId="0" xfId="0" applyNumberFormat="1" applyFont="1" applyBorder="1" applyAlignment="1"/>
    <xf numFmtId="0" fontId="9" fillId="0" borderId="2" xfId="0" applyFont="1" applyBorder="1" applyAlignment="1">
      <alignment horizontal="center"/>
    </xf>
    <xf numFmtId="3" fontId="9" fillId="0" borderId="14" xfId="0" applyNumberFormat="1" applyFont="1" applyBorder="1" applyAlignment="1"/>
    <xf numFmtId="38" fontId="9" fillId="0" borderId="14" xfId="0" applyNumberFormat="1" applyFont="1" applyBorder="1" applyAlignment="1"/>
    <xf numFmtId="37" fontId="9" fillId="0" borderId="0" xfId="0" applyNumberFormat="1" applyFont="1" applyBorder="1" applyAlignment="1"/>
    <xf numFmtId="1" fontId="9" fillId="0" borderId="0" xfId="0" applyNumberFormat="1" applyFont="1"/>
    <xf numFmtId="0" fontId="4" fillId="0" borderId="4" xfId="0" applyFont="1" applyBorder="1"/>
    <xf numFmtId="0" fontId="9" fillId="0" borderId="4" xfId="0" applyFont="1" applyFill="1" applyBorder="1"/>
    <xf numFmtId="6" fontId="4" fillId="0" borderId="4" xfId="0" applyNumberFormat="1" applyFont="1" applyBorder="1"/>
    <xf numFmtId="0" fontId="16" fillId="3" borderId="22" xfId="0" applyFont="1" applyFill="1" applyBorder="1" applyAlignment="1">
      <alignment horizontal="center"/>
    </xf>
    <xf numFmtId="0" fontId="21" fillId="0" borderId="10" xfId="0" applyFont="1" applyBorder="1"/>
    <xf numFmtId="0" fontId="21" fillId="0" borderId="11" xfId="0" applyFont="1" applyBorder="1"/>
    <xf numFmtId="1" fontId="29" fillId="0" borderId="0" xfId="0" applyNumberFormat="1" applyFont="1"/>
    <xf numFmtId="43" fontId="29" fillId="0" borderId="0" xfId="1" applyFont="1"/>
    <xf numFmtId="165" fontId="29" fillId="0" borderId="0" xfId="1" applyNumberFormat="1" applyFont="1"/>
    <xf numFmtId="0" fontId="30" fillId="0" borderId="0" xfId="0" applyFont="1"/>
    <xf numFmtId="0" fontId="10" fillId="0" borderId="13" xfId="0" applyFont="1" applyBorder="1" applyAlignment="1">
      <alignment horizontal="left"/>
    </xf>
    <xf numFmtId="185" fontId="6" fillId="0" borderId="0" xfId="2" applyNumberFormat="1" applyFont="1" applyFill="1" applyBorder="1"/>
    <xf numFmtId="9" fontId="6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8" fontId="9" fillId="0" borderId="0" xfId="0" applyNumberFormat="1" applyFont="1" applyFill="1" applyBorder="1"/>
    <xf numFmtId="38" fontId="5" fillId="0" borderId="0" xfId="0" applyNumberFormat="1" applyFont="1" applyFill="1" applyBorder="1"/>
    <xf numFmtId="38" fontId="4" fillId="0" borderId="0" xfId="0" applyNumberFormat="1" applyFont="1" applyFill="1" applyBorder="1"/>
    <xf numFmtId="185" fontId="4" fillId="3" borderId="22" xfId="2" applyNumberFormat="1" applyFont="1" applyFill="1" applyBorder="1"/>
    <xf numFmtId="185" fontId="25" fillId="3" borderId="22" xfId="2" applyNumberFormat="1" applyFont="1" applyFill="1" applyBorder="1"/>
    <xf numFmtId="185" fontId="9" fillId="3" borderId="22" xfId="2" applyNumberFormat="1" applyFont="1" applyFill="1" applyBorder="1"/>
    <xf numFmtId="185" fontId="4" fillId="0" borderId="0" xfId="2" applyNumberFormat="1" applyFont="1" applyFill="1" applyBorder="1"/>
    <xf numFmtId="9" fontId="4" fillId="0" borderId="0" xfId="3" applyNumberFormat="1" applyFont="1" applyFill="1" applyBorder="1"/>
    <xf numFmtId="0" fontId="4" fillId="11" borderId="22" xfId="0" applyNumberFormat="1" applyFont="1" applyFill="1" applyBorder="1" applyAlignment="1">
      <alignment horizontal="center"/>
    </xf>
    <xf numFmtId="3" fontId="4" fillId="5" borderId="15" xfId="0" applyNumberFormat="1" applyFont="1" applyFill="1" applyBorder="1"/>
    <xf numFmtId="3" fontId="4" fillId="5" borderId="16" xfId="0" applyNumberFormat="1" applyFont="1" applyFill="1" applyBorder="1"/>
    <xf numFmtId="3" fontId="4" fillId="5" borderId="17" xfId="0" applyNumberFormat="1" applyFont="1" applyFill="1" applyBorder="1"/>
    <xf numFmtId="3" fontId="4" fillId="5" borderId="26" xfId="0" applyNumberFormat="1" applyFont="1" applyFill="1" applyBorder="1"/>
    <xf numFmtId="3" fontId="4" fillId="5" borderId="27" xfId="0" applyNumberFormat="1" applyFont="1" applyFill="1" applyBorder="1"/>
    <xf numFmtId="3" fontId="4" fillId="5" borderId="28" xfId="0" applyNumberFormat="1" applyFont="1" applyFill="1" applyBorder="1"/>
    <xf numFmtId="9" fontId="31" fillId="0" borderId="0" xfId="3" applyFont="1" applyFill="1" applyBorder="1" applyAlignment="1">
      <alignment horizontal="left"/>
    </xf>
    <xf numFmtId="6" fontId="0" fillId="0" borderId="0" xfId="0" applyNumberFormat="1"/>
    <xf numFmtId="38" fontId="0" fillId="0" borderId="0" xfId="0" applyNumberFormat="1"/>
    <xf numFmtId="0" fontId="0" fillId="0" borderId="1" xfId="0" applyBorder="1"/>
    <xf numFmtId="3" fontId="4" fillId="5" borderId="14" xfId="0" applyNumberFormat="1" applyFont="1" applyFill="1" applyBorder="1"/>
    <xf numFmtId="3" fontId="4" fillId="5" borderId="21" xfId="0" applyNumberFormat="1" applyFont="1" applyFill="1" applyBorder="1"/>
    <xf numFmtId="3" fontId="4" fillId="5" borderId="20" xfId="0" applyNumberFormat="1" applyFont="1" applyFill="1" applyBorder="1"/>
    <xf numFmtId="205" fontId="8" fillId="3" borderId="2" xfId="1" applyNumberFormat="1" applyFont="1" applyFill="1" applyBorder="1" applyAlignment="1">
      <alignment horizontal="center"/>
    </xf>
    <xf numFmtId="205" fontId="20" fillId="3" borderId="2" xfId="1" applyNumberFormat="1" applyFont="1" applyFill="1" applyBorder="1" applyAlignment="1">
      <alignment horizontal="center"/>
    </xf>
    <xf numFmtId="165" fontId="4" fillId="10" borderId="0" xfId="1" applyNumberFormat="1" applyFont="1" applyFill="1" applyBorder="1"/>
    <xf numFmtId="0" fontId="10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37" fontId="9" fillId="0" borderId="0" xfId="0" applyNumberFormat="1" applyFont="1" applyFill="1"/>
    <xf numFmtId="206" fontId="9" fillId="0" borderId="0" xfId="0" applyNumberFormat="1" applyFont="1" applyFill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164" fontId="12" fillId="0" borderId="0" xfId="1" applyNumberFormat="1" applyFont="1"/>
    <xf numFmtId="8" fontId="8" fillId="3" borderId="0" xfId="0" applyNumberFormat="1" applyFont="1" applyFill="1" applyBorder="1" applyAlignment="1">
      <alignment wrapText="1"/>
    </xf>
    <xf numFmtId="8" fontId="8" fillId="3" borderId="0" xfId="0" applyNumberFormat="1" applyFont="1" applyFill="1" applyBorder="1"/>
    <xf numFmtId="246" fontId="32" fillId="3" borderId="2" xfId="0" applyNumberFormat="1" applyFont="1" applyFill="1" applyBorder="1" applyAlignment="1">
      <alignment horizontal="center" wrapText="1"/>
    </xf>
    <xf numFmtId="0" fontId="33" fillId="0" borderId="0" xfId="0" applyFont="1" applyBorder="1" applyAlignment="1">
      <alignment wrapText="1"/>
    </xf>
    <xf numFmtId="3" fontId="33" fillId="0" borderId="0" xfId="3" applyNumberFormat="1" applyFont="1" applyFill="1" applyBorder="1" applyAlignment="1">
      <alignment horizontal="left"/>
    </xf>
    <xf numFmtId="6" fontId="8" fillId="3" borderId="2" xfId="0" applyNumberFormat="1" applyFont="1" applyFill="1" applyBorder="1" applyAlignment="1">
      <alignment horizontal="center"/>
    </xf>
    <xf numFmtId="6" fontId="33" fillId="0" borderId="2" xfId="0" applyNumberFormat="1" applyFont="1" applyFill="1" applyBorder="1" applyAlignment="1">
      <alignment horizontal="center"/>
    </xf>
    <xf numFmtId="212" fontId="8" fillId="0" borderId="0" xfId="0" applyNumberFormat="1" applyFont="1" applyFill="1" applyBorder="1" applyAlignment="1">
      <alignment horizontal="center"/>
    </xf>
    <xf numFmtId="0" fontId="33" fillId="0" borderId="29" xfId="0" applyFont="1" applyBorder="1"/>
    <xf numFmtId="6" fontId="33" fillId="0" borderId="2" xfId="0" applyNumberFormat="1" applyFont="1" applyBorder="1"/>
    <xf numFmtId="0" fontId="33" fillId="0" borderId="2" xfId="0" applyFont="1" applyBorder="1"/>
    <xf numFmtId="9" fontId="33" fillId="0" borderId="2" xfId="3" applyFont="1" applyBorder="1"/>
    <xf numFmtId="9" fontId="33" fillId="0" borderId="30" xfId="3" applyFont="1" applyBorder="1"/>
    <xf numFmtId="0" fontId="37" fillId="3" borderId="5" xfId="0" applyFont="1" applyFill="1" applyBorder="1"/>
    <xf numFmtId="6" fontId="37" fillId="3" borderId="31" xfId="0" applyNumberFormat="1" applyFont="1" applyFill="1" applyBorder="1"/>
    <xf numFmtId="0" fontId="37" fillId="3" borderId="31" xfId="0" applyFont="1" applyFill="1" applyBorder="1"/>
    <xf numFmtId="6" fontId="37" fillId="3" borderId="32" xfId="0" applyNumberFormat="1" applyFont="1" applyFill="1" applyBorder="1"/>
    <xf numFmtId="9" fontId="37" fillId="3" borderId="33" xfId="0" applyNumberFormat="1" applyFont="1" applyFill="1" applyBorder="1"/>
    <xf numFmtId="6" fontId="36" fillId="12" borderId="34" xfId="0" applyNumberFormat="1" applyFont="1" applyFill="1" applyBorder="1" applyAlignment="1">
      <alignment horizontal="center"/>
    </xf>
    <xf numFmtId="0" fontId="35" fillId="12" borderId="14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12" borderId="35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204" fontId="9" fillId="0" borderId="0" xfId="0" applyNumberFormat="1" applyFont="1"/>
    <xf numFmtId="14" fontId="6" fillId="4" borderId="0" xfId="0" applyNumberFormat="1" applyFont="1" applyFill="1" applyBorder="1"/>
    <xf numFmtId="3" fontId="0" fillId="0" borderId="0" xfId="0" applyNumberFormat="1"/>
    <xf numFmtId="3" fontId="9" fillId="0" borderId="14" xfId="0" applyNumberFormat="1" applyFont="1" applyBorder="1"/>
    <xf numFmtId="0" fontId="9" fillId="0" borderId="14" xfId="0" applyFont="1" applyBorder="1"/>
    <xf numFmtId="3" fontId="0" fillId="0" borderId="14" xfId="0" applyNumberFormat="1" applyBorder="1"/>
    <xf numFmtId="0" fontId="0" fillId="0" borderId="14" xfId="0" applyBorder="1"/>
    <xf numFmtId="180" fontId="9" fillId="0" borderId="14" xfId="0" applyNumberFormat="1" applyFont="1" applyBorder="1"/>
    <xf numFmtId="165" fontId="0" fillId="0" borderId="0" xfId="1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165" fontId="4" fillId="0" borderId="14" xfId="1" applyNumberFormat="1" applyFont="1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37" fontId="8" fillId="3" borderId="0" xfId="1" applyNumberFormat="1" applyFont="1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37" xfId="0" applyFont="1" applyBorder="1" applyAlignment="1">
      <alignment wrapText="1"/>
    </xf>
    <xf numFmtId="165" fontId="4" fillId="0" borderId="37" xfId="1" applyNumberFormat="1" applyFont="1" applyBorder="1"/>
    <xf numFmtId="0" fontId="9" fillId="0" borderId="27" xfId="2" applyNumberFormat="1" applyFont="1" applyFill="1" applyBorder="1" applyAlignment="1">
      <alignment horizontal="center" wrapText="1"/>
    </xf>
    <xf numFmtId="0" fontId="8" fillId="0" borderId="27" xfId="0" applyFont="1" applyFill="1" applyBorder="1" applyAlignment="1">
      <alignment horizontal="center" wrapText="1"/>
    </xf>
    <xf numFmtId="43" fontId="8" fillId="3" borderId="0" xfId="1" applyFont="1" applyFill="1" applyBorder="1"/>
    <xf numFmtId="43" fontId="8" fillId="3" borderId="0" xfId="3" applyNumberFormat="1" applyFont="1" applyFill="1" applyBorder="1"/>
    <xf numFmtId="43" fontId="9" fillId="0" borderId="0" xfId="1" applyFont="1" applyFill="1" applyBorder="1" applyAlignment="1"/>
    <xf numFmtId="0" fontId="9" fillId="13" borderId="12" xfId="0" applyFont="1" applyFill="1" applyBorder="1"/>
    <xf numFmtId="0" fontId="9" fillId="13" borderId="6" xfId="0" applyFont="1" applyFill="1" applyBorder="1"/>
    <xf numFmtId="165" fontId="9" fillId="13" borderId="7" xfId="1" applyNumberFormat="1" applyFont="1" applyFill="1" applyBorder="1"/>
    <xf numFmtId="0" fontId="9" fillId="13" borderId="3" xfId="0" applyFont="1" applyFill="1" applyBorder="1"/>
    <xf numFmtId="0" fontId="9" fillId="13" borderId="0" xfId="0" applyFont="1" applyFill="1" applyBorder="1"/>
    <xf numFmtId="165" fontId="9" fillId="13" borderId="8" xfId="0" applyNumberFormat="1" applyFont="1" applyFill="1" applyBorder="1"/>
    <xf numFmtId="165" fontId="9" fillId="13" borderId="8" xfId="1" applyNumberFormat="1" applyFont="1" applyFill="1" applyBorder="1"/>
    <xf numFmtId="165" fontId="10" fillId="13" borderId="8" xfId="1" applyNumberFormat="1" applyFont="1" applyFill="1" applyBorder="1"/>
    <xf numFmtId="165" fontId="4" fillId="13" borderId="8" xfId="0" applyNumberFormat="1" applyFont="1" applyFill="1" applyBorder="1"/>
    <xf numFmtId="38" fontId="9" fillId="13" borderId="8" xfId="0" applyNumberFormat="1" applyFont="1" applyFill="1" applyBorder="1"/>
    <xf numFmtId="0" fontId="9" fillId="13" borderId="5" xfId="0" applyFont="1" applyFill="1" applyBorder="1"/>
    <xf numFmtId="0" fontId="9" fillId="13" borderId="1" xfId="0" applyFont="1" applyFill="1" applyBorder="1"/>
    <xf numFmtId="9" fontId="9" fillId="13" borderId="9" xfId="3" applyFont="1" applyFill="1" applyBorder="1"/>
    <xf numFmtId="0" fontId="9" fillId="13" borderId="35" xfId="0" applyFont="1" applyFill="1" applyBorder="1"/>
    <xf numFmtId="9" fontId="4" fillId="0" borderId="0" xfId="3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5" fontId="9" fillId="0" borderId="0" xfId="0" applyNumberFormat="1" applyFont="1" applyAlignment="1"/>
    <xf numFmtId="165" fontId="4" fillId="0" borderId="0" xfId="0" applyNumberFormat="1" applyFont="1" applyBorder="1" applyAlignment="1"/>
    <xf numFmtId="165" fontId="9" fillId="0" borderId="0" xfId="0" applyNumberFormat="1" applyFont="1" applyBorder="1" applyAlignment="1"/>
    <xf numFmtId="165" fontId="4" fillId="0" borderId="14" xfId="0" applyNumberFormat="1" applyFont="1" applyBorder="1" applyAlignment="1"/>
    <xf numFmtId="8" fontId="8" fillId="0" borderId="0" xfId="0" applyNumberFormat="1" applyFont="1" applyFill="1" applyBorder="1" applyAlignment="1">
      <alignment wrapText="1"/>
    </xf>
    <xf numFmtId="8" fontId="8" fillId="0" borderId="0" xfId="0" applyNumberFormat="1" applyFont="1" applyFill="1" applyBorder="1"/>
    <xf numFmtId="165" fontId="8" fillId="0" borderId="0" xfId="0" applyNumberFormat="1" applyFont="1" applyFill="1" applyAlignment="1">
      <alignment wrapText="1"/>
    </xf>
    <xf numFmtId="9" fontId="8" fillId="0" borderId="0" xfId="0" applyNumberFormat="1" applyFont="1" applyFill="1" applyAlignment="1">
      <alignment wrapText="1"/>
    </xf>
    <xf numFmtId="0" fontId="6" fillId="12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6" fontId="34" fillId="12" borderId="38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9" fillId="0" borderId="0" xfId="0" applyFont="1" applyAlignment="1"/>
    <xf numFmtId="0" fontId="6" fillId="2" borderId="0" xfId="0" applyFont="1" applyFill="1" applyBorder="1" applyAlignment="1"/>
    <xf numFmtId="0" fontId="0" fillId="0" borderId="0" xfId="0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579120</xdr:colOff>
          <xdr:row>167</xdr:row>
          <xdr:rowOff>30480</xdr:rowOff>
        </xdr:to>
        <xdr:sp macro="" textlink="">
          <xdr:nvSpPr>
            <xdr:cNvPr id="1551" name="ScrollBar1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2545080</xdr:colOff>
          <xdr:row>93</xdr:row>
          <xdr:rowOff>0</xdr:rowOff>
        </xdr:from>
        <xdr:to>
          <xdr:col>3</xdr:col>
          <xdr:colOff>3345180</xdr:colOff>
          <xdr:row>94</xdr:row>
          <xdr:rowOff>30480</xdr:rowOff>
        </xdr:to>
        <xdr:sp macro="" textlink="">
          <xdr:nvSpPr>
            <xdr:cNvPr id="1602" name="ScrollBar1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8</xdr:col>
      <xdr:colOff>1188720</xdr:colOff>
      <xdr:row>38</xdr:row>
      <xdr:rowOff>0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4198620" y="6446520"/>
          <a:ext cx="33909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09728" tIns="91440" rIns="0" bIns="0" anchor="t" upright="1"/>
        <a:lstStyle/>
        <a:p>
          <a:pPr algn="l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Work in process</a:t>
          </a:r>
        </a:p>
        <a:p>
          <a:pPr algn="l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Ignore</a:t>
          </a: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3497580</xdr:colOff>
      <xdr:row>38</xdr:row>
      <xdr:rowOff>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502920" y="6446520"/>
          <a:ext cx="34975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* Total data streamed during peak loads vs. of-peak loads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1</xdr:row>
          <xdr:rowOff>30480</xdr:rowOff>
        </xdr:from>
        <xdr:to>
          <xdr:col>0</xdr:col>
          <xdr:colOff>2377440</xdr:colOff>
          <xdr:row>2</xdr:row>
          <xdr:rowOff>7620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Click here to Update Scenarios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printerSettings" Target="../printerSettings/printerSettings3.bin"/><Relationship Id="rId7" Type="http://schemas.openxmlformats.org/officeDocument/2006/relationships/control" Target="../activeX/activeX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4.bin"/><Relationship Id="rId9" Type="http://schemas.openxmlformats.org/officeDocument/2006/relationships/control" Target="../activeX/activeX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326"/>
  <sheetViews>
    <sheetView zoomScale="75" zoomScaleNormal="7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D32" sqref="D32"/>
    </sheetView>
  </sheetViews>
  <sheetFormatPr defaultColWidth="9.109375" defaultRowHeight="13.2" x14ac:dyDescent="0.25"/>
  <cols>
    <col min="1" max="1" width="4.109375" style="160" customWidth="1"/>
    <col min="2" max="2" width="4" style="161" customWidth="1"/>
    <col min="3" max="3" width="4.109375" style="161" customWidth="1"/>
    <col min="4" max="4" width="49.6640625" style="160" customWidth="1"/>
    <col min="5" max="5" width="10.44140625" style="160" customWidth="1"/>
    <col min="6" max="6" width="16.5546875" style="160" customWidth="1"/>
    <col min="7" max="7" width="14.5546875" style="160" customWidth="1"/>
    <col min="8" max="8" width="12.5546875" style="160" customWidth="1"/>
    <col min="9" max="9" width="11.6640625" style="13" bestFit="1" customWidth="1"/>
    <col min="10" max="10" width="13.109375" style="13" customWidth="1"/>
    <col min="11" max="11" width="12.44140625" style="13" bestFit="1" customWidth="1"/>
    <col min="12" max="12" width="12.88671875" style="13" bestFit="1" customWidth="1"/>
    <col min="13" max="13" width="12.6640625" style="13" bestFit="1" customWidth="1"/>
    <col min="14" max="14" width="13.33203125" style="13" customWidth="1"/>
    <col min="15" max="15" width="12.6640625" style="13" bestFit="1" customWidth="1"/>
    <col min="16" max="17" width="13.33203125" style="13" bestFit="1" customWidth="1"/>
    <col min="18" max="19" width="12.44140625" style="13" bestFit="1" customWidth="1"/>
    <col min="20" max="20" width="12.6640625" style="13" bestFit="1" customWidth="1"/>
    <col min="21" max="22" width="12.88671875" style="13" bestFit="1" customWidth="1"/>
    <col min="23" max="23" width="12.44140625" style="13" bestFit="1" customWidth="1"/>
    <col min="24" max="24" width="12.6640625" style="13" bestFit="1" customWidth="1"/>
    <col min="25" max="25" width="12.88671875" style="13" bestFit="1" customWidth="1"/>
    <col min="26" max="26" width="3.109375" style="38" customWidth="1"/>
    <col min="27" max="27" width="45.44140625" style="13" customWidth="1"/>
    <col min="28" max="16384" width="9.109375" style="13"/>
  </cols>
  <sheetData>
    <row r="1" spans="1:27" ht="15.6" x14ac:dyDescent="0.3">
      <c r="A1" s="143" t="s">
        <v>430</v>
      </c>
      <c r="B1" s="156"/>
      <c r="C1" s="156"/>
      <c r="D1" s="143"/>
      <c r="E1" s="157"/>
      <c r="F1" s="158"/>
      <c r="G1" s="158"/>
      <c r="H1" s="158"/>
    </row>
    <row r="2" spans="1:27" ht="6.75" customHeight="1" x14ac:dyDescent="0.3">
      <c r="A2" s="157"/>
      <c r="B2" s="159"/>
      <c r="C2" s="159"/>
      <c r="D2" s="157"/>
      <c r="E2" s="157"/>
      <c r="F2" s="158"/>
      <c r="G2" s="158"/>
      <c r="H2" s="158"/>
    </row>
    <row r="3" spans="1:27" ht="13.8" thickBot="1" x14ac:dyDescent="0.3"/>
    <row r="4" spans="1:27" x14ac:dyDescent="0.25">
      <c r="A4" s="162"/>
      <c r="B4" s="163"/>
      <c r="C4" s="163"/>
      <c r="D4" s="164"/>
      <c r="E4" s="164"/>
      <c r="F4" s="164"/>
      <c r="G4" s="164"/>
      <c r="H4" s="164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6"/>
      <c r="AA4" s="167"/>
    </row>
    <row r="5" spans="1:27" x14ac:dyDescent="0.25">
      <c r="A5" s="168"/>
      <c r="B5" s="169" t="s">
        <v>52</v>
      </c>
      <c r="C5" s="169"/>
      <c r="D5" s="170"/>
      <c r="E5" s="170"/>
      <c r="F5" s="170"/>
      <c r="G5" s="170"/>
      <c r="H5" s="17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1"/>
      <c r="AA5" s="172"/>
    </row>
    <row r="6" spans="1:27" x14ac:dyDescent="0.25">
      <c r="A6" s="168"/>
      <c r="B6" s="173"/>
      <c r="C6" s="173"/>
      <c r="D6" s="170"/>
      <c r="E6" s="170"/>
      <c r="F6" s="149">
        <v>2001</v>
      </c>
      <c r="G6" s="37">
        <v>2002</v>
      </c>
      <c r="H6" s="149">
        <v>2003</v>
      </c>
      <c r="I6" s="37">
        <v>2004</v>
      </c>
      <c r="J6" s="149">
        <v>2005</v>
      </c>
      <c r="K6" s="37">
        <v>2006</v>
      </c>
      <c r="L6" s="149">
        <v>2007</v>
      </c>
      <c r="M6" s="37">
        <v>2008</v>
      </c>
      <c r="N6" s="149">
        <v>2009</v>
      </c>
      <c r="O6" s="37">
        <v>2010</v>
      </c>
      <c r="P6" s="149">
        <v>2011</v>
      </c>
      <c r="Q6" s="37">
        <v>2012</v>
      </c>
      <c r="R6" s="149">
        <v>2013</v>
      </c>
      <c r="S6" s="37">
        <v>2014</v>
      </c>
      <c r="T6" s="149">
        <v>2015</v>
      </c>
      <c r="U6" s="37">
        <v>2016</v>
      </c>
      <c r="V6" s="149">
        <v>2017</v>
      </c>
      <c r="W6" s="37">
        <v>2018</v>
      </c>
      <c r="X6" s="149">
        <v>2019</v>
      </c>
      <c r="Y6" s="37">
        <v>2020</v>
      </c>
      <c r="Z6" s="174"/>
      <c r="AA6" s="175" t="s">
        <v>56</v>
      </c>
    </row>
    <row r="7" spans="1:27" x14ac:dyDescent="0.25">
      <c r="A7" s="14"/>
      <c r="B7" s="173"/>
      <c r="C7" s="176"/>
      <c r="D7" s="177"/>
      <c r="E7" s="177"/>
      <c r="F7" s="177"/>
      <c r="G7" s="177"/>
      <c r="H7" s="177"/>
      <c r="I7" s="17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71"/>
      <c r="AA7" s="172"/>
    </row>
    <row r="8" spans="1:27" x14ac:dyDescent="0.25">
      <c r="A8" s="14"/>
      <c r="B8" s="173"/>
      <c r="C8" s="179"/>
      <c r="D8" s="180" t="s">
        <v>53</v>
      </c>
      <c r="E8" s="177"/>
      <c r="F8" s="177"/>
      <c r="G8" s="177"/>
      <c r="H8" s="177"/>
      <c r="I8" s="178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2"/>
    </row>
    <row r="9" spans="1:27" x14ac:dyDescent="0.25">
      <c r="A9" s="14"/>
      <c r="B9" s="173"/>
      <c r="C9" s="173"/>
      <c r="D9" s="170" t="s">
        <v>369</v>
      </c>
      <c r="E9" s="170"/>
      <c r="F9" s="181">
        <v>10</v>
      </c>
      <c r="G9" s="181">
        <f>F9+8</f>
        <v>18</v>
      </c>
      <c r="H9" s="181">
        <f t="shared" ref="H9:Y9" si="0">G9+8</f>
        <v>26</v>
      </c>
      <c r="I9" s="181">
        <f t="shared" si="0"/>
        <v>34</v>
      </c>
      <c r="J9" s="181">
        <f t="shared" si="0"/>
        <v>42</v>
      </c>
      <c r="K9" s="181">
        <f t="shared" si="0"/>
        <v>50</v>
      </c>
      <c r="L9" s="181">
        <f t="shared" si="0"/>
        <v>58</v>
      </c>
      <c r="M9" s="181">
        <f t="shared" si="0"/>
        <v>66</v>
      </c>
      <c r="N9" s="181">
        <f t="shared" si="0"/>
        <v>74</v>
      </c>
      <c r="O9" s="181">
        <f t="shared" si="0"/>
        <v>82</v>
      </c>
      <c r="P9" s="181">
        <f t="shared" si="0"/>
        <v>90</v>
      </c>
      <c r="Q9" s="181">
        <f t="shared" si="0"/>
        <v>98</v>
      </c>
      <c r="R9" s="181">
        <f t="shared" si="0"/>
        <v>106</v>
      </c>
      <c r="S9" s="181">
        <f t="shared" si="0"/>
        <v>114</v>
      </c>
      <c r="T9" s="181">
        <f t="shared" si="0"/>
        <v>122</v>
      </c>
      <c r="U9" s="181">
        <f t="shared" si="0"/>
        <v>130</v>
      </c>
      <c r="V9" s="181">
        <f t="shared" si="0"/>
        <v>138</v>
      </c>
      <c r="W9" s="181">
        <f t="shared" si="0"/>
        <v>146</v>
      </c>
      <c r="X9" s="181">
        <f t="shared" si="0"/>
        <v>154</v>
      </c>
      <c r="Y9" s="181">
        <f t="shared" si="0"/>
        <v>162</v>
      </c>
      <c r="Z9" s="182"/>
      <c r="AA9" s="172" t="s">
        <v>1006</v>
      </c>
    </row>
    <row r="10" spans="1:27" s="38" customFormat="1" x14ac:dyDescent="0.25">
      <c r="A10" s="183"/>
      <c r="B10" s="184"/>
      <c r="C10" s="184"/>
      <c r="D10" s="185" t="s">
        <v>33</v>
      </c>
      <c r="E10" s="185"/>
      <c r="F10" s="181">
        <v>20</v>
      </c>
      <c r="G10" s="181">
        <v>30</v>
      </c>
      <c r="H10" s="181">
        <v>40</v>
      </c>
      <c r="I10" s="181">
        <v>50</v>
      </c>
      <c r="J10" s="181">
        <v>60</v>
      </c>
      <c r="K10" s="181">
        <v>70</v>
      </c>
      <c r="L10" s="181">
        <v>80</v>
      </c>
      <c r="M10" s="181">
        <v>90</v>
      </c>
      <c r="N10" s="181">
        <v>100</v>
      </c>
      <c r="O10" s="181">
        <v>110</v>
      </c>
      <c r="P10" s="181">
        <v>120</v>
      </c>
      <c r="Q10" s="181">
        <v>130</v>
      </c>
      <c r="R10" s="181">
        <v>140</v>
      </c>
      <c r="S10" s="181">
        <v>150</v>
      </c>
      <c r="T10" s="181">
        <v>160</v>
      </c>
      <c r="U10" s="181">
        <v>170</v>
      </c>
      <c r="V10" s="181">
        <v>180</v>
      </c>
      <c r="W10" s="181">
        <v>185</v>
      </c>
      <c r="X10" s="181">
        <v>190</v>
      </c>
      <c r="Y10" s="181">
        <v>195</v>
      </c>
      <c r="Z10" s="185"/>
      <c r="AA10" s="186" t="s">
        <v>1007</v>
      </c>
    </row>
    <row r="11" spans="1:27" s="38" customFormat="1" x14ac:dyDescent="0.25">
      <c r="A11" s="183"/>
      <c r="B11" s="184"/>
      <c r="C11" s="184"/>
      <c r="D11" s="185" t="s">
        <v>34</v>
      </c>
      <c r="E11" s="185"/>
      <c r="F11" s="187">
        <v>0.01</v>
      </c>
      <c r="G11" s="187">
        <v>0.01</v>
      </c>
      <c r="H11" s="187">
        <v>0.01</v>
      </c>
      <c r="I11" s="187">
        <v>0.01</v>
      </c>
      <c r="J11" s="187">
        <v>0.01</v>
      </c>
      <c r="K11" s="187">
        <v>0.01</v>
      </c>
      <c r="L11" s="187">
        <v>0.01</v>
      </c>
      <c r="M11" s="187">
        <v>0.01</v>
      </c>
      <c r="N11" s="187">
        <v>0.01</v>
      </c>
      <c r="O11" s="187">
        <v>0.01</v>
      </c>
      <c r="P11" s="187">
        <v>0.01</v>
      </c>
      <c r="Q11" s="187">
        <v>0.01</v>
      </c>
      <c r="R11" s="187">
        <v>0.01</v>
      </c>
      <c r="S11" s="187">
        <v>0.01</v>
      </c>
      <c r="T11" s="187">
        <v>0.01</v>
      </c>
      <c r="U11" s="187">
        <v>0.01</v>
      </c>
      <c r="V11" s="187">
        <v>0.01</v>
      </c>
      <c r="W11" s="187">
        <v>0.01</v>
      </c>
      <c r="X11" s="187">
        <v>0.01</v>
      </c>
      <c r="Y11" s="187">
        <v>0.01</v>
      </c>
      <c r="Z11" s="188"/>
      <c r="AA11" s="186" t="s">
        <v>1008</v>
      </c>
    </row>
    <row r="12" spans="1:27" x14ac:dyDescent="0.25">
      <c r="A12" s="14"/>
      <c r="B12" s="173"/>
      <c r="C12" s="173"/>
      <c r="D12" s="170" t="s">
        <v>349</v>
      </c>
      <c r="E12" s="170"/>
      <c r="F12" s="189">
        <f>VLOOKUP(F10,Metro!$CB$3:$CF$23,5)*(1+F11)^(F6-$F$6)</f>
        <v>1579707.0385256347</v>
      </c>
      <c r="G12" s="189">
        <f>VLOOKUP(G10,Metro!$CB$3:$CF$23,5)*(1+G11)^(G6-$F$6)</f>
        <v>1324385.0495049504</v>
      </c>
      <c r="H12" s="189">
        <f>VLOOKUP(H10,Metro!$CB$3:$CF$23,5)*(1+H11)^(H6-$F$6)</f>
        <v>1159283.8499999999</v>
      </c>
      <c r="I12" s="189">
        <f>VLOOKUP(I10,Metro!$CB$3:$CF$23,5)*(1+I11)^(I6-$F$6)</f>
        <v>1041963.4497999998</v>
      </c>
      <c r="J12" s="189">
        <f>VLOOKUP(J10,Metro!$CB$3:$CF$23,5)*(1+J11)^(J6-$F$6)</f>
        <v>950381.45251833333</v>
      </c>
      <c r="K12" s="189">
        <f>VLOOKUP(K10,Metro!$CB$3:$CF$23,5)*(1+K11)^(K6-$F$6)</f>
        <v>876031.33776881429</v>
      </c>
      <c r="L12" s="189">
        <f>VLOOKUP(L10,Metro!$CB$3:$CF$23,5)*(1+L11)^(L6-$F$6)</f>
        <v>809653.91692661506</v>
      </c>
      <c r="M12" s="189">
        <f>VLOOKUP(M10,Metro!$CB$3:$CF$23,5)*(1+M11)^(M6-$F$6)</f>
        <v>754089.29426936444</v>
      </c>
      <c r="N12" s="189">
        <f>VLOOKUP(N10,Metro!$CB$3:$CF$23,5)*(1+N11)^(N6-$F$6)</f>
        <v>707831.20071730367</v>
      </c>
      <c r="O12" s="189">
        <f>VLOOKUP(O10,Metro!$CB$3:$CF$23,5)*(1+O11)^(O6-$F$6)</f>
        <v>668006.63106085267</v>
      </c>
      <c r="P12" s="189">
        <f>VLOOKUP(P10,Metro!$CB$3:$CF$23,5)*(1+P11)^(P6-$F$6)</f>
        <v>634014.16226365825</v>
      </c>
      <c r="Q12" s="189">
        <f>VLOOKUP(Q10,Metro!$CB$3:$CF$23,5)*(1+Q11)^(Q6-$F$6)</f>
        <v>603854.43049594352</v>
      </c>
      <c r="R12" s="189">
        <f>VLOOKUP(R10,Metro!$CB$3:$CF$23,5)*(1+R11)^(R6-$F$6)</f>
        <v>577308.27478591399</v>
      </c>
      <c r="S12" s="189">
        <f>VLOOKUP(S10,Metro!$CB$3:$CF$23,5)*(1+S11)^(S6-$F$6)</f>
        <v>553831.78007909725</v>
      </c>
      <c r="T12" s="189">
        <f>VLOOKUP(T10,Metro!$CB$3:$CF$23,5)*(1+T11)^(T6-$F$6)</f>
        <v>532491.06292115827</v>
      </c>
      <c r="U12" s="189">
        <f>VLOOKUP(U10,Metro!$CB$3:$CF$23,5)*(1+U11)^(U6-$F$6)</f>
        <v>513150.66826942825</v>
      </c>
      <c r="V12" s="189">
        <f>VLOOKUP(V10,Metro!$CB$3:$CF$23,5)*(1+V11)^(V6-$F$6)</f>
        <v>495700.74126113387</v>
      </c>
      <c r="W12" s="189">
        <f>VLOOKUP(W10,Metro!$CB$3:$CF$23,5)*(1+W11)^(W6-$F$6)</f>
        <v>490027.42463964928</v>
      </c>
      <c r="X12" s="189">
        <f>VLOOKUP(X10,Metro!$CB$3:$CF$23,5)*(1+X11)^(X6-$F$6)</f>
        <v>484659.98729434854</v>
      </c>
      <c r="Y12" s="189">
        <f>VLOOKUP(Y10,Metro!$CB$3:$CF$23,5)*(1+Y11)^(Y6-$F$6)</f>
        <v>479561.16471206222</v>
      </c>
      <c r="Z12" s="190"/>
      <c r="AA12" s="186" t="s">
        <v>1002</v>
      </c>
    </row>
    <row r="13" spans="1:27" x14ac:dyDescent="0.25">
      <c r="A13" s="14"/>
      <c r="B13" s="173"/>
      <c r="C13" s="173"/>
      <c r="D13" s="170" t="s">
        <v>350</v>
      </c>
      <c r="E13" s="170"/>
      <c r="F13" s="190">
        <f>F9*F12</f>
        <v>15797070.385256346</v>
      </c>
      <c r="G13" s="190">
        <f t="shared" ref="G13:Y13" si="1">G9*G12</f>
        <v>23838930.891089108</v>
      </c>
      <c r="H13" s="190">
        <f t="shared" si="1"/>
        <v>30141380.099999998</v>
      </c>
      <c r="I13" s="190">
        <f t="shared" si="1"/>
        <v>35426757.293199994</v>
      </c>
      <c r="J13" s="190">
        <f t="shared" si="1"/>
        <v>39916021.005769998</v>
      </c>
      <c r="K13" s="190">
        <f t="shared" si="1"/>
        <v>43801566.888440713</v>
      </c>
      <c r="L13" s="190">
        <f t="shared" si="1"/>
        <v>46959927.181743674</v>
      </c>
      <c r="M13" s="190">
        <f t="shared" si="1"/>
        <v>49769893.421778053</v>
      </c>
      <c r="N13" s="190">
        <f t="shared" si="1"/>
        <v>52379508.853080474</v>
      </c>
      <c r="O13" s="190">
        <f t="shared" si="1"/>
        <v>54776543.746989921</v>
      </c>
      <c r="P13" s="190">
        <f t="shared" si="1"/>
        <v>57061274.603729241</v>
      </c>
      <c r="Q13" s="190">
        <f t="shared" si="1"/>
        <v>59177734.188602462</v>
      </c>
      <c r="R13" s="190">
        <f t="shared" si="1"/>
        <v>61194677.127306886</v>
      </c>
      <c r="S13" s="190">
        <f t="shared" si="1"/>
        <v>63136822.929017089</v>
      </c>
      <c r="T13" s="190">
        <f t="shared" si="1"/>
        <v>64963909.676381312</v>
      </c>
      <c r="U13" s="190">
        <f t="shared" si="1"/>
        <v>66709586.875025675</v>
      </c>
      <c r="V13" s="190">
        <f t="shared" si="1"/>
        <v>68406702.294036478</v>
      </c>
      <c r="W13" s="190">
        <f t="shared" si="1"/>
        <v>71544003.997388795</v>
      </c>
      <c r="X13" s="190">
        <f t="shared" si="1"/>
        <v>74637638.043329671</v>
      </c>
      <c r="Y13" s="190">
        <f t="shared" si="1"/>
        <v>77688908.68335408</v>
      </c>
      <c r="Z13" s="191"/>
      <c r="AA13" s="172"/>
    </row>
    <row r="14" spans="1:27" x14ac:dyDescent="0.25">
      <c r="A14" s="14"/>
      <c r="B14" s="173"/>
      <c r="C14" s="173"/>
      <c r="D14" s="170"/>
      <c r="E14" s="170"/>
      <c r="F14" s="192"/>
      <c r="G14" s="192"/>
      <c r="H14" s="192"/>
      <c r="I14" s="192"/>
      <c r="J14" s="192"/>
      <c r="K14" s="192"/>
      <c r="L14" s="192"/>
      <c r="M14" s="192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1"/>
      <c r="AA14" s="172"/>
    </row>
    <row r="15" spans="1:27" x14ac:dyDescent="0.25">
      <c r="A15" s="14"/>
      <c r="B15" s="173"/>
      <c r="C15" s="173"/>
      <c r="D15" s="180" t="s">
        <v>54</v>
      </c>
      <c r="E15" s="177"/>
      <c r="F15" s="170"/>
      <c r="G15" s="170"/>
      <c r="H15" s="170"/>
      <c r="I15" s="18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1"/>
      <c r="AA15" s="172"/>
    </row>
    <row r="16" spans="1:27" x14ac:dyDescent="0.25">
      <c r="A16" s="14"/>
      <c r="B16" s="173"/>
      <c r="C16" s="173"/>
      <c r="D16" s="170" t="s">
        <v>7</v>
      </c>
      <c r="E16" s="170"/>
      <c r="F16" s="193">
        <f>IF(Scenario!$C$3="W",Scenario!B38,IF(Scenario!$C$3="M",Scenario!B39,Scenario!B40))</f>
        <v>4.9021200000000001E-2</v>
      </c>
      <c r="G16" s="193">
        <f>IF(Scenario!$C$3="W",Scenario!C38,IF(Scenario!$C$3="M",Scenario!C39,Scenario!C40))</f>
        <v>8.5503599999999999E-2</v>
      </c>
      <c r="H16" s="193">
        <f>IF(Scenario!$C$3="W",Scenario!D38,IF(Scenario!$C$3="M",Scenario!D39,Scenario!D40))</f>
        <v>0.11999232000000003</v>
      </c>
      <c r="I16" s="194">
        <f>IF(Scenario!$C$3="W",Scenario!E38,IF(Scenario!$C$3="M",Scenario!E39,Scenario!E40))</f>
        <v>0.15261750000000002</v>
      </c>
      <c r="J16" s="194">
        <f>IF(Scenario!$C$3="W",Scenario!F38,IF(Scenario!$C$3="M",Scenario!F39,Scenario!F40))</f>
        <v>0.18463949999999996</v>
      </c>
      <c r="K16" s="194">
        <f>IF(Scenario!$C$3="W",Scenario!G38,IF(Scenario!$C$3="M",Scenario!G39,Scenario!G40))</f>
        <v>0.214092</v>
      </c>
      <c r="L16" s="194">
        <f>IF(Scenario!$C$3="W",Scenario!H38,IF(Scenario!$C$3="M",Scenario!H39,Scenario!H40))</f>
        <v>0.24346979999999999</v>
      </c>
      <c r="M16" s="194">
        <f>IF(Scenario!$C$3="W",Scenario!I38,IF(Scenario!$C$3="M",Scenario!I39,Scenario!I40))</f>
        <v>0.26935920000000002</v>
      </c>
      <c r="N16" s="194">
        <f>IF(Scenario!$C$3="W",Scenario!J38,IF(Scenario!$C$3="M",Scenario!J39,Scenario!J40))</f>
        <v>0.29099069999999999</v>
      </c>
      <c r="O16" s="194">
        <f>IF(Scenario!$C$3="W",Scenario!K38,IF(Scenario!$C$3="M",Scenario!K39,Scenario!K40))</f>
        <v>0.315</v>
      </c>
      <c r="P16" s="194">
        <f>IF(Scenario!$C$3="W",Scenario!L38,IF(Scenario!$C$3="M",Scenario!L39,Scenario!L40))</f>
        <v>0.3276</v>
      </c>
      <c r="Q16" s="194">
        <f>IF(Scenario!$C$3="W",Scenario!M38,IF(Scenario!$C$3="M",Scenario!M39,Scenario!M40))</f>
        <v>0.34070400000000001</v>
      </c>
      <c r="R16" s="194">
        <f>IF(Scenario!$C$3="W",Scenario!N38,IF(Scenario!$C$3="M",Scenario!N39,Scenario!N40))</f>
        <v>0.35433216000000001</v>
      </c>
      <c r="S16" s="194">
        <f>IF(Scenario!$C$3="W",Scenario!O38,IF(Scenario!$C$3="M",Scenario!O39,Scenario!O40))</f>
        <v>0.36850544640000005</v>
      </c>
      <c r="T16" s="194">
        <f>IF(Scenario!$C$3="W",Scenario!P38,IF(Scenario!$C$3="M",Scenario!P39,Scenario!P40))</f>
        <v>0.38324566425600004</v>
      </c>
      <c r="U16" s="194">
        <f>IF(Scenario!$C$3="W",Scenario!Q38,IF(Scenario!$C$3="M",Scenario!Q39,Scenario!Q40))</f>
        <v>0.39857549082624005</v>
      </c>
      <c r="V16" s="194">
        <f>IF(Scenario!$C$3="W",Scenario!R38,IF(Scenario!$C$3="M",Scenario!R39,Scenario!R40))</f>
        <v>0.41451851045928967</v>
      </c>
      <c r="W16" s="194">
        <f>IF(Scenario!$C$3="W",Scenario!S38,IF(Scenario!$C$3="M",Scenario!S39,Scenario!S40))</f>
        <v>0.43109925087766127</v>
      </c>
      <c r="X16" s="194">
        <f>IF(Scenario!$C$3="W",Scenario!T38,IF(Scenario!$C$3="M",Scenario!T39,Scenario!T40))</f>
        <v>0.44834322091276774</v>
      </c>
      <c r="Y16" s="194">
        <f>IF(Scenario!$C$3="W",Scenario!U38,IF(Scenario!$C$3="M",Scenario!U39,Scenario!U40))</f>
        <v>0.46627694974927847</v>
      </c>
      <c r="Z16" s="195"/>
      <c r="AA16" s="186" t="s">
        <v>406</v>
      </c>
    </row>
    <row r="17" spans="1:27" x14ac:dyDescent="0.25">
      <c r="A17" s="14"/>
      <c r="B17" s="173"/>
      <c r="C17" s="173"/>
      <c r="D17" s="170" t="s">
        <v>2</v>
      </c>
      <c r="E17" s="170"/>
      <c r="F17" s="196">
        <v>1.5</v>
      </c>
      <c r="G17" s="196">
        <v>1.1000000000000001</v>
      </c>
      <c r="H17" s="196">
        <f t="shared" ref="H17:Y17" si="2">G17</f>
        <v>1.1000000000000001</v>
      </c>
      <c r="I17" s="196">
        <f t="shared" si="2"/>
        <v>1.1000000000000001</v>
      </c>
      <c r="J17" s="196">
        <f t="shared" si="2"/>
        <v>1.1000000000000001</v>
      </c>
      <c r="K17" s="196">
        <f t="shared" si="2"/>
        <v>1.1000000000000001</v>
      </c>
      <c r="L17" s="196">
        <f t="shared" si="2"/>
        <v>1.1000000000000001</v>
      </c>
      <c r="M17" s="196">
        <f t="shared" si="2"/>
        <v>1.1000000000000001</v>
      </c>
      <c r="N17" s="196">
        <f t="shared" si="2"/>
        <v>1.1000000000000001</v>
      </c>
      <c r="O17" s="196">
        <f t="shared" si="2"/>
        <v>1.1000000000000001</v>
      </c>
      <c r="P17" s="196">
        <f t="shared" si="2"/>
        <v>1.1000000000000001</v>
      </c>
      <c r="Q17" s="196">
        <f t="shared" si="2"/>
        <v>1.1000000000000001</v>
      </c>
      <c r="R17" s="196">
        <f t="shared" si="2"/>
        <v>1.1000000000000001</v>
      </c>
      <c r="S17" s="196">
        <f t="shared" si="2"/>
        <v>1.1000000000000001</v>
      </c>
      <c r="T17" s="196">
        <f t="shared" si="2"/>
        <v>1.1000000000000001</v>
      </c>
      <c r="U17" s="196">
        <f t="shared" si="2"/>
        <v>1.1000000000000001</v>
      </c>
      <c r="V17" s="196">
        <f t="shared" si="2"/>
        <v>1.1000000000000001</v>
      </c>
      <c r="W17" s="196">
        <f t="shared" si="2"/>
        <v>1.1000000000000001</v>
      </c>
      <c r="X17" s="196">
        <f t="shared" si="2"/>
        <v>1.1000000000000001</v>
      </c>
      <c r="Y17" s="196">
        <f t="shared" si="2"/>
        <v>1.1000000000000001</v>
      </c>
      <c r="Z17" s="197"/>
      <c r="AA17" s="172" t="s">
        <v>871</v>
      </c>
    </row>
    <row r="18" spans="1:27" x14ac:dyDescent="0.25">
      <c r="A18" s="14"/>
      <c r="B18" s="173"/>
      <c r="C18" s="173"/>
      <c r="D18" s="170" t="s">
        <v>8</v>
      </c>
      <c r="E18" s="170"/>
      <c r="F18" s="194">
        <f>IF(Scenario!$D$3="W",Scenario!B44,IF(Scenario!$D$3="M",Scenario!B45,Scenario!B46))</f>
        <v>0.05</v>
      </c>
      <c r="G18" s="194">
        <f>IF(Scenario!$D$3="W",Scenario!C44,IF(Scenario!$D$3="M",Scenario!C45,Scenario!C46))</f>
        <v>0.08</v>
      </c>
      <c r="H18" s="194">
        <f>IF(Scenario!$D$3="W",Scenario!D44,IF(Scenario!$D$3="M",Scenario!D45,Scenario!D46))</f>
        <v>0.15</v>
      </c>
      <c r="I18" s="194">
        <f>IF(Scenario!$D$3="W",Scenario!E44,IF(Scenario!$D$3="M",Scenario!E45,Scenario!E46))</f>
        <v>0.3</v>
      </c>
      <c r="J18" s="194">
        <f>IF(Scenario!$D$3="W",Scenario!F44,IF(Scenario!$D$3="M",Scenario!F45,Scenario!F46))</f>
        <v>0.4</v>
      </c>
      <c r="K18" s="194">
        <f>IF(Scenario!$D$3="W",Scenario!G44,IF(Scenario!$D$3="M",Scenario!G45,Scenario!G46))</f>
        <v>0.5</v>
      </c>
      <c r="L18" s="194">
        <f>IF(Scenario!$D$3="W",Scenario!H44,IF(Scenario!$D$3="M",Scenario!H45,Scenario!H46))</f>
        <v>0.6</v>
      </c>
      <c r="M18" s="194">
        <f>IF(Scenario!$D$3="W",Scenario!I44,IF(Scenario!$D$3="M",Scenario!I45,Scenario!I46))</f>
        <v>0.68</v>
      </c>
      <c r="N18" s="194">
        <f>IF(Scenario!$D$3="W",Scenario!J44,IF(Scenario!$D$3="M",Scenario!J45,Scenario!J46))</f>
        <v>0.75</v>
      </c>
      <c r="O18" s="194">
        <f>IF(Scenario!$D$3="W",Scenario!K44,IF(Scenario!$D$3="M",Scenario!K45,Scenario!K46))</f>
        <v>0.8</v>
      </c>
      <c r="P18" s="194">
        <f>IF(Scenario!$D$3="W",Scenario!L44,IF(Scenario!$D$3="M",Scenario!L45,Scenario!L46))</f>
        <v>0.82</v>
      </c>
      <c r="Q18" s="194">
        <f>IF(Scenario!$D$3="W",Scenario!M44,IF(Scenario!$D$3="M",Scenario!M45,Scenario!M46))</f>
        <v>0.85</v>
      </c>
      <c r="R18" s="194">
        <f>IF(Scenario!$D$3="W",Scenario!N44,IF(Scenario!$D$3="M",Scenario!N45,Scenario!N46))</f>
        <v>0.87</v>
      </c>
      <c r="S18" s="194">
        <f>IF(Scenario!$D$3="W",Scenario!O44,IF(Scenario!$D$3="M",Scenario!O45,Scenario!O46))</f>
        <v>0.89</v>
      </c>
      <c r="T18" s="194">
        <f>IF(Scenario!$D$3="W",Scenario!P44,IF(Scenario!$D$3="M",Scenario!P45,Scenario!P46))</f>
        <v>0.9</v>
      </c>
      <c r="U18" s="194">
        <f>IF(Scenario!$D$3="W",Scenario!Q44,IF(Scenario!$D$3="M",Scenario!Q45,Scenario!Q46))</f>
        <v>0.9</v>
      </c>
      <c r="V18" s="194">
        <f>IF(Scenario!$D$3="W",Scenario!R44,IF(Scenario!$D$3="M",Scenario!R45,Scenario!R46))</f>
        <v>0.9</v>
      </c>
      <c r="W18" s="194">
        <f>IF(Scenario!$D$3="W",Scenario!S44,IF(Scenario!$D$3="M",Scenario!S45,Scenario!S46))</f>
        <v>0.9</v>
      </c>
      <c r="X18" s="194">
        <f>IF(Scenario!$D$3="W",Scenario!T44,IF(Scenario!$D$3="M",Scenario!T45,Scenario!T46))</f>
        <v>0.9</v>
      </c>
      <c r="Y18" s="194">
        <f>IF(Scenario!$D$3="W",Scenario!U44,IF(Scenario!$D$3="M",Scenario!U45,Scenario!U46))</f>
        <v>0.9</v>
      </c>
      <c r="Z18" s="195"/>
      <c r="AA18" s="172" t="s">
        <v>1002</v>
      </c>
    </row>
    <row r="19" spans="1:27" x14ac:dyDescent="0.25">
      <c r="A19" s="14"/>
      <c r="B19" s="173"/>
      <c r="C19" s="173"/>
      <c r="D19" s="170" t="s">
        <v>13</v>
      </c>
      <c r="E19" s="170"/>
      <c r="F19" s="198">
        <f>Scenario!B49</f>
        <v>0.5</v>
      </c>
      <c r="G19" s="198">
        <f>Scenario!C49</f>
        <v>0.55000000000000004</v>
      </c>
      <c r="H19" s="198">
        <f>Scenario!D49</f>
        <v>0.6</v>
      </c>
      <c r="I19" s="198">
        <f>Scenario!E49</f>
        <v>0.65</v>
      </c>
      <c r="J19" s="198">
        <f>Scenario!F49</f>
        <v>0.7</v>
      </c>
      <c r="K19" s="198">
        <f>Scenario!G49</f>
        <v>0.7</v>
      </c>
      <c r="L19" s="198">
        <f>Scenario!H49</f>
        <v>0.7</v>
      </c>
      <c r="M19" s="198">
        <f>Scenario!I49</f>
        <v>0.7</v>
      </c>
      <c r="N19" s="198">
        <f>Scenario!J49</f>
        <v>0.7</v>
      </c>
      <c r="O19" s="198">
        <f>Scenario!K49</f>
        <v>0.7</v>
      </c>
      <c r="P19" s="198">
        <f>Scenario!L49</f>
        <v>0.7</v>
      </c>
      <c r="Q19" s="198">
        <f>Scenario!M49</f>
        <v>0.7</v>
      </c>
      <c r="R19" s="198">
        <f>Scenario!N49</f>
        <v>0.7</v>
      </c>
      <c r="S19" s="198">
        <f>Scenario!O49</f>
        <v>0.7</v>
      </c>
      <c r="T19" s="198">
        <f>Scenario!P49</f>
        <v>0.7</v>
      </c>
      <c r="U19" s="198">
        <f>Scenario!Q49</f>
        <v>0.7</v>
      </c>
      <c r="V19" s="198">
        <f>Scenario!R49</f>
        <v>0.7</v>
      </c>
      <c r="W19" s="198">
        <f>Scenario!S49</f>
        <v>0.7</v>
      </c>
      <c r="X19" s="198">
        <f>Scenario!T49</f>
        <v>0.7</v>
      </c>
      <c r="Y19" s="198">
        <f>Scenario!U49</f>
        <v>0.7</v>
      </c>
      <c r="Z19" s="195"/>
      <c r="AA19" s="172" t="s">
        <v>1003</v>
      </c>
    </row>
    <row r="20" spans="1:27" x14ac:dyDescent="0.25">
      <c r="A20" s="14"/>
      <c r="B20" s="173"/>
      <c r="C20" s="173"/>
      <c r="D20" s="170" t="s">
        <v>58</v>
      </c>
      <c r="E20" s="170"/>
      <c r="F20" s="199">
        <f>F13*F16*F18*F19</f>
        <v>19359.783669243214</v>
      </c>
      <c r="G20" s="199">
        <f t="shared" ref="G20:O20" si="3">G13*G16*G18*G19</f>
        <v>89685.834098930369</v>
      </c>
      <c r="H20" s="199">
        <f t="shared" si="3"/>
        <v>325506.07135807484</v>
      </c>
      <c r="I20" s="199">
        <f t="shared" si="3"/>
        <v>1054314.9105830153</v>
      </c>
      <c r="J20" s="199">
        <f t="shared" si="3"/>
        <v>2063620.7649385631</v>
      </c>
      <c r="K20" s="199">
        <f t="shared" si="3"/>
        <v>3282147.770398017</v>
      </c>
      <c r="L20" s="199">
        <f t="shared" si="3"/>
        <v>4801996.1131605515</v>
      </c>
      <c r="M20" s="199">
        <f t="shared" si="3"/>
        <v>6381245.849859491</v>
      </c>
      <c r="N20" s="199">
        <f t="shared" si="3"/>
        <v>8002023.7220773939</v>
      </c>
      <c r="O20" s="199">
        <f t="shared" si="3"/>
        <v>9662582.3169690222</v>
      </c>
      <c r="P20" s="199">
        <f t="shared" ref="P20:Y20" si="4">P13*P16*P18*P19</f>
        <v>10729939.023544295</v>
      </c>
      <c r="Q20" s="199">
        <f t="shared" si="4"/>
        <v>11996443.9956512</v>
      </c>
      <c r="R20" s="199">
        <f t="shared" si="4"/>
        <v>13205094.455355937</v>
      </c>
      <c r="S20" s="199">
        <f t="shared" si="4"/>
        <v>14494881.92234903</v>
      </c>
      <c r="T20" s="199">
        <f t="shared" si="4"/>
        <v>15685196.131452672</v>
      </c>
      <c r="U20" s="199">
        <f t="shared" si="4"/>
        <v>16750947.988863306</v>
      </c>
      <c r="V20" s="199">
        <f t="shared" si="4"/>
        <v>17864181.934424326</v>
      </c>
      <c r="W20" s="199">
        <f t="shared" si="4"/>
        <v>19430816.912679508</v>
      </c>
      <c r="X20" s="199">
        <f t="shared" si="4"/>
        <v>21081865.796250682</v>
      </c>
      <c r="Y20" s="199">
        <f t="shared" si="4"/>
        <v>22821464.843241479</v>
      </c>
      <c r="Z20" s="199"/>
      <c r="AA20" s="172"/>
    </row>
    <row r="21" spans="1:27" x14ac:dyDescent="0.25">
      <c r="A21" s="14"/>
      <c r="B21" s="173"/>
      <c r="C21" s="173"/>
      <c r="D21" s="170" t="s">
        <v>868</v>
      </c>
      <c r="E21" s="170"/>
      <c r="F21" s="200">
        <f>F16*F18*F19</f>
        <v>1.2255300000000001E-3</v>
      </c>
      <c r="G21" s="200">
        <f t="shared" ref="G21:Y21" si="5">G16*G18*G19</f>
        <v>3.7621584000000004E-3</v>
      </c>
      <c r="H21" s="200">
        <f t="shared" si="5"/>
        <v>1.0799308800000003E-2</v>
      </c>
      <c r="I21" s="200">
        <f t="shared" si="5"/>
        <v>2.9760412500000007E-2</v>
      </c>
      <c r="J21" s="200">
        <f t="shared" si="5"/>
        <v>5.1699059999999984E-2</v>
      </c>
      <c r="K21" s="200">
        <f t="shared" si="5"/>
        <v>7.493219999999999E-2</v>
      </c>
      <c r="L21" s="200">
        <f t="shared" si="5"/>
        <v>0.10225731599999999</v>
      </c>
      <c r="M21" s="200">
        <f t="shared" si="5"/>
        <v>0.12821497920000002</v>
      </c>
      <c r="N21" s="200">
        <f t="shared" si="5"/>
        <v>0.15277011749999997</v>
      </c>
      <c r="O21" s="200">
        <f t="shared" si="5"/>
        <v>0.1764</v>
      </c>
      <c r="P21" s="200">
        <f t="shared" si="5"/>
        <v>0.18804239999999997</v>
      </c>
      <c r="Q21" s="200">
        <f t="shared" si="5"/>
        <v>0.20271887999999996</v>
      </c>
      <c r="R21" s="200">
        <f t="shared" si="5"/>
        <v>0.21578828544</v>
      </c>
      <c r="S21" s="200">
        <f t="shared" si="5"/>
        <v>0.2295788931072</v>
      </c>
      <c r="T21" s="200">
        <f t="shared" si="5"/>
        <v>0.24144476848128002</v>
      </c>
      <c r="U21" s="200">
        <f t="shared" si="5"/>
        <v>0.25110255922053121</v>
      </c>
      <c r="V21" s="200">
        <f t="shared" si="5"/>
        <v>0.26114666158935246</v>
      </c>
      <c r="W21" s="200">
        <f t="shared" si="5"/>
        <v>0.27159252805292661</v>
      </c>
      <c r="X21" s="200">
        <f t="shared" si="5"/>
        <v>0.28245622917504365</v>
      </c>
      <c r="Y21" s="200">
        <f t="shared" si="5"/>
        <v>0.29375447834204543</v>
      </c>
      <c r="Z21" s="199"/>
      <c r="AA21" s="172"/>
    </row>
    <row r="22" spans="1:27" x14ac:dyDescent="0.25">
      <c r="A22" s="14"/>
      <c r="B22" s="173"/>
      <c r="C22" s="173"/>
      <c r="D22" s="170" t="s">
        <v>14</v>
      </c>
      <c r="E22" s="170"/>
      <c r="F22" s="194">
        <f>Scenario!B50</f>
        <v>0.5</v>
      </c>
      <c r="G22" s="194">
        <f>Scenario!C50</f>
        <v>0.5</v>
      </c>
      <c r="H22" s="194">
        <f>Scenario!D50</f>
        <v>0.5</v>
      </c>
      <c r="I22" s="194">
        <f>Scenario!E50</f>
        <v>0.5</v>
      </c>
      <c r="J22" s="194">
        <f>Scenario!F50</f>
        <v>0.5</v>
      </c>
      <c r="K22" s="194">
        <f>Scenario!G50</f>
        <v>0.5</v>
      </c>
      <c r="L22" s="194">
        <f>Scenario!H50</f>
        <v>0.5</v>
      </c>
      <c r="M22" s="194">
        <f>Scenario!I50</f>
        <v>0.5</v>
      </c>
      <c r="N22" s="194">
        <f>Scenario!J50</f>
        <v>0.5</v>
      </c>
      <c r="O22" s="194">
        <f>Scenario!K50</f>
        <v>0.5</v>
      </c>
      <c r="P22" s="194">
        <f>Scenario!L50</f>
        <v>0.5</v>
      </c>
      <c r="Q22" s="194">
        <f>Scenario!M50</f>
        <v>0.5</v>
      </c>
      <c r="R22" s="194">
        <f>Scenario!N50</f>
        <v>0.5</v>
      </c>
      <c r="S22" s="194">
        <f>Scenario!O50</f>
        <v>0.5</v>
      </c>
      <c r="T22" s="194">
        <f>Scenario!P50</f>
        <v>0.5</v>
      </c>
      <c r="U22" s="194">
        <f>Scenario!Q50</f>
        <v>0.5</v>
      </c>
      <c r="V22" s="194">
        <f>Scenario!R50</f>
        <v>0.5</v>
      </c>
      <c r="W22" s="194">
        <f>Scenario!S50</f>
        <v>0.5</v>
      </c>
      <c r="X22" s="194">
        <f>Scenario!T50</f>
        <v>0.5</v>
      </c>
      <c r="Y22" s="194">
        <f>Scenario!U50</f>
        <v>0.5</v>
      </c>
      <c r="Z22" s="195"/>
      <c r="AA22" s="172" t="s">
        <v>1002</v>
      </c>
    </row>
    <row r="23" spans="1:27" x14ac:dyDescent="0.25">
      <c r="A23" s="14"/>
      <c r="B23" s="173"/>
      <c r="C23" s="173"/>
      <c r="D23" s="170"/>
      <c r="E23" s="170"/>
      <c r="F23" s="199"/>
      <c r="G23" s="199"/>
      <c r="H23" s="199"/>
      <c r="I23" s="199"/>
      <c r="J23" s="199"/>
      <c r="K23" s="199"/>
      <c r="L23" s="199"/>
      <c r="M23" s="199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72"/>
    </row>
    <row r="24" spans="1:27" x14ac:dyDescent="0.25">
      <c r="A24" s="14"/>
      <c r="B24" s="173"/>
      <c r="C24" s="173"/>
      <c r="D24" s="180" t="s">
        <v>408</v>
      </c>
      <c r="E24" s="170"/>
      <c r="F24" s="199"/>
      <c r="G24" s="199"/>
      <c r="H24" s="199"/>
      <c r="I24" s="199"/>
      <c r="J24" s="199"/>
      <c r="K24" s="199"/>
      <c r="L24" s="199"/>
      <c r="M24" s="199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72"/>
    </row>
    <row r="25" spans="1:27" x14ac:dyDescent="0.25">
      <c r="A25" s="14"/>
      <c r="B25" s="173"/>
      <c r="C25" s="173"/>
      <c r="D25" s="170" t="s">
        <v>55</v>
      </c>
      <c r="E25" s="170"/>
      <c r="F25" s="201">
        <f>F13*F16*F18*F19*F22</f>
        <v>9679.8918346216069</v>
      </c>
      <c r="G25" s="201">
        <f t="shared" ref="G25:O25" si="6">G13*G16*G18*G19*G22</f>
        <v>44842.917049465184</v>
      </c>
      <c r="H25" s="201">
        <f t="shared" si="6"/>
        <v>162753.03567903742</v>
      </c>
      <c r="I25" s="201">
        <f t="shared" si="6"/>
        <v>527157.45529150765</v>
      </c>
      <c r="J25" s="201">
        <f t="shared" si="6"/>
        <v>1031810.3824692816</v>
      </c>
      <c r="K25" s="201">
        <f t="shared" si="6"/>
        <v>1641073.8851990085</v>
      </c>
      <c r="L25" s="201">
        <f t="shared" si="6"/>
        <v>2400998.0565802758</v>
      </c>
      <c r="M25" s="201">
        <f t="shared" si="6"/>
        <v>3190622.9249297455</v>
      </c>
      <c r="N25" s="201">
        <f t="shared" si="6"/>
        <v>4001011.861038697</v>
      </c>
      <c r="O25" s="201">
        <f t="shared" si="6"/>
        <v>4831291.1584845111</v>
      </c>
      <c r="P25" s="201">
        <f t="shared" ref="P25:Y25" si="7">P13*P16*P18*P19*P22</f>
        <v>5364969.5117721474</v>
      </c>
      <c r="Q25" s="201">
        <f t="shared" si="7"/>
        <v>5998221.9978256002</v>
      </c>
      <c r="R25" s="201">
        <f t="shared" si="7"/>
        <v>6602547.2276779683</v>
      </c>
      <c r="S25" s="201">
        <f t="shared" si="7"/>
        <v>7247440.9611745151</v>
      </c>
      <c r="T25" s="201">
        <f t="shared" si="7"/>
        <v>7842598.0657263361</v>
      </c>
      <c r="U25" s="201">
        <f t="shared" si="7"/>
        <v>8375473.9944316531</v>
      </c>
      <c r="V25" s="201">
        <f t="shared" si="7"/>
        <v>8932090.9672121629</v>
      </c>
      <c r="W25" s="201">
        <f t="shared" si="7"/>
        <v>9715408.4563397542</v>
      </c>
      <c r="X25" s="201">
        <f t="shared" si="7"/>
        <v>10540932.898125341</v>
      </c>
      <c r="Y25" s="201">
        <f t="shared" si="7"/>
        <v>11410732.42162074</v>
      </c>
      <c r="Z25" s="199"/>
      <c r="AA25" s="172"/>
    </row>
    <row r="26" spans="1:27" x14ac:dyDescent="0.25">
      <c r="A26" s="14"/>
      <c r="B26" s="173"/>
      <c r="C26" s="173"/>
      <c r="D26" s="177"/>
      <c r="E26" s="177"/>
      <c r="F26" s="202">
        <f>F25/F13</f>
        <v>6.1276500000000014E-4</v>
      </c>
      <c r="G26" s="202">
        <f t="shared" ref="G26:O26" si="8">G25/G13</f>
        <v>1.8810792E-3</v>
      </c>
      <c r="H26" s="202">
        <f t="shared" si="8"/>
        <v>5.3996543999999995E-3</v>
      </c>
      <c r="I26" s="202">
        <f t="shared" si="8"/>
        <v>1.488020625E-2</v>
      </c>
      <c r="J26" s="202">
        <f t="shared" si="8"/>
        <v>2.5849529999999996E-2</v>
      </c>
      <c r="K26" s="202">
        <f t="shared" si="8"/>
        <v>3.7466099999999995E-2</v>
      </c>
      <c r="L26" s="202">
        <f t="shared" si="8"/>
        <v>5.1128657999999993E-2</v>
      </c>
      <c r="M26" s="202">
        <f t="shared" si="8"/>
        <v>6.4107489600000012E-2</v>
      </c>
      <c r="N26" s="202">
        <f t="shared" si="8"/>
        <v>7.6385058749999998E-2</v>
      </c>
      <c r="O26" s="202">
        <f t="shared" si="8"/>
        <v>8.8200000000000001E-2</v>
      </c>
      <c r="P26" s="202">
        <f t="shared" ref="P26:Y26" si="9">P25/P13</f>
        <v>9.4021199999999999E-2</v>
      </c>
      <c r="Q26" s="202">
        <f t="shared" si="9"/>
        <v>0.10135944000000001</v>
      </c>
      <c r="R26" s="202">
        <f t="shared" si="9"/>
        <v>0.10789414271999999</v>
      </c>
      <c r="S26" s="202">
        <f t="shared" si="9"/>
        <v>0.11478944655360002</v>
      </c>
      <c r="T26" s="202">
        <f t="shared" si="9"/>
        <v>0.12072238424064001</v>
      </c>
      <c r="U26" s="202">
        <f t="shared" si="9"/>
        <v>0.1255512796102656</v>
      </c>
      <c r="V26" s="202">
        <f t="shared" si="9"/>
        <v>0.13057333079467623</v>
      </c>
      <c r="W26" s="202">
        <f t="shared" si="9"/>
        <v>0.1357962640264633</v>
      </c>
      <c r="X26" s="202">
        <f t="shared" si="9"/>
        <v>0.14122811458752182</v>
      </c>
      <c r="Y26" s="202">
        <f t="shared" si="9"/>
        <v>0.14687723917102272</v>
      </c>
      <c r="Z26" s="171"/>
      <c r="AA26" s="172"/>
    </row>
    <row r="27" spans="1:27" x14ac:dyDescent="0.25">
      <c r="A27" s="14"/>
      <c r="B27" s="173"/>
      <c r="C27" s="173"/>
      <c r="D27" s="170"/>
      <c r="E27" s="177"/>
      <c r="F27" s="206"/>
      <c r="G27" s="207"/>
      <c r="H27" s="177"/>
      <c r="I27" s="177"/>
      <c r="J27" s="177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1"/>
      <c r="AA27" s="172"/>
    </row>
    <row r="28" spans="1:27" x14ac:dyDescent="0.25">
      <c r="A28" s="14"/>
      <c r="B28" s="173"/>
      <c r="C28" s="169" t="s">
        <v>112</v>
      </c>
      <c r="D28" s="170"/>
      <c r="E28" s="177"/>
      <c r="F28" s="208">
        <f>F25</f>
        <v>9679.8918346216069</v>
      </c>
      <c r="G28" s="208">
        <f t="shared" ref="G28:Y28" si="10">G25</f>
        <v>44842.917049465184</v>
      </c>
      <c r="H28" s="208">
        <f t="shared" si="10"/>
        <v>162753.03567903742</v>
      </c>
      <c r="I28" s="208">
        <f t="shared" si="10"/>
        <v>527157.45529150765</v>
      </c>
      <c r="J28" s="208">
        <f t="shared" si="10"/>
        <v>1031810.3824692816</v>
      </c>
      <c r="K28" s="208">
        <f t="shared" si="10"/>
        <v>1641073.8851990085</v>
      </c>
      <c r="L28" s="208">
        <f t="shared" si="10"/>
        <v>2400998.0565802758</v>
      </c>
      <c r="M28" s="208">
        <f t="shared" si="10"/>
        <v>3190622.9249297455</v>
      </c>
      <c r="N28" s="208">
        <f t="shared" si="10"/>
        <v>4001011.861038697</v>
      </c>
      <c r="O28" s="208">
        <f t="shared" si="10"/>
        <v>4831291.1584845111</v>
      </c>
      <c r="P28" s="208">
        <f t="shared" si="10"/>
        <v>5364969.5117721474</v>
      </c>
      <c r="Q28" s="208">
        <f t="shared" si="10"/>
        <v>5998221.9978256002</v>
      </c>
      <c r="R28" s="208">
        <f t="shared" si="10"/>
        <v>6602547.2276779683</v>
      </c>
      <c r="S28" s="208">
        <f t="shared" si="10"/>
        <v>7247440.9611745151</v>
      </c>
      <c r="T28" s="208">
        <f t="shared" si="10"/>
        <v>7842598.0657263361</v>
      </c>
      <c r="U28" s="208">
        <f t="shared" si="10"/>
        <v>8375473.9944316531</v>
      </c>
      <c r="V28" s="208">
        <f t="shared" si="10"/>
        <v>8932090.9672121629</v>
      </c>
      <c r="W28" s="208">
        <f t="shared" si="10"/>
        <v>9715408.4563397542</v>
      </c>
      <c r="X28" s="208">
        <f t="shared" si="10"/>
        <v>10540932.898125341</v>
      </c>
      <c r="Y28" s="208">
        <f t="shared" si="10"/>
        <v>11410732.42162074</v>
      </c>
      <c r="Z28" s="171"/>
      <c r="AA28" s="172" t="s">
        <v>1108</v>
      </c>
    </row>
    <row r="29" spans="1:27" ht="13.8" thickBot="1" x14ac:dyDescent="0.3">
      <c r="A29" s="31"/>
      <c r="B29" s="209"/>
      <c r="C29" s="209"/>
      <c r="D29" s="210"/>
      <c r="E29" s="210"/>
      <c r="F29" s="210"/>
      <c r="G29" s="210"/>
      <c r="H29" s="21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11"/>
      <c r="AA29" s="212"/>
    </row>
    <row r="30" spans="1:27" x14ac:dyDescent="0.25">
      <c r="A30" s="213"/>
      <c r="B30" s="163"/>
      <c r="C30" s="163"/>
      <c r="D30" s="214"/>
      <c r="E30" s="214"/>
      <c r="F30" s="214"/>
      <c r="G30" s="214"/>
      <c r="H30" s="214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6"/>
      <c r="AA30" s="167"/>
    </row>
    <row r="31" spans="1:27" x14ac:dyDescent="0.25">
      <c r="A31" s="14"/>
      <c r="B31" s="169" t="s">
        <v>59</v>
      </c>
      <c r="C31" s="173"/>
      <c r="D31" s="177"/>
      <c r="E31" s="177"/>
      <c r="F31" s="177"/>
      <c r="G31" s="177"/>
      <c r="H31" s="177"/>
      <c r="I31" s="178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1"/>
      <c r="AA31" s="172"/>
    </row>
    <row r="32" spans="1:27" x14ac:dyDescent="0.25">
      <c r="A32" s="14"/>
      <c r="B32" s="169"/>
      <c r="C32" s="173"/>
      <c r="D32" s="177"/>
      <c r="E32" s="177"/>
      <c r="F32" s="177">
        <f>F6</f>
        <v>2001</v>
      </c>
      <c r="G32" s="177">
        <f t="shared" ref="G32:AA32" si="11">G6</f>
        <v>2002</v>
      </c>
      <c r="H32" s="177">
        <f t="shared" si="11"/>
        <v>2003</v>
      </c>
      <c r="I32" s="177">
        <f t="shared" si="11"/>
        <v>2004</v>
      </c>
      <c r="J32" s="177">
        <f t="shared" si="11"/>
        <v>2005</v>
      </c>
      <c r="K32" s="177">
        <f t="shared" si="11"/>
        <v>2006</v>
      </c>
      <c r="L32" s="177">
        <f t="shared" si="11"/>
        <v>2007</v>
      </c>
      <c r="M32" s="177">
        <f t="shared" si="11"/>
        <v>2008</v>
      </c>
      <c r="N32" s="177">
        <f t="shared" si="11"/>
        <v>2009</v>
      </c>
      <c r="O32" s="177">
        <f t="shared" si="11"/>
        <v>2010</v>
      </c>
      <c r="P32" s="177">
        <v>2011</v>
      </c>
      <c r="Q32" s="17">
        <v>2012</v>
      </c>
      <c r="R32" s="177">
        <v>2013</v>
      </c>
      <c r="S32" s="17">
        <v>2014</v>
      </c>
      <c r="T32" s="177">
        <v>2015</v>
      </c>
      <c r="U32" s="17">
        <v>2016</v>
      </c>
      <c r="V32" s="177">
        <v>2017</v>
      </c>
      <c r="W32" s="17">
        <v>2018</v>
      </c>
      <c r="X32" s="177">
        <v>2019</v>
      </c>
      <c r="Y32" s="17">
        <v>2020</v>
      </c>
      <c r="Z32" s="215"/>
      <c r="AA32" s="216" t="str">
        <f t="shared" si="11"/>
        <v>Assumption Source</v>
      </c>
    </row>
    <row r="33" spans="1:27" x14ac:dyDescent="0.25">
      <c r="A33" s="14"/>
      <c r="B33" s="173"/>
      <c r="C33" s="173"/>
      <c r="D33" s="170" t="s">
        <v>203</v>
      </c>
      <c r="E33" s="170"/>
      <c r="F33" s="217">
        <v>4</v>
      </c>
      <c r="G33" s="217">
        <v>4.375</v>
      </c>
      <c r="H33" s="217">
        <v>4.75</v>
      </c>
      <c r="I33" s="217">
        <v>5.125</v>
      </c>
      <c r="J33" s="217">
        <v>5.5</v>
      </c>
      <c r="K33" s="217">
        <v>5.5</v>
      </c>
      <c r="L33" s="217">
        <v>5.5</v>
      </c>
      <c r="M33" s="217">
        <v>5.5</v>
      </c>
      <c r="N33" s="217">
        <v>5.5</v>
      </c>
      <c r="O33" s="217">
        <v>5.5</v>
      </c>
      <c r="P33" s="217">
        <v>5.5</v>
      </c>
      <c r="Q33" s="217">
        <v>5.5</v>
      </c>
      <c r="R33" s="217">
        <v>5.5</v>
      </c>
      <c r="S33" s="217">
        <v>5.5</v>
      </c>
      <c r="T33" s="217">
        <v>5.5</v>
      </c>
      <c r="U33" s="217">
        <v>5.5</v>
      </c>
      <c r="V33" s="217">
        <v>5.5</v>
      </c>
      <c r="W33" s="217">
        <v>5.5</v>
      </c>
      <c r="X33" s="217">
        <v>5.5</v>
      </c>
      <c r="Y33" s="217">
        <v>5.5</v>
      </c>
      <c r="Z33" s="182"/>
      <c r="AA33" s="172" t="s">
        <v>1009</v>
      </c>
    </row>
    <row r="34" spans="1:27" x14ac:dyDescent="0.25">
      <c r="A34" s="14"/>
      <c r="B34" s="173"/>
      <c r="C34" s="173"/>
      <c r="D34" s="170" t="s">
        <v>162</v>
      </c>
      <c r="E34" s="170"/>
      <c r="F34" s="218">
        <f>F33*F28*12</f>
        <v>464634.8080618371</v>
      </c>
      <c r="G34" s="218">
        <f t="shared" ref="G34:O34" si="12">G33*G28*12</f>
        <v>2354253.1450969223</v>
      </c>
      <c r="H34" s="218">
        <f t="shared" si="12"/>
        <v>9276923.0337051321</v>
      </c>
      <c r="I34" s="218">
        <f t="shared" si="12"/>
        <v>32420183.500427719</v>
      </c>
      <c r="J34" s="218">
        <f t="shared" si="12"/>
        <v>68099485.242972583</v>
      </c>
      <c r="K34" s="218">
        <f t="shared" si="12"/>
        <v>108310876.42313455</v>
      </c>
      <c r="L34" s="218">
        <f t="shared" si="12"/>
        <v>158465871.7342982</v>
      </c>
      <c r="M34" s="218">
        <f t="shared" si="12"/>
        <v>210581113.04536319</v>
      </c>
      <c r="N34" s="218">
        <f t="shared" si="12"/>
        <v>264066782.828554</v>
      </c>
      <c r="O34" s="218">
        <f t="shared" si="12"/>
        <v>318865216.45997775</v>
      </c>
      <c r="P34" s="218">
        <f t="shared" ref="P34:Y34" si="13">P33*P28*12</f>
        <v>354087987.77696174</v>
      </c>
      <c r="Q34" s="218">
        <f t="shared" si="13"/>
        <v>395882651.8564896</v>
      </c>
      <c r="R34" s="218">
        <f t="shared" si="13"/>
        <v>435768117.02674592</v>
      </c>
      <c r="S34" s="218">
        <f t="shared" si="13"/>
        <v>478331103.437518</v>
      </c>
      <c r="T34" s="218">
        <f t="shared" si="13"/>
        <v>517611472.33793819</v>
      </c>
      <c r="U34" s="218">
        <f t="shared" si="13"/>
        <v>552781283.63248909</v>
      </c>
      <c r="V34" s="218">
        <f t="shared" si="13"/>
        <v>589518003.83600271</v>
      </c>
      <c r="W34" s="218">
        <f t="shared" si="13"/>
        <v>641216958.11842382</v>
      </c>
      <c r="X34" s="218">
        <f t="shared" si="13"/>
        <v>695701571.27627254</v>
      </c>
      <c r="Y34" s="218">
        <f t="shared" si="13"/>
        <v>753108339.82696891</v>
      </c>
      <c r="Z34" s="182"/>
      <c r="AA34" s="172"/>
    </row>
    <row r="35" spans="1:27" s="38" customFormat="1" x14ac:dyDescent="0.25">
      <c r="A35" s="183"/>
      <c r="B35" s="184"/>
      <c r="C35" s="184"/>
      <c r="D35" s="185"/>
      <c r="E35" s="185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182"/>
      <c r="AA35" s="186"/>
    </row>
    <row r="36" spans="1:27" x14ac:dyDescent="0.25">
      <c r="A36" s="14"/>
      <c r="B36" s="173"/>
      <c r="C36" s="173"/>
      <c r="D36" s="170" t="s">
        <v>403</v>
      </c>
      <c r="E36" s="170"/>
      <c r="F36" s="220">
        <v>1</v>
      </c>
      <c r="G36" s="220">
        <v>1</v>
      </c>
      <c r="H36" s="220">
        <v>1</v>
      </c>
      <c r="I36" s="220">
        <v>1</v>
      </c>
      <c r="J36" s="220">
        <v>1</v>
      </c>
      <c r="K36" s="220">
        <v>1</v>
      </c>
      <c r="L36" s="220">
        <v>1</v>
      </c>
      <c r="M36" s="220">
        <v>1</v>
      </c>
      <c r="N36" s="220">
        <v>1</v>
      </c>
      <c r="O36" s="220">
        <v>1</v>
      </c>
      <c r="P36" s="220">
        <v>1</v>
      </c>
      <c r="Q36" s="220">
        <v>1</v>
      </c>
      <c r="R36" s="220">
        <v>1</v>
      </c>
      <c r="S36" s="220">
        <v>1</v>
      </c>
      <c r="T36" s="220">
        <v>1</v>
      </c>
      <c r="U36" s="220">
        <v>1</v>
      </c>
      <c r="V36" s="220">
        <v>1</v>
      </c>
      <c r="W36" s="220">
        <v>1</v>
      </c>
      <c r="X36" s="220">
        <v>1</v>
      </c>
      <c r="Y36" s="220">
        <v>1</v>
      </c>
      <c r="Z36" s="195"/>
      <c r="AA36" s="172" t="s">
        <v>1010</v>
      </c>
    </row>
    <row r="37" spans="1:27" x14ac:dyDescent="0.25">
      <c r="A37" s="14"/>
      <c r="B37" s="173"/>
      <c r="C37" s="173"/>
      <c r="D37" s="170" t="s">
        <v>404</v>
      </c>
      <c r="E37" s="170"/>
      <c r="F37" s="195">
        <f>1-F36</f>
        <v>0</v>
      </c>
      <c r="G37" s="195">
        <f t="shared" ref="G37:Y37" si="14">1-G36</f>
        <v>0</v>
      </c>
      <c r="H37" s="195">
        <f t="shared" si="14"/>
        <v>0</v>
      </c>
      <c r="I37" s="195">
        <f t="shared" si="14"/>
        <v>0</v>
      </c>
      <c r="J37" s="195">
        <f t="shared" si="14"/>
        <v>0</v>
      </c>
      <c r="K37" s="195">
        <f t="shared" si="14"/>
        <v>0</v>
      </c>
      <c r="L37" s="195">
        <f t="shared" si="14"/>
        <v>0</v>
      </c>
      <c r="M37" s="195">
        <f t="shared" si="14"/>
        <v>0</v>
      </c>
      <c r="N37" s="195">
        <f t="shared" si="14"/>
        <v>0</v>
      </c>
      <c r="O37" s="195">
        <f t="shared" si="14"/>
        <v>0</v>
      </c>
      <c r="P37" s="195">
        <f t="shared" si="14"/>
        <v>0</v>
      </c>
      <c r="Q37" s="195">
        <f t="shared" si="14"/>
        <v>0</v>
      </c>
      <c r="R37" s="195">
        <f t="shared" si="14"/>
        <v>0</v>
      </c>
      <c r="S37" s="195">
        <f t="shared" si="14"/>
        <v>0</v>
      </c>
      <c r="T37" s="195">
        <f t="shared" si="14"/>
        <v>0</v>
      </c>
      <c r="U37" s="195">
        <f t="shared" si="14"/>
        <v>0</v>
      </c>
      <c r="V37" s="195">
        <f t="shared" si="14"/>
        <v>0</v>
      </c>
      <c r="W37" s="195">
        <f t="shared" si="14"/>
        <v>0</v>
      </c>
      <c r="X37" s="195">
        <f t="shared" si="14"/>
        <v>0</v>
      </c>
      <c r="Y37" s="195">
        <f t="shared" si="14"/>
        <v>0</v>
      </c>
      <c r="Z37" s="195"/>
      <c r="AA37" s="172" t="s">
        <v>1011</v>
      </c>
    </row>
    <row r="38" spans="1:27" x14ac:dyDescent="0.25">
      <c r="A38" s="14"/>
      <c r="B38" s="173"/>
      <c r="C38" s="173"/>
      <c r="D38" s="170"/>
      <c r="E38" s="170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72"/>
    </row>
    <row r="39" spans="1:27" x14ac:dyDescent="0.25">
      <c r="A39" s="14"/>
      <c r="B39" s="173"/>
      <c r="C39" s="173"/>
      <c r="D39" s="15" t="s">
        <v>60</v>
      </c>
      <c r="E39" s="15"/>
      <c r="F39" s="194">
        <f>IF(Scenario!$E$3="W",Scenario!B60,IF(Scenario!$E$3="M",Scenario!B61,Scenario!B62))</f>
        <v>0.5</v>
      </c>
      <c r="G39" s="194">
        <f>IF(Scenario!$E$3="W",Scenario!C60,IF(Scenario!$E$3="M",Scenario!C61,Scenario!C62))</f>
        <v>0.25</v>
      </c>
      <c r="H39" s="194">
        <f>IF(Scenario!$E$3="W",Scenario!D60,IF(Scenario!$E$3="M",Scenario!D61,Scenario!D62))</f>
        <v>0.1</v>
      </c>
      <c r="I39" s="194">
        <f>IF(Scenario!$E$3="W",Scenario!E60,IF(Scenario!$E$3="M",Scenario!E61,Scenario!E62))</f>
        <v>0.1</v>
      </c>
      <c r="J39" s="194">
        <f>IF(Scenario!$E$3="W",Scenario!F60,IF(Scenario!$E$3="M",Scenario!F61,Scenario!F62))</f>
        <v>0.1</v>
      </c>
      <c r="K39" s="194">
        <f>IF(Scenario!$E$3="W",Scenario!G60,IF(Scenario!$E$3="M",Scenario!G61,Scenario!G62))</f>
        <v>0.1</v>
      </c>
      <c r="L39" s="194">
        <f>IF(Scenario!$E$3="W",Scenario!H60,IF(Scenario!$E$3="M",Scenario!H61,Scenario!H62))</f>
        <v>0.1</v>
      </c>
      <c r="M39" s="194">
        <f>IF(Scenario!$E$3="W",Scenario!I60,IF(Scenario!$E$3="M",Scenario!I61,Scenario!I62))</f>
        <v>0.1</v>
      </c>
      <c r="N39" s="194">
        <f>IF(Scenario!$E$3="W",Scenario!J60,IF(Scenario!$E$3="M",Scenario!J61,Scenario!J62))</f>
        <v>0.1</v>
      </c>
      <c r="O39" s="194">
        <f>IF(Scenario!$E$3="W",Scenario!K60,IF(Scenario!$E$3="M",Scenario!K61,Scenario!K62))</f>
        <v>0.1</v>
      </c>
      <c r="P39" s="194">
        <f>IF(Scenario!$E$3="W",Scenario!L60,IF(Scenario!$E$3="M",Scenario!L61,Scenario!L62))</f>
        <v>0.1</v>
      </c>
      <c r="Q39" s="194">
        <f>IF(Scenario!$E$3="W",Scenario!M60,IF(Scenario!$E$3="M",Scenario!M61,Scenario!M62))</f>
        <v>0.1</v>
      </c>
      <c r="R39" s="194">
        <f>IF(Scenario!$E$3="W",Scenario!N60,IF(Scenario!$E$3="M",Scenario!N61,Scenario!N62))</f>
        <v>0.1</v>
      </c>
      <c r="S39" s="194">
        <f>IF(Scenario!$E$3="W",Scenario!O60,IF(Scenario!$E$3="M",Scenario!O61,Scenario!O62))</f>
        <v>0.1</v>
      </c>
      <c r="T39" s="194">
        <f>IF(Scenario!$E$3="W",Scenario!P60,IF(Scenario!$E$3="M",Scenario!P61,Scenario!P62))</f>
        <v>0.1</v>
      </c>
      <c r="U39" s="194">
        <f>IF(Scenario!$E$3="W",Scenario!Q60,IF(Scenario!$E$3="M",Scenario!Q61,Scenario!Q62))</f>
        <v>0.1</v>
      </c>
      <c r="V39" s="194">
        <f>IF(Scenario!$E$3="W",Scenario!R60,IF(Scenario!$E$3="M",Scenario!R61,Scenario!R62))</f>
        <v>0.1</v>
      </c>
      <c r="W39" s="194">
        <f>IF(Scenario!$E$3="W",Scenario!S60,IF(Scenario!$E$3="M",Scenario!S61,Scenario!S62))</f>
        <v>0.1</v>
      </c>
      <c r="X39" s="194">
        <f>IF(Scenario!$E$3="W",Scenario!T60,IF(Scenario!$E$3="M",Scenario!T61,Scenario!T62))</f>
        <v>0.1</v>
      </c>
      <c r="Y39" s="194">
        <f>IF(Scenario!$E$3="W",Scenario!U60,IF(Scenario!$E$3="M",Scenario!U61,Scenario!U62))</f>
        <v>0.1</v>
      </c>
      <c r="Z39" s="195"/>
      <c r="AA39" s="172" t="s">
        <v>1109</v>
      </c>
    </row>
    <row r="40" spans="1:27" x14ac:dyDescent="0.25">
      <c r="A40" s="14"/>
      <c r="B40" s="173"/>
      <c r="C40" s="173"/>
      <c r="D40" s="15"/>
      <c r="E40" s="1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72"/>
    </row>
    <row r="41" spans="1:27" x14ac:dyDescent="0.25">
      <c r="A41" s="14"/>
      <c r="B41" s="173"/>
      <c r="C41" s="173"/>
      <c r="D41" s="15" t="s">
        <v>376</v>
      </c>
      <c r="E41" s="15"/>
      <c r="F41" s="221">
        <v>50</v>
      </c>
      <c r="G41" s="221">
        <v>50</v>
      </c>
      <c r="H41" s="221">
        <v>50</v>
      </c>
      <c r="I41" s="221">
        <v>50</v>
      </c>
      <c r="J41" s="221">
        <v>50</v>
      </c>
      <c r="K41" s="221">
        <v>50</v>
      </c>
      <c r="L41" s="221">
        <v>50</v>
      </c>
      <c r="M41" s="221">
        <v>50</v>
      </c>
      <c r="N41" s="221">
        <v>50</v>
      </c>
      <c r="O41" s="221">
        <v>50</v>
      </c>
      <c r="P41" s="221">
        <v>50</v>
      </c>
      <c r="Q41" s="221">
        <v>50</v>
      </c>
      <c r="R41" s="221">
        <v>50</v>
      </c>
      <c r="S41" s="221">
        <v>50</v>
      </c>
      <c r="T41" s="221">
        <v>50</v>
      </c>
      <c r="U41" s="221">
        <v>50</v>
      </c>
      <c r="V41" s="221">
        <v>50</v>
      </c>
      <c r="W41" s="221">
        <v>50</v>
      </c>
      <c r="X41" s="221">
        <v>50</v>
      </c>
      <c r="Y41" s="221">
        <v>50</v>
      </c>
      <c r="Z41" s="195"/>
      <c r="AA41" s="172" t="s">
        <v>431</v>
      </c>
    </row>
    <row r="42" spans="1:27" x14ac:dyDescent="0.25">
      <c r="A42" s="14"/>
      <c r="B42" s="173"/>
      <c r="C42" s="173"/>
      <c r="D42" s="15" t="s">
        <v>377</v>
      </c>
      <c r="E42" s="15"/>
      <c r="F42" s="222" t="s">
        <v>378</v>
      </c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72"/>
    </row>
    <row r="43" spans="1:27" ht="13.8" thickBot="1" x14ac:dyDescent="0.3">
      <c r="A43" s="31"/>
      <c r="B43" s="209"/>
      <c r="C43" s="209"/>
      <c r="D43" s="223"/>
      <c r="E43" s="223"/>
      <c r="F43" s="223"/>
      <c r="G43" s="223"/>
      <c r="H43" s="22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11"/>
      <c r="AA43" s="212"/>
    </row>
    <row r="44" spans="1:27" x14ac:dyDescent="0.25">
      <c r="A44" s="213"/>
      <c r="B44" s="163"/>
      <c r="C44" s="163"/>
      <c r="D44" s="164"/>
      <c r="E44" s="164"/>
      <c r="F44" s="164"/>
      <c r="G44" s="164"/>
      <c r="H44" s="164"/>
      <c r="I44" s="224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6"/>
      <c r="AA44" s="167"/>
    </row>
    <row r="45" spans="1:27" x14ac:dyDescent="0.25">
      <c r="A45" s="14"/>
      <c r="B45" s="169" t="s">
        <v>61</v>
      </c>
      <c r="C45" s="173"/>
      <c r="D45" s="177"/>
      <c r="E45" s="177"/>
      <c r="F45" s="177"/>
      <c r="G45" s="177"/>
      <c r="H45" s="177"/>
      <c r="I45" s="17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71"/>
      <c r="AA45" s="172"/>
    </row>
    <row r="46" spans="1:27" x14ac:dyDescent="0.25">
      <c r="A46" s="14"/>
      <c r="B46" s="173"/>
      <c r="C46" s="173"/>
      <c r="D46" s="177"/>
      <c r="E46" s="177"/>
      <c r="F46" s="177">
        <f>F32</f>
        <v>2001</v>
      </c>
      <c r="G46" s="177">
        <f t="shared" ref="G46:AA46" si="15">G32</f>
        <v>2002</v>
      </c>
      <c r="H46" s="177">
        <f t="shared" si="15"/>
        <v>2003</v>
      </c>
      <c r="I46" s="177">
        <f t="shared" si="15"/>
        <v>2004</v>
      </c>
      <c r="J46" s="177">
        <f t="shared" si="15"/>
        <v>2005</v>
      </c>
      <c r="K46" s="177">
        <f t="shared" si="15"/>
        <v>2006</v>
      </c>
      <c r="L46" s="177">
        <f t="shared" si="15"/>
        <v>2007</v>
      </c>
      <c r="M46" s="177">
        <f t="shared" si="15"/>
        <v>2008</v>
      </c>
      <c r="N46" s="177">
        <f t="shared" si="15"/>
        <v>2009</v>
      </c>
      <c r="O46" s="177">
        <f t="shared" si="15"/>
        <v>2010</v>
      </c>
      <c r="P46" s="177">
        <v>2011</v>
      </c>
      <c r="Q46" s="17">
        <v>2012</v>
      </c>
      <c r="R46" s="177">
        <v>2013</v>
      </c>
      <c r="S46" s="17">
        <v>2014</v>
      </c>
      <c r="T46" s="177">
        <v>2015</v>
      </c>
      <c r="U46" s="17">
        <v>2016</v>
      </c>
      <c r="V46" s="177">
        <v>2017</v>
      </c>
      <c r="W46" s="17">
        <v>2018</v>
      </c>
      <c r="X46" s="177">
        <v>2019</v>
      </c>
      <c r="Y46" s="17">
        <v>2020</v>
      </c>
      <c r="Z46" s="177"/>
      <c r="AA46" s="216" t="str">
        <f t="shared" si="15"/>
        <v>Assumption Source</v>
      </c>
    </row>
    <row r="47" spans="1:27" hidden="1" x14ac:dyDescent="0.25">
      <c r="A47" s="14"/>
      <c r="B47" s="173"/>
      <c r="C47" s="173"/>
      <c r="D47" s="225" t="s">
        <v>352</v>
      </c>
      <c r="E47" s="177"/>
      <c r="F47" s="219">
        <v>1.5</v>
      </c>
      <c r="G47" s="219">
        <v>1.5</v>
      </c>
      <c r="H47" s="219">
        <v>3.5</v>
      </c>
      <c r="I47" s="219">
        <v>3.5</v>
      </c>
      <c r="J47" s="219">
        <v>4</v>
      </c>
      <c r="K47" s="219">
        <v>4</v>
      </c>
      <c r="L47" s="219">
        <v>4.5</v>
      </c>
      <c r="M47" s="219">
        <v>4.5</v>
      </c>
      <c r="N47" s="219">
        <v>5</v>
      </c>
      <c r="O47" s="219">
        <v>5</v>
      </c>
      <c r="P47" s="219">
        <v>5</v>
      </c>
      <c r="Q47" s="219">
        <v>5</v>
      </c>
      <c r="R47" s="219">
        <v>5</v>
      </c>
      <c r="S47" s="219">
        <v>5</v>
      </c>
      <c r="T47" s="219">
        <v>5</v>
      </c>
      <c r="U47" s="219">
        <v>5</v>
      </c>
      <c r="V47" s="219">
        <v>5</v>
      </c>
      <c r="W47" s="219">
        <v>5</v>
      </c>
      <c r="X47" s="219">
        <v>5</v>
      </c>
      <c r="Y47" s="219">
        <v>5</v>
      </c>
      <c r="Z47" s="177"/>
      <c r="AA47" s="216"/>
    </row>
    <row r="48" spans="1:27" x14ac:dyDescent="0.25">
      <c r="A48" s="14"/>
      <c r="B48" s="173"/>
      <c r="C48" s="173"/>
      <c r="D48" s="170" t="s">
        <v>351</v>
      </c>
      <c r="E48" s="170"/>
      <c r="F48" s="219">
        <f t="shared" ref="F48:O48" si="16">F17</f>
        <v>1.5</v>
      </c>
      <c r="G48" s="219">
        <f t="shared" si="16"/>
        <v>1.1000000000000001</v>
      </c>
      <c r="H48" s="219">
        <f t="shared" si="16"/>
        <v>1.1000000000000001</v>
      </c>
      <c r="I48" s="219">
        <f t="shared" si="16"/>
        <v>1.1000000000000001</v>
      </c>
      <c r="J48" s="219">
        <f t="shared" si="16"/>
        <v>1.1000000000000001</v>
      </c>
      <c r="K48" s="219">
        <f t="shared" si="16"/>
        <v>1.1000000000000001</v>
      </c>
      <c r="L48" s="219">
        <f t="shared" si="16"/>
        <v>1.1000000000000001</v>
      </c>
      <c r="M48" s="219">
        <f t="shared" si="16"/>
        <v>1.1000000000000001</v>
      </c>
      <c r="N48" s="219">
        <f t="shared" si="16"/>
        <v>1.1000000000000001</v>
      </c>
      <c r="O48" s="219">
        <f t="shared" si="16"/>
        <v>1.1000000000000001</v>
      </c>
      <c r="P48" s="219">
        <f t="shared" ref="P48:Y48" si="17">P17</f>
        <v>1.1000000000000001</v>
      </c>
      <c r="Q48" s="219">
        <f t="shared" si="17"/>
        <v>1.1000000000000001</v>
      </c>
      <c r="R48" s="219">
        <f t="shared" si="17"/>
        <v>1.1000000000000001</v>
      </c>
      <c r="S48" s="219">
        <f t="shared" si="17"/>
        <v>1.1000000000000001</v>
      </c>
      <c r="T48" s="219">
        <f t="shared" si="17"/>
        <v>1.1000000000000001</v>
      </c>
      <c r="U48" s="219">
        <f t="shared" si="17"/>
        <v>1.1000000000000001</v>
      </c>
      <c r="V48" s="219">
        <f t="shared" si="17"/>
        <v>1.1000000000000001</v>
      </c>
      <c r="W48" s="219">
        <f t="shared" si="17"/>
        <v>1.1000000000000001</v>
      </c>
      <c r="X48" s="219">
        <f t="shared" si="17"/>
        <v>1.1000000000000001</v>
      </c>
      <c r="Y48" s="219">
        <f t="shared" si="17"/>
        <v>1.1000000000000001</v>
      </c>
      <c r="Z48" s="219"/>
      <c r="AA48" s="172"/>
    </row>
    <row r="49" spans="1:27" x14ac:dyDescent="0.25">
      <c r="A49" s="14"/>
      <c r="B49" s="173"/>
      <c r="C49" s="173"/>
      <c r="D49" s="170" t="s">
        <v>62</v>
      </c>
      <c r="E49" s="170"/>
      <c r="F49" s="226">
        <v>120</v>
      </c>
      <c r="G49" s="226">
        <v>120</v>
      </c>
      <c r="H49" s="226">
        <v>120</v>
      </c>
      <c r="I49" s="226">
        <v>120</v>
      </c>
      <c r="J49" s="226">
        <v>120</v>
      </c>
      <c r="K49" s="226">
        <v>120</v>
      </c>
      <c r="L49" s="226">
        <v>120</v>
      </c>
      <c r="M49" s="226">
        <v>120</v>
      </c>
      <c r="N49" s="226">
        <v>120</v>
      </c>
      <c r="O49" s="226">
        <v>120</v>
      </c>
      <c r="P49" s="226">
        <v>120</v>
      </c>
      <c r="Q49" s="226">
        <v>120</v>
      </c>
      <c r="R49" s="226">
        <v>120</v>
      </c>
      <c r="S49" s="226">
        <v>120</v>
      </c>
      <c r="T49" s="226">
        <v>120</v>
      </c>
      <c r="U49" s="226">
        <v>120</v>
      </c>
      <c r="V49" s="226">
        <v>120</v>
      </c>
      <c r="W49" s="226">
        <v>120</v>
      </c>
      <c r="X49" s="226">
        <v>120</v>
      </c>
      <c r="Y49" s="226">
        <v>120</v>
      </c>
      <c r="Z49" s="182"/>
      <c r="AA49" s="172" t="s">
        <v>1012</v>
      </c>
    </row>
    <row r="50" spans="1:27" x14ac:dyDescent="0.25">
      <c r="A50" s="14"/>
      <c r="B50" s="173"/>
      <c r="C50" s="173"/>
      <c r="D50" s="170" t="s">
        <v>4</v>
      </c>
      <c r="E50" s="170"/>
      <c r="F50" s="219">
        <f>F48*60*F49*(1/8)*(1/1024)</f>
        <v>1.318359375</v>
      </c>
      <c r="G50" s="219">
        <f t="shared" ref="G50:O50" si="18">G48*60*G49*(1/8)*(1/1024)</f>
        <v>0.966796875</v>
      </c>
      <c r="H50" s="219">
        <f t="shared" si="18"/>
        <v>0.966796875</v>
      </c>
      <c r="I50" s="219">
        <f t="shared" si="18"/>
        <v>0.966796875</v>
      </c>
      <c r="J50" s="219">
        <f t="shared" si="18"/>
        <v>0.966796875</v>
      </c>
      <c r="K50" s="219">
        <f t="shared" si="18"/>
        <v>0.966796875</v>
      </c>
      <c r="L50" s="219">
        <f t="shared" si="18"/>
        <v>0.966796875</v>
      </c>
      <c r="M50" s="219">
        <f t="shared" si="18"/>
        <v>0.966796875</v>
      </c>
      <c r="N50" s="219">
        <f t="shared" si="18"/>
        <v>0.966796875</v>
      </c>
      <c r="O50" s="219">
        <f t="shared" si="18"/>
        <v>0.966796875</v>
      </c>
      <c r="P50" s="219">
        <f t="shared" ref="P50:Y50" si="19">P48*60*P49*(1/8)*(1/1024)</f>
        <v>0.966796875</v>
      </c>
      <c r="Q50" s="219">
        <f t="shared" si="19"/>
        <v>0.966796875</v>
      </c>
      <c r="R50" s="219">
        <f t="shared" si="19"/>
        <v>0.966796875</v>
      </c>
      <c r="S50" s="219">
        <f t="shared" si="19"/>
        <v>0.966796875</v>
      </c>
      <c r="T50" s="219">
        <f t="shared" si="19"/>
        <v>0.966796875</v>
      </c>
      <c r="U50" s="219">
        <f t="shared" si="19"/>
        <v>0.966796875</v>
      </c>
      <c r="V50" s="219">
        <f t="shared" si="19"/>
        <v>0.966796875</v>
      </c>
      <c r="W50" s="219">
        <f t="shared" si="19"/>
        <v>0.966796875</v>
      </c>
      <c r="X50" s="219">
        <f t="shared" si="19"/>
        <v>0.966796875</v>
      </c>
      <c r="Y50" s="219">
        <f t="shared" si="19"/>
        <v>0.966796875</v>
      </c>
      <c r="Z50" s="219"/>
      <c r="AA50" s="172"/>
    </row>
    <row r="51" spans="1:27" ht="13.8" thickBot="1" x14ac:dyDescent="0.3">
      <c r="A51" s="31"/>
      <c r="B51" s="209"/>
      <c r="C51" s="209"/>
      <c r="D51" s="223"/>
      <c r="E51" s="223"/>
      <c r="F51" s="227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12"/>
    </row>
    <row r="52" spans="1:27" x14ac:dyDescent="0.25">
      <c r="A52" s="213"/>
      <c r="B52" s="163"/>
      <c r="C52" s="163"/>
      <c r="D52" s="164"/>
      <c r="E52" s="164"/>
      <c r="F52" s="229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167"/>
    </row>
    <row r="53" spans="1:27" x14ac:dyDescent="0.25">
      <c r="A53" s="14"/>
      <c r="B53" s="169" t="s">
        <v>63</v>
      </c>
      <c r="C53" s="173"/>
      <c r="D53" s="177"/>
      <c r="E53" s="177"/>
      <c r="F53" s="17">
        <f>F46</f>
        <v>2001</v>
      </c>
      <c r="G53" s="17">
        <f t="shared" ref="G53:Y53" si="20">G46</f>
        <v>2002</v>
      </c>
      <c r="H53" s="17">
        <f t="shared" si="20"/>
        <v>2003</v>
      </c>
      <c r="I53" s="17">
        <f t="shared" si="20"/>
        <v>2004</v>
      </c>
      <c r="J53" s="17">
        <f t="shared" si="20"/>
        <v>2005</v>
      </c>
      <c r="K53" s="17">
        <f t="shared" si="20"/>
        <v>2006</v>
      </c>
      <c r="L53" s="17">
        <f t="shared" si="20"/>
        <v>2007</v>
      </c>
      <c r="M53" s="17">
        <f t="shared" si="20"/>
        <v>2008</v>
      </c>
      <c r="N53" s="17">
        <f t="shared" si="20"/>
        <v>2009</v>
      </c>
      <c r="O53" s="17">
        <f t="shared" si="20"/>
        <v>2010</v>
      </c>
      <c r="P53" s="17">
        <f t="shared" si="20"/>
        <v>2011</v>
      </c>
      <c r="Q53" s="17">
        <f t="shared" si="20"/>
        <v>2012</v>
      </c>
      <c r="R53" s="17">
        <f t="shared" si="20"/>
        <v>2013</v>
      </c>
      <c r="S53" s="17">
        <f t="shared" si="20"/>
        <v>2014</v>
      </c>
      <c r="T53" s="17">
        <f t="shared" si="20"/>
        <v>2015</v>
      </c>
      <c r="U53" s="17">
        <f t="shared" si="20"/>
        <v>2016</v>
      </c>
      <c r="V53" s="17">
        <f t="shared" si="20"/>
        <v>2017</v>
      </c>
      <c r="W53" s="17">
        <f t="shared" si="20"/>
        <v>2018</v>
      </c>
      <c r="X53" s="17">
        <f t="shared" si="20"/>
        <v>2019</v>
      </c>
      <c r="Y53" s="17">
        <f t="shared" si="20"/>
        <v>2020</v>
      </c>
      <c r="Z53" s="231"/>
      <c r="AA53" s="175" t="str">
        <f>AA46</f>
        <v>Assumption Source</v>
      </c>
    </row>
    <row r="54" spans="1:27" x14ac:dyDescent="0.25">
      <c r="A54" s="14"/>
      <c r="B54" s="173"/>
      <c r="C54" s="173"/>
      <c r="D54" s="170" t="s">
        <v>1087</v>
      </c>
      <c r="E54" s="177"/>
      <c r="F54" s="609">
        <v>1</v>
      </c>
      <c r="G54" s="609">
        <v>1</v>
      </c>
      <c r="H54" s="609">
        <v>1</v>
      </c>
      <c r="I54" s="609">
        <v>0</v>
      </c>
      <c r="J54" s="609">
        <v>0</v>
      </c>
      <c r="K54" s="609">
        <v>0</v>
      </c>
      <c r="L54" s="609">
        <v>0</v>
      </c>
      <c r="M54" s="609">
        <v>0</v>
      </c>
      <c r="N54" s="609">
        <v>0</v>
      </c>
      <c r="O54" s="609">
        <v>0</v>
      </c>
      <c r="P54" s="609">
        <v>0</v>
      </c>
      <c r="Q54" s="609">
        <v>0</v>
      </c>
      <c r="R54" s="609">
        <v>0</v>
      </c>
      <c r="S54" s="609">
        <v>0</v>
      </c>
      <c r="T54" s="609">
        <v>0</v>
      </c>
      <c r="U54" s="609">
        <v>0</v>
      </c>
      <c r="V54" s="609">
        <v>0</v>
      </c>
      <c r="W54" s="609">
        <v>0</v>
      </c>
      <c r="X54" s="609">
        <v>0</v>
      </c>
      <c r="Y54" s="609">
        <v>0</v>
      </c>
      <c r="Z54" s="219"/>
      <c r="AA54" s="172"/>
    </row>
    <row r="55" spans="1:27" x14ac:dyDescent="0.25">
      <c r="A55" s="14"/>
      <c r="B55" s="173"/>
      <c r="C55" s="173"/>
      <c r="D55" s="177"/>
      <c r="E55" s="177"/>
      <c r="F55" s="635"/>
      <c r="G55" s="635"/>
      <c r="H55" s="17"/>
      <c r="I55" s="17"/>
      <c r="J55" s="17"/>
      <c r="K55" s="17"/>
      <c r="L55" s="17"/>
      <c r="M55" s="17"/>
      <c r="N55" s="17"/>
      <c r="O55" s="17"/>
      <c r="P55" s="177"/>
      <c r="Q55" s="17"/>
      <c r="R55" s="177"/>
      <c r="S55" s="17"/>
      <c r="T55" s="177"/>
      <c r="U55" s="17"/>
      <c r="V55" s="177"/>
      <c r="W55" s="17"/>
      <c r="X55" s="177"/>
      <c r="Y55" s="17"/>
      <c r="Z55" s="219"/>
      <c r="AA55" s="172"/>
    </row>
    <row r="56" spans="1:27" x14ac:dyDescent="0.25">
      <c r="A56" s="14"/>
      <c r="B56" s="173"/>
      <c r="C56" s="173"/>
      <c r="D56" s="170" t="s">
        <v>1025</v>
      </c>
      <c r="E56" s="642"/>
      <c r="F56" s="232">
        <v>0.5</v>
      </c>
      <c r="H56" s="17"/>
      <c r="I56" s="17"/>
      <c r="J56" s="17"/>
      <c r="K56" s="17"/>
      <c r="L56" s="17"/>
      <c r="M56" s="17"/>
      <c r="N56" s="17"/>
      <c r="O56" s="17"/>
      <c r="P56" s="177"/>
      <c r="Q56" s="17"/>
      <c r="R56" s="177"/>
      <c r="S56" s="17"/>
      <c r="T56" s="177"/>
      <c r="U56" s="17"/>
      <c r="V56" s="177"/>
      <c r="W56" s="17"/>
      <c r="X56" s="177"/>
      <c r="Y56" s="17"/>
      <c r="Z56" s="219"/>
      <c r="AA56" s="172"/>
    </row>
    <row r="57" spans="1:27" x14ac:dyDescent="0.25">
      <c r="A57" s="14"/>
      <c r="B57" s="173"/>
      <c r="C57" s="173"/>
      <c r="D57" s="170" t="s">
        <v>70</v>
      </c>
      <c r="E57" s="642"/>
      <c r="F57" s="232">
        <f>1-F56</f>
        <v>0.5</v>
      </c>
      <c r="H57" s="17"/>
      <c r="I57" s="17"/>
      <c r="J57" s="17"/>
      <c r="K57" s="17"/>
      <c r="L57" s="17"/>
      <c r="M57" s="17"/>
      <c r="N57" s="17"/>
      <c r="O57" s="17"/>
      <c r="P57" s="177"/>
      <c r="Q57" s="17"/>
      <c r="R57" s="177"/>
      <c r="S57" s="17"/>
      <c r="T57" s="177"/>
      <c r="U57" s="17"/>
      <c r="V57" s="177"/>
      <c r="W57" s="17"/>
      <c r="X57" s="177"/>
      <c r="Y57" s="17"/>
      <c r="Z57" s="219"/>
      <c r="AA57" s="172"/>
    </row>
    <row r="58" spans="1:27" x14ac:dyDescent="0.25">
      <c r="A58" s="14"/>
      <c r="B58" s="173"/>
      <c r="C58" s="173"/>
      <c r="D58" s="170" t="s">
        <v>71</v>
      </c>
      <c r="E58" s="643"/>
      <c r="F58" s="232">
        <v>0</v>
      </c>
      <c r="H58" s="17"/>
      <c r="I58" s="17"/>
      <c r="J58" s="17"/>
      <c r="K58" s="17"/>
      <c r="L58" s="17"/>
      <c r="M58" s="17"/>
      <c r="N58" s="17"/>
      <c r="O58" s="17"/>
      <c r="P58" s="177"/>
      <c r="Q58" s="17"/>
      <c r="R58" s="177"/>
      <c r="S58" s="17"/>
      <c r="T58" s="177"/>
      <c r="U58" s="17"/>
      <c r="V58" s="177"/>
      <c r="W58" s="17"/>
      <c r="X58" s="177"/>
      <c r="Y58" s="17"/>
      <c r="Z58" s="219"/>
      <c r="AA58" s="172"/>
    </row>
    <row r="59" spans="1:27" x14ac:dyDescent="0.25">
      <c r="A59" s="14"/>
      <c r="B59" s="173"/>
      <c r="C59" s="173"/>
      <c r="D59" s="170"/>
      <c r="E59" s="170"/>
      <c r="F59" s="233"/>
      <c r="G59" s="17"/>
      <c r="H59" s="17"/>
      <c r="I59" s="17"/>
      <c r="J59" s="17"/>
      <c r="K59" s="17"/>
      <c r="L59" s="17"/>
      <c r="M59" s="17"/>
      <c r="N59" s="17"/>
      <c r="O59" s="17"/>
      <c r="P59" s="177"/>
      <c r="Q59" s="17"/>
      <c r="R59" s="177"/>
      <c r="S59" s="17"/>
      <c r="T59" s="177"/>
      <c r="U59" s="17"/>
      <c r="V59" s="177"/>
      <c r="W59" s="17"/>
      <c r="X59" s="177"/>
      <c r="Y59" s="17"/>
      <c r="Z59" s="219"/>
      <c r="AA59" s="172"/>
    </row>
    <row r="60" spans="1:27" x14ac:dyDescent="0.25">
      <c r="A60" s="14"/>
      <c r="B60" s="173"/>
      <c r="C60" s="173"/>
      <c r="D60" s="170" t="s">
        <v>72</v>
      </c>
      <c r="E60" s="170"/>
      <c r="F60" s="232">
        <v>0</v>
      </c>
      <c r="G60" s="17"/>
      <c r="H60" s="17"/>
      <c r="I60"/>
      <c r="J60"/>
      <c r="K60"/>
      <c r="L60"/>
      <c r="M60"/>
      <c r="N60"/>
      <c r="O60" s="17"/>
      <c r="P60" s="177"/>
      <c r="Q60" s="17"/>
      <c r="R60" s="177"/>
      <c r="S60" s="17"/>
      <c r="T60" s="177"/>
      <c r="U60" s="17"/>
      <c r="V60" s="177"/>
      <c r="W60" s="17"/>
      <c r="X60" s="177"/>
      <c r="Y60" s="17"/>
      <c r="Z60" s="219"/>
      <c r="AA60" s="172" t="s">
        <v>1013</v>
      </c>
    </row>
    <row r="61" spans="1:27" x14ac:dyDescent="0.25">
      <c r="A61" s="14"/>
      <c r="B61" s="173"/>
      <c r="C61" s="173"/>
      <c r="D61" s="170"/>
      <c r="E61" s="17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7"/>
      <c r="Q61" s="17"/>
      <c r="R61" s="177"/>
      <c r="S61" s="17"/>
      <c r="T61" s="177"/>
      <c r="U61" s="17"/>
      <c r="V61" s="177"/>
      <c r="W61" s="17"/>
      <c r="X61" s="177"/>
      <c r="Y61" s="17"/>
      <c r="Z61" s="219"/>
      <c r="AA61" s="172" t="s">
        <v>1014</v>
      </c>
    </row>
    <row r="62" spans="1:27" x14ac:dyDescent="0.25">
      <c r="A62" s="14"/>
      <c r="B62" s="173"/>
      <c r="C62" s="173"/>
      <c r="D62" s="170" t="s">
        <v>64</v>
      </c>
      <c r="E62" s="170"/>
      <c r="F62" s="234">
        <f>IF(Scenario!$H$3="W",Scenario!B78,IF(Scenario!$H$3="M",Scenario!B79,Scenario!B80))</f>
        <v>399</v>
      </c>
      <c r="G62" s="234">
        <f>IF(Scenario!$H$3="W",Scenario!C78,IF(Scenario!$H$3="M",Scenario!C79,Scenario!C80))</f>
        <v>339.15</v>
      </c>
      <c r="H62" s="234">
        <f>IF(Scenario!$H$3="W",Scenario!D78,IF(Scenario!$H$3="M",Scenario!D79,Scenario!D80))</f>
        <v>288.27749999999997</v>
      </c>
      <c r="I62" s="234">
        <f>IF(Scenario!$H$3="W",Scenario!E78,IF(Scenario!$H$3="M",Scenario!E79,Scenario!E80))</f>
        <v>245.03587499999998</v>
      </c>
      <c r="J62" s="234">
        <f>IF(Scenario!$H$3="W",Scenario!F78,IF(Scenario!$H$3="M",Scenario!F79,Scenario!F80))</f>
        <v>208.28049374999998</v>
      </c>
      <c r="K62" s="234">
        <f>IF(Scenario!$H$3="W",Scenario!G78,IF(Scenario!$H$3="M",Scenario!G79,Scenario!G80))</f>
        <v>177.03841968749998</v>
      </c>
      <c r="L62" s="234">
        <f>IF(Scenario!$H$3="W",Scenario!H78,IF(Scenario!$H$3="M",Scenario!H79,Scenario!H80))</f>
        <v>150.48265673437498</v>
      </c>
      <c r="M62" s="234">
        <f>IF(Scenario!$H$3="W",Scenario!I78,IF(Scenario!$H$3="M",Scenario!I79,Scenario!I80))</f>
        <v>150</v>
      </c>
      <c r="N62" s="234">
        <f>IF(Scenario!$H$3="W",Scenario!J78,IF(Scenario!$H$3="M",Scenario!J79,Scenario!J80))</f>
        <v>150</v>
      </c>
      <c r="O62" s="234">
        <f>IF(Scenario!$H$3="W",Scenario!K78,IF(Scenario!$H$3="M",Scenario!K79,Scenario!K80))</f>
        <v>150</v>
      </c>
      <c r="P62" s="234">
        <f>IF(Scenario!$H$3="W",Scenario!L78,IF(Scenario!$H$3="M",Scenario!L79,Scenario!L80))</f>
        <v>150</v>
      </c>
      <c r="Q62" s="234">
        <f>IF(Scenario!$H$3="W",Scenario!M78,IF(Scenario!$H$3="M",Scenario!M79,Scenario!M80))</f>
        <v>150</v>
      </c>
      <c r="R62" s="234">
        <f>IF(Scenario!$H$3="W",Scenario!N78,IF(Scenario!$H$3="M",Scenario!N79,Scenario!N80))</f>
        <v>150</v>
      </c>
      <c r="S62" s="234">
        <f>IF(Scenario!$H$3="W",Scenario!O78,IF(Scenario!$H$3="M",Scenario!O79,Scenario!O80))</f>
        <v>150</v>
      </c>
      <c r="T62" s="234">
        <f>IF(Scenario!$H$3="W",Scenario!P78,IF(Scenario!$H$3="M",Scenario!P79,Scenario!P80))</f>
        <v>150</v>
      </c>
      <c r="U62" s="234">
        <f>IF(Scenario!$H$3="W",Scenario!Q78,IF(Scenario!$H$3="M",Scenario!Q79,Scenario!Q80))</f>
        <v>150</v>
      </c>
      <c r="V62" s="234">
        <f>IF(Scenario!$H$3="W",Scenario!R78,IF(Scenario!$H$3="M",Scenario!R79,Scenario!R80))</f>
        <v>150</v>
      </c>
      <c r="W62" s="234">
        <f>IF(Scenario!$H$3="W",Scenario!S78,IF(Scenario!$H$3="M",Scenario!S79,Scenario!S80))</f>
        <v>150</v>
      </c>
      <c r="X62" s="234">
        <f>IF(Scenario!$H$3="W",Scenario!T78,IF(Scenario!$H$3="M",Scenario!T79,Scenario!T80))</f>
        <v>150</v>
      </c>
      <c r="Y62" s="234">
        <f>IF(Scenario!$H$3="W",Scenario!U78,IF(Scenario!$H$3="M",Scenario!U79,Scenario!U80))</f>
        <v>150</v>
      </c>
      <c r="Z62" s="171"/>
      <c r="AA62" s="172" t="s">
        <v>1015</v>
      </c>
    </row>
    <row r="63" spans="1:27" x14ac:dyDescent="0.25">
      <c r="A63" s="14"/>
      <c r="B63" s="173"/>
      <c r="C63" s="173"/>
      <c r="D63" s="170" t="str">
        <f>STB!C14</f>
        <v>Plus:   Hub/RF/Wire</v>
      </c>
      <c r="E63" s="170"/>
      <c r="F63" s="204">
        <v>85</v>
      </c>
      <c r="G63" s="204">
        <v>50</v>
      </c>
      <c r="H63" s="204">
        <v>20</v>
      </c>
      <c r="I63" s="204">
        <v>0</v>
      </c>
      <c r="J63" s="204">
        <f>I63</f>
        <v>0</v>
      </c>
      <c r="K63" s="204">
        <f t="shared" ref="K63:Y63" si="21">J63</f>
        <v>0</v>
      </c>
      <c r="L63" s="204">
        <f t="shared" si="21"/>
        <v>0</v>
      </c>
      <c r="M63" s="204">
        <f t="shared" si="21"/>
        <v>0</v>
      </c>
      <c r="N63" s="204">
        <f t="shared" si="21"/>
        <v>0</v>
      </c>
      <c r="O63" s="204">
        <f t="shared" si="21"/>
        <v>0</v>
      </c>
      <c r="P63" s="204">
        <f t="shared" si="21"/>
        <v>0</v>
      </c>
      <c r="Q63" s="204">
        <f t="shared" si="21"/>
        <v>0</v>
      </c>
      <c r="R63" s="204">
        <f t="shared" si="21"/>
        <v>0</v>
      </c>
      <c r="S63" s="204">
        <f t="shared" si="21"/>
        <v>0</v>
      </c>
      <c r="T63" s="204">
        <f t="shared" si="21"/>
        <v>0</v>
      </c>
      <c r="U63" s="204">
        <f t="shared" si="21"/>
        <v>0</v>
      </c>
      <c r="V63" s="204">
        <f t="shared" si="21"/>
        <v>0</v>
      </c>
      <c r="W63" s="204">
        <f t="shared" si="21"/>
        <v>0</v>
      </c>
      <c r="X63" s="204">
        <f t="shared" si="21"/>
        <v>0</v>
      </c>
      <c r="Y63" s="204">
        <f t="shared" si="21"/>
        <v>0</v>
      </c>
      <c r="Z63" s="235"/>
      <c r="AA63" s="172" t="s">
        <v>1016</v>
      </c>
    </row>
    <row r="64" spans="1:27" x14ac:dyDescent="0.25">
      <c r="A64" s="14"/>
      <c r="B64" s="173"/>
      <c r="C64" s="173"/>
      <c r="D64" s="170" t="s">
        <v>903</v>
      </c>
      <c r="E64" s="170"/>
      <c r="F64" s="236">
        <v>0</v>
      </c>
      <c r="G64" s="236">
        <f>F64</f>
        <v>0</v>
      </c>
      <c r="H64" s="236">
        <f t="shared" ref="H64:Y64" si="22">G64</f>
        <v>0</v>
      </c>
      <c r="I64" s="236">
        <v>0</v>
      </c>
      <c r="J64" s="236">
        <f t="shared" si="22"/>
        <v>0</v>
      </c>
      <c r="K64" s="236">
        <f t="shared" si="22"/>
        <v>0</v>
      </c>
      <c r="L64" s="236">
        <f t="shared" si="22"/>
        <v>0</v>
      </c>
      <c r="M64" s="236">
        <f t="shared" si="22"/>
        <v>0</v>
      </c>
      <c r="N64" s="236">
        <f t="shared" si="22"/>
        <v>0</v>
      </c>
      <c r="O64" s="236">
        <f t="shared" si="22"/>
        <v>0</v>
      </c>
      <c r="P64" s="236">
        <f t="shared" si="22"/>
        <v>0</v>
      </c>
      <c r="Q64" s="236">
        <f t="shared" si="22"/>
        <v>0</v>
      </c>
      <c r="R64" s="236">
        <f t="shared" si="22"/>
        <v>0</v>
      </c>
      <c r="S64" s="236">
        <f t="shared" si="22"/>
        <v>0</v>
      </c>
      <c r="T64" s="236">
        <f t="shared" si="22"/>
        <v>0</v>
      </c>
      <c r="U64" s="236">
        <f t="shared" si="22"/>
        <v>0</v>
      </c>
      <c r="V64" s="236">
        <f t="shared" si="22"/>
        <v>0</v>
      </c>
      <c r="W64" s="236">
        <f t="shared" si="22"/>
        <v>0</v>
      </c>
      <c r="X64" s="236">
        <f t="shared" si="22"/>
        <v>0</v>
      </c>
      <c r="Y64" s="236">
        <f t="shared" si="22"/>
        <v>0</v>
      </c>
      <c r="Z64" s="171"/>
      <c r="AA64" s="172" t="s">
        <v>1100</v>
      </c>
    </row>
    <row r="65" spans="1:27" x14ac:dyDescent="0.25">
      <c r="A65" s="14"/>
      <c r="B65" s="173"/>
      <c r="C65" s="173"/>
      <c r="D65" s="170" t="s">
        <v>434</v>
      </c>
      <c r="E65" s="170"/>
      <c r="F65" s="205">
        <f>SUM(F62:F64)</f>
        <v>484</v>
      </c>
      <c r="G65" s="205">
        <f t="shared" ref="G65:Y65" si="23">SUM(G62:G64)</f>
        <v>389.15</v>
      </c>
      <c r="H65" s="205">
        <f t="shared" si="23"/>
        <v>308.27749999999997</v>
      </c>
      <c r="I65" s="205">
        <f t="shared" si="23"/>
        <v>245.03587499999998</v>
      </c>
      <c r="J65" s="205">
        <f t="shared" si="23"/>
        <v>208.28049374999998</v>
      </c>
      <c r="K65" s="205">
        <f t="shared" si="23"/>
        <v>177.03841968749998</v>
      </c>
      <c r="L65" s="205">
        <f t="shared" si="23"/>
        <v>150.48265673437498</v>
      </c>
      <c r="M65" s="205">
        <f t="shared" si="23"/>
        <v>150</v>
      </c>
      <c r="N65" s="205">
        <f t="shared" si="23"/>
        <v>150</v>
      </c>
      <c r="O65" s="205">
        <f t="shared" si="23"/>
        <v>150</v>
      </c>
      <c r="P65" s="205">
        <f t="shared" si="23"/>
        <v>150</v>
      </c>
      <c r="Q65" s="205">
        <f t="shared" si="23"/>
        <v>150</v>
      </c>
      <c r="R65" s="205">
        <f t="shared" si="23"/>
        <v>150</v>
      </c>
      <c r="S65" s="205">
        <f t="shared" si="23"/>
        <v>150</v>
      </c>
      <c r="T65" s="205">
        <f t="shared" si="23"/>
        <v>150</v>
      </c>
      <c r="U65" s="205">
        <f t="shared" si="23"/>
        <v>150</v>
      </c>
      <c r="V65" s="205">
        <f t="shared" si="23"/>
        <v>150</v>
      </c>
      <c r="W65" s="205">
        <f t="shared" si="23"/>
        <v>150</v>
      </c>
      <c r="X65" s="205">
        <f t="shared" si="23"/>
        <v>150</v>
      </c>
      <c r="Y65" s="205">
        <f t="shared" si="23"/>
        <v>150</v>
      </c>
      <c r="Z65" s="171"/>
      <c r="AA65" s="172"/>
    </row>
    <row r="66" spans="1:27" s="38" customFormat="1" x14ac:dyDescent="0.25">
      <c r="A66" s="14"/>
      <c r="B66" s="173"/>
      <c r="C66" s="173"/>
      <c r="D66" s="170"/>
      <c r="E66" s="170"/>
      <c r="F66" s="205"/>
      <c r="G66" s="205"/>
      <c r="H66" s="205"/>
      <c r="I66" s="205"/>
      <c r="J66" s="237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171"/>
      <c r="AA66" s="186"/>
    </row>
    <row r="67" spans="1:27" x14ac:dyDescent="0.25">
      <c r="A67" s="14"/>
      <c r="B67" s="173"/>
      <c r="C67" s="173"/>
      <c r="D67" s="170" t="s">
        <v>65</v>
      </c>
      <c r="E67" s="170"/>
      <c r="F67" s="234">
        <f>IF(Scenario!$H$3="W",Scenario!B84,IF(Scenario!$H$3="M",Scenario!B85,Scenario!B86))</f>
        <v>179.64000000000001</v>
      </c>
      <c r="G67" s="234">
        <f>IF(Scenario!$H$3="W",Scenario!C84,IF(Scenario!$H$3="M",Scenario!C85,Scenario!C86))</f>
        <v>179.64000000000001</v>
      </c>
      <c r="H67" s="234">
        <f>IF(Scenario!$H$3="W",Scenario!D84,IF(Scenario!$H$3="M",Scenario!D85,Scenario!D86))</f>
        <v>179.64000000000001</v>
      </c>
      <c r="I67" s="234">
        <f>IF(Scenario!$H$3="W",Scenario!E84,IF(Scenario!$H$3="M",Scenario!E85,Scenario!E86))</f>
        <v>208.28049374999998</v>
      </c>
      <c r="J67" s="234">
        <f>IF(Scenario!$H$3="W",Scenario!F84,IF(Scenario!$H$3="M",Scenario!F85,Scenario!F86))</f>
        <v>208.28049374999998</v>
      </c>
      <c r="K67" s="234">
        <f>IF(Scenario!$H$3="W",Scenario!G84,IF(Scenario!$H$3="M",Scenario!G85,Scenario!G86))</f>
        <v>177.03841968749998</v>
      </c>
      <c r="L67" s="234">
        <f>IF(Scenario!$H$3="W",Scenario!H84,IF(Scenario!$H$3="M",Scenario!H85,Scenario!H86))</f>
        <v>150.48265673437498</v>
      </c>
      <c r="M67" s="234">
        <f>IF(Scenario!$H$3="W",Scenario!I84,IF(Scenario!$H$3="M",Scenario!I85,Scenario!I86))</f>
        <v>150</v>
      </c>
      <c r="N67" s="234">
        <f>IF(Scenario!$H$3="W",Scenario!J84,IF(Scenario!$H$3="M",Scenario!J85,Scenario!J86))</f>
        <v>150</v>
      </c>
      <c r="O67" s="234">
        <f>IF(Scenario!$H$3="W",Scenario!K84,IF(Scenario!$H$3="M",Scenario!K85,Scenario!K86))</f>
        <v>150</v>
      </c>
      <c r="P67" s="234">
        <f>IF(Scenario!$H$3="W",Scenario!L84,IF(Scenario!$H$3="M",Scenario!L85,Scenario!L86))</f>
        <v>150</v>
      </c>
      <c r="Q67" s="234">
        <f>IF(Scenario!$H$3="W",Scenario!M84,IF(Scenario!$H$3="M",Scenario!M85,Scenario!M86))</f>
        <v>150</v>
      </c>
      <c r="R67" s="234">
        <f>IF(Scenario!$H$3="W",Scenario!N84,IF(Scenario!$H$3="M",Scenario!N85,Scenario!N86))</f>
        <v>150</v>
      </c>
      <c r="S67" s="234">
        <f>IF(Scenario!$H$3="W",Scenario!O84,IF(Scenario!$H$3="M",Scenario!O85,Scenario!O86))</f>
        <v>150</v>
      </c>
      <c r="T67" s="234">
        <f>IF(Scenario!$H$3="W",Scenario!P84,IF(Scenario!$H$3="M",Scenario!P85,Scenario!P86))</f>
        <v>150</v>
      </c>
      <c r="U67" s="234">
        <f>IF(Scenario!$H$3="W",Scenario!Q84,IF(Scenario!$H$3="M",Scenario!Q85,Scenario!Q86))</f>
        <v>150</v>
      </c>
      <c r="V67" s="234">
        <f>IF(Scenario!$H$3="W",Scenario!R84,IF(Scenario!$H$3="M",Scenario!R85,Scenario!R86))</f>
        <v>150</v>
      </c>
      <c r="W67" s="234">
        <f>IF(Scenario!$H$3="W",Scenario!S84,IF(Scenario!$H$3="M",Scenario!S85,Scenario!S86))</f>
        <v>150</v>
      </c>
      <c r="X67" s="234">
        <f>IF(Scenario!$H$3="W",Scenario!T84,IF(Scenario!$H$3="M",Scenario!T85,Scenario!T86))</f>
        <v>150</v>
      </c>
      <c r="Y67" s="234">
        <f>IF(Scenario!$H$3="W",Scenario!U84,IF(Scenario!$H$3="M",Scenario!U85,Scenario!U86))</f>
        <v>150</v>
      </c>
      <c r="Z67" s="171"/>
      <c r="AA67" s="172" t="s">
        <v>1017</v>
      </c>
    </row>
    <row r="68" spans="1:27" x14ac:dyDescent="0.25">
      <c r="A68" s="14"/>
      <c r="B68" s="173"/>
      <c r="C68" s="173"/>
      <c r="D68" s="170" t="s">
        <v>417</v>
      </c>
      <c r="E68" s="170"/>
      <c r="F68" s="205">
        <f>F65-F67</f>
        <v>304.36</v>
      </c>
      <c r="G68" s="205">
        <f t="shared" ref="G68:Y68" si="24">G65-G67</f>
        <v>209.50999999999996</v>
      </c>
      <c r="H68" s="205">
        <f t="shared" si="24"/>
        <v>128.63749999999996</v>
      </c>
      <c r="I68" s="205">
        <f t="shared" si="24"/>
        <v>36.755381249999999</v>
      </c>
      <c r="J68" s="205">
        <f t="shared" si="24"/>
        <v>0</v>
      </c>
      <c r="K68" s="205">
        <f t="shared" si="24"/>
        <v>0</v>
      </c>
      <c r="L68" s="205">
        <f t="shared" si="24"/>
        <v>0</v>
      </c>
      <c r="M68" s="205">
        <f t="shared" si="24"/>
        <v>0</v>
      </c>
      <c r="N68" s="205">
        <f t="shared" si="24"/>
        <v>0</v>
      </c>
      <c r="O68" s="205">
        <f t="shared" si="24"/>
        <v>0</v>
      </c>
      <c r="P68" s="205">
        <f t="shared" si="24"/>
        <v>0</v>
      </c>
      <c r="Q68" s="205">
        <f t="shared" si="24"/>
        <v>0</v>
      </c>
      <c r="R68" s="205">
        <f t="shared" si="24"/>
        <v>0</v>
      </c>
      <c r="S68" s="205">
        <f t="shared" si="24"/>
        <v>0</v>
      </c>
      <c r="T68" s="205">
        <f t="shared" si="24"/>
        <v>0</v>
      </c>
      <c r="U68" s="205">
        <f t="shared" si="24"/>
        <v>0</v>
      </c>
      <c r="V68" s="205">
        <f t="shared" si="24"/>
        <v>0</v>
      </c>
      <c r="W68" s="205">
        <f t="shared" si="24"/>
        <v>0</v>
      </c>
      <c r="X68" s="205">
        <f t="shared" si="24"/>
        <v>0</v>
      </c>
      <c r="Y68" s="205">
        <f t="shared" si="24"/>
        <v>0</v>
      </c>
      <c r="Z68" s="171"/>
      <c r="AA68" s="172" t="s">
        <v>1018</v>
      </c>
    </row>
    <row r="69" spans="1:27" x14ac:dyDescent="0.25">
      <c r="A69" s="14"/>
      <c r="B69" s="173"/>
      <c r="C69" s="173"/>
      <c r="D69" s="170" t="s">
        <v>213</v>
      </c>
      <c r="E69" s="170"/>
      <c r="F69" s="11">
        <v>3</v>
      </c>
      <c r="G69" s="171"/>
      <c r="H69" s="171"/>
      <c r="I69" s="593">
        <v>1</v>
      </c>
      <c r="J69" s="564" t="s">
        <v>1083</v>
      </c>
      <c r="K69" s="565"/>
      <c r="L69" s="565"/>
      <c r="M69" s="565"/>
      <c r="N69" s="566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2" t="s">
        <v>871</v>
      </c>
    </row>
    <row r="70" spans="1:27" x14ac:dyDescent="0.25">
      <c r="A70" s="14"/>
      <c r="B70" s="173"/>
      <c r="C70" s="173"/>
      <c r="D70" s="170"/>
      <c r="E70" s="170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2"/>
    </row>
    <row r="71" spans="1:27" x14ac:dyDescent="0.25">
      <c r="A71" s="14"/>
      <c r="B71" s="173"/>
      <c r="C71" s="173"/>
      <c r="D71" s="170" t="s">
        <v>110</v>
      </c>
      <c r="E71" s="170"/>
      <c r="F71" s="238">
        <v>1</v>
      </c>
      <c r="G71" s="238">
        <f>F71</f>
        <v>1</v>
      </c>
      <c r="H71" s="238">
        <f t="shared" ref="H71:Y71" si="25">G71</f>
        <v>1</v>
      </c>
      <c r="I71" s="238">
        <f t="shared" si="25"/>
        <v>1</v>
      </c>
      <c r="J71" s="238">
        <f t="shared" si="25"/>
        <v>1</v>
      </c>
      <c r="K71" s="238">
        <f t="shared" si="25"/>
        <v>1</v>
      </c>
      <c r="L71" s="238">
        <f t="shared" si="25"/>
        <v>1</v>
      </c>
      <c r="M71" s="238">
        <f t="shared" si="25"/>
        <v>1</v>
      </c>
      <c r="N71" s="238">
        <f t="shared" si="25"/>
        <v>1</v>
      </c>
      <c r="O71" s="238">
        <f t="shared" si="25"/>
        <v>1</v>
      </c>
      <c r="P71" s="238">
        <f t="shared" si="25"/>
        <v>1</v>
      </c>
      <c r="Q71" s="238">
        <f t="shared" si="25"/>
        <v>1</v>
      </c>
      <c r="R71" s="238">
        <f t="shared" si="25"/>
        <v>1</v>
      </c>
      <c r="S71" s="238">
        <f t="shared" si="25"/>
        <v>1</v>
      </c>
      <c r="T71" s="238">
        <f t="shared" si="25"/>
        <v>1</v>
      </c>
      <c r="U71" s="238">
        <f t="shared" si="25"/>
        <v>1</v>
      </c>
      <c r="V71" s="238">
        <f t="shared" si="25"/>
        <v>1</v>
      </c>
      <c r="W71" s="238">
        <f t="shared" si="25"/>
        <v>1</v>
      </c>
      <c r="X71" s="238">
        <f t="shared" si="25"/>
        <v>1</v>
      </c>
      <c r="Y71" s="238">
        <f t="shared" si="25"/>
        <v>1</v>
      </c>
      <c r="Z71" s="171"/>
      <c r="AA71" s="172" t="s">
        <v>836</v>
      </c>
    </row>
    <row r="72" spans="1:27" x14ac:dyDescent="0.25">
      <c r="A72" s="14"/>
      <c r="B72" s="173"/>
      <c r="C72" s="173"/>
      <c r="D72" s="170" t="s">
        <v>111</v>
      </c>
      <c r="E72" s="170"/>
      <c r="F72" s="205">
        <f t="shared" ref="F72:Y72" si="26">F71*F28</f>
        <v>9679.8918346216069</v>
      </c>
      <c r="G72" s="205">
        <f t="shared" si="26"/>
        <v>44842.917049465184</v>
      </c>
      <c r="H72" s="205">
        <f t="shared" si="26"/>
        <v>162753.03567903742</v>
      </c>
      <c r="I72" s="205">
        <f t="shared" si="26"/>
        <v>527157.45529150765</v>
      </c>
      <c r="J72" s="205">
        <f t="shared" si="26"/>
        <v>1031810.3824692816</v>
      </c>
      <c r="K72" s="205">
        <f t="shared" si="26"/>
        <v>1641073.8851990085</v>
      </c>
      <c r="L72" s="205">
        <f t="shared" si="26"/>
        <v>2400998.0565802758</v>
      </c>
      <c r="M72" s="205">
        <f t="shared" si="26"/>
        <v>3190622.9249297455</v>
      </c>
      <c r="N72" s="205">
        <f t="shared" si="26"/>
        <v>4001011.861038697</v>
      </c>
      <c r="O72" s="205">
        <f t="shared" si="26"/>
        <v>4831291.1584845111</v>
      </c>
      <c r="P72" s="205">
        <f t="shared" si="26"/>
        <v>5364969.5117721474</v>
      </c>
      <c r="Q72" s="205">
        <f t="shared" si="26"/>
        <v>5998221.9978256002</v>
      </c>
      <c r="R72" s="205">
        <f t="shared" si="26"/>
        <v>6602547.2276779683</v>
      </c>
      <c r="S72" s="205">
        <f t="shared" si="26"/>
        <v>7247440.9611745151</v>
      </c>
      <c r="T72" s="205">
        <f t="shared" si="26"/>
        <v>7842598.0657263361</v>
      </c>
      <c r="U72" s="205">
        <f t="shared" si="26"/>
        <v>8375473.9944316531</v>
      </c>
      <c r="V72" s="205">
        <f t="shared" si="26"/>
        <v>8932090.9672121629</v>
      </c>
      <c r="W72" s="205">
        <f t="shared" si="26"/>
        <v>9715408.4563397542</v>
      </c>
      <c r="X72" s="205">
        <f t="shared" si="26"/>
        <v>10540932.898125341</v>
      </c>
      <c r="Y72" s="205">
        <f t="shared" si="26"/>
        <v>11410732.42162074</v>
      </c>
      <c r="Z72" s="171"/>
      <c r="AA72" s="172"/>
    </row>
    <row r="73" spans="1:27" x14ac:dyDescent="0.25">
      <c r="A73" s="14"/>
      <c r="B73" s="173"/>
      <c r="C73" s="173"/>
      <c r="D73" s="170" t="s">
        <v>214</v>
      </c>
      <c r="E73" s="170"/>
      <c r="F73" s="205">
        <f>F72</f>
        <v>9679.8918346216069</v>
      </c>
      <c r="G73" s="205">
        <f>G72-F73</f>
        <v>35163.025214843576</v>
      </c>
      <c r="H73" s="205">
        <f>H72-SUM(F73:G73)</f>
        <v>117910.11862957224</v>
      </c>
      <c r="I73" s="205">
        <f t="shared" ref="I73:O73" si="27">I72-SUM(G73:H73)</f>
        <v>374084.31144709187</v>
      </c>
      <c r="J73" s="205">
        <f t="shared" si="27"/>
        <v>539815.95239261747</v>
      </c>
      <c r="K73" s="205">
        <f t="shared" si="27"/>
        <v>727173.62135929917</v>
      </c>
      <c r="L73" s="205">
        <f t="shared" si="27"/>
        <v>1134008.4828283591</v>
      </c>
      <c r="M73" s="205">
        <f t="shared" si="27"/>
        <v>1329440.8207420872</v>
      </c>
      <c r="N73" s="205">
        <f t="shared" si="27"/>
        <v>1537562.5574682504</v>
      </c>
      <c r="O73" s="205">
        <f t="shared" si="27"/>
        <v>1964287.7802741732</v>
      </c>
      <c r="P73" s="205">
        <f t="shared" ref="P73:Y73" si="28">P72-SUM(N73:O73)</f>
        <v>1863119.1740297237</v>
      </c>
      <c r="Q73" s="205">
        <f t="shared" si="28"/>
        <v>2170815.0435217032</v>
      </c>
      <c r="R73" s="205">
        <f t="shared" si="28"/>
        <v>2568613.0101265414</v>
      </c>
      <c r="S73" s="205">
        <f t="shared" si="28"/>
        <v>2508012.9075262705</v>
      </c>
      <c r="T73" s="205">
        <f t="shared" si="28"/>
        <v>2765972.1480735242</v>
      </c>
      <c r="U73" s="205">
        <f t="shared" si="28"/>
        <v>3101488.9388318583</v>
      </c>
      <c r="V73" s="205">
        <f t="shared" si="28"/>
        <v>3064629.8803067803</v>
      </c>
      <c r="W73" s="205">
        <f t="shared" si="28"/>
        <v>3549289.6372011155</v>
      </c>
      <c r="X73" s="205">
        <f t="shared" si="28"/>
        <v>3927013.3806174453</v>
      </c>
      <c r="Y73" s="205">
        <f t="shared" si="28"/>
        <v>3934429.4038021788</v>
      </c>
      <c r="Z73" s="171"/>
      <c r="AA73" s="172"/>
    </row>
    <row r="74" spans="1:27" x14ac:dyDescent="0.25">
      <c r="A74" s="14"/>
      <c r="B74" s="173"/>
      <c r="C74" s="173"/>
      <c r="D74" s="170"/>
      <c r="E74" s="170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71"/>
      <c r="AA74" s="172"/>
    </row>
    <row r="75" spans="1:27" x14ac:dyDescent="0.25">
      <c r="A75" s="14"/>
      <c r="B75" s="173"/>
      <c r="C75" s="173"/>
      <c r="D75" s="170" t="s">
        <v>5</v>
      </c>
      <c r="E75" s="170"/>
      <c r="F75" s="239">
        <v>15</v>
      </c>
      <c r="G75" s="239">
        <v>15</v>
      </c>
      <c r="H75" s="239">
        <v>15</v>
      </c>
      <c r="I75" s="239">
        <v>15</v>
      </c>
      <c r="J75" s="239">
        <v>15</v>
      </c>
      <c r="K75" s="239">
        <v>15</v>
      </c>
      <c r="L75" s="239">
        <v>15</v>
      </c>
      <c r="M75" s="239">
        <v>15</v>
      </c>
      <c r="N75" s="239">
        <v>15</v>
      </c>
      <c r="O75" s="239">
        <v>15</v>
      </c>
      <c r="P75" s="239">
        <v>15</v>
      </c>
      <c r="Q75" s="239">
        <v>15</v>
      </c>
      <c r="R75" s="239">
        <v>15</v>
      </c>
      <c r="S75" s="239">
        <v>15</v>
      </c>
      <c r="T75" s="239">
        <v>15</v>
      </c>
      <c r="U75" s="239">
        <v>15</v>
      </c>
      <c r="V75" s="239">
        <v>15</v>
      </c>
      <c r="W75" s="239">
        <v>15</v>
      </c>
      <c r="X75" s="239">
        <v>15</v>
      </c>
      <c r="Y75" s="239">
        <v>15</v>
      </c>
      <c r="Z75" s="219"/>
      <c r="AA75" s="172" t="s">
        <v>1000</v>
      </c>
    </row>
    <row r="76" spans="1:27" x14ac:dyDescent="0.25">
      <c r="A76" s="14"/>
      <c r="B76" s="173"/>
      <c r="C76" s="173"/>
      <c r="D76" s="170" t="s">
        <v>6</v>
      </c>
      <c r="E76" s="170"/>
      <c r="F76" s="239">
        <v>50</v>
      </c>
      <c r="G76" s="239">
        <v>50</v>
      </c>
      <c r="H76" s="239">
        <v>50</v>
      </c>
      <c r="I76" s="239">
        <v>50</v>
      </c>
      <c r="J76" s="239">
        <v>50</v>
      </c>
      <c r="K76" s="239">
        <v>50</v>
      </c>
      <c r="L76" s="239">
        <v>50</v>
      </c>
      <c r="M76" s="239">
        <v>50</v>
      </c>
      <c r="N76" s="239">
        <v>50</v>
      </c>
      <c r="O76" s="239">
        <v>50</v>
      </c>
      <c r="P76" s="239">
        <v>50</v>
      </c>
      <c r="Q76" s="239">
        <v>50</v>
      </c>
      <c r="R76" s="239">
        <v>50</v>
      </c>
      <c r="S76" s="239">
        <v>50</v>
      </c>
      <c r="T76" s="239">
        <v>50</v>
      </c>
      <c r="U76" s="239">
        <v>50</v>
      </c>
      <c r="V76" s="239">
        <v>50</v>
      </c>
      <c r="W76" s="239">
        <v>50</v>
      </c>
      <c r="X76" s="239">
        <v>50</v>
      </c>
      <c r="Y76" s="239">
        <v>50</v>
      </c>
      <c r="Z76" s="171"/>
      <c r="AA76" s="172" t="s">
        <v>1000</v>
      </c>
    </row>
    <row r="77" spans="1:27" x14ac:dyDescent="0.25">
      <c r="A77" s="14"/>
      <c r="B77" s="173"/>
      <c r="C77" s="173"/>
      <c r="D77" s="170" t="s">
        <v>66</v>
      </c>
      <c r="E77" s="170"/>
      <c r="F77" s="240">
        <f t="shared" ref="F77:Y77" si="29">(F75/F49)*F50*F76</f>
        <v>8.23974609375</v>
      </c>
      <c r="G77" s="240">
        <f t="shared" si="29"/>
        <v>6.04248046875</v>
      </c>
      <c r="H77" s="240">
        <f t="shared" si="29"/>
        <v>6.04248046875</v>
      </c>
      <c r="I77" s="240">
        <f t="shared" si="29"/>
        <v>6.04248046875</v>
      </c>
      <c r="J77" s="240">
        <f t="shared" si="29"/>
        <v>6.04248046875</v>
      </c>
      <c r="K77" s="240">
        <f t="shared" si="29"/>
        <v>6.04248046875</v>
      </c>
      <c r="L77" s="240">
        <f t="shared" si="29"/>
        <v>6.04248046875</v>
      </c>
      <c r="M77" s="240">
        <f t="shared" si="29"/>
        <v>6.04248046875</v>
      </c>
      <c r="N77" s="240">
        <f t="shared" si="29"/>
        <v>6.04248046875</v>
      </c>
      <c r="O77" s="240">
        <f t="shared" si="29"/>
        <v>6.04248046875</v>
      </c>
      <c r="P77" s="240">
        <f t="shared" si="29"/>
        <v>6.04248046875</v>
      </c>
      <c r="Q77" s="240">
        <f t="shared" si="29"/>
        <v>6.04248046875</v>
      </c>
      <c r="R77" s="240">
        <f t="shared" si="29"/>
        <v>6.04248046875</v>
      </c>
      <c r="S77" s="240">
        <f t="shared" si="29"/>
        <v>6.04248046875</v>
      </c>
      <c r="T77" s="240">
        <f t="shared" si="29"/>
        <v>6.04248046875</v>
      </c>
      <c r="U77" s="240">
        <f t="shared" si="29"/>
        <v>6.04248046875</v>
      </c>
      <c r="V77" s="240">
        <f t="shared" si="29"/>
        <v>6.04248046875</v>
      </c>
      <c r="W77" s="240">
        <f t="shared" si="29"/>
        <v>6.04248046875</v>
      </c>
      <c r="X77" s="240">
        <f t="shared" si="29"/>
        <v>6.04248046875</v>
      </c>
      <c r="Y77" s="240">
        <f t="shared" si="29"/>
        <v>6.04248046875</v>
      </c>
      <c r="Z77" s="219"/>
      <c r="AA77" s="172"/>
    </row>
    <row r="78" spans="1:27" x14ac:dyDescent="0.25">
      <c r="A78" s="14"/>
      <c r="B78" s="173"/>
      <c r="C78" s="173"/>
      <c r="D78" s="170"/>
      <c r="E78" s="170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19"/>
      <c r="AA78" s="172"/>
    </row>
    <row r="79" spans="1:27" x14ac:dyDescent="0.25">
      <c r="A79" s="14"/>
      <c r="B79" s="173"/>
      <c r="C79" s="173"/>
      <c r="D79" s="170" t="s">
        <v>15</v>
      </c>
      <c r="E79" s="170"/>
      <c r="F79" s="239">
        <v>30</v>
      </c>
      <c r="G79" s="239">
        <f>F79</f>
        <v>30</v>
      </c>
      <c r="H79" s="239">
        <f t="shared" ref="H79:Y79" si="30">G79</f>
        <v>30</v>
      </c>
      <c r="I79" s="239">
        <f t="shared" si="30"/>
        <v>30</v>
      </c>
      <c r="J79" s="239">
        <f t="shared" si="30"/>
        <v>30</v>
      </c>
      <c r="K79" s="239">
        <f t="shared" si="30"/>
        <v>30</v>
      </c>
      <c r="L79" s="239">
        <f t="shared" si="30"/>
        <v>30</v>
      </c>
      <c r="M79" s="239">
        <f t="shared" si="30"/>
        <v>30</v>
      </c>
      <c r="N79" s="239">
        <f t="shared" si="30"/>
        <v>30</v>
      </c>
      <c r="O79" s="239">
        <f t="shared" si="30"/>
        <v>30</v>
      </c>
      <c r="P79" s="239">
        <f t="shared" si="30"/>
        <v>30</v>
      </c>
      <c r="Q79" s="239">
        <f t="shared" si="30"/>
        <v>30</v>
      </c>
      <c r="R79" s="239">
        <f t="shared" si="30"/>
        <v>30</v>
      </c>
      <c r="S79" s="239">
        <f t="shared" si="30"/>
        <v>30</v>
      </c>
      <c r="T79" s="239">
        <f t="shared" si="30"/>
        <v>30</v>
      </c>
      <c r="U79" s="239">
        <f t="shared" si="30"/>
        <v>30</v>
      </c>
      <c r="V79" s="239">
        <f t="shared" si="30"/>
        <v>30</v>
      </c>
      <c r="W79" s="239">
        <f t="shared" si="30"/>
        <v>30</v>
      </c>
      <c r="X79" s="239">
        <f t="shared" si="30"/>
        <v>30</v>
      </c>
      <c r="Y79" s="239">
        <f t="shared" si="30"/>
        <v>30</v>
      </c>
      <c r="Z79" s="182"/>
      <c r="AA79" s="172" t="s">
        <v>1019</v>
      </c>
    </row>
    <row r="80" spans="1:27" x14ac:dyDescent="0.25">
      <c r="A80" s="14"/>
      <c r="B80" s="173"/>
      <c r="C80" s="173"/>
      <c r="D80" s="170" t="s">
        <v>67</v>
      </c>
      <c r="E80" s="170"/>
      <c r="F80" s="242">
        <f>MAX(0,F77-F79)</f>
        <v>0</v>
      </c>
      <c r="G80" s="242">
        <f t="shared" ref="G80:O80" si="31">MAX(0,G77-G79)</f>
        <v>0</v>
      </c>
      <c r="H80" s="242">
        <f t="shared" si="31"/>
        <v>0</v>
      </c>
      <c r="I80" s="242">
        <f t="shared" si="31"/>
        <v>0</v>
      </c>
      <c r="J80" s="242">
        <f t="shared" si="31"/>
        <v>0</v>
      </c>
      <c r="K80" s="242">
        <f t="shared" si="31"/>
        <v>0</v>
      </c>
      <c r="L80" s="242">
        <f t="shared" si="31"/>
        <v>0</v>
      </c>
      <c r="M80" s="242">
        <f t="shared" si="31"/>
        <v>0</v>
      </c>
      <c r="N80" s="242">
        <f t="shared" si="31"/>
        <v>0</v>
      </c>
      <c r="O80" s="242">
        <f t="shared" si="31"/>
        <v>0</v>
      </c>
      <c r="P80" s="242">
        <f t="shared" ref="P80:Y80" si="32">MAX(0,P77-P79)</f>
        <v>0</v>
      </c>
      <c r="Q80" s="242">
        <f t="shared" si="32"/>
        <v>0</v>
      </c>
      <c r="R80" s="242">
        <f t="shared" si="32"/>
        <v>0</v>
      </c>
      <c r="S80" s="242">
        <f t="shared" si="32"/>
        <v>0</v>
      </c>
      <c r="T80" s="242">
        <f t="shared" si="32"/>
        <v>0</v>
      </c>
      <c r="U80" s="242">
        <f t="shared" si="32"/>
        <v>0</v>
      </c>
      <c r="V80" s="242">
        <f t="shared" si="32"/>
        <v>0</v>
      </c>
      <c r="W80" s="242">
        <f t="shared" si="32"/>
        <v>0</v>
      </c>
      <c r="X80" s="242">
        <f t="shared" si="32"/>
        <v>0</v>
      </c>
      <c r="Y80" s="242">
        <f t="shared" si="32"/>
        <v>0</v>
      </c>
      <c r="Z80" s="182"/>
      <c r="AA80" s="172"/>
    </row>
    <row r="81" spans="1:27" x14ac:dyDescent="0.25">
      <c r="A81" s="14"/>
      <c r="B81" s="173"/>
      <c r="C81" s="173"/>
      <c r="D81" s="170" t="s">
        <v>68</v>
      </c>
      <c r="E81" s="170"/>
      <c r="F81" s="239">
        <v>50</v>
      </c>
      <c r="G81" s="241">
        <f>F81*(1+G82)</f>
        <v>45</v>
      </c>
      <c r="H81" s="241">
        <f t="shared" ref="H81:O81" si="33">G81*(1+H82)</f>
        <v>40.5</v>
      </c>
      <c r="I81" s="241">
        <f t="shared" si="33"/>
        <v>36.450000000000003</v>
      </c>
      <c r="J81" s="241">
        <f t="shared" si="33"/>
        <v>32.805000000000007</v>
      </c>
      <c r="K81" s="241">
        <f t="shared" si="33"/>
        <v>29.524500000000007</v>
      </c>
      <c r="L81" s="241">
        <f t="shared" si="33"/>
        <v>26.572050000000008</v>
      </c>
      <c r="M81" s="241">
        <f t="shared" si="33"/>
        <v>23.914845000000007</v>
      </c>
      <c r="N81" s="241">
        <f t="shared" si="33"/>
        <v>21.523360500000006</v>
      </c>
      <c r="O81" s="241">
        <f t="shared" si="33"/>
        <v>19.371024450000007</v>
      </c>
      <c r="P81" s="241">
        <f t="shared" ref="P81:Y81" si="34">O81*(1+P82)</f>
        <v>17.433922005000007</v>
      </c>
      <c r="Q81" s="241">
        <f t="shared" si="34"/>
        <v>15.690529804500006</v>
      </c>
      <c r="R81" s="241">
        <f t="shared" si="34"/>
        <v>14.121476824050006</v>
      </c>
      <c r="S81" s="241">
        <f t="shared" si="34"/>
        <v>12.709329141645005</v>
      </c>
      <c r="T81" s="241">
        <f t="shared" si="34"/>
        <v>11.438396227480505</v>
      </c>
      <c r="U81" s="241">
        <f t="shared" si="34"/>
        <v>10.294556604732454</v>
      </c>
      <c r="V81" s="241">
        <f t="shared" si="34"/>
        <v>9.2651009442592098</v>
      </c>
      <c r="W81" s="241">
        <f t="shared" si="34"/>
        <v>8.3385908498332899</v>
      </c>
      <c r="X81" s="241">
        <f t="shared" si="34"/>
        <v>7.5047317648499607</v>
      </c>
      <c r="Y81" s="241">
        <f t="shared" si="34"/>
        <v>6.7542585883649648</v>
      </c>
      <c r="Z81" s="182"/>
      <c r="AA81" s="172" t="s">
        <v>871</v>
      </c>
    </row>
    <row r="82" spans="1:27" x14ac:dyDescent="0.25">
      <c r="A82" s="14"/>
      <c r="B82" s="173"/>
      <c r="C82" s="173"/>
      <c r="D82" s="170" t="s">
        <v>102</v>
      </c>
      <c r="E82" s="170"/>
      <c r="F82" s="243"/>
      <c r="G82" s="220">
        <v>-0.1</v>
      </c>
      <c r="H82" s="220">
        <v>-0.1</v>
      </c>
      <c r="I82" s="220">
        <v>-0.1</v>
      </c>
      <c r="J82" s="220">
        <v>-0.1</v>
      </c>
      <c r="K82" s="220">
        <v>-0.1</v>
      </c>
      <c r="L82" s="220">
        <v>-0.1</v>
      </c>
      <c r="M82" s="220">
        <v>-0.1</v>
      </c>
      <c r="N82" s="220">
        <v>-0.1</v>
      </c>
      <c r="O82" s="220">
        <v>-0.1</v>
      </c>
      <c r="P82" s="220">
        <v>-0.1</v>
      </c>
      <c r="Q82" s="220">
        <v>-0.1</v>
      </c>
      <c r="R82" s="220">
        <v>-0.1</v>
      </c>
      <c r="S82" s="220">
        <v>-0.1</v>
      </c>
      <c r="T82" s="220">
        <v>-0.1</v>
      </c>
      <c r="U82" s="220">
        <v>-0.1</v>
      </c>
      <c r="V82" s="220">
        <v>-0.1</v>
      </c>
      <c r="W82" s="220">
        <v>-0.1</v>
      </c>
      <c r="X82" s="220">
        <v>-0.1</v>
      </c>
      <c r="Y82" s="220">
        <v>-0.1</v>
      </c>
      <c r="Z82" s="182"/>
      <c r="AA82" s="172"/>
    </row>
    <row r="83" spans="1:27" x14ac:dyDescent="0.25">
      <c r="A83" s="14"/>
      <c r="B83" s="173"/>
      <c r="C83" s="173"/>
      <c r="D83" s="170"/>
      <c r="E83" s="170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72"/>
    </row>
    <row r="84" spans="1:27" ht="13.8" thickBot="1" x14ac:dyDescent="0.3">
      <c r="A84" s="31"/>
      <c r="B84" s="209"/>
      <c r="C84" s="209"/>
      <c r="D84" s="223"/>
      <c r="E84" s="223"/>
      <c r="F84" s="223"/>
      <c r="G84" s="223"/>
      <c r="H84" s="223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11"/>
      <c r="AA84" s="212"/>
    </row>
    <row r="85" spans="1:27" x14ac:dyDescent="0.25">
      <c r="A85" s="213"/>
      <c r="B85" s="163"/>
      <c r="C85" s="163"/>
      <c r="D85" s="164"/>
      <c r="E85" s="164"/>
      <c r="F85" s="164"/>
      <c r="G85" s="164"/>
      <c r="H85" s="164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6"/>
      <c r="AA85" s="167"/>
    </row>
    <row r="86" spans="1:27" x14ac:dyDescent="0.25">
      <c r="A86" s="14"/>
      <c r="B86" s="169" t="s">
        <v>73</v>
      </c>
      <c r="C86" s="173"/>
      <c r="D86" s="170"/>
      <c r="E86" s="170"/>
      <c r="F86" s="170"/>
      <c r="G86" s="170"/>
      <c r="H86" s="170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71"/>
      <c r="AA86" s="172"/>
    </row>
    <row r="87" spans="1:27" x14ac:dyDescent="0.25">
      <c r="A87" s="14"/>
      <c r="B87" s="173"/>
      <c r="C87" s="173"/>
      <c r="D87" s="170"/>
      <c r="E87" s="170"/>
      <c r="F87" s="170"/>
      <c r="G87" s="170"/>
      <c r="H87" s="170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71"/>
      <c r="AA87" s="172"/>
    </row>
    <row r="88" spans="1:27" x14ac:dyDescent="0.25">
      <c r="A88" s="14"/>
      <c r="B88" s="173"/>
      <c r="C88" s="173"/>
      <c r="D88" s="170" t="s">
        <v>159</v>
      </c>
      <c r="E88" s="170"/>
      <c r="F88" s="244">
        <v>4.99</v>
      </c>
      <c r="G88" s="244">
        <v>4.99</v>
      </c>
      <c r="H88" s="244">
        <v>4.99</v>
      </c>
      <c r="I88" s="244">
        <v>4.99</v>
      </c>
      <c r="J88" s="244">
        <v>4.99</v>
      </c>
      <c r="K88" s="244">
        <v>4.99</v>
      </c>
      <c r="L88" s="244">
        <v>4.99</v>
      </c>
      <c r="M88" s="244">
        <v>4.99</v>
      </c>
      <c r="N88" s="244">
        <v>4.99</v>
      </c>
      <c r="O88" s="244">
        <v>4.99</v>
      </c>
      <c r="P88" s="244">
        <v>4.99</v>
      </c>
      <c r="Q88" s="244">
        <v>4.99</v>
      </c>
      <c r="R88" s="244">
        <v>4.99</v>
      </c>
      <c r="S88" s="244">
        <v>4.99</v>
      </c>
      <c r="T88" s="244">
        <v>4.99</v>
      </c>
      <c r="U88" s="244">
        <v>4.99</v>
      </c>
      <c r="V88" s="244">
        <v>4.99</v>
      </c>
      <c r="W88" s="244">
        <v>4.99</v>
      </c>
      <c r="X88" s="244">
        <v>4.99</v>
      </c>
      <c r="Y88" s="244">
        <v>4.99</v>
      </c>
      <c r="Z88" s="245"/>
      <c r="AA88" s="172" t="s">
        <v>1020</v>
      </c>
    </row>
    <row r="89" spans="1:27" x14ac:dyDescent="0.25">
      <c r="A89" s="14"/>
      <c r="B89" s="173"/>
      <c r="C89" s="173"/>
      <c r="D89" s="170"/>
      <c r="E89" s="170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5"/>
      <c r="AA89" s="172"/>
    </row>
    <row r="90" spans="1:27" x14ac:dyDescent="0.25">
      <c r="A90" s="14"/>
      <c r="B90" s="173"/>
      <c r="C90" s="173"/>
      <c r="D90" s="170" t="s">
        <v>281</v>
      </c>
      <c r="E90" s="170"/>
      <c r="F90" s="220">
        <v>0.5</v>
      </c>
      <c r="G90" s="220">
        <v>0.5</v>
      </c>
      <c r="H90" s="220">
        <v>0.5</v>
      </c>
      <c r="I90" s="220">
        <v>0.5</v>
      </c>
      <c r="J90" s="220">
        <v>0.5</v>
      </c>
      <c r="K90" s="220">
        <v>0.5</v>
      </c>
      <c r="L90" s="220">
        <v>0.5</v>
      </c>
      <c r="M90" s="220">
        <v>0.5</v>
      </c>
      <c r="N90" s="220">
        <v>0.5</v>
      </c>
      <c r="O90" s="220">
        <v>0.5</v>
      </c>
      <c r="P90" s="220">
        <v>0.5</v>
      </c>
      <c r="Q90" s="220">
        <v>0.5</v>
      </c>
      <c r="R90" s="220">
        <v>0.5</v>
      </c>
      <c r="S90" s="220">
        <v>0.5</v>
      </c>
      <c r="T90" s="220">
        <v>0.5</v>
      </c>
      <c r="U90" s="220">
        <v>0.5</v>
      </c>
      <c r="V90" s="220">
        <v>0.5</v>
      </c>
      <c r="W90" s="220">
        <v>0.5</v>
      </c>
      <c r="X90" s="220">
        <v>0.5</v>
      </c>
      <c r="Y90" s="220">
        <v>0.5</v>
      </c>
      <c r="Z90" s="245"/>
      <c r="AA90" s="172" t="s">
        <v>1001</v>
      </c>
    </row>
    <row r="91" spans="1:27" x14ac:dyDescent="0.25">
      <c r="A91" s="14"/>
      <c r="B91" s="173"/>
      <c r="C91" s="173"/>
      <c r="D91" s="170"/>
      <c r="E91" s="170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5"/>
      <c r="AA91" s="172"/>
    </row>
    <row r="92" spans="1:27" x14ac:dyDescent="0.25">
      <c r="A92" s="14"/>
      <c r="B92" s="173"/>
      <c r="C92" s="173"/>
      <c r="D92" s="170" t="s">
        <v>282</v>
      </c>
      <c r="E92" s="170"/>
      <c r="F92" s="246">
        <f>F88*F90</f>
        <v>2.4950000000000001</v>
      </c>
      <c r="G92" s="246">
        <f t="shared" ref="G92:O92" si="35">G88*G90</f>
        <v>2.4950000000000001</v>
      </c>
      <c r="H92" s="246">
        <f t="shared" si="35"/>
        <v>2.4950000000000001</v>
      </c>
      <c r="I92" s="246">
        <f t="shared" si="35"/>
        <v>2.4950000000000001</v>
      </c>
      <c r="J92" s="246">
        <f t="shared" si="35"/>
        <v>2.4950000000000001</v>
      </c>
      <c r="K92" s="246">
        <f t="shared" si="35"/>
        <v>2.4950000000000001</v>
      </c>
      <c r="L92" s="246">
        <f t="shared" si="35"/>
        <v>2.4950000000000001</v>
      </c>
      <c r="M92" s="246">
        <f t="shared" si="35"/>
        <v>2.4950000000000001</v>
      </c>
      <c r="N92" s="246">
        <f t="shared" si="35"/>
        <v>2.4950000000000001</v>
      </c>
      <c r="O92" s="246">
        <f t="shared" si="35"/>
        <v>2.4950000000000001</v>
      </c>
      <c r="P92" s="246">
        <f t="shared" ref="P92:Y92" si="36">P88*P90</f>
        <v>2.4950000000000001</v>
      </c>
      <c r="Q92" s="246">
        <f t="shared" si="36"/>
        <v>2.4950000000000001</v>
      </c>
      <c r="R92" s="246">
        <f t="shared" si="36"/>
        <v>2.4950000000000001</v>
      </c>
      <c r="S92" s="246">
        <f t="shared" si="36"/>
        <v>2.4950000000000001</v>
      </c>
      <c r="T92" s="246">
        <f t="shared" si="36"/>
        <v>2.4950000000000001</v>
      </c>
      <c r="U92" s="246">
        <f t="shared" si="36"/>
        <v>2.4950000000000001</v>
      </c>
      <c r="V92" s="246">
        <f t="shared" si="36"/>
        <v>2.4950000000000001</v>
      </c>
      <c r="W92" s="246">
        <f t="shared" si="36"/>
        <v>2.4950000000000001</v>
      </c>
      <c r="X92" s="246">
        <f t="shared" si="36"/>
        <v>2.4950000000000001</v>
      </c>
      <c r="Y92" s="246">
        <f t="shared" si="36"/>
        <v>2.4950000000000001</v>
      </c>
      <c r="Z92" s="245"/>
      <c r="AA92" s="172" t="s">
        <v>1021</v>
      </c>
    </row>
    <row r="93" spans="1:27" x14ac:dyDescent="0.25">
      <c r="A93" s="14"/>
      <c r="B93" s="173"/>
      <c r="C93" s="173"/>
      <c r="D93" s="170"/>
      <c r="E93" s="170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5"/>
      <c r="AA93" s="172"/>
    </row>
    <row r="94" spans="1:27" x14ac:dyDescent="0.25">
      <c r="A94" s="14"/>
      <c r="B94" s="173"/>
      <c r="C94" s="173"/>
      <c r="D94" s="170"/>
      <c r="E94" s="170"/>
      <c r="F94" s="247">
        <v>2.5</v>
      </c>
      <c r="G94" s="248" t="s">
        <v>904</v>
      </c>
      <c r="H94" s="13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5"/>
      <c r="AA94" s="172" t="s">
        <v>1022</v>
      </c>
    </row>
    <row r="95" spans="1:27" x14ac:dyDescent="0.25">
      <c r="A95" s="14"/>
      <c r="B95" s="173"/>
      <c r="C95" s="173"/>
      <c r="D95" s="170" t="s">
        <v>74</v>
      </c>
      <c r="E95" s="170"/>
      <c r="F95" s="244">
        <f>F94</f>
        <v>2.5</v>
      </c>
      <c r="G95" s="244">
        <f>F95</f>
        <v>2.5</v>
      </c>
      <c r="H95" s="244">
        <f t="shared" ref="H95:Y95" si="37">G95</f>
        <v>2.5</v>
      </c>
      <c r="I95" s="244">
        <f t="shared" si="37"/>
        <v>2.5</v>
      </c>
      <c r="J95" s="244">
        <f t="shared" si="37"/>
        <v>2.5</v>
      </c>
      <c r="K95" s="244">
        <f t="shared" si="37"/>
        <v>2.5</v>
      </c>
      <c r="L95" s="244">
        <f t="shared" si="37"/>
        <v>2.5</v>
      </c>
      <c r="M95" s="244">
        <f t="shared" si="37"/>
        <v>2.5</v>
      </c>
      <c r="N95" s="244">
        <f t="shared" si="37"/>
        <v>2.5</v>
      </c>
      <c r="O95" s="244">
        <f t="shared" si="37"/>
        <v>2.5</v>
      </c>
      <c r="P95" s="244">
        <f t="shared" si="37"/>
        <v>2.5</v>
      </c>
      <c r="Q95" s="244">
        <f t="shared" si="37"/>
        <v>2.5</v>
      </c>
      <c r="R95" s="244">
        <f t="shared" si="37"/>
        <v>2.5</v>
      </c>
      <c r="S95" s="244">
        <f t="shared" si="37"/>
        <v>2.5</v>
      </c>
      <c r="T95" s="244">
        <f t="shared" si="37"/>
        <v>2.5</v>
      </c>
      <c r="U95" s="244">
        <f t="shared" si="37"/>
        <v>2.5</v>
      </c>
      <c r="V95" s="244">
        <f t="shared" si="37"/>
        <v>2.5</v>
      </c>
      <c r="W95" s="244">
        <f t="shared" si="37"/>
        <v>2.5</v>
      </c>
      <c r="X95" s="244">
        <f t="shared" si="37"/>
        <v>2.5</v>
      </c>
      <c r="Y95" s="244">
        <f t="shared" si="37"/>
        <v>2.5</v>
      </c>
      <c r="Z95" s="245"/>
      <c r="AA95" s="172" t="s">
        <v>1023</v>
      </c>
    </row>
    <row r="96" spans="1:27" s="38" customFormat="1" x14ac:dyDescent="0.25">
      <c r="A96" s="183"/>
      <c r="B96" s="184"/>
      <c r="C96" s="184"/>
      <c r="D96" s="185"/>
      <c r="E96" s="18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186" t="s">
        <v>1024</v>
      </c>
    </row>
    <row r="97" spans="1:27" x14ac:dyDescent="0.25">
      <c r="A97" s="14"/>
      <c r="B97" s="173"/>
      <c r="C97" s="173"/>
      <c r="D97" s="170" t="s">
        <v>80</v>
      </c>
      <c r="E97" s="170"/>
      <c r="F97" s="244">
        <f t="shared" ref="F97:Y97" si="38">IF(OR(F17&lt;1,F17=1),MAX(1,F88*18%),IF(F17&gt;2,MAX(1.4,F88*25%),MAX(1.2,F88*20%)))</f>
        <v>1.2</v>
      </c>
      <c r="G97" s="244">
        <f t="shared" si="38"/>
        <v>1.2</v>
      </c>
      <c r="H97" s="244">
        <f t="shared" si="38"/>
        <v>1.2</v>
      </c>
      <c r="I97" s="244">
        <f t="shared" si="38"/>
        <v>1.2</v>
      </c>
      <c r="J97" s="244">
        <f t="shared" si="38"/>
        <v>1.2</v>
      </c>
      <c r="K97" s="244">
        <f t="shared" si="38"/>
        <v>1.2</v>
      </c>
      <c r="L97" s="244">
        <f t="shared" si="38"/>
        <v>1.2</v>
      </c>
      <c r="M97" s="244">
        <f t="shared" si="38"/>
        <v>1.2</v>
      </c>
      <c r="N97" s="244">
        <f t="shared" si="38"/>
        <v>1.2</v>
      </c>
      <c r="O97" s="244">
        <f t="shared" si="38"/>
        <v>1.2</v>
      </c>
      <c r="P97" s="244">
        <f t="shared" si="38"/>
        <v>1.2</v>
      </c>
      <c r="Q97" s="244">
        <f t="shared" si="38"/>
        <v>1.2</v>
      </c>
      <c r="R97" s="244">
        <f t="shared" si="38"/>
        <v>1.2</v>
      </c>
      <c r="S97" s="244">
        <f t="shared" si="38"/>
        <v>1.2</v>
      </c>
      <c r="T97" s="244">
        <f t="shared" si="38"/>
        <v>1.2</v>
      </c>
      <c r="U97" s="244">
        <f t="shared" si="38"/>
        <v>1.2</v>
      </c>
      <c r="V97" s="244">
        <f t="shared" si="38"/>
        <v>1.2</v>
      </c>
      <c r="W97" s="244">
        <f t="shared" si="38"/>
        <v>1.2</v>
      </c>
      <c r="X97" s="244">
        <f t="shared" si="38"/>
        <v>1.2</v>
      </c>
      <c r="Y97" s="244">
        <f t="shared" si="38"/>
        <v>1.2</v>
      </c>
      <c r="Z97" s="171"/>
      <c r="AA97" s="172" t="s">
        <v>1110</v>
      </c>
    </row>
    <row r="98" spans="1:27" ht="13.8" thickBot="1" x14ac:dyDescent="0.3">
      <c r="A98" s="31"/>
      <c r="B98" s="209"/>
      <c r="C98" s="209"/>
      <c r="D98" s="223"/>
      <c r="E98" s="223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50"/>
      <c r="AA98" s="212"/>
    </row>
    <row r="99" spans="1:27" x14ac:dyDescent="0.25">
      <c r="A99" s="213"/>
      <c r="B99" s="163"/>
      <c r="C99" s="163"/>
      <c r="D99" s="164"/>
      <c r="E99" s="164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2"/>
      <c r="AA99" s="167"/>
    </row>
    <row r="100" spans="1:27" x14ac:dyDescent="0.25">
      <c r="A100" s="14"/>
      <c r="B100" s="169" t="s">
        <v>906</v>
      </c>
      <c r="C100" s="173"/>
      <c r="D100" s="170"/>
      <c r="E100" s="170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45"/>
      <c r="AA100" s="172"/>
    </row>
    <row r="101" spans="1:27" x14ac:dyDescent="0.25">
      <c r="A101" s="14"/>
      <c r="B101" s="169"/>
      <c r="C101" s="173"/>
      <c r="D101" s="170"/>
      <c r="E101" s="170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45"/>
      <c r="AA101" s="172"/>
    </row>
    <row r="102" spans="1:27" x14ac:dyDescent="0.25">
      <c r="A102" s="14"/>
      <c r="B102" s="169"/>
      <c r="C102" s="173"/>
      <c r="D102" s="185" t="s">
        <v>1026</v>
      </c>
      <c r="E102" s="170"/>
      <c r="F102" s="254">
        <v>0.8</v>
      </c>
      <c r="G102" s="254">
        <v>0.8</v>
      </c>
      <c r="H102" s="254">
        <v>0.8</v>
      </c>
      <c r="I102" s="254">
        <v>0.8</v>
      </c>
      <c r="J102" s="254">
        <v>0.8</v>
      </c>
      <c r="K102" s="254">
        <v>0.8</v>
      </c>
      <c r="L102" s="254">
        <v>0.8</v>
      </c>
      <c r="M102" s="254">
        <v>0.8</v>
      </c>
      <c r="N102" s="254">
        <v>0.8</v>
      </c>
      <c r="O102" s="254">
        <v>0.8</v>
      </c>
      <c r="P102" s="254">
        <v>0.8</v>
      </c>
      <c r="Q102" s="254">
        <v>0.8</v>
      </c>
      <c r="R102" s="254">
        <v>0.8</v>
      </c>
      <c r="S102" s="254">
        <v>0.8</v>
      </c>
      <c r="T102" s="254">
        <v>0.8</v>
      </c>
      <c r="U102" s="254">
        <v>0.8</v>
      </c>
      <c r="V102" s="254">
        <v>0.8</v>
      </c>
      <c r="W102" s="254">
        <v>0.8</v>
      </c>
      <c r="X102" s="254">
        <v>0.8</v>
      </c>
      <c r="Y102" s="254">
        <v>0.8</v>
      </c>
      <c r="Z102" s="245"/>
      <c r="AA102" s="172" t="s">
        <v>387</v>
      </c>
    </row>
    <row r="103" spans="1:27" x14ac:dyDescent="0.25">
      <c r="A103" s="14"/>
      <c r="B103" s="169"/>
      <c r="C103" s="173"/>
      <c r="D103" s="170"/>
      <c r="E103" s="170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45"/>
      <c r="AA103" s="172"/>
    </row>
    <row r="104" spans="1:27" x14ac:dyDescent="0.25">
      <c r="A104" s="14"/>
      <c r="B104" s="169"/>
      <c r="C104" s="173" t="s">
        <v>1027</v>
      </c>
      <c r="E104" s="170"/>
      <c r="F104" s="255">
        <v>1</v>
      </c>
      <c r="G104" s="253" t="s">
        <v>86</v>
      </c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45"/>
      <c r="AA104" s="172"/>
    </row>
    <row r="105" spans="1:27" x14ac:dyDescent="0.25">
      <c r="A105" s="14"/>
      <c r="B105" s="169"/>
      <c r="C105" s="173"/>
      <c r="D105" s="170"/>
      <c r="E105" s="170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45"/>
      <c r="AA105" s="172"/>
    </row>
    <row r="106" spans="1:27" x14ac:dyDescent="0.25">
      <c r="A106" s="14"/>
      <c r="B106" s="169"/>
      <c r="C106" s="256" t="s">
        <v>87</v>
      </c>
      <c r="D106" s="170"/>
      <c r="E106" s="170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45"/>
      <c r="AA106" s="172"/>
    </row>
    <row r="107" spans="1:27" x14ac:dyDescent="0.25">
      <c r="A107" s="14"/>
      <c r="B107" s="169"/>
      <c r="C107" s="256"/>
      <c r="D107" s="170" t="s">
        <v>1101</v>
      </c>
      <c r="E107" s="170"/>
      <c r="F107" s="616">
        <v>0.2</v>
      </c>
      <c r="G107" s="616">
        <v>0.2</v>
      </c>
      <c r="H107" s="616">
        <v>0.2</v>
      </c>
      <c r="I107" s="616">
        <v>0.2</v>
      </c>
      <c r="J107" s="616">
        <v>0.2</v>
      </c>
      <c r="K107" s="616">
        <v>0.2</v>
      </c>
      <c r="L107" s="616">
        <v>0.2</v>
      </c>
      <c r="M107" s="616">
        <v>0.2</v>
      </c>
      <c r="N107" s="616">
        <v>0.2</v>
      </c>
      <c r="O107" s="616">
        <v>0.2</v>
      </c>
      <c r="P107" s="616">
        <v>0.2</v>
      </c>
      <c r="Q107" s="616">
        <v>0.2</v>
      </c>
      <c r="R107" s="616">
        <v>0.2</v>
      </c>
      <c r="S107" s="616">
        <v>0.2</v>
      </c>
      <c r="T107" s="616">
        <v>0.2</v>
      </c>
      <c r="U107" s="616">
        <v>0.2</v>
      </c>
      <c r="V107" s="616">
        <v>0.2</v>
      </c>
      <c r="W107" s="616">
        <v>0.2</v>
      </c>
      <c r="X107" s="616">
        <v>0.2</v>
      </c>
      <c r="Y107" s="616">
        <v>0.2</v>
      </c>
      <c r="Z107" s="245"/>
      <c r="AA107" s="172" t="s">
        <v>1111</v>
      </c>
    </row>
    <row r="108" spans="1:27" x14ac:dyDescent="0.25">
      <c r="A108" s="14"/>
      <c r="B108" s="169"/>
      <c r="C108" s="256"/>
      <c r="D108" s="170" t="s">
        <v>1102</v>
      </c>
      <c r="E108" s="170"/>
      <c r="F108" s="617">
        <f>F107</f>
        <v>0.2</v>
      </c>
      <c r="G108" s="617">
        <f t="shared" ref="G108:Y108" si="39">G107</f>
        <v>0.2</v>
      </c>
      <c r="H108" s="617">
        <f t="shared" si="39"/>
        <v>0.2</v>
      </c>
      <c r="I108" s="617">
        <f t="shared" si="39"/>
        <v>0.2</v>
      </c>
      <c r="J108" s="617">
        <f t="shared" si="39"/>
        <v>0.2</v>
      </c>
      <c r="K108" s="617">
        <f t="shared" si="39"/>
        <v>0.2</v>
      </c>
      <c r="L108" s="617">
        <f t="shared" si="39"/>
        <v>0.2</v>
      </c>
      <c r="M108" s="617">
        <f t="shared" si="39"/>
        <v>0.2</v>
      </c>
      <c r="N108" s="617">
        <f t="shared" si="39"/>
        <v>0.2</v>
      </c>
      <c r="O108" s="617">
        <f t="shared" si="39"/>
        <v>0.2</v>
      </c>
      <c r="P108" s="617">
        <f t="shared" si="39"/>
        <v>0.2</v>
      </c>
      <c r="Q108" s="617">
        <f t="shared" si="39"/>
        <v>0.2</v>
      </c>
      <c r="R108" s="617">
        <f t="shared" si="39"/>
        <v>0.2</v>
      </c>
      <c r="S108" s="617">
        <f t="shared" si="39"/>
        <v>0.2</v>
      </c>
      <c r="T108" s="617">
        <f t="shared" si="39"/>
        <v>0.2</v>
      </c>
      <c r="U108" s="617">
        <f t="shared" si="39"/>
        <v>0.2</v>
      </c>
      <c r="V108" s="617">
        <f t="shared" si="39"/>
        <v>0.2</v>
      </c>
      <c r="W108" s="617">
        <f t="shared" si="39"/>
        <v>0.2</v>
      </c>
      <c r="X108" s="617">
        <f t="shared" si="39"/>
        <v>0.2</v>
      </c>
      <c r="Y108" s="617">
        <f t="shared" si="39"/>
        <v>0.2</v>
      </c>
      <c r="Z108" s="245"/>
      <c r="AA108" s="172" t="s">
        <v>1111</v>
      </c>
    </row>
    <row r="109" spans="1:27" x14ac:dyDescent="0.25">
      <c r="A109" s="14"/>
      <c r="B109" s="169"/>
      <c r="C109" s="256"/>
      <c r="D109" s="170"/>
      <c r="E109" s="170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45"/>
      <c r="AA109" s="172"/>
    </row>
    <row r="110" spans="1:27" x14ac:dyDescent="0.25">
      <c r="A110" s="14"/>
      <c r="B110" s="169"/>
      <c r="C110" s="256" t="s">
        <v>88</v>
      </c>
      <c r="D110" s="170"/>
      <c r="E110" s="170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45"/>
      <c r="AA110" s="172"/>
    </row>
    <row r="111" spans="1:27" x14ac:dyDescent="0.25">
      <c r="A111" s="14"/>
      <c r="B111" s="169"/>
      <c r="C111" s="256"/>
      <c r="D111" s="170" t="s">
        <v>1028</v>
      </c>
      <c r="E111" s="170"/>
      <c r="F111" s="257">
        <v>10</v>
      </c>
      <c r="G111" s="257">
        <v>10</v>
      </c>
      <c r="H111" s="257">
        <v>10</v>
      </c>
      <c r="I111" s="257">
        <v>10</v>
      </c>
      <c r="J111" s="257">
        <v>10</v>
      </c>
      <c r="K111" s="257">
        <v>10</v>
      </c>
      <c r="L111" s="257">
        <v>10</v>
      </c>
      <c r="M111" s="257">
        <v>10</v>
      </c>
      <c r="N111" s="257">
        <v>10</v>
      </c>
      <c r="O111" s="257">
        <v>10</v>
      </c>
      <c r="P111" s="257">
        <v>10</v>
      </c>
      <c r="Q111" s="257">
        <v>10</v>
      </c>
      <c r="R111" s="257">
        <v>10</v>
      </c>
      <c r="S111" s="257">
        <v>10</v>
      </c>
      <c r="T111" s="257">
        <v>10</v>
      </c>
      <c r="U111" s="257">
        <v>10</v>
      </c>
      <c r="V111" s="257">
        <v>10</v>
      </c>
      <c r="W111" s="257">
        <v>10</v>
      </c>
      <c r="X111" s="257">
        <v>10</v>
      </c>
      <c r="Y111" s="257">
        <v>10</v>
      </c>
      <c r="Z111" s="245"/>
      <c r="AA111" s="172" t="s">
        <v>1036</v>
      </c>
    </row>
    <row r="112" spans="1:27" x14ac:dyDescent="0.25">
      <c r="A112" s="14"/>
      <c r="B112" s="169"/>
      <c r="C112" s="256"/>
      <c r="D112" s="170" t="s">
        <v>1029</v>
      </c>
      <c r="E112" s="170"/>
      <c r="F112" s="257">
        <v>1</v>
      </c>
      <c r="G112" s="257">
        <v>1</v>
      </c>
      <c r="H112" s="257">
        <v>1</v>
      </c>
      <c r="I112" s="257">
        <v>1</v>
      </c>
      <c r="J112" s="257">
        <v>0</v>
      </c>
      <c r="K112" s="257">
        <v>0</v>
      </c>
      <c r="L112" s="257">
        <v>0</v>
      </c>
      <c r="M112" s="257">
        <v>0</v>
      </c>
      <c r="N112" s="257">
        <v>0</v>
      </c>
      <c r="O112" s="257">
        <v>0</v>
      </c>
      <c r="P112" s="257">
        <v>0</v>
      </c>
      <c r="Q112" s="257">
        <v>0</v>
      </c>
      <c r="R112" s="257">
        <v>0</v>
      </c>
      <c r="S112" s="257">
        <v>0</v>
      </c>
      <c r="T112" s="257">
        <v>0</v>
      </c>
      <c r="U112" s="257">
        <v>0</v>
      </c>
      <c r="V112" s="257">
        <v>0</v>
      </c>
      <c r="W112" s="257">
        <v>0</v>
      </c>
      <c r="X112" s="257">
        <v>0</v>
      </c>
      <c r="Y112" s="257">
        <v>0</v>
      </c>
      <c r="Z112" s="245"/>
      <c r="AA112" s="172"/>
    </row>
    <row r="113" spans="1:27" x14ac:dyDescent="0.25">
      <c r="A113" s="14"/>
      <c r="B113" s="169"/>
      <c r="C113" s="256"/>
      <c r="D113" s="170"/>
      <c r="E113" s="170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45"/>
      <c r="AA113" s="172"/>
    </row>
    <row r="114" spans="1:27" x14ac:dyDescent="0.25">
      <c r="A114" s="14"/>
      <c r="B114" s="169"/>
      <c r="C114" s="256"/>
      <c r="D114" s="170" t="s">
        <v>91</v>
      </c>
      <c r="E114" s="170"/>
      <c r="F114" s="258">
        <v>2</v>
      </c>
      <c r="G114" s="258">
        <v>2</v>
      </c>
      <c r="H114" s="258">
        <v>2</v>
      </c>
      <c r="I114" s="258">
        <v>2</v>
      </c>
      <c r="J114" s="258">
        <v>2</v>
      </c>
      <c r="K114" s="258">
        <v>2</v>
      </c>
      <c r="L114" s="258">
        <v>2</v>
      </c>
      <c r="M114" s="258">
        <v>2</v>
      </c>
      <c r="N114" s="258">
        <v>2</v>
      </c>
      <c r="O114" s="258">
        <v>2</v>
      </c>
      <c r="P114" s="258">
        <v>2</v>
      </c>
      <c r="Q114" s="258">
        <v>2</v>
      </c>
      <c r="R114" s="258">
        <v>2</v>
      </c>
      <c r="S114" s="258">
        <v>2</v>
      </c>
      <c r="T114" s="258">
        <v>2</v>
      </c>
      <c r="U114" s="258">
        <v>2</v>
      </c>
      <c r="V114" s="258">
        <v>2</v>
      </c>
      <c r="W114" s="258">
        <v>2</v>
      </c>
      <c r="X114" s="258">
        <v>2</v>
      </c>
      <c r="Y114" s="258">
        <v>2</v>
      </c>
      <c r="Z114" s="245"/>
      <c r="AA114" s="172"/>
    </row>
    <row r="115" spans="1:27" x14ac:dyDescent="0.25">
      <c r="A115" s="14"/>
      <c r="B115" s="169"/>
      <c r="C115" s="256"/>
      <c r="D115" s="170" t="s">
        <v>92</v>
      </c>
      <c r="E115" s="170"/>
      <c r="F115" s="257">
        <v>1</v>
      </c>
      <c r="G115" s="257">
        <v>1</v>
      </c>
      <c r="H115" s="257">
        <v>1</v>
      </c>
      <c r="I115" s="257">
        <v>1</v>
      </c>
      <c r="J115" s="257">
        <v>1</v>
      </c>
      <c r="K115" s="257">
        <v>1</v>
      </c>
      <c r="L115" s="257">
        <v>1</v>
      </c>
      <c r="M115" s="257">
        <v>1</v>
      </c>
      <c r="N115" s="257">
        <v>1</v>
      </c>
      <c r="O115" s="257">
        <v>1</v>
      </c>
      <c r="P115" s="257">
        <v>1</v>
      </c>
      <c r="Q115" s="257">
        <v>1</v>
      </c>
      <c r="R115" s="257">
        <v>1</v>
      </c>
      <c r="S115" s="257">
        <v>1</v>
      </c>
      <c r="T115" s="257">
        <v>1</v>
      </c>
      <c r="U115" s="257">
        <v>1</v>
      </c>
      <c r="V115" s="257">
        <v>1</v>
      </c>
      <c r="W115" s="257">
        <v>1</v>
      </c>
      <c r="X115" s="257">
        <v>1</v>
      </c>
      <c r="Y115" s="257">
        <v>1</v>
      </c>
      <c r="Z115" s="245"/>
      <c r="AA115" s="172"/>
    </row>
    <row r="116" spans="1:27" x14ac:dyDescent="0.25">
      <c r="A116" s="14"/>
      <c r="B116" s="169"/>
      <c r="C116" s="256"/>
      <c r="D116" s="170"/>
      <c r="E116" s="170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45"/>
      <c r="AA116" s="172"/>
    </row>
    <row r="117" spans="1:27" x14ac:dyDescent="0.25">
      <c r="A117" s="14"/>
      <c r="B117" s="169"/>
      <c r="C117" s="256"/>
      <c r="D117" s="170" t="s">
        <v>93</v>
      </c>
      <c r="E117" s="170"/>
      <c r="F117" s="220">
        <v>0.5</v>
      </c>
      <c r="G117" s="195">
        <f>F117</f>
        <v>0.5</v>
      </c>
      <c r="H117" s="195">
        <f t="shared" ref="H117:Y117" si="40">G117</f>
        <v>0.5</v>
      </c>
      <c r="I117" s="195">
        <f t="shared" si="40"/>
        <v>0.5</v>
      </c>
      <c r="J117" s="195">
        <f t="shared" si="40"/>
        <v>0.5</v>
      </c>
      <c r="K117" s="195">
        <f t="shared" si="40"/>
        <v>0.5</v>
      </c>
      <c r="L117" s="195">
        <f t="shared" si="40"/>
        <v>0.5</v>
      </c>
      <c r="M117" s="195">
        <f t="shared" si="40"/>
        <v>0.5</v>
      </c>
      <c r="N117" s="195">
        <f t="shared" si="40"/>
        <v>0.5</v>
      </c>
      <c r="O117" s="195">
        <f t="shared" si="40"/>
        <v>0.5</v>
      </c>
      <c r="P117" s="195">
        <f t="shared" si="40"/>
        <v>0.5</v>
      </c>
      <c r="Q117" s="195">
        <f t="shared" si="40"/>
        <v>0.5</v>
      </c>
      <c r="R117" s="195">
        <f t="shared" si="40"/>
        <v>0.5</v>
      </c>
      <c r="S117" s="195">
        <f t="shared" si="40"/>
        <v>0.5</v>
      </c>
      <c r="T117" s="195">
        <f t="shared" si="40"/>
        <v>0.5</v>
      </c>
      <c r="U117" s="195">
        <f t="shared" si="40"/>
        <v>0.5</v>
      </c>
      <c r="V117" s="195">
        <f t="shared" si="40"/>
        <v>0.5</v>
      </c>
      <c r="W117" s="195">
        <f t="shared" si="40"/>
        <v>0.5</v>
      </c>
      <c r="X117" s="195">
        <f t="shared" si="40"/>
        <v>0.5</v>
      </c>
      <c r="Y117" s="195">
        <f t="shared" si="40"/>
        <v>0.5</v>
      </c>
      <c r="Z117" s="245"/>
      <c r="AA117" s="172"/>
    </row>
    <row r="118" spans="1:27" x14ac:dyDescent="0.25">
      <c r="A118" s="14"/>
      <c r="B118" s="169"/>
      <c r="C118" s="256"/>
      <c r="D118" s="170" t="s">
        <v>94</v>
      </c>
      <c r="E118" s="170"/>
      <c r="F118" s="195">
        <f>1-F117</f>
        <v>0.5</v>
      </c>
      <c r="G118" s="195">
        <f>F118</f>
        <v>0.5</v>
      </c>
      <c r="H118" s="195">
        <f t="shared" ref="H118:Y118" si="41">G118</f>
        <v>0.5</v>
      </c>
      <c r="I118" s="195">
        <f t="shared" si="41"/>
        <v>0.5</v>
      </c>
      <c r="J118" s="195">
        <f t="shared" si="41"/>
        <v>0.5</v>
      </c>
      <c r="K118" s="195">
        <f t="shared" si="41"/>
        <v>0.5</v>
      </c>
      <c r="L118" s="195">
        <f t="shared" si="41"/>
        <v>0.5</v>
      </c>
      <c r="M118" s="195">
        <f t="shared" si="41"/>
        <v>0.5</v>
      </c>
      <c r="N118" s="195">
        <f t="shared" si="41"/>
        <v>0.5</v>
      </c>
      <c r="O118" s="195">
        <f t="shared" si="41"/>
        <v>0.5</v>
      </c>
      <c r="P118" s="195">
        <f t="shared" si="41"/>
        <v>0.5</v>
      </c>
      <c r="Q118" s="195">
        <f t="shared" si="41"/>
        <v>0.5</v>
      </c>
      <c r="R118" s="195">
        <f t="shared" si="41"/>
        <v>0.5</v>
      </c>
      <c r="S118" s="195">
        <f t="shared" si="41"/>
        <v>0.5</v>
      </c>
      <c r="T118" s="195">
        <f t="shared" si="41"/>
        <v>0.5</v>
      </c>
      <c r="U118" s="195">
        <f t="shared" si="41"/>
        <v>0.5</v>
      </c>
      <c r="V118" s="195">
        <f t="shared" si="41"/>
        <v>0.5</v>
      </c>
      <c r="W118" s="195">
        <f t="shared" si="41"/>
        <v>0.5</v>
      </c>
      <c r="X118" s="195">
        <f t="shared" si="41"/>
        <v>0.5</v>
      </c>
      <c r="Y118" s="195">
        <f t="shared" si="41"/>
        <v>0.5</v>
      </c>
      <c r="Z118" s="245"/>
      <c r="AA118" s="172"/>
    </row>
    <row r="119" spans="1:27" x14ac:dyDescent="0.25">
      <c r="A119" s="14"/>
      <c r="B119" s="169"/>
      <c r="C119" s="256"/>
      <c r="D119" s="170"/>
      <c r="E119" s="170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45"/>
      <c r="AA119" s="172"/>
    </row>
    <row r="120" spans="1:27" x14ac:dyDescent="0.25">
      <c r="A120" s="14"/>
      <c r="B120" s="169"/>
      <c r="C120" s="256" t="s">
        <v>89</v>
      </c>
      <c r="D120" s="170"/>
      <c r="E120" s="170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45"/>
      <c r="AA120" s="172"/>
    </row>
    <row r="121" spans="1:27" x14ac:dyDescent="0.25">
      <c r="A121" s="14"/>
      <c r="B121" s="169"/>
      <c r="C121" s="256"/>
      <c r="D121" s="170" t="s">
        <v>1030</v>
      </c>
      <c r="E121" s="170"/>
      <c r="F121" s="220">
        <v>0.8</v>
      </c>
      <c r="G121" s="220">
        <v>0.8</v>
      </c>
      <c r="H121" s="220">
        <v>0.8</v>
      </c>
      <c r="I121" s="220">
        <v>0.7</v>
      </c>
      <c r="J121" s="220">
        <v>0.6</v>
      </c>
      <c r="K121" s="220">
        <v>0.5</v>
      </c>
      <c r="L121" s="220">
        <v>0.4</v>
      </c>
      <c r="M121" s="220">
        <v>0.3</v>
      </c>
      <c r="N121" s="220">
        <v>0.2</v>
      </c>
      <c r="O121" s="220">
        <v>0.2</v>
      </c>
      <c r="P121" s="220">
        <v>0.15</v>
      </c>
      <c r="Q121" s="220">
        <v>0.1</v>
      </c>
      <c r="R121" s="220">
        <f>Q121</f>
        <v>0.1</v>
      </c>
      <c r="S121" s="220">
        <f t="shared" ref="S121:Y121" si="42">R121</f>
        <v>0.1</v>
      </c>
      <c r="T121" s="220">
        <f t="shared" si="42"/>
        <v>0.1</v>
      </c>
      <c r="U121" s="220">
        <f t="shared" si="42"/>
        <v>0.1</v>
      </c>
      <c r="V121" s="220">
        <f t="shared" si="42"/>
        <v>0.1</v>
      </c>
      <c r="W121" s="220">
        <f t="shared" si="42"/>
        <v>0.1</v>
      </c>
      <c r="X121" s="220">
        <f t="shared" si="42"/>
        <v>0.1</v>
      </c>
      <c r="Y121" s="220">
        <f t="shared" si="42"/>
        <v>0.1</v>
      </c>
      <c r="Z121" s="245"/>
      <c r="AA121" s="172" t="s">
        <v>1035</v>
      </c>
    </row>
    <row r="122" spans="1:27" x14ac:dyDescent="0.25">
      <c r="A122" s="14"/>
      <c r="B122" s="169"/>
      <c r="C122" s="173"/>
      <c r="D122" s="170" t="s">
        <v>75</v>
      </c>
      <c r="E122" s="260">
        <v>0.5</v>
      </c>
      <c r="F122" s="195">
        <f>(1-F121)*$E$122</f>
        <v>9.9999999999999978E-2</v>
      </c>
      <c r="G122" s="195">
        <f t="shared" ref="G122:Y122" si="43">(1-G121)*$E$122</f>
        <v>9.9999999999999978E-2</v>
      </c>
      <c r="H122" s="195">
        <f t="shared" si="43"/>
        <v>9.9999999999999978E-2</v>
      </c>
      <c r="I122" s="195">
        <f t="shared" si="43"/>
        <v>0.15000000000000002</v>
      </c>
      <c r="J122" s="195">
        <f t="shared" si="43"/>
        <v>0.2</v>
      </c>
      <c r="K122" s="195">
        <f t="shared" si="43"/>
        <v>0.25</v>
      </c>
      <c r="L122" s="195">
        <f t="shared" si="43"/>
        <v>0.3</v>
      </c>
      <c r="M122" s="195">
        <f t="shared" si="43"/>
        <v>0.35</v>
      </c>
      <c r="N122" s="195">
        <f t="shared" si="43"/>
        <v>0.4</v>
      </c>
      <c r="O122" s="195">
        <f t="shared" si="43"/>
        <v>0.4</v>
      </c>
      <c r="P122" s="195">
        <f t="shared" si="43"/>
        <v>0.42499999999999999</v>
      </c>
      <c r="Q122" s="195">
        <f t="shared" si="43"/>
        <v>0.45</v>
      </c>
      <c r="R122" s="195">
        <f t="shared" si="43"/>
        <v>0.45</v>
      </c>
      <c r="S122" s="195">
        <f t="shared" si="43"/>
        <v>0.45</v>
      </c>
      <c r="T122" s="195">
        <f t="shared" si="43"/>
        <v>0.45</v>
      </c>
      <c r="U122" s="195">
        <f t="shared" si="43"/>
        <v>0.45</v>
      </c>
      <c r="V122" s="195">
        <f t="shared" si="43"/>
        <v>0.45</v>
      </c>
      <c r="W122" s="195">
        <f t="shared" si="43"/>
        <v>0.45</v>
      </c>
      <c r="X122" s="195">
        <f t="shared" si="43"/>
        <v>0.45</v>
      </c>
      <c r="Y122" s="195">
        <f t="shared" si="43"/>
        <v>0.45</v>
      </c>
      <c r="Z122" s="245"/>
      <c r="AA122" s="172" t="s">
        <v>1032</v>
      </c>
    </row>
    <row r="123" spans="1:27" x14ac:dyDescent="0.25">
      <c r="A123" s="14"/>
      <c r="B123" s="169"/>
      <c r="C123" s="173"/>
      <c r="D123" s="170" t="s">
        <v>76</v>
      </c>
      <c r="E123" s="260">
        <f>1-E122</f>
        <v>0.5</v>
      </c>
      <c r="F123" s="195">
        <f>(1-F121)*$E$123</f>
        <v>9.9999999999999978E-2</v>
      </c>
      <c r="G123" s="195">
        <f t="shared" ref="G123:Y123" si="44">(1-G121)*$E$123</f>
        <v>9.9999999999999978E-2</v>
      </c>
      <c r="H123" s="195">
        <f t="shared" si="44"/>
        <v>9.9999999999999978E-2</v>
      </c>
      <c r="I123" s="195">
        <f t="shared" si="44"/>
        <v>0.15000000000000002</v>
      </c>
      <c r="J123" s="195">
        <f t="shared" si="44"/>
        <v>0.2</v>
      </c>
      <c r="K123" s="195">
        <f t="shared" si="44"/>
        <v>0.25</v>
      </c>
      <c r="L123" s="195">
        <f t="shared" si="44"/>
        <v>0.3</v>
      </c>
      <c r="M123" s="195">
        <f t="shared" si="44"/>
        <v>0.35</v>
      </c>
      <c r="N123" s="195">
        <f t="shared" si="44"/>
        <v>0.4</v>
      </c>
      <c r="O123" s="195">
        <f t="shared" si="44"/>
        <v>0.4</v>
      </c>
      <c r="P123" s="195">
        <f t="shared" si="44"/>
        <v>0.42499999999999999</v>
      </c>
      <c r="Q123" s="195">
        <f t="shared" si="44"/>
        <v>0.45</v>
      </c>
      <c r="R123" s="195">
        <f t="shared" si="44"/>
        <v>0.45</v>
      </c>
      <c r="S123" s="195">
        <f t="shared" si="44"/>
        <v>0.45</v>
      </c>
      <c r="T123" s="195">
        <f t="shared" si="44"/>
        <v>0.45</v>
      </c>
      <c r="U123" s="195">
        <f t="shared" si="44"/>
        <v>0.45</v>
      </c>
      <c r="V123" s="195">
        <f t="shared" si="44"/>
        <v>0.45</v>
      </c>
      <c r="W123" s="195">
        <f t="shared" si="44"/>
        <v>0.45</v>
      </c>
      <c r="X123" s="195">
        <f t="shared" si="44"/>
        <v>0.45</v>
      </c>
      <c r="Y123" s="195">
        <f t="shared" si="44"/>
        <v>0.45</v>
      </c>
      <c r="Z123" s="245"/>
      <c r="AA123" s="172" t="s">
        <v>1033</v>
      </c>
    </row>
    <row r="124" spans="1:27" x14ac:dyDescent="0.25">
      <c r="A124" s="14"/>
      <c r="B124" s="169"/>
      <c r="C124" s="173"/>
      <c r="D124" s="170"/>
      <c r="E124" s="170"/>
      <c r="F124" s="261" t="str">
        <f>IF(SUM(F121:F123)=1,"","Error")</f>
        <v/>
      </c>
      <c r="G124" s="261" t="str">
        <f t="shared" ref="G124:O124" si="45">IF(SUM(G121:G123)=1,"","Error")</f>
        <v/>
      </c>
      <c r="H124" s="261" t="str">
        <f t="shared" si="45"/>
        <v/>
      </c>
      <c r="I124" s="261" t="str">
        <f t="shared" si="45"/>
        <v/>
      </c>
      <c r="J124" s="261" t="str">
        <f t="shared" si="45"/>
        <v/>
      </c>
      <c r="K124" s="261" t="str">
        <f t="shared" si="45"/>
        <v/>
      </c>
      <c r="L124" s="261" t="str">
        <f t="shared" si="45"/>
        <v/>
      </c>
      <c r="M124" s="261" t="str">
        <f t="shared" si="45"/>
        <v/>
      </c>
      <c r="N124" s="261" t="str">
        <f t="shared" si="45"/>
        <v/>
      </c>
      <c r="O124" s="261" t="str">
        <f t="shared" si="45"/>
        <v/>
      </c>
      <c r="P124" s="261" t="str">
        <f t="shared" ref="P124:Y124" si="46">IF(SUM(P121:P123)=1,"","Error")</f>
        <v/>
      </c>
      <c r="Q124" s="261" t="str">
        <f t="shared" si="46"/>
        <v/>
      </c>
      <c r="R124" s="261" t="str">
        <f t="shared" si="46"/>
        <v/>
      </c>
      <c r="S124" s="261" t="str">
        <f t="shared" si="46"/>
        <v/>
      </c>
      <c r="T124" s="261" t="str">
        <f t="shared" si="46"/>
        <v/>
      </c>
      <c r="U124" s="261" t="str">
        <f t="shared" si="46"/>
        <v/>
      </c>
      <c r="V124" s="261" t="str">
        <f t="shared" si="46"/>
        <v/>
      </c>
      <c r="W124" s="261" t="str">
        <f t="shared" si="46"/>
        <v/>
      </c>
      <c r="X124" s="261" t="str">
        <f t="shared" si="46"/>
        <v/>
      </c>
      <c r="Y124" s="261" t="str">
        <f t="shared" si="46"/>
        <v/>
      </c>
      <c r="Z124" s="245"/>
      <c r="AA124" s="172" t="s">
        <v>1034</v>
      </c>
    </row>
    <row r="125" spans="1:27" x14ac:dyDescent="0.25">
      <c r="A125" s="14"/>
      <c r="B125" s="169"/>
      <c r="C125" s="173"/>
      <c r="D125" s="170" t="s">
        <v>1031</v>
      </c>
      <c r="E125" s="170"/>
      <c r="F125" s="253">
        <f>F121*F$95</f>
        <v>2</v>
      </c>
      <c r="G125" s="253">
        <f t="shared" ref="G125:O125" si="47">G121*G$95</f>
        <v>2</v>
      </c>
      <c r="H125" s="253">
        <f t="shared" si="47"/>
        <v>2</v>
      </c>
      <c r="I125" s="253">
        <f t="shared" si="47"/>
        <v>1.75</v>
      </c>
      <c r="J125" s="253">
        <f t="shared" si="47"/>
        <v>1.5</v>
      </c>
      <c r="K125" s="253">
        <f t="shared" si="47"/>
        <v>1.25</v>
      </c>
      <c r="L125" s="253">
        <f t="shared" si="47"/>
        <v>1</v>
      </c>
      <c r="M125" s="253">
        <f t="shared" si="47"/>
        <v>0.75</v>
      </c>
      <c r="N125" s="253">
        <f t="shared" si="47"/>
        <v>0.5</v>
      </c>
      <c r="O125" s="253">
        <f t="shared" si="47"/>
        <v>0.5</v>
      </c>
      <c r="P125" s="253">
        <f t="shared" ref="P125:Y125" si="48">P121*P$95</f>
        <v>0.375</v>
      </c>
      <c r="Q125" s="253">
        <f t="shared" si="48"/>
        <v>0.25</v>
      </c>
      <c r="R125" s="253">
        <f t="shared" si="48"/>
        <v>0.25</v>
      </c>
      <c r="S125" s="253">
        <f t="shared" si="48"/>
        <v>0.25</v>
      </c>
      <c r="T125" s="253">
        <f t="shared" si="48"/>
        <v>0.25</v>
      </c>
      <c r="U125" s="253">
        <f t="shared" si="48"/>
        <v>0.25</v>
      </c>
      <c r="V125" s="253">
        <f t="shared" si="48"/>
        <v>0.25</v>
      </c>
      <c r="W125" s="253">
        <f t="shared" si="48"/>
        <v>0.25</v>
      </c>
      <c r="X125" s="253">
        <f t="shared" si="48"/>
        <v>0.25</v>
      </c>
      <c r="Y125" s="253">
        <f t="shared" si="48"/>
        <v>0.25</v>
      </c>
      <c r="Z125" s="245"/>
      <c r="AA125" s="172"/>
    </row>
    <row r="126" spans="1:27" x14ac:dyDescent="0.25">
      <c r="A126" s="14"/>
      <c r="B126" s="169"/>
      <c r="C126" s="173"/>
      <c r="D126" s="170" t="s">
        <v>78</v>
      </c>
      <c r="E126" s="170"/>
      <c r="F126" s="253">
        <f t="shared" ref="F126:O127" si="49">F122*F$95</f>
        <v>0.24999999999999994</v>
      </c>
      <c r="G126" s="253">
        <f t="shared" si="49"/>
        <v>0.24999999999999994</v>
      </c>
      <c r="H126" s="253">
        <f t="shared" si="49"/>
        <v>0.24999999999999994</v>
      </c>
      <c r="I126" s="253">
        <f t="shared" si="49"/>
        <v>0.37500000000000006</v>
      </c>
      <c r="J126" s="253">
        <f t="shared" si="49"/>
        <v>0.5</v>
      </c>
      <c r="K126" s="253">
        <f t="shared" si="49"/>
        <v>0.625</v>
      </c>
      <c r="L126" s="253">
        <f t="shared" si="49"/>
        <v>0.75</v>
      </c>
      <c r="M126" s="253">
        <f t="shared" si="49"/>
        <v>0.875</v>
      </c>
      <c r="N126" s="253">
        <f t="shared" si="49"/>
        <v>1</v>
      </c>
      <c r="O126" s="253">
        <f t="shared" si="49"/>
        <v>1</v>
      </c>
      <c r="P126" s="253">
        <f t="shared" ref="P126:Y126" si="50">P122*P$95</f>
        <v>1.0625</v>
      </c>
      <c r="Q126" s="253">
        <f t="shared" si="50"/>
        <v>1.125</v>
      </c>
      <c r="R126" s="253">
        <f t="shared" si="50"/>
        <v>1.125</v>
      </c>
      <c r="S126" s="253">
        <f t="shared" si="50"/>
        <v>1.125</v>
      </c>
      <c r="T126" s="253">
        <f t="shared" si="50"/>
        <v>1.125</v>
      </c>
      <c r="U126" s="253">
        <f t="shared" si="50"/>
        <v>1.125</v>
      </c>
      <c r="V126" s="253">
        <f t="shared" si="50"/>
        <v>1.125</v>
      </c>
      <c r="W126" s="253">
        <f t="shared" si="50"/>
        <v>1.125</v>
      </c>
      <c r="X126" s="253">
        <f t="shared" si="50"/>
        <v>1.125</v>
      </c>
      <c r="Y126" s="253">
        <f t="shared" si="50"/>
        <v>1.125</v>
      </c>
      <c r="Z126" s="245"/>
      <c r="AA126" s="172"/>
    </row>
    <row r="127" spans="1:27" x14ac:dyDescent="0.25">
      <c r="A127" s="14"/>
      <c r="B127" s="169"/>
      <c r="C127" s="173"/>
      <c r="D127" s="170" t="s">
        <v>79</v>
      </c>
      <c r="E127" s="170"/>
      <c r="F127" s="253">
        <f t="shared" si="49"/>
        <v>0.24999999999999994</v>
      </c>
      <c r="G127" s="253">
        <f t="shared" si="49"/>
        <v>0.24999999999999994</v>
      </c>
      <c r="H127" s="253">
        <f t="shared" si="49"/>
        <v>0.24999999999999994</v>
      </c>
      <c r="I127" s="253">
        <f t="shared" si="49"/>
        <v>0.37500000000000006</v>
      </c>
      <c r="J127" s="253">
        <f t="shared" si="49"/>
        <v>0.5</v>
      </c>
      <c r="K127" s="253">
        <f t="shared" si="49"/>
        <v>0.625</v>
      </c>
      <c r="L127" s="253">
        <f t="shared" si="49"/>
        <v>0.75</v>
      </c>
      <c r="M127" s="253">
        <f t="shared" si="49"/>
        <v>0.875</v>
      </c>
      <c r="N127" s="253">
        <f t="shared" si="49"/>
        <v>1</v>
      </c>
      <c r="O127" s="253">
        <f t="shared" si="49"/>
        <v>1</v>
      </c>
      <c r="P127" s="253">
        <f t="shared" ref="P127:Y127" si="51">P123*P$95</f>
        <v>1.0625</v>
      </c>
      <c r="Q127" s="253">
        <f t="shared" si="51"/>
        <v>1.125</v>
      </c>
      <c r="R127" s="253">
        <f t="shared" si="51"/>
        <v>1.125</v>
      </c>
      <c r="S127" s="253">
        <f t="shared" si="51"/>
        <v>1.125</v>
      </c>
      <c r="T127" s="253">
        <f t="shared" si="51"/>
        <v>1.125</v>
      </c>
      <c r="U127" s="253">
        <f t="shared" si="51"/>
        <v>1.125</v>
      </c>
      <c r="V127" s="253">
        <f t="shared" si="51"/>
        <v>1.125</v>
      </c>
      <c r="W127" s="253">
        <f t="shared" si="51"/>
        <v>1.125</v>
      </c>
      <c r="X127" s="253">
        <f t="shared" si="51"/>
        <v>1.125</v>
      </c>
      <c r="Y127" s="253">
        <f t="shared" si="51"/>
        <v>1.125</v>
      </c>
      <c r="Z127" s="245"/>
      <c r="AA127" s="172"/>
    </row>
    <row r="128" spans="1:27" ht="13.8" thickBot="1" x14ac:dyDescent="0.3">
      <c r="A128" s="31"/>
      <c r="B128" s="209"/>
      <c r="C128" s="209"/>
      <c r="D128" s="223"/>
      <c r="E128" s="223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11"/>
      <c r="AA128" s="212"/>
    </row>
    <row r="129" spans="1:27" x14ac:dyDescent="0.25">
      <c r="A129" s="213"/>
      <c r="B129" s="163"/>
      <c r="C129" s="163"/>
      <c r="D129" s="164"/>
      <c r="E129" s="164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166"/>
      <c r="AA129" s="167"/>
    </row>
    <row r="130" spans="1:27" x14ac:dyDescent="0.25">
      <c r="A130" s="14"/>
      <c r="B130" s="169" t="s">
        <v>907</v>
      </c>
      <c r="C130" s="173"/>
      <c r="D130" s="170"/>
      <c r="E130" s="177"/>
      <c r="F130" s="170"/>
      <c r="G130" s="170"/>
      <c r="H130" s="170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71"/>
      <c r="AA130" s="172"/>
    </row>
    <row r="131" spans="1:27" x14ac:dyDescent="0.25">
      <c r="A131" s="14"/>
      <c r="B131" s="169"/>
      <c r="C131" s="173"/>
      <c r="D131" s="170"/>
      <c r="E131" s="177"/>
      <c r="F131" s="170"/>
      <c r="G131" s="170"/>
      <c r="H131" s="170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71"/>
      <c r="AA131" s="172"/>
    </row>
    <row r="132" spans="1:27" x14ac:dyDescent="0.25">
      <c r="A132" s="14"/>
      <c r="B132" s="173"/>
      <c r="C132" s="173"/>
      <c r="D132" s="170" t="s">
        <v>19</v>
      </c>
      <c r="E132" s="170"/>
      <c r="F132" s="181">
        <v>3</v>
      </c>
      <c r="G132" s="181">
        <v>3</v>
      </c>
      <c r="H132" s="181">
        <v>3</v>
      </c>
      <c r="I132" s="181">
        <v>3</v>
      </c>
      <c r="J132" s="181">
        <v>3</v>
      </c>
      <c r="K132" s="181">
        <v>3</v>
      </c>
      <c r="L132" s="181">
        <v>3</v>
      </c>
      <c r="M132" s="181">
        <v>3</v>
      </c>
      <c r="N132" s="181">
        <v>3</v>
      </c>
      <c r="O132" s="181">
        <v>3</v>
      </c>
      <c r="P132" s="181">
        <v>3</v>
      </c>
      <c r="Q132" s="181">
        <v>3</v>
      </c>
      <c r="R132" s="181">
        <v>3</v>
      </c>
      <c r="S132" s="181">
        <v>3</v>
      </c>
      <c r="T132" s="181">
        <v>3</v>
      </c>
      <c r="U132" s="181">
        <v>3</v>
      </c>
      <c r="V132" s="181">
        <v>3</v>
      </c>
      <c r="W132" s="181">
        <v>3</v>
      </c>
      <c r="X132" s="181">
        <v>3</v>
      </c>
      <c r="Y132" s="181">
        <v>3</v>
      </c>
      <c r="Z132" s="182"/>
      <c r="AA132" s="172" t="s">
        <v>1037</v>
      </c>
    </row>
    <row r="133" spans="1:27" x14ac:dyDescent="0.25">
      <c r="A133" s="14"/>
      <c r="B133" s="173"/>
      <c r="C133" s="173"/>
      <c r="D133" s="170" t="s">
        <v>81</v>
      </c>
      <c r="E133" s="170"/>
      <c r="F133" s="181">
        <v>3</v>
      </c>
      <c r="G133" s="181">
        <f>F133</f>
        <v>3</v>
      </c>
      <c r="H133" s="181">
        <f t="shared" ref="H133:Y133" si="52">G133</f>
        <v>3</v>
      </c>
      <c r="I133" s="181">
        <f t="shared" si="52"/>
        <v>3</v>
      </c>
      <c r="J133" s="181">
        <f t="shared" si="52"/>
        <v>3</v>
      </c>
      <c r="K133" s="181">
        <f t="shared" si="52"/>
        <v>3</v>
      </c>
      <c r="L133" s="181">
        <f t="shared" si="52"/>
        <v>3</v>
      </c>
      <c r="M133" s="181">
        <f t="shared" si="52"/>
        <v>3</v>
      </c>
      <c r="N133" s="181">
        <f t="shared" si="52"/>
        <v>3</v>
      </c>
      <c r="O133" s="181">
        <f t="shared" si="52"/>
        <v>3</v>
      </c>
      <c r="P133" s="181">
        <f t="shared" si="52"/>
        <v>3</v>
      </c>
      <c r="Q133" s="181">
        <f t="shared" si="52"/>
        <v>3</v>
      </c>
      <c r="R133" s="181">
        <f t="shared" si="52"/>
        <v>3</v>
      </c>
      <c r="S133" s="181">
        <f t="shared" si="52"/>
        <v>3</v>
      </c>
      <c r="T133" s="181">
        <f t="shared" si="52"/>
        <v>3</v>
      </c>
      <c r="U133" s="181">
        <f t="shared" si="52"/>
        <v>3</v>
      </c>
      <c r="V133" s="181">
        <f t="shared" si="52"/>
        <v>3</v>
      </c>
      <c r="W133" s="181">
        <f t="shared" si="52"/>
        <v>3</v>
      </c>
      <c r="X133" s="181">
        <f t="shared" si="52"/>
        <v>3</v>
      </c>
      <c r="Y133" s="181">
        <f t="shared" si="52"/>
        <v>3</v>
      </c>
      <c r="Z133" s="182"/>
      <c r="AA133" s="172" t="s">
        <v>871</v>
      </c>
    </row>
    <row r="134" spans="1:27" x14ac:dyDescent="0.25">
      <c r="A134" s="14"/>
      <c r="B134" s="173"/>
      <c r="C134" s="173"/>
      <c r="D134" s="170" t="s">
        <v>12</v>
      </c>
      <c r="E134" s="170"/>
      <c r="F134" s="185">
        <f t="shared" ref="F134:Y134" si="53">SUM(F133:F133)</f>
        <v>3</v>
      </c>
      <c r="G134" s="185">
        <f t="shared" si="53"/>
        <v>3</v>
      </c>
      <c r="H134" s="185">
        <f t="shared" si="53"/>
        <v>3</v>
      </c>
      <c r="I134" s="185">
        <f t="shared" si="53"/>
        <v>3</v>
      </c>
      <c r="J134" s="185">
        <f t="shared" si="53"/>
        <v>3</v>
      </c>
      <c r="K134" s="185">
        <f t="shared" si="53"/>
        <v>3</v>
      </c>
      <c r="L134" s="185">
        <f t="shared" si="53"/>
        <v>3</v>
      </c>
      <c r="M134" s="185">
        <f t="shared" si="53"/>
        <v>3</v>
      </c>
      <c r="N134" s="185">
        <f t="shared" si="53"/>
        <v>3</v>
      </c>
      <c r="O134" s="185">
        <f t="shared" si="53"/>
        <v>3</v>
      </c>
      <c r="P134" s="185">
        <f t="shared" si="53"/>
        <v>3</v>
      </c>
      <c r="Q134" s="185">
        <f t="shared" si="53"/>
        <v>3</v>
      </c>
      <c r="R134" s="185">
        <f t="shared" si="53"/>
        <v>3</v>
      </c>
      <c r="S134" s="185">
        <f t="shared" si="53"/>
        <v>3</v>
      </c>
      <c r="T134" s="185">
        <f t="shared" si="53"/>
        <v>3</v>
      </c>
      <c r="U134" s="185">
        <f t="shared" si="53"/>
        <v>3</v>
      </c>
      <c r="V134" s="185">
        <f t="shared" si="53"/>
        <v>3</v>
      </c>
      <c r="W134" s="185">
        <f t="shared" si="53"/>
        <v>3</v>
      </c>
      <c r="X134" s="185">
        <f t="shared" si="53"/>
        <v>3</v>
      </c>
      <c r="Y134" s="185">
        <f t="shared" si="53"/>
        <v>3</v>
      </c>
      <c r="Z134" s="171"/>
      <c r="AA134" s="264"/>
    </row>
    <row r="135" spans="1:27" ht="14.25" customHeight="1" x14ac:dyDescent="0.25">
      <c r="A135" s="14"/>
      <c r="B135" s="173"/>
      <c r="C135" s="173"/>
      <c r="D135" s="170" t="s">
        <v>844</v>
      </c>
      <c r="E135" s="170"/>
      <c r="F135" s="226">
        <v>40000</v>
      </c>
      <c r="G135" s="226">
        <v>35000</v>
      </c>
      <c r="H135" s="226">
        <v>30000</v>
      </c>
      <c r="I135" s="226">
        <v>25000</v>
      </c>
      <c r="J135" s="226">
        <v>20000</v>
      </c>
      <c r="K135" s="226">
        <v>18000</v>
      </c>
      <c r="L135" s="226">
        <v>15500</v>
      </c>
      <c r="M135" s="226">
        <v>15500</v>
      </c>
      <c r="N135" s="226">
        <v>15500</v>
      </c>
      <c r="O135" s="226">
        <v>15500</v>
      </c>
      <c r="P135" s="226">
        <v>15500</v>
      </c>
      <c r="Q135" s="226">
        <v>15500</v>
      </c>
      <c r="R135" s="226">
        <v>15500</v>
      </c>
      <c r="S135" s="226">
        <v>15500</v>
      </c>
      <c r="T135" s="226">
        <v>15500</v>
      </c>
      <c r="U135" s="226">
        <v>15500</v>
      </c>
      <c r="V135" s="226">
        <v>15500</v>
      </c>
      <c r="W135" s="226">
        <v>15500</v>
      </c>
      <c r="X135" s="226">
        <v>15500</v>
      </c>
      <c r="Y135" s="226">
        <v>15500</v>
      </c>
      <c r="Z135" s="182"/>
      <c r="AA135" s="264" t="s">
        <v>1004</v>
      </c>
    </row>
    <row r="136" spans="1:27" ht="13.8" thickBot="1" x14ac:dyDescent="0.3">
      <c r="A136" s="31"/>
      <c r="B136" s="209"/>
      <c r="C136" s="209"/>
      <c r="D136" s="223"/>
      <c r="E136" s="223"/>
      <c r="F136" s="223"/>
      <c r="G136" s="223"/>
      <c r="H136" s="223"/>
      <c r="I136" s="249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211"/>
      <c r="AA136" s="212"/>
    </row>
    <row r="137" spans="1:27" x14ac:dyDescent="0.25">
      <c r="A137" s="213"/>
      <c r="B137" s="163"/>
      <c r="C137" s="163"/>
      <c r="D137" s="164"/>
      <c r="E137" s="164"/>
      <c r="F137" s="164"/>
      <c r="G137" s="164"/>
      <c r="H137" s="164"/>
      <c r="I137" s="2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6"/>
      <c r="AA137" s="167"/>
    </row>
    <row r="138" spans="1:27" x14ac:dyDescent="0.25">
      <c r="A138" s="14"/>
      <c r="B138" s="169" t="s">
        <v>236</v>
      </c>
      <c r="C138" s="173"/>
      <c r="D138" s="170"/>
      <c r="E138" s="170"/>
      <c r="F138" s="170"/>
      <c r="G138" s="170"/>
      <c r="H138" s="170"/>
      <c r="I138" s="26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71"/>
      <c r="AA138" s="172"/>
    </row>
    <row r="139" spans="1:27" x14ac:dyDescent="0.25">
      <c r="A139" s="14"/>
      <c r="B139" s="173"/>
      <c r="C139" s="308" t="s">
        <v>986</v>
      </c>
      <c r="D139" s="170"/>
      <c r="E139" s="170"/>
      <c r="F139" s="170"/>
      <c r="G139" s="170"/>
      <c r="H139" s="170"/>
      <c r="I139" s="26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71"/>
      <c r="AA139" s="172"/>
    </row>
    <row r="140" spans="1:27" x14ac:dyDescent="0.25">
      <c r="A140" s="14"/>
      <c r="B140" s="173"/>
      <c r="C140" s="173"/>
      <c r="D140" s="170"/>
      <c r="E140" s="170"/>
      <c r="F140" s="268"/>
      <c r="G140" s="269"/>
      <c r="H140" s="270"/>
      <c r="I140" s="26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71"/>
      <c r="AA140" s="172"/>
    </row>
    <row r="141" spans="1:27" ht="13.8" thickBot="1" x14ac:dyDescent="0.3">
      <c r="A141" s="14"/>
      <c r="B141" s="173"/>
      <c r="C141" s="173"/>
      <c r="D141" s="170" t="s">
        <v>987</v>
      </c>
      <c r="E141" s="170"/>
      <c r="F141" s="271">
        <v>1.536</v>
      </c>
      <c r="G141" s="170"/>
      <c r="H141" s="1" t="s">
        <v>857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71"/>
      <c r="AA141" s="172"/>
    </row>
    <row r="142" spans="1:27" x14ac:dyDescent="0.25">
      <c r="A142" s="14"/>
      <c r="B142" s="173"/>
      <c r="C142" s="173"/>
      <c r="D142" s="170" t="s">
        <v>988</v>
      </c>
      <c r="E142" s="170"/>
      <c r="F142" s="573">
        <v>400</v>
      </c>
      <c r="H142" s="644" t="s">
        <v>847</v>
      </c>
      <c r="I142" s="645"/>
      <c r="J142" s="645"/>
      <c r="K142" s="646"/>
      <c r="L142" s="647" t="s">
        <v>848</v>
      </c>
      <c r="M142" s="645"/>
      <c r="N142" s="645"/>
      <c r="O142" s="646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71"/>
      <c r="AA142" s="275" t="s">
        <v>997</v>
      </c>
    </row>
    <row r="143" spans="1:27" x14ac:dyDescent="0.25">
      <c r="A143" s="14"/>
      <c r="B143" s="173"/>
      <c r="C143" s="173"/>
      <c r="D143" s="269" t="s">
        <v>989</v>
      </c>
      <c r="E143" s="170"/>
      <c r="F143" s="272">
        <f>400/F141</f>
        <v>260.41666666666669</v>
      </c>
      <c r="G143" s="273" t="s">
        <v>846</v>
      </c>
      <c r="H143" s="589" t="s">
        <v>849</v>
      </c>
      <c r="I143" s="590" t="s">
        <v>850</v>
      </c>
      <c r="J143" s="590"/>
      <c r="K143" s="591" t="s">
        <v>851</v>
      </c>
      <c r="L143" s="589" t="s">
        <v>850</v>
      </c>
      <c r="M143" s="590"/>
      <c r="N143" s="590" t="s">
        <v>851</v>
      </c>
      <c r="O143" s="592" t="s">
        <v>852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71"/>
      <c r="AA143" s="275" t="s">
        <v>997</v>
      </c>
    </row>
    <row r="144" spans="1:27" x14ac:dyDescent="0.25">
      <c r="A144" s="14"/>
      <c r="B144" s="173"/>
      <c r="C144" s="173"/>
      <c r="D144" s="170"/>
      <c r="E144" s="170"/>
      <c r="F144" s="170"/>
      <c r="G144" s="170"/>
      <c r="H144" s="579"/>
      <c r="I144" s="580"/>
      <c r="J144" s="581"/>
      <c r="K144" s="580"/>
      <c r="L144" s="580"/>
      <c r="M144" s="582"/>
      <c r="N144" s="580"/>
      <c r="O144" s="583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71"/>
      <c r="AA144" s="275"/>
    </row>
    <row r="145" spans="1:27" x14ac:dyDescent="0.25">
      <c r="A145" s="14"/>
      <c r="B145" s="173"/>
      <c r="C145" s="173"/>
      <c r="D145" s="269" t="s">
        <v>990</v>
      </c>
      <c r="E145" s="170"/>
      <c r="F145" s="576">
        <f>I149</f>
        <v>104.25</v>
      </c>
      <c r="G145" s="170" t="s">
        <v>994</v>
      </c>
      <c r="H145" s="579" t="s">
        <v>853</v>
      </c>
      <c r="I145" s="580">
        <v>117</v>
      </c>
      <c r="J145" s="582"/>
      <c r="K145" s="580">
        <v>35</v>
      </c>
      <c r="L145" s="580">
        <v>110</v>
      </c>
      <c r="M145" s="582"/>
      <c r="N145" s="580">
        <v>33</v>
      </c>
      <c r="O145" s="583">
        <f>(L145-I145)/I145</f>
        <v>-5.9829059829059832E-2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171"/>
      <c r="AA145" s="275" t="s">
        <v>997</v>
      </c>
    </row>
    <row r="146" spans="1:27" x14ac:dyDescent="0.25">
      <c r="A146" s="14"/>
      <c r="B146" s="173"/>
      <c r="C146" s="173"/>
      <c r="D146" s="269" t="s">
        <v>991</v>
      </c>
      <c r="E146" s="170"/>
      <c r="F146" s="576">
        <f>K149</f>
        <v>29.25</v>
      </c>
      <c r="G146" s="170" t="s">
        <v>995</v>
      </c>
      <c r="H146" s="579" t="s">
        <v>854</v>
      </c>
      <c r="I146" s="580">
        <v>108</v>
      </c>
      <c r="J146" s="582">
        <f>(I146-I145)/I145</f>
        <v>-7.6923076923076927E-2</v>
      </c>
      <c r="K146" s="580">
        <v>30</v>
      </c>
      <c r="L146" s="580">
        <v>100</v>
      </c>
      <c r="M146" s="582">
        <f>(L146-L145)/L145</f>
        <v>-9.0909090909090912E-2</v>
      </c>
      <c r="N146" s="580">
        <v>27</v>
      </c>
      <c r="O146" s="583">
        <f>(L146-I146)/I146</f>
        <v>-7.407407407407407E-2</v>
      </c>
      <c r="U146" s="15"/>
      <c r="V146" s="15"/>
      <c r="W146" s="15"/>
      <c r="X146" s="15"/>
      <c r="Y146" s="15"/>
      <c r="Z146" s="171"/>
      <c r="AA146" s="275" t="s">
        <v>997</v>
      </c>
    </row>
    <row r="147" spans="1:27" x14ac:dyDescent="0.25">
      <c r="A147" s="14"/>
      <c r="B147" s="173"/>
      <c r="C147" s="173"/>
      <c r="D147" s="170" t="s">
        <v>992</v>
      </c>
      <c r="E147" s="170"/>
      <c r="F147" s="577">
        <f>F145*F142+F146*F143</f>
        <v>49317.1875</v>
      </c>
      <c r="G147" s="574"/>
      <c r="H147" s="579" t="s">
        <v>855</v>
      </c>
      <c r="I147" s="580">
        <v>99</v>
      </c>
      <c r="J147" s="582">
        <f>(I147-I146)/I146</f>
        <v>-8.3333333333333329E-2</v>
      </c>
      <c r="K147" s="580">
        <v>28</v>
      </c>
      <c r="L147" s="580">
        <v>88</v>
      </c>
      <c r="M147" s="582">
        <f>(L147-L146)/L146</f>
        <v>-0.12</v>
      </c>
      <c r="N147" s="580">
        <v>24</v>
      </c>
      <c r="O147" s="583">
        <f>(L147-I147)/I147</f>
        <v>-0.1111111111111111</v>
      </c>
      <c r="U147" s="15"/>
      <c r="V147" s="15"/>
      <c r="W147" s="15"/>
      <c r="X147" s="15"/>
      <c r="Y147" s="15"/>
      <c r="Z147" s="171"/>
      <c r="AA147" s="275"/>
    </row>
    <row r="148" spans="1:27" x14ac:dyDescent="0.25">
      <c r="A148" s="14"/>
      <c r="B148" s="173"/>
      <c r="C148" s="173"/>
      <c r="D148" s="574" t="s">
        <v>993</v>
      </c>
      <c r="E148" s="170"/>
      <c r="F148" s="8">
        <v>0.15</v>
      </c>
      <c r="G148" s="575" t="s">
        <v>859</v>
      </c>
      <c r="H148" s="579" t="s">
        <v>856</v>
      </c>
      <c r="I148" s="580">
        <v>93</v>
      </c>
      <c r="J148" s="582">
        <f>(I148-I147)/I147</f>
        <v>-6.0606060606060608E-2</v>
      </c>
      <c r="K148" s="580">
        <v>24</v>
      </c>
      <c r="L148" s="580">
        <v>82</v>
      </c>
      <c r="M148" s="582">
        <f>(L148-L147)/L147</f>
        <v>-6.8181818181818177E-2</v>
      </c>
      <c r="N148" s="580">
        <v>21</v>
      </c>
      <c r="O148" s="583">
        <f>(L148-I148)/I148</f>
        <v>-0.11827956989247312</v>
      </c>
      <c r="U148" s="15"/>
      <c r="V148" s="15"/>
      <c r="W148" s="15"/>
      <c r="X148" s="15"/>
      <c r="Y148" s="15"/>
      <c r="Z148" s="171"/>
      <c r="AA148" s="275" t="s">
        <v>997</v>
      </c>
    </row>
    <row r="149" spans="1:27" ht="13.8" thickBot="1" x14ac:dyDescent="0.3">
      <c r="A149" s="14"/>
      <c r="B149" s="173"/>
      <c r="C149" s="173"/>
      <c r="D149" s="170"/>
      <c r="E149" s="170"/>
      <c r="F149" s="17"/>
      <c r="H149" s="584" t="s">
        <v>858</v>
      </c>
      <c r="I149" s="585">
        <f>AVERAGE(I145:I148)</f>
        <v>104.25</v>
      </c>
      <c r="J149" s="586"/>
      <c r="K149" s="587">
        <f>AVERAGE(K145:K148)</f>
        <v>29.25</v>
      </c>
      <c r="L149" s="585">
        <f>AVERAGE(L145:L148)</f>
        <v>95</v>
      </c>
      <c r="M149" s="586"/>
      <c r="N149" s="585">
        <f>AVERAGE(N145:N148)</f>
        <v>26.25</v>
      </c>
      <c r="O149" s="588">
        <f>AVERAGE(O145:O148)</f>
        <v>-9.0823453726679534E-2</v>
      </c>
      <c r="U149" s="15"/>
      <c r="V149" s="15"/>
      <c r="W149" s="15"/>
      <c r="X149" s="15"/>
      <c r="Y149" s="15"/>
      <c r="Z149" s="171"/>
      <c r="AA149" s="275"/>
    </row>
    <row r="150" spans="1:27" x14ac:dyDescent="0.25">
      <c r="A150" s="14"/>
      <c r="B150" s="173"/>
      <c r="C150" s="173"/>
      <c r="D150" s="15" t="s">
        <v>998</v>
      </c>
      <c r="E150" s="170"/>
      <c r="F150" s="8">
        <v>-0.25</v>
      </c>
      <c r="U150" s="15"/>
      <c r="V150" s="15"/>
      <c r="W150" s="15"/>
      <c r="X150" s="15"/>
      <c r="Y150" s="15"/>
      <c r="Z150" s="171"/>
      <c r="AA150" s="275" t="s">
        <v>871</v>
      </c>
    </row>
    <row r="151" spans="1:27" x14ac:dyDescent="0.25">
      <c r="A151" s="14"/>
      <c r="B151" s="173"/>
      <c r="C151" s="173"/>
      <c r="D151" s="170"/>
      <c r="E151" s="170"/>
      <c r="F151" s="578"/>
      <c r="G151" s="170"/>
      <c r="H151" s="170"/>
      <c r="U151" s="15"/>
      <c r="V151" s="15"/>
      <c r="W151" s="15"/>
      <c r="X151" s="15"/>
      <c r="Y151" s="15"/>
      <c r="Z151" s="171"/>
      <c r="AA151" s="275"/>
    </row>
    <row r="152" spans="1:27" x14ac:dyDescent="0.25">
      <c r="A152" s="14"/>
      <c r="B152" s="173"/>
      <c r="C152" s="173"/>
      <c r="D152" s="574" t="s">
        <v>269</v>
      </c>
      <c r="E152" s="170"/>
      <c r="F152" s="10">
        <v>800</v>
      </c>
      <c r="G152" s="33" t="s">
        <v>996</v>
      </c>
      <c r="H152" s="170"/>
      <c r="U152" s="15"/>
      <c r="V152" s="15"/>
      <c r="W152" s="15"/>
      <c r="X152" s="15"/>
      <c r="Y152" s="15"/>
      <c r="Z152" s="171"/>
      <c r="AA152" s="278"/>
    </row>
    <row r="153" spans="1:27" x14ac:dyDescent="0.25">
      <c r="A153" s="14"/>
      <c r="B153" s="173"/>
      <c r="C153" s="173"/>
      <c r="D153" s="574"/>
      <c r="E153" s="170"/>
      <c r="F153" s="578"/>
      <c r="G153" s="277"/>
      <c r="H153" s="170"/>
      <c r="I153" s="26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71"/>
      <c r="AA153" s="278"/>
    </row>
    <row r="154" spans="1:27" x14ac:dyDescent="0.25">
      <c r="A154" s="14"/>
      <c r="B154" s="173"/>
      <c r="C154" s="173"/>
      <c r="D154" s="574" t="s">
        <v>395</v>
      </c>
      <c r="E154" s="170"/>
      <c r="F154" s="10">
        <v>500</v>
      </c>
      <c r="G154" s="170"/>
      <c r="H154" s="170"/>
      <c r="I154" s="26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71"/>
      <c r="AA154" s="172"/>
    </row>
    <row r="155" spans="1:27" x14ac:dyDescent="0.25">
      <c r="A155" s="14"/>
      <c r="B155" s="173"/>
      <c r="C155" s="173"/>
      <c r="D155" s="574"/>
      <c r="E155" s="170"/>
      <c r="F155" s="276"/>
      <c r="G155" s="170"/>
      <c r="H155" s="170"/>
      <c r="I155" s="26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71"/>
      <c r="AA155" s="172"/>
    </row>
    <row r="156" spans="1:27" x14ac:dyDescent="0.25">
      <c r="A156" s="14"/>
      <c r="B156" s="173"/>
      <c r="C156" s="173"/>
      <c r="D156" s="170" t="s">
        <v>238</v>
      </c>
      <c r="E156" s="170"/>
      <c r="F156" s="279">
        <f t="shared" ref="F156:Y156" si="54">$F$143*$F$141</f>
        <v>400.00000000000006</v>
      </c>
      <c r="G156" s="279">
        <f t="shared" si="54"/>
        <v>400.00000000000006</v>
      </c>
      <c r="H156" s="279">
        <f t="shared" si="54"/>
        <v>400.00000000000006</v>
      </c>
      <c r="I156" s="279">
        <f t="shared" si="54"/>
        <v>400.00000000000006</v>
      </c>
      <c r="J156" s="279">
        <f t="shared" si="54"/>
        <v>400.00000000000006</v>
      </c>
      <c r="K156" s="279">
        <f t="shared" si="54"/>
        <v>400.00000000000006</v>
      </c>
      <c r="L156" s="279">
        <f t="shared" si="54"/>
        <v>400.00000000000006</v>
      </c>
      <c r="M156" s="279">
        <f t="shared" si="54"/>
        <v>400.00000000000006</v>
      </c>
      <c r="N156" s="279">
        <f t="shared" si="54"/>
        <v>400.00000000000006</v>
      </c>
      <c r="O156" s="279">
        <f t="shared" si="54"/>
        <v>400.00000000000006</v>
      </c>
      <c r="P156" s="279">
        <f t="shared" si="54"/>
        <v>400.00000000000006</v>
      </c>
      <c r="Q156" s="279">
        <f t="shared" si="54"/>
        <v>400.00000000000006</v>
      </c>
      <c r="R156" s="279">
        <f t="shared" si="54"/>
        <v>400.00000000000006</v>
      </c>
      <c r="S156" s="279">
        <f t="shared" si="54"/>
        <v>400.00000000000006</v>
      </c>
      <c r="T156" s="279">
        <f t="shared" si="54"/>
        <v>400.00000000000006</v>
      </c>
      <c r="U156" s="279">
        <f t="shared" si="54"/>
        <v>400.00000000000006</v>
      </c>
      <c r="V156" s="279">
        <f t="shared" si="54"/>
        <v>400.00000000000006</v>
      </c>
      <c r="W156" s="279">
        <f t="shared" si="54"/>
        <v>400.00000000000006</v>
      </c>
      <c r="X156" s="279">
        <f t="shared" si="54"/>
        <v>400.00000000000006</v>
      </c>
      <c r="Y156" s="279">
        <f t="shared" si="54"/>
        <v>400.00000000000006</v>
      </c>
      <c r="Z156" s="171"/>
      <c r="AA156" s="172"/>
    </row>
    <row r="157" spans="1:27" x14ac:dyDescent="0.25">
      <c r="A157" s="14"/>
      <c r="B157" s="173"/>
      <c r="C157" s="173"/>
      <c r="D157" s="170"/>
      <c r="E157" s="170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171"/>
      <c r="AA157" s="172"/>
    </row>
    <row r="158" spans="1:27" x14ac:dyDescent="0.25">
      <c r="A158" s="14"/>
      <c r="B158" s="173"/>
      <c r="C158" s="173"/>
      <c r="D158" s="170" t="s">
        <v>866</v>
      </c>
      <c r="E158" s="170"/>
      <c r="F158" s="280">
        <f>IF(G158="Yes",2,1)</f>
        <v>1</v>
      </c>
      <c r="G158" s="267" t="s">
        <v>867</v>
      </c>
      <c r="H158" s="279"/>
      <c r="I158" s="279"/>
      <c r="J158" s="279"/>
      <c r="K158" s="279"/>
      <c r="L158" s="279"/>
      <c r="M158" s="279"/>
      <c r="N158" s="279"/>
      <c r="O158" s="279"/>
      <c r="P158" s="279"/>
      <c r="Q158" s="279"/>
      <c r="R158" s="279"/>
      <c r="S158" s="279"/>
      <c r="T158" s="279"/>
      <c r="U158" s="279"/>
      <c r="V158" s="279"/>
      <c r="W158" s="279"/>
      <c r="X158" s="279"/>
      <c r="Y158" s="279"/>
      <c r="Z158" s="171"/>
      <c r="AA158" s="172"/>
    </row>
    <row r="159" spans="1:27" x14ac:dyDescent="0.25">
      <c r="A159" s="14"/>
      <c r="B159" s="173"/>
      <c r="C159" s="173"/>
      <c r="D159" s="170"/>
      <c r="E159" s="170"/>
      <c r="F159" s="614"/>
      <c r="G159" s="615"/>
      <c r="H159" s="279"/>
      <c r="I159" s="279"/>
      <c r="J159" s="279"/>
      <c r="K159" s="279"/>
      <c r="L159" s="279"/>
      <c r="M159" s="279"/>
      <c r="N159" s="279"/>
      <c r="O159" s="279"/>
      <c r="P159" s="279"/>
      <c r="Q159" s="279"/>
      <c r="R159" s="279"/>
      <c r="S159" s="279"/>
      <c r="T159" s="279"/>
      <c r="U159" s="279"/>
      <c r="V159" s="279"/>
      <c r="W159" s="279"/>
      <c r="X159" s="279"/>
      <c r="Y159" s="279"/>
      <c r="Z159" s="171"/>
      <c r="AA159" s="172"/>
    </row>
    <row r="160" spans="1:27" x14ac:dyDescent="0.25">
      <c r="A160" s="14"/>
      <c r="B160" s="173"/>
      <c r="C160" s="173"/>
      <c r="D160" s="170" t="s">
        <v>1097</v>
      </c>
      <c r="E160" s="170"/>
      <c r="F160" s="8">
        <v>0.2</v>
      </c>
      <c r="G160" s="575" t="s">
        <v>1098</v>
      </c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171"/>
      <c r="AA160" s="172"/>
    </row>
    <row r="161" spans="1:27" ht="13.8" thickBot="1" x14ac:dyDescent="0.3">
      <c r="A161" s="31"/>
      <c r="B161" s="209"/>
      <c r="C161" s="209"/>
      <c r="D161" s="13"/>
      <c r="E161" s="13"/>
      <c r="F161" s="18"/>
      <c r="G161" s="18"/>
      <c r="H161" s="223"/>
      <c r="I161" s="249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11"/>
      <c r="AA161" s="212"/>
    </row>
    <row r="162" spans="1:27" x14ac:dyDescent="0.25">
      <c r="A162" s="213"/>
      <c r="B162" s="163"/>
      <c r="C162" s="163"/>
      <c r="D162" s="164"/>
      <c r="E162" s="164"/>
      <c r="F162" s="170"/>
      <c r="G162" s="170"/>
      <c r="H162" s="164"/>
      <c r="I162" s="2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6"/>
      <c r="AA162" s="167"/>
    </row>
    <row r="163" spans="1:27" x14ac:dyDescent="0.25">
      <c r="A163" s="14"/>
      <c r="B163" s="169" t="s">
        <v>82</v>
      </c>
      <c r="C163" s="173"/>
      <c r="D163" s="170"/>
      <c r="E163" s="170"/>
      <c r="F163" s="170"/>
      <c r="G163" s="170"/>
      <c r="H163" s="170"/>
      <c r="I163" s="26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71"/>
      <c r="AA163" s="172"/>
    </row>
    <row r="164" spans="1:27" x14ac:dyDescent="0.25">
      <c r="A164" s="14"/>
      <c r="B164" s="169"/>
      <c r="C164" s="173"/>
      <c r="D164" s="170"/>
      <c r="E164" s="170"/>
      <c r="F164" s="170"/>
      <c r="G164" s="170"/>
      <c r="H164" s="170"/>
      <c r="I164" s="26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71"/>
      <c r="AA164" s="172"/>
    </row>
    <row r="165" spans="1:27" x14ac:dyDescent="0.25">
      <c r="A165" s="14"/>
      <c r="B165" s="173"/>
      <c r="C165" s="173"/>
      <c r="D165" s="180" t="s">
        <v>16</v>
      </c>
      <c r="E165" s="177"/>
      <c r="F165" s="177"/>
      <c r="G165" s="177"/>
      <c r="H165" s="177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71"/>
      <c r="AA165" s="172"/>
    </row>
    <row r="166" spans="1:27" x14ac:dyDescent="0.25">
      <c r="A166" s="14"/>
      <c r="B166" s="173"/>
      <c r="C166" s="173"/>
      <c r="D166" s="170" t="s">
        <v>19</v>
      </c>
      <c r="E166" s="170"/>
      <c r="F166" s="274">
        <f>F132</f>
        <v>3</v>
      </c>
      <c r="G166" s="274">
        <f>G132</f>
        <v>3</v>
      </c>
      <c r="H166" s="274">
        <f>H132</f>
        <v>3</v>
      </c>
      <c r="I166" s="274">
        <f>I132</f>
        <v>3</v>
      </c>
      <c r="J166" s="274">
        <f t="shared" ref="J166:O166" si="55">J132</f>
        <v>3</v>
      </c>
      <c r="K166" s="274">
        <f t="shared" si="55"/>
        <v>3</v>
      </c>
      <c r="L166" s="274">
        <f t="shared" si="55"/>
        <v>3</v>
      </c>
      <c r="M166" s="274">
        <f t="shared" si="55"/>
        <v>3</v>
      </c>
      <c r="N166" s="274">
        <f t="shared" si="55"/>
        <v>3</v>
      </c>
      <c r="O166" s="274">
        <f t="shared" si="55"/>
        <v>3</v>
      </c>
      <c r="P166" s="274">
        <f t="shared" ref="P166:Y166" si="56">P132</f>
        <v>3</v>
      </c>
      <c r="Q166" s="274">
        <f t="shared" si="56"/>
        <v>3</v>
      </c>
      <c r="R166" s="274">
        <f t="shared" si="56"/>
        <v>3</v>
      </c>
      <c r="S166" s="274">
        <f t="shared" si="56"/>
        <v>3</v>
      </c>
      <c r="T166" s="274">
        <f t="shared" si="56"/>
        <v>3</v>
      </c>
      <c r="U166" s="274">
        <f t="shared" si="56"/>
        <v>3</v>
      </c>
      <c r="V166" s="274">
        <f t="shared" si="56"/>
        <v>3</v>
      </c>
      <c r="W166" s="274">
        <f t="shared" si="56"/>
        <v>3</v>
      </c>
      <c r="X166" s="274">
        <f t="shared" si="56"/>
        <v>3</v>
      </c>
      <c r="Y166" s="274">
        <f t="shared" si="56"/>
        <v>3</v>
      </c>
      <c r="Z166" s="281"/>
      <c r="AA166" s="172"/>
    </row>
    <row r="167" spans="1:27" x14ac:dyDescent="0.25">
      <c r="A167" s="14"/>
      <c r="B167" s="173"/>
      <c r="C167" s="173"/>
      <c r="D167" s="170" t="s">
        <v>869</v>
      </c>
      <c r="E167" s="170"/>
      <c r="F167" s="238">
        <v>20000</v>
      </c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81"/>
      <c r="AA167" s="172" t="s">
        <v>1038</v>
      </c>
    </row>
    <row r="168" spans="1:27" x14ac:dyDescent="0.25">
      <c r="A168" s="14"/>
      <c r="B168" s="173"/>
      <c r="C168" s="173"/>
      <c r="D168" s="170" t="s">
        <v>17</v>
      </c>
      <c r="E168" s="170"/>
      <c r="F168" s="238">
        <v>500</v>
      </c>
      <c r="G168" s="282">
        <f t="shared" ref="G168:Y168" si="57">MIN($F$167,F168+G41*12)</f>
        <v>1100</v>
      </c>
      <c r="H168" s="282">
        <f t="shared" si="57"/>
        <v>1700</v>
      </c>
      <c r="I168" s="282">
        <f t="shared" si="57"/>
        <v>2300</v>
      </c>
      <c r="J168" s="282">
        <f t="shared" si="57"/>
        <v>2900</v>
      </c>
      <c r="K168" s="282">
        <f t="shared" si="57"/>
        <v>3500</v>
      </c>
      <c r="L168" s="282">
        <f t="shared" si="57"/>
        <v>4100</v>
      </c>
      <c r="M168" s="282">
        <f t="shared" si="57"/>
        <v>4700</v>
      </c>
      <c r="N168" s="282">
        <f t="shared" si="57"/>
        <v>5300</v>
      </c>
      <c r="O168" s="282">
        <f t="shared" si="57"/>
        <v>5900</v>
      </c>
      <c r="P168" s="282">
        <f t="shared" si="57"/>
        <v>6500</v>
      </c>
      <c r="Q168" s="282">
        <f t="shared" si="57"/>
        <v>7100</v>
      </c>
      <c r="R168" s="282">
        <f t="shared" si="57"/>
        <v>7700</v>
      </c>
      <c r="S168" s="282">
        <f t="shared" si="57"/>
        <v>8300</v>
      </c>
      <c r="T168" s="282">
        <f t="shared" si="57"/>
        <v>8900</v>
      </c>
      <c r="U168" s="282">
        <f t="shared" si="57"/>
        <v>9500</v>
      </c>
      <c r="V168" s="282">
        <f t="shared" si="57"/>
        <v>10100</v>
      </c>
      <c r="W168" s="282">
        <f t="shared" si="57"/>
        <v>10700</v>
      </c>
      <c r="X168" s="282">
        <f t="shared" si="57"/>
        <v>11300</v>
      </c>
      <c r="Y168" s="282">
        <f t="shared" si="57"/>
        <v>11900</v>
      </c>
      <c r="Z168" s="171"/>
      <c r="AA168" s="172"/>
    </row>
    <row r="169" spans="1:27" x14ac:dyDescent="0.25">
      <c r="A169" s="14"/>
      <c r="B169" s="173"/>
      <c r="C169" s="173"/>
      <c r="D169" s="170" t="s">
        <v>22</v>
      </c>
      <c r="E169" s="170"/>
      <c r="F169" s="205">
        <f>$F$152</f>
        <v>800</v>
      </c>
      <c r="G169" s="205">
        <f t="shared" ref="G169:Y169" si="58">$F$152</f>
        <v>800</v>
      </c>
      <c r="H169" s="205">
        <f t="shared" si="58"/>
        <v>800</v>
      </c>
      <c r="I169" s="205">
        <f t="shared" si="58"/>
        <v>800</v>
      </c>
      <c r="J169" s="205">
        <f t="shared" si="58"/>
        <v>800</v>
      </c>
      <c r="K169" s="205">
        <f t="shared" si="58"/>
        <v>800</v>
      </c>
      <c r="L169" s="205">
        <f t="shared" si="58"/>
        <v>800</v>
      </c>
      <c r="M169" s="205">
        <f t="shared" si="58"/>
        <v>800</v>
      </c>
      <c r="N169" s="205">
        <f t="shared" si="58"/>
        <v>800</v>
      </c>
      <c r="O169" s="205">
        <f t="shared" si="58"/>
        <v>800</v>
      </c>
      <c r="P169" s="205">
        <f t="shared" si="58"/>
        <v>800</v>
      </c>
      <c r="Q169" s="205">
        <f t="shared" si="58"/>
        <v>800</v>
      </c>
      <c r="R169" s="205">
        <f t="shared" si="58"/>
        <v>800</v>
      </c>
      <c r="S169" s="205">
        <f t="shared" si="58"/>
        <v>800</v>
      </c>
      <c r="T169" s="205">
        <f t="shared" si="58"/>
        <v>800</v>
      </c>
      <c r="U169" s="205">
        <f t="shared" si="58"/>
        <v>800</v>
      </c>
      <c r="V169" s="205">
        <f t="shared" si="58"/>
        <v>800</v>
      </c>
      <c r="W169" s="205">
        <f t="shared" si="58"/>
        <v>800</v>
      </c>
      <c r="X169" s="205">
        <f t="shared" si="58"/>
        <v>800</v>
      </c>
      <c r="Y169" s="205">
        <f t="shared" si="58"/>
        <v>800</v>
      </c>
      <c r="Z169" s="171"/>
      <c r="AA169" s="172"/>
    </row>
    <row r="170" spans="1:27" x14ac:dyDescent="0.25">
      <c r="A170" s="14"/>
      <c r="B170" s="173"/>
      <c r="C170" s="173"/>
      <c r="D170" s="170"/>
      <c r="E170" s="170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71"/>
      <c r="AA170" s="172"/>
    </row>
    <row r="171" spans="1:27" x14ac:dyDescent="0.25">
      <c r="A171" s="14"/>
      <c r="B171" s="173"/>
      <c r="C171" s="173"/>
      <c r="D171" s="170" t="s">
        <v>18</v>
      </c>
      <c r="E171" s="170"/>
      <c r="F171" s="226">
        <v>50</v>
      </c>
      <c r="G171" s="182">
        <f>F171*(1+G172)</f>
        <v>42.5</v>
      </c>
      <c r="H171" s="182">
        <f t="shared" ref="H171:O171" si="59">G171*(1+H172)</f>
        <v>36.125</v>
      </c>
      <c r="I171" s="182">
        <f t="shared" si="59"/>
        <v>30.706250000000001</v>
      </c>
      <c r="J171" s="182">
        <f t="shared" si="59"/>
        <v>26.100312500000001</v>
      </c>
      <c r="K171" s="182">
        <f t="shared" si="59"/>
        <v>22.185265625</v>
      </c>
      <c r="L171" s="182">
        <f t="shared" si="59"/>
        <v>18.857475781249999</v>
      </c>
      <c r="M171" s="182">
        <f t="shared" si="59"/>
        <v>16.028854414062497</v>
      </c>
      <c r="N171" s="182">
        <f t="shared" si="59"/>
        <v>13.624526251953123</v>
      </c>
      <c r="O171" s="182">
        <f t="shared" si="59"/>
        <v>11.580847314160154</v>
      </c>
      <c r="P171" s="182">
        <f t="shared" ref="P171:Y171" si="60">O171*(1+P172)</f>
        <v>9.8437202170361306</v>
      </c>
      <c r="Q171" s="182">
        <f t="shared" si="60"/>
        <v>8.3671621844807103</v>
      </c>
      <c r="R171" s="182">
        <f t="shared" si="60"/>
        <v>7.1120878568086034</v>
      </c>
      <c r="S171" s="182">
        <f t="shared" si="60"/>
        <v>6.0452746782873126</v>
      </c>
      <c r="T171" s="182">
        <f t="shared" si="60"/>
        <v>5.1384834765442156</v>
      </c>
      <c r="U171" s="182">
        <f t="shared" si="60"/>
        <v>4.3677109550625834</v>
      </c>
      <c r="V171" s="182">
        <f t="shared" si="60"/>
        <v>3.7125543118031956</v>
      </c>
      <c r="W171" s="182">
        <f t="shared" si="60"/>
        <v>3.1556711650327163</v>
      </c>
      <c r="X171" s="182">
        <f t="shared" si="60"/>
        <v>2.6823204902778088</v>
      </c>
      <c r="Y171" s="182">
        <f t="shared" si="60"/>
        <v>2.2799724167361375</v>
      </c>
      <c r="Z171" s="182"/>
      <c r="AA171" s="172" t="s">
        <v>835</v>
      </c>
    </row>
    <row r="172" spans="1:27" x14ac:dyDescent="0.25">
      <c r="A172" s="14"/>
      <c r="B172" s="173"/>
      <c r="C172" s="173"/>
      <c r="D172" s="185" t="s">
        <v>136</v>
      </c>
      <c r="E172" s="170"/>
      <c r="F172" s="182"/>
      <c r="G172" s="220">
        <v>-0.15</v>
      </c>
      <c r="H172" s="220">
        <v>-0.15</v>
      </c>
      <c r="I172" s="220">
        <v>-0.15</v>
      </c>
      <c r="J172" s="220">
        <v>-0.15</v>
      </c>
      <c r="K172" s="220">
        <v>-0.15</v>
      </c>
      <c r="L172" s="220">
        <v>-0.15</v>
      </c>
      <c r="M172" s="220">
        <v>-0.15</v>
      </c>
      <c r="N172" s="220">
        <v>-0.15</v>
      </c>
      <c r="O172" s="220">
        <v>-0.15</v>
      </c>
      <c r="P172" s="220">
        <v>-0.15</v>
      </c>
      <c r="Q172" s="220">
        <v>-0.15</v>
      </c>
      <c r="R172" s="220">
        <v>-0.15</v>
      </c>
      <c r="S172" s="220">
        <v>-0.15</v>
      </c>
      <c r="T172" s="220">
        <v>-0.15</v>
      </c>
      <c r="U172" s="220">
        <v>-0.15</v>
      </c>
      <c r="V172" s="220">
        <v>-0.15</v>
      </c>
      <c r="W172" s="220">
        <v>-0.15</v>
      </c>
      <c r="X172" s="220">
        <v>-0.15</v>
      </c>
      <c r="Y172" s="220">
        <v>-0.15</v>
      </c>
      <c r="Z172" s="182"/>
      <c r="AA172" s="172"/>
    </row>
    <row r="173" spans="1:27" x14ac:dyDescent="0.25">
      <c r="A173" s="14"/>
      <c r="B173" s="173"/>
      <c r="C173" s="173"/>
      <c r="D173" s="185" t="s">
        <v>191</v>
      </c>
      <c r="E173" s="170"/>
      <c r="F173" s="221">
        <v>50</v>
      </c>
      <c r="G173" s="221">
        <v>50</v>
      </c>
      <c r="H173" s="221">
        <v>50</v>
      </c>
      <c r="I173" s="221">
        <v>50</v>
      </c>
      <c r="J173" s="221">
        <v>50</v>
      </c>
      <c r="K173" s="221">
        <v>50</v>
      </c>
      <c r="L173" s="221">
        <v>50</v>
      </c>
      <c r="M173" s="221">
        <v>50</v>
      </c>
      <c r="N173" s="221">
        <v>50</v>
      </c>
      <c r="O173" s="221">
        <v>50</v>
      </c>
      <c r="P173" s="221">
        <v>50</v>
      </c>
      <c r="Q173" s="221">
        <v>50</v>
      </c>
      <c r="R173" s="221">
        <v>50</v>
      </c>
      <c r="S173" s="221">
        <v>50</v>
      </c>
      <c r="T173" s="221">
        <v>50</v>
      </c>
      <c r="U173" s="221">
        <v>50</v>
      </c>
      <c r="V173" s="221">
        <v>50</v>
      </c>
      <c r="W173" s="221">
        <v>50</v>
      </c>
      <c r="X173" s="221">
        <v>50</v>
      </c>
      <c r="Y173" s="221">
        <v>50</v>
      </c>
      <c r="Z173" s="182"/>
      <c r="AA173" s="172" t="s">
        <v>835</v>
      </c>
    </row>
    <row r="174" spans="1:27" x14ac:dyDescent="0.25">
      <c r="A174" s="14"/>
      <c r="B174" s="173"/>
      <c r="C174" s="173"/>
      <c r="D174" s="170"/>
      <c r="E174" s="170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72"/>
    </row>
    <row r="175" spans="1:27" s="38" customFormat="1" x14ac:dyDescent="0.25">
      <c r="A175" s="183"/>
      <c r="B175" s="184"/>
      <c r="C175" s="184"/>
      <c r="D175" s="185" t="s">
        <v>43</v>
      </c>
      <c r="E175" s="185"/>
      <c r="F175" s="182">
        <f>F156</f>
        <v>400.00000000000006</v>
      </c>
      <c r="G175" s="182">
        <f t="shared" ref="G175:Y175" si="61">G156</f>
        <v>400.00000000000006</v>
      </c>
      <c r="H175" s="182">
        <f t="shared" si="61"/>
        <v>400.00000000000006</v>
      </c>
      <c r="I175" s="182">
        <f t="shared" si="61"/>
        <v>400.00000000000006</v>
      </c>
      <c r="J175" s="182">
        <f t="shared" si="61"/>
        <v>400.00000000000006</v>
      </c>
      <c r="K175" s="182">
        <f t="shared" si="61"/>
        <v>400.00000000000006</v>
      </c>
      <c r="L175" s="182">
        <f t="shared" si="61"/>
        <v>400.00000000000006</v>
      </c>
      <c r="M175" s="182">
        <f t="shared" si="61"/>
        <v>400.00000000000006</v>
      </c>
      <c r="N175" s="182">
        <f t="shared" si="61"/>
        <v>400.00000000000006</v>
      </c>
      <c r="O175" s="182">
        <f t="shared" si="61"/>
        <v>400.00000000000006</v>
      </c>
      <c r="P175" s="182">
        <f t="shared" si="61"/>
        <v>400.00000000000006</v>
      </c>
      <c r="Q175" s="182">
        <f t="shared" si="61"/>
        <v>400.00000000000006</v>
      </c>
      <c r="R175" s="182">
        <f t="shared" si="61"/>
        <v>400.00000000000006</v>
      </c>
      <c r="S175" s="182">
        <f t="shared" si="61"/>
        <v>400.00000000000006</v>
      </c>
      <c r="T175" s="182">
        <f t="shared" si="61"/>
        <v>400.00000000000006</v>
      </c>
      <c r="U175" s="182">
        <f t="shared" si="61"/>
        <v>400.00000000000006</v>
      </c>
      <c r="V175" s="182">
        <f t="shared" si="61"/>
        <v>400.00000000000006</v>
      </c>
      <c r="W175" s="182">
        <f t="shared" si="61"/>
        <v>400.00000000000006</v>
      </c>
      <c r="X175" s="182">
        <f t="shared" si="61"/>
        <v>400.00000000000006</v>
      </c>
      <c r="Y175" s="182">
        <f t="shared" si="61"/>
        <v>400.00000000000006</v>
      </c>
      <c r="Z175" s="182"/>
      <c r="AA175" s="186"/>
    </row>
    <row r="176" spans="1:27" s="38" customFormat="1" x14ac:dyDescent="0.25">
      <c r="A176" s="183"/>
      <c r="B176" s="184"/>
      <c r="C176" s="184"/>
      <c r="D176" s="185"/>
      <c r="E176" s="185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6"/>
    </row>
    <row r="177" spans="1:27" s="38" customFormat="1" x14ac:dyDescent="0.25">
      <c r="A177" s="183"/>
      <c r="B177" s="184"/>
      <c r="C177" s="184"/>
      <c r="D177" s="185" t="s">
        <v>40</v>
      </c>
      <c r="E177" s="185"/>
      <c r="F177" s="182">
        <f>$F$147*(1+$F$148)</f>
        <v>56714.765624999993</v>
      </c>
      <c r="G177" s="182">
        <f>F177*(1+G178)</f>
        <v>42536.074218749993</v>
      </c>
      <c r="H177" s="182">
        <f>G177*(1+H178)</f>
        <v>31902.055664062493</v>
      </c>
      <c r="I177" s="182">
        <f>H177*(1+I178)</f>
        <v>23926.541748046868</v>
      </c>
      <c r="J177" s="182">
        <f t="shared" ref="J177:Y177" si="62">I177*(1+J178)</f>
        <v>17944.906311035149</v>
      </c>
      <c r="K177" s="182">
        <f t="shared" si="62"/>
        <v>13458.679733276362</v>
      </c>
      <c r="L177" s="182">
        <f t="shared" si="62"/>
        <v>10094.009799957272</v>
      </c>
      <c r="M177" s="182">
        <f t="shared" si="62"/>
        <v>7570.5073499679538</v>
      </c>
      <c r="N177" s="182">
        <f t="shared" si="62"/>
        <v>5677.8805124759656</v>
      </c>
      <c r="O177" s="182">
        <f t="shared" si="62"/>
        <v>4258.4103843569737</v>
      </c>
      <c r="P177" s="182">
        <f t="shared" si="62"/>
        <v>3193.8077882677303</v>
      </c>
      <c r="Q177" s="182">
        <f t="shared" si="62"/>
        <v>2395.3558412007978</v>
      </c>
      <c r="R177" s="182">
        <f t="shared" si="62"/>
        <v>1796.5168809005984</v>
      </c>
      <c r="S177" s="182">
        <f t="shared" si="62"/>
        <v>1347.3876606754488</v>
      </c>
      <c r="T177" s="182">
        <f t="shared" si="62"/>
        <v>1010.5407455065866</v>
      </c>
      <c r="U177" s="182">
        <f t="shared" si="62"/>
        <v>757.90555912994</v>
      </c>
      <c r="V177" s="182">
        <f t="shared" si="62"/>
        <v>568.42916934745494</v>
      </c>
      <c r="W177" s="182">
        <f t="shared" si="62"/>
        <v>426.32187701059121</v>
      </c>
      <c r="X177" s="182">
        <f t="shared" si="62"/>
        <v>319.74140775794342</v>
      </c>
      <c r="Y177" s="182">
        <f t="shared" si="62"/>
        <v>239.80605581845757</v>
      </c>
      <c r="Z177" s="182"/>
      <c r="AA177" s="186" t="s">
        <v>1039</v>
      </c>
    </row>
    <row r="178" spans="1:27" s="38" customFormat="1" x14ac:dyDescent="0.25">
      <c r="A178" s="183"/>
      <c r="B178" s="184"/>
      <c r="C178" s="184"/>
      <c r="D178" s="185" t="s">
        <v>125</v>
      </c>
      <c r="E178" s="185"/>
      <c r="F178" s="182"/>
      <c r="G178" s="195">
        <f>F150</f>
        <v>-0.25</v>
      </c>
      <c r="H178" s="195">
        <f>G178</f>
        <v>-0.25</v>
      </c>
      <c r="I178" s="195">
        <f t="shared" ref="I178:Y178" si="63">H178</f>
        <v>-0.25</v>
      </c>
      <c r="J178" s="195">
        <f t="shared" si="63"/>
        <v>-0.25</v>
      </c>
      <c r="K178" s="195">
        <f t="shared" si="63"/>
        <v>-0.25</v>
      </c>
      <c r="L178" s="195">
        <f t="shared" si="63"/>
        <v>-0.25</v>
      </c>
      <c r="M178" s="195">
        <f t="shared" si="63"/>
        <v>-0.25</v>
      </c>
      <c r="N178" s="195">
        <f t="shared" si="63"/>
        <v>-0.25</v>
      </c>
      <c r="O178" s="195">
        <f t="shared" si="63"/>
        <v>-0.25</v>
      </c>
      <c r="P178" s="195">
        <f t="shared" si="63"/>
        <v>-0.25</v>
      </c>
      <c r="Q178" s="195">
        <f t="shared" si="63"/>
        <v>-0.25</v>
      </c>
      <c r="R178" s="195">
        <f t="shared" si="63"/>
        <v>-0.25</v>
      </c>
      <c r="S178" s="195">
        <f t="shared" si="63"/>
        <v>-0.25</v>
      </c>
      <c r="T178" s="195">
        <f t="shared" si="63"/>
        <v>-0.25</v>
      </c>
      <c r="U178" s="195">
        <f t="shared" si="63"/>
        <v>-0.25</v>
      </c>
      <c r="V178" s="195">
        <f t="shared" si="63"/>
        <v>-0.25</v>
      </c>
      <c r="W178" s="195">
        <f t="shared" si="63"/>
        <v>-0.25</v>
      </c>
      <c r="X178" s="195">
        <f t="shared" si="63"/>
        <v>-0.25</v>
      </c>
      <c r="Y178" s="195">
        <f t="shared" si="63"/>
        <v>-0.25</v>
      </c>
      <c r="Z178" s="182"/>
      <c r="AA178" s="186"/>
    </row>
    <row r="179" spans="1:27" s="38" customFormat="1" x14ac:dyDescent="0.25">
      <c r="A179" s="183"/>
      <c r="B179" s="184"/>
      <c r="C179" s="184"/>
      <c r="D179" s="185" t="s">
        <v>46</v>
      </c>
      <c r="E179" s="185"/>
      <c r="F179" s="283">
        <v>5</v>
      </c>
      <c r="G179" s="284"/>
      <c r="H179" s="284"/>
      <c r="I179" s="284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182"/>
      <c r="AA179" s="172" t="s">
        <v>871</v>
      </c>
    </row>
    <row r="180" spans="1:27" s="38" customFormat="1" x14ac:dyDescent="0.25">
      <c r="A180" s="183"/>
      <c r="B180" s="184"/>
      <c r="C180" s="184"/>
      <c r="D180" s="185"/>
      <c r="E180" s="185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6"/>
    </row>
    <row r="181" spans="1:27" x14ac:dyDescent="0.25">
      <c r="A181" s="14"/>
      <c r="B181" s="173"/>
      <c r="C181" s="173"/>
      <c r="D181" s="170" t="s">
        <v>130</v>
      </c>
      <c r="E181" s="170"/>
      <c r="F181" s="220">
        <v>0</v>
      </c>
      <c r="G181" s="220">
        <f>F181</f>
        <v>0</v>
      </c>
      <c r="H181" s="220">
        <f t="shared" ref="H181:Y181" si="64">G181</f>
        <v>0</v>
      </c>
      <c r="I181" s="220">
        <f t="shared" si="64"/>
        <v>0</v>
      </c>
      <c r="J181" s="220">
        <f t="shared" si="64"/>
        <v>0</v>
      </c>
      <c r="K181" s="220">
        <f t="shared" si="64"/>
        <v>0</v>
      </c>
      <c r="L181" s="220">
        <f t="shared" si="64"/>
        <v>0</v>
      </c>
      <c r="M181" s="220">
        <f t="shared" si="64"/>
        <v>0</v>
      </c>
      <c r="N181" s="220">
        <f t="shared" si="64"/>
        <v>0</v>
      </c>
      <c r="O181" s="220">
        <f t="shared" si="64"/>
        <v>0</v>
      </c>
      <c r="P181" s="220">
        <f t="shared" si="64"/>
        <v>0</v>
      </c>
      <c r="Q181" s="220">
        <f t="shared" si="64"/>
        <v>0</v>
      </c>
      <c r="R181" s="220">
        <f t="shared" si="64"/>
        <v>0</v>
      </c>
      <c r="S181" s="220">
        <f t="shared" si="64"/>
        <v>0</v>
      </c>
      <c r="T181" s="220">
        <f t="shared" si="64"/>
        <v>0</v>
      </c>
      <c r="U181" s="220">
        <f t="shared" si="64"/>
        <v>0</v>
      </c>
      <c r="V181" s="220">
        <f t="shared" si="64"/>
        <v>0</v>
      </c>
      <c r="W181" s="220">
        <f t="shared" si="64"/>
        <v>0</v>
      </c>
      <c r="X181" s="220">
        <f t="shared" si="64"/>
        <v>0</v>
      </c>
      <c r="Y181" s="220">
        <f t="shared" si="64"/>
        <v>0</v>
      </c>
      <c r="Z181" s="182"/>
      <c r="AA181" s="172" t="s">
        <v>237</v>
      </c>
    </row>
    <row r="182" spans="1:27" x14ac:dyDescent="0.25">
      <c r="A182" s="14"/>
      <c r="B182" s="173"/>
      <c r="C182" s="173"/>
      <c r="D182" s="170" t="s">
        <v>180</v>
      </c>
      <c r="E182" s="170"/>
      <c r="F182" s="221">
        <v>0</v>
      </c>
      <c r="G182" s="221">
        <v>0</v>
      </c>
      <c r="H182" s="221">
        <v>0</v>
      </c>
      <c r="I182" s="221">
        <v>0</v>
      </c>
      <c r="J182" s="221">
        <v>0</v>
      </c>
      <c r="K182" s="221">
        <v>0</v>
      </c>
      <c r="L182" s="221">
        <v>0</v>
      </c>
      <c r="M182" s="221">
        <v>0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0</v>
      </c>
      <c r="X182" s="221">
        <v>0</v>
      </c>
      <c r="Y182" s="221">
        <v>0</v>
      </c>
      <c r="Z182" s="182"/>
      <c r="AA182" s="172" t="s">
        <v>237</v>
      </c>
    </row>
    <row r="183" spans="1:27" x14ac:dyDescent="0.25">
      <c r="A183" s="14"/>
      <c r="B183" s="173"/>
      <c r="C183" s="173"/>
      <c r="D183" s="170"/>
      <c r="E183" s="170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71"/>
      <c r="AA183" s="172"/>
    </row>
    <row r="184" spans="1:27" x14ac:dyDescent="0.25">
      <c r="A184" s="14"/>
      <c r="B184" s="173"/>
      <c r="C184" s="173"/>
      <c r="D184" s="180" t="s">
        <v>21</v>
      </c>
      <c r="E184" s="177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71"/>
      <c r="AA184" s="172" t="s">
        <v>1040</v>
      </c>
    </row>
    <row r="185" spans="1:27" x14ac:dyDescent="0.25">
      <c r="A185" s="14"/>
      <c r="B185" s="173"/>
      <c r="C185" s="173"/>
      <c r="D185" s="170" t="s">
        <v>20</v>
      </c>
      <c r="E185" s="170"/>
      <c r="F185" s="205">
        <f t="shared" ref="F185:Y185" si="65">$F$154</f>
        <v>500</v>
      </c>
      <c r="G185" s="205">
        <f t="shared" si="65"/>
        <v>500</v>
      </c>
      <c r="H185" s="205">
        <f t="shared" si="65"/>
        <v>500</v>
      </c>
      <c r="I185" s="205">
        <f t="shared" si="65"/>
        <v>500</v>
      </c>
      <c r="J185" s="205">
        <f t="shared" si="65"/>
        <v>500</v>
      </c>
      <c r="K185" s="205">
        <f t="shared" si="65"/>
        <v>500</v>
      </c>
      <c r="L185" s="205">
        <f t="shared" si="65"/>
        <v>500</v>
      </c>
      <c r="M185" s="205">
        <f t="shared" si="65"/>
        <v>500</v>
      </c>
      <c r="N185" s="205">
        <f t="shared" si="65"/>
        <v>500</v>
      </c>
      <c r="O185" s="205">
        <f t="shared" si="65"/>
        <v>500</v>
      </c>
      <c r="P185" s="205">
        <f t="shared" si="65"/>
        <v>500</v>
      </c>
      <c r="Q185" s="205">
        <f t="shared" si="65"/>
        <v>500</v>
      </c>
      <c r="R185" s="205">
        <f t="shared" si="65"/>
        <v>500</v>
      </c>
      <c r="S185" s="205">
        <f t="shared" si="65"/>
        <v>500</v>
      </c>
      <c r="T185" s="205">
        <f t="shared" si="65"/>
        <v>500</v>
      </c>
      <c r="U185" s="205">
        <f t="shared" si="65"/>
        <v>500</v>
      </c>
      <c r="V185" s="205">
        <f t="shared" si="65"/>
        <v>500</v>
      </c>
      <c r="W185" s="205">
        <f t="shared" si="65"/>
        <v>500</v>
      </c>
      <c r="X185" s="205">
        <f t="shared" si="65"/>
        <v>500</v>
      </c>
      <c r="Y185" s="205">
        <f t="shared" si="65"/>
        <v>500</v>
      </c>
      <c r="Z185" s="171"/>
      <c r="AA185" s="172" t="s">
        <v>1041</v>
      </c>
    </row>
    <row r="186" spans="1:27" x14ac:dyDescent="0.25">
      <c r="A186" s="14"/>
      <c r="B186" s="173"/>
      <c r="C186" s="173"/>
      <c r="D186" s="170" t="s">
        <v>22</v>
      </c>
      <c r="E186" s="170"/>
      <c r="F186" s="205">
        <f>$F$152</f>
        <v>800</v>
      </c>
      <c r="G186" s="205">
        <f t="shared" ref="G186:Y186" si="66">$F$152</f>
        <v>800</v>
      </c>
      <c r="H186" s="205">
        <f t="shared" si="66"/>
        <v>800</v>
      </c>
      <c r="I186" s="205">
        <f t="shared" si="66"/>
        <v>800</v>
      </c>
      <c r="J186" s="205">
        <f t="shared" si="66"/>
        <v>800</v>
      </c>
      <c r="K186" s="205">
        <f t="shared" si="66"/>
        <v>800</v>
      </c>
      <c r="L186" s="205">
        <f t="shared" si="66"/>
        <v>800</v>
      </c>
      <c r="M186" s="205">
        <f t="shared" si="66"/>
        <v>800</v>
      </c>
      <c r="N186" s="205">
        <f t="shared" si="66"/>
        <v>800</v>
      </c>
      <c r="O186" s="205">
        <f t="shared" si="66"/>
        <v>800</v>
      </c>
      <c r="P186" s="205">
        <f t="shared" si="66"/>
        <v>800</v>
      </c>
      <c r="Q186" s="205">
        <f t="shared" si="66"/>
        <v>800</v>
      </c>
      <c r="R186" s="205">
        <f t="shared" si="66"/>
        <v>800</v>
      </c>
      <c r="S186" s="205">
        <f t="shared" si="66"/>
        <v>800</v>
      </c>
      <c r="T186" s="205">
        <f t="shared" si="66"/>
        <v>800</v>
      </c>
      <c r="U186" s="205">
        <f t="shared" si="66"/>
        <v>800</v>
      </c>
      <c r="V186" s="205">
        <f t="shared" si="66"/>
        <v>800</v>
      </c>
      <c r="W186" s="205">
        <f t="shared" si="66"/>
        <v>800</v>
      </c>
      <c r="X186" s="205">
        <f t="shared" si="66"/>
        <v>800</v>
      </c>
      <c r="Y186" s="205">
        <f t="shared" si="66"/>
        <v>800</v>
      </c>
      <c r="Z186" s="171"/>
      <c r="AA186" s="172"/>
    </row>
    <row r="187" spans="1:27" x14ac:dyDescent="0.25">
      <c r="A187" s="14"/>
      <c r="B187" s="173"/>
      <c r="C187" s="173"/>
      <c r="D187" s="170"/>
      <c r="E187" s="170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2"/>
    </row>
    <row r="188" spans="1:27" x14ac:dyDescent="0.25">
      <c r="A188" s="14"/>
      <c r="B188" s="173"/>
      <c r="C188" s="173"/>
      <c r="D188" s="170" t="s">
        <v>141</v>
      </c>
      <c r="E188" s="170"/>
      <c r="F188" s="182">
        <f>F171</f>
        <v>50</v>
      </c>
      <c r="G188" s="182">
        <f>F188*(1+G189)</f>
        <v>42.5</v>
      </c>
      <c r="H188" s="182">
        <f t="shared" ref="H188:O188" si="67">G188*(1+H189)</f>
        <v>36.125</v>
      </c>
      <c r="I188" s="182">
        <f t="shared" si="67"/>
        <v>30.706250000000001</v>
      </c>
      <c r="J188" s="182">
        <f t="shared" si="67"/>
        <v>26.100312500000001</v>
      </c>
      <c r="K188" s="182">
        <f t="shared" si="67"/>
        <v>22.185265625</v>
      </c>
      <c r="L188" s="182">
        <f t="shared" si="67"/>
        <v>18.857475781249999</v>
      </c>
      <c r="M188" s="182">
        <f t="shared" si="67"/>
        <v>16.028854414062497</v>
      </c>
      <c r="N188" s="182">
        <f t="shared" si="67"/>
        <v>13.624526251953123</v>
      </c>
      <c r="O188" s="182">
        <f t="shared" si="67"/>
        <v>11.580847314160154</v>
      </c>
      <c r="P188" s="182">
        <f t="shared" ref="P188:Y188" si="68">O188*(1+P189)</f>
        <v>9.8437202170361306</v>
      </c>
      <c r="Q188" s="182">
        <f t="shared" si="68"/>
        <v>8.3671621844807103</v>
      </c>
      <c r="R188" s="182">
        <f t="shared" si="68"/>
        <v>7.1120878568086034</v>
      </c>
      <c r="S188" s="182">
        <f t="shared" si="68"/>
        <v>6.0452746782873126</v>
      </c>
      <c r="T188" s="182">
        <f t="shared" si="68"/>
        <v>5.1384834765442156</v>
      </c>
      <c r="U188" s="182">
        <f t="shared" si="68"/>
        <v>4.3677109550625834</v>
      </c>
      <c r="V188" s="182">
        <f t="shared" si="68"/>
        <v>3.7125543118031956</v>
      </c>
      <c r="W188" s="182">
        <f t="shared" si="68"/>
        <v>3.1556711650327163</v>
      </c>
      <c r="X188" s="182">
        <f t="shared" si="68"/>
        <v>2.6823204902778088</v>
      </c>
      <c r="Y188" s="182">
        <f t="shared" si="68"/>
        <v>2.2799724167361375</v>
      </c>
      <c r="Z188" s="182"/>
      <c r="AA188" s="172"/>
    </row>
    <row r="189" spans="1:27" x14ac:dyDescent="0.25">
      <c r="A189" s="14"/>
      <c r="B189" s="173"/>
      <c r="C189" s="173"/>
      <c r="D189" s="185" t="s">
        <v>136</v>
      </c>
      <c r="E189" s="170"/>
      <c r="F189" s="182"/>
      <c r="G189" s="195">
        <f>G172</f>
        <v>-0.15</v>
      </c>
      <c r="H189" s="195">
        <f t="shared" ref="H189:Y189" si="69">H172</f>
        <v>-0.15</v>
      </c>
      <c r="I189" s="195">
        <f t="shared" si="69"/>
        <v>-0.15</v>
      </c>
      <c r="J189" s="195">
        <f t="shared" si="69"/>
        <v>-0.15</v>
      </c>
      <c r="K189" s="195">
        <f t="shared" si="69"/>
        <v>-0.15</v>
      </c>
      <c r="L189" s="195">
        <f t="shared" si="69"/>
        <v>-0.15</v>
      </c>
      <c r="M189" s="195">
        <f t="shared" si="69"/>
        <v>-0.15</v>
      </c>
      <c r="N189" s="195">
        <f t="shared" si="69"/>
        <v>-0.15</v>
      </c>
      <c r="O189" s="195">
        <f t="shared" si="69"/>
        <v>-0.15</v>
      </c>
      <c r="P189" s="195">
        <f t="shared" si="69"/>
        <v>-0.15</v>
      </c>
      <c r="Q189" s="195">
        <f t="shared" si="69"/>
        <v>-0.15</v>
      </c>
      <c r="R189" s="195">
        <f t="shared" si="69"/>
        <v>-0.15</v>
      </c>
      <c r="S189" s="195">
        <f t="shared" si="69"/>
        <v>-0.15</v>
      </c>
      <c r="T189" s="195">
        <f t="shared" si="69"/>
        <v>-0.15</v>
      </c>
      <c r="U189" s="195">
        <f t="shared" si="69"/>
        <v>-0.15</v>
      </c>
      <c r="V189" s="195">
        <f t="shared" si="69"/>
        <v>-0.15</v>
      </c>
      <c r="W189" s="195">
        <f t="shared" si="69"/>
        <v>-0.15</v>
      </c>
      <c r="X189" s="195">
        <f t="shared" si="69"/>
        <v>-0.15</v>
      </c>
      <c r="Y189" s="195">
        <f t="shared" si="69"/>
        <v>-0.15</v>
      </c>
      <c r="Z189" s="182"/>
      <c r="AA189" s="172"/>
    </row>
    <row r="190" spans="1:27" x14ac:dyDescent="0.25">
      <c r="A190" s="14"/>
      <c r="B190" s="173"/>
      <c r="C190" s="173"/>
      <c r="D190" s="185" t="s">
        <v>191</v>
      </c>
      <c r="E190" s="170"/>
      <c r="F190" s="199">
        <f>F173</f>
        <v>50</v>
      </c>
      <c r="G190" s="199">
        <f t="shared" ref="G190:Y190" si="70">G173</f>
        <v>50</v>
      </c>
      <c r="H190" s="199">
        <f t="shared" si="70"/>
        <v>50</v>
      </c>
      <c r="I190" s="199">
        <f t="shared" si="70"/>
        <v>50</v>
      </c>
      <c r="J190" s="199">
        <f t="shared" si="70"/>
        <v>50</v>
      </c>
      <c r="K190" s="199">
        <f t="shared" si="70"/>
        <v>50</v>
      </c>
      <c r="L190" s="199">
        <f t="shared" si="70"/>
        <v>50</v>
      </c>
      <c r="M190" s="199">
        <f t="shared" si="70"/>
        <v>50</v>
      </c>
      <c r="N190" s="199">
        <f t="shared" si="70"/>
        <v>50</v>
      </c>
      <c r="O190" s="199">
        <f t="shared" si="70"/>
        <v>50</v>
      </c>
      <c r="P190" s="199">
        <f t="shared" si="70"/>
        <v>50</v>
      </c>
      <c r="Q190" s="199">
        <f t="shared" si="70"/>
        <v>50</v>
      </c>
      <c r="R190" s="199">
        <f t="shared" si="70"/>
        <v>50</v>
      </c>
      <c r="S190" s="199">
        <f t="shared" si="70"/>
        <v>50</v>
      </c>
      <c r="T190" s="199">
        <f t="shared" si="70"/>
        <v>50</v>
      </c>
      <c r="U190" s="199">
        <f t="shared" si="70"/>
        <v>50</v>
      </c>
      <c r="V190" s="199">
        <f t="shared" si="70"/>
        <v>50</v>
      </c>
      <c r="W190" s="199">
        <f t="shared" si="70"/>
        <v>50</v>
      </c>
      <c r="X190" s="199">
        <f t="shared" si="70"/>
        <v>50</v>
      </c>
      <c r="Y190" s="199">
        <f t="shared" si="70"/>
        <v>50</v>
      </c>
      <c r="Z190" s="182"/>
      <c r="AA190" s="172"/>
    </row>
    <row r="191" spans="1:27" x14ac:dyDescent="0.25">
      <c r="A191" s="14"/>
      <c r="B191" s="173"/>
      <c r="C191" s="173"/>
      <c r="D191" s="185"/>
      <c r="E191" s="170"/>
      <c r="F191" s="182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82"/>
      <c r="AA191" s="172"/>
    </row>
    <row r="192" spans="1:27" s="38" customFormat="1" x14ac:dyDescent="0.25">
      <c r="A192" s="183"/>
      <c r="B192" s="184"/>
      <c r="C192" s="184"/>
      <c r="D192" s="185" t="s">
        <v>44</v>
      </c>
      <c r="E192" s="185"/>
      <c r="F192" s="182">
        <f>F175</f>
        <v>400.00000000000006</v>
      </c>
      <c r="G192" s="182">
        <f t="shared" ref="G192:O192" si="71">G175</f>
        <v>400.00000000000006</v>
      </c>
      <c r="H192" s="182">
        <f t="shared" si="71"/>
        <v>400.00000000000006</v>
      </c>
      <c r="I192" s="182">
        <f t="shared" si="71"/>
        <v>400.00000000000006</v>
      </c>
      <c r="J192" s="182">
        <f t="shared" si="71"/>
        <v>400.00000000000006</v>
      </c>
      <c r="K192" s="182">
        <f t="shared" si="71"/>
        <v>400.00000000000006</v>
      </c>
      <c r="L192" s="182">
        <f t="shared" si="71"/>
        <v>400.00000000000006</v>
      </c>
      <c r="M192" s="182">
        <f t="shared" si="71"/>
        <v>400.00000000000006</v>
      </c>
      <c r="N192" s="182">
        <f t="shared" si="71"/>
        <v>400.00000000000006</v>
      </c>
      <c r="O192" s="182">
        <f t="shared" si="71"/>
        <v>400.00000000000006</v>
      </c>
      <c r="P192" s="182">
        <f t="shared" ref="P192:Y192" si="72">P175</f>
        <v>400.00000000000006</v>
      </c>
      <c r="Q192" s="182">
        <f t="shared" si="72"/>
        <v>400.00000000000006</v>
      </c>
      <c r="R192" s="182">
        <f t="shared" si="72"/>
        <v>400.00000000000006</v>
      </c>
      <c r="S192" s="182">
        <f t="shared" si="72"/>
        <v>400.00000000000006</v>
      </c>
      <c r="T192" s="182">
        <f t="shared" si="72"/>
        <v>400.00000000000006</v>
      </c>
      <c r="U192" s="182">
        <f t="shared" si="72"/>
        <v>400.00000000000006</v>
      </c>
      <c r="V192" s="182">
        <f t="shared" si="72"/>
        <v>400.00000000000006</v>
      </c>
      <c r="W192" s="182">
        <f t="shared" si="72"/>
        <v>400.00000000000006</v>
      </c>
      <c r="X192" s="182">
        <f t="shared" si="72"/>
        <v>400.00000000000006</v>
      </c>
      <c r="Y192" s="182">
        <f t="shared" si="72"/>
        <v>400.00000000000006</v>
      </c>
      <c r="Z192" s="182"/>
      <c r="AA192" s="186"/>
    </row>
    <row r="193" spans="1:27" s="38" customFormat="1" x14ac:dyDescent="0.25">
      <c r="A193" s="183"/>
      <c r="B193" s="184"/>
      <c r="C193" s="184"/>
      <c r="D193" s="185"/>
      <c r="E193" s="185"/>
      <c r="F193" s="182"/>
      <c r="Z193" s="182"/>
      <c r="AA193" s="186"/>
    </row>
    <row r="194" spans="1:27" s="38" customFormat="1" x14ac:dyDescent="0.25">
      <c r="A194" s="183"/>
      <c r="B194" s="184"/>
      <c r="C194" s="184"/>
      <c r="D194" s="185" t="s">
        <v>41</v>
      </c>
      <c r="E194" s="185"/>
      <c r="F194" s="182">
        <f>F177</f>
        <v>56714.765624999993</v>
      </c>
      <c r="G194" s="182">
        <f>F194*(1+G195)</f>
        <v>42536.074218749993</v>
      </c>
      <c r="H194" s="182">
        <f t="shared" ref="H194:O194" si="73">G194*(1+H195)</f>
        <v>31902.055664062493</v>
      </c>
      <c r="I194" s="182">
        <f t="shared" si="73"/>
        <v>23926.541748046868</v>
      </c>
      <c r="J194" s="182">
        <f t="shared" si="73"/>
        <v>17944.906311035149</v>
      </c>
      <c r="K194" s="182">
        <f t="shared" si="73"/>
        <v>13458.679733276362</v>
      </c>
      <c r="L194" s="182">
        <f t="shared" si="73"/>
        <v>10094.009799957272</v>
      </c>
      <c r="M194" s="182">
        <f t="shared" si="73"/>
        <v>7570.5073499679538</v>
      </c>
      <c r="N194" s="182">
        <f t="shared" si="73"/>
        <v>5677.8805124759656</v>
      </c>
      <c r="O194" s="182">
        <f t="shared" si="73"/>
        <v>4258.4103843569737</v>
      </c>
      <c r="P194" s="182">
        <f t="shared" ref="P194:Y194" si="74">O194*(1+P195)</f>
        <v>3193.8077882677303</v>
      </c>
      <c r="Q194" s="182">
        <f t="shared" si="74"/>
        <v>2395.3558412007978</v>
      </c>
      <c r="R194" s="182">
        <f t="shared" si="74"/>
        <v>1796.5168809005984</v>
      </c>
      <c r="S194" s="182">
        <f t="shared" si="74"/>
        <v>1347.3876606754488</v>
      </c>
      <c r="T194" s="182">
        <f t="shared" si="74"/>
        <v>1010.5407455065866</v>
      </c>
      <c r="U194" s="182">
        <f t="shared" si="74"/>
        <v>757.90555912994</v>
      </c>
      <c r="V194" s="182">
        <f t="shared" si="74"/>
        <v>568.42916934745494</v>
      </c>
      <c r="W194" s="182">
        <f t="shared" si="74"/>
        <v>426.32187701059121</v>
      </c>
      <c r="X194" s="182">
        <f t="shared" si="74"/>
        <v>319.74140775794342</v>
      </c>
      <c r="Y194" s="182">
        <f t="shared" si="74"/>
        <v>239.80605581845757</v>
      </c>
      <c r="Z194" s="182"/>
      <c r="AA194" s="186"/>
    </row>
    <row r="195" spans="1:27" s="38" customFormat="1" x14ac:dyDescent="0.25">
      <c r="A195" s="183"/>
      <c r="B195" s="184"/>
      <c r="C195" s="184"/>
      <c r="D195" s="185" t="s">
        <v>125</v>
      </c>
      <c r="E195" s="185"/>
      <c r="F195" s="182"/>
      <c r="G195" s="195">
        <f>G178</f>
        <v>-0.25</v>
      </c>
      <c r="H195" s="195">
        <f t="shared" ref="H195:Y195" si="75">H178</f>
        <v>-0.25</v>
      </c>
      <c r="I195" s="195">
        <f t="shared" si="75"/>
        <v>-0.25</v>
      </c>
      <c r="J195" s="195">
        <f t="shared" si="75"/>
        <v>-0.25</v>
      </c>
      <c r="K195" s="195">
        <f t="shared" si="75"/>
        <v>-0.25</v>
      </c>
      <c r="L195" s="195">
        <f t="shared" si="75"/>
        <v>-0.25</v>
      </c>
      <c r="M195" s="195">
        <f t="shared" si="75"/>
        <v>-0.25</v>
      </c>
      <c r="N195" s="195">
        <f t="shared" si="75"/>
        <v>-0.25</v>
      </c>
      <c r="O195" s="195">
        <f t="shared" si="75"/>
        <v>-0.25</v>
      </c>
      <c r="P195" s="195">
        <f t="shared" si="75"/>
        <v>-0.25</v>
      </c>
      <c r="Q195" s="195">
        <f t="shared" si="75"/>
        <v>-0.25</v>
      </c>
      <c r="R195" s="195">
        <f t="shared" si="75"/>
        <v>-0.25</v>
      </c>
      <c r="S195" s="195">
        <f t="shared" si="75"/>
        <v>-0.25</v>
      </c>
      <c r="T195" s="195">
        <f t="shared" si="75"/>
        <v>-0.25</v>
      </c>
      <c r="U195" s="195">
        <f t="shared" si="75"/>
        <v>-0.25</v>
      </c>
      <c r="V195" s="195">
        <f t="shared" si="75"/>
        <v>-0.25</v>
      </c>
      <c r="W195" s="195">
        <f t="shared" si="75"/>
        <v>-0.25</v>
      </c>
      <c r="X195" s="195">
        <f t="shared" si="75"/>
        <v>-0.25</v>
      </c>
      <c r="Y195" s="195">
        <f t="shared" si="75"/>
        <v>-0.25</v>
      </c>
      <c r="Z195" s="182"/>
      <c r="AA195" s="186"/>
    </row>
    <row r="196" spans="1:27" s="38" customFormat="1" x14ac:dyDescent="0.25">
      <c r="A196" s="183"/>
      <c r="B196" s="184"/>
      <c r="C196" s="184"/>
      <c r="D196" s="185" t="s">
        <v>46</v>
      </c>
      <c r="E196" s="185"/>
      <c r="F196" s="283">
        <f>F179</f>
        <v>5</v>
      </c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6"/>
    </row>
    <row r="197" spans="1:27" s="38" customFormat="1" x14ac:dyDescent="0.25">
      <c r="A197" s="183"/>
      <c r="B197" s="184"/>
      <c r="C197" s="184"/>
      <c r="D197" s="185"/>
      <c r="E197" s="185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6"/>
    </row>
    <row r="198" spans="1:27" x14ac:dyDescent="0.25">
      <c r="A198" s="183"/>
      <c r="B198" s="184"/>
      <c r="C198" s="184"/>
      <c r="D198" s="170" t="s">
        <v>130</v>
      </c>
      <c r="E198" s="170"/>
      <c r="F198" s="220">
        <v>0</v>
      </c>
      <c r="G198" s="220">
        <v>0</v>
      </c>
      <c r="H198" s="220">
        <v>0</v>
      </c>
      <c r="I198" s="220">
        <v>0</v>
      </c>
      <c r="J198" s="220">
        <v>0</v>
      </c>
      <c r="K198" s="220">
        <v>0</v>
      </c>
      <c r="L198" s="220">
        <v>0</v>
      </c>
      <c r="M198" s="220">
        <v>0</v>
      </c>
      <c r="N198" s="220">
        <v>0</v>
      </c>
      <c r="O198" s="220">
        <v>0</v>
      </c>
      <c r="P198" s="220">
        <v>0</v>
      </c>
      <c r="Q198" s="220">
        <v>0</v>
      </c>
      <c r="R198" s="220">
        <v>0</v>
      </c>
      <c r="S198" s="220">
        <v>0</v>
      </c>
      <c r="T198" s="220">
        <v>0</v>
      </c>
      <c r="U198" s="220">
        <v>0</v>
      </c>
      <c r="V198" s="220">
        <v>0</v>
      </c>
      <c r="W198" s="220">
        <v>0</v>
      </c>
      <c r="X198" s="220">
        <v>0</v>
      </c>
      <c r="Y198" s="220">
        <v>0</v>
      </c>
      <c r="Z198" s="182"/>
      <c r="AA198" s="172" t="s">
        <v>237</v>
      </c>
    </row>
    <row r="199" spans="1:27" x14ac:dyDescent="0.25">
      <c r="A199" s="183"/>
      <c r="B199" s="184"/>
      <c r="C199" s="184"/>
      <c r="D199" s="170" t="s">
        <v>180</v>
      </c>
      <c r="E199" s="170"/>
      <c r="F199" s="221">
        <v>0</v>
      </c>
      <c r="G199" s="221">
        <v>0</v>
      </c>
      <c r="H199" s="221">
        <v>0</v>
      </c>
      <c r="I199" s="221">
        <v>0</v>
      </c>
      <c r="J199" s="221">
        <v>0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0</v>
      </c>
      <c r="R199" s="221">
        <v>0</v>
      </c>
      <c r="S199" s="221">
        <v>0</v>
      </c>
      <c r="T199" s="221">
        <v>0</v>
      </c>
      <c r="U199" s="221">
        <v>0</v>
      </c>
      <c r="V199" s="221">
        <v>0</v>
      </c>
      <c r="W199" s="221">
        <v>0</v>
      </c>
      <c r="X199" s="221">
        <v>0</v>
      </c>
      <c r="Y199" s="221">
        <v>0</v>
      </c>
      <c r="Z199" s="182"/>
      <c r="AA199" s="172" t="s">
        <v>237</v>
      </c>
    </row>
    <row r="200" spans="1:27" s="38" customFormat="1" ht="13.8" thickBot="1" x14ac:dyDescent="0.3">
      <c r="A200" s="285"/>
      <c r="B200" s="286"/>
      <c r="C200" s="286"/>
      <c r="D200" s="223"/>
      <c r="E200" s="223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11"/>
      <c r="AA200" s="287"/>
    </row>
    <row r="201" spans="1:27" s="38" customFormat="1" x14ac:dyDescent="0.25">
      <c r="A201" s="288"/>
      <c r="B201" s="289"/>
      <c r="C201" s="289"/>
      <c r="D201" s="164"/>
      <c r="E201" s="164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6"/>
      <c r="AA201" s="290"/>
    </row>
    <row r="202" spans="1:27" s="38" customFormat="1" x14ac:dyDescent="0.25">
      <c r="A202" s="183"/>
      <c r="B202" s="291" t="s">
        <v>83</v>
      </c>
      <c r="C202" s="184"/>
      <c r="D202" s="170"/>
      <c r="E202" s="170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71"/>
      <c r="AA202" s="186"/>
    </row>
    <row r="203" spans="1:27" s="38" customFormat="1" x14ac:dyDescent="0.25">
      <c r="A203" s="183"/>
      <c r="B203" s="291"/>
      <c r="C203" s="184"/>
      <c r="D203" s="170"/>
      <c r="E203" s="170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71"/>
      <c r="AA203" s="186"/>
    </row>
    <row r="204" spans="1:27" s="38" customFormat="1" x14ac:dyDescent="0.25">
      <c r="A204" s="183"/>
      <c r="B204" s="291"/>
      <c r="C204" s="184"/>
      <c r="D204" s="170" t="s">
        <v>400</v>
      </c>
      <c r="E204" s="170"/>
      <c r="F204" s="8">
        <v>0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71"/>
      <c r="AA204" s="186" t="s">
        <v>999</v>
      </c>
    </row>
    <row r="205" spans="1:27" s="38" customFormat="1" x14ac:dyDescent="0.25">
      <c r="A205" s="183"/>
      <c r="B205" s="291"/>
      <c r="C205" s="184"/>
      <c r="D205" s="170" t="s">
        <v>401</v>
      </c>
      <c r="E205" s="170"/>
      <c r="F205" s="292">
        <f>1-F204</f>
        <v>1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71"/>
      <c r="AA205" s="186"/>
    </row>
    <row r="206" spans="1:27" s="38" customFormat="1" x14ac:dyDescent="0.25">
      <c r="A206" s="183"/>
      <c r="B206" s="184"/>
      <c r="C206" s="184"/>
      <c r="D206" s="170"/>
      <c r="E206" s="170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71"/>
      <c r="AA206" s="186"/>
    </row>
    <row r="207" spans="1:27" s="38" customFormat="1" x14ac:dyDescent="0.25">
      <c r="A207" s="183"/>
      <c r="B207" s="184"/>
      <c r="C207" s="184"/>
      <c r="D207" s="170" t="s">
        <v>402</v>
      </c>
      <c r="E207" s="170"/>
      <c r="F207" s="8">
        <v>0.8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71"/>
      <c r="AA207" s="186"/>
    </row>
    <row r="208" spans="1:27" s="38" customFormat="1" x14ac:dyDescent="0.25">
      <c r="A208" s="183"/>
      <c r="B208" s="184"/>
      <c r="C208" s="184"/>
      <c r="D208" s="170"/>
      <c r="E208" s="170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71"/>
      <c r="AA208" s="186"/>
    </row>
    <row r="209" spans="1:27" s="38" customFormat="1" x14ac:dyDescent="0.25">
      <c r="A209" s="183"/>
      <c r="B209" s="184"/>
      <c r="C209" s="184"/>
      <c r="D209" s="170"/>
      <c r="E209" s="170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71"/>
      <c r="AA209" s="186"/>
    </row>
    <row r="210" spans="1:27" s="38" customFormat="1" x14ac:dyDescent="0.25">
      <c r="A210" s="183"/>
      <c r="B210" s="184"/>
      <c r="C210" s="293" t="s">
        <v>84</v>
      </c>
      <c r="E210" s="215"/>
      <c r="F210" s="177"/>
      <c r="G210" s="177"/>
      <c r="H210" s="177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71"/>
      <c r="AA210" s="186" t="s">
        <v>1043</v>
      </c>
    </row>
    <row r="211" spans="1:27" s="38" customFormat="1" x14ac:dyDescent="0.25">
      <c r="A211" s="183"/>
      <c r="B211" s="184"/>
      <c r="C211" s="293"/>
      <c r="D211" s="185" t="s">
        <v>223</v>
      </c>
      <c r="E211" s="185"/>
      <c r="F211" s="294">
        <v>1.6</v>
      </c>
      <c r="G211" s="295">
        <f>F211*(1+G214)</f>
        <v>1.36</v>
      </c>
      <c r="H211" s="295">
        <f t="shared" ref="H211:O211" si="76">G211*(1+H214)</f>
        <v>1.1560000000000001</v>
      </c>
      <c r="I211" s="295">
        <f t="shared" si="76"/>
        <v>0.98260000000000014</v>
      </c>
      <c r="J211" s="295">
        <f t="shared" si="76"/>
        <v>0.83521000000000012</v>
      </c>
      <c r="K211" s="295">
        <f t="shared" si="76"/>
        <v>0.70992850000000007</v>
      </c>
      <c r="L211" s="295">
        <f t="shared" si="76"/>
        <v>0.60343922500000002</v>
      </c>
      <c r="M211" s="295">
        <f t="shared" si="76"/>
        <v>0.51292334125000005</v>
      </c>
      <c r="N211" s="295">
        <f t="shared" si="76"/>
        <v>0.43598484006250005</v>
      </c>
      <c r="O211" s="295">
        <f t="shared" si="76"/>
        <v>0.37058711405312506</v>
      </c>
      <c r="P211" s="295">
        <f t="shared" ref="P211:Y211" si="77">O211*(1+P214)</f>
        <v>0.31499904694515629</v>
      </c>
      <c r="Q211" s="295">
        <f t="shared" si="77"/>
        <v>0.26774918990338287</v>
      </c>
      <c r="R211" s="295">
        <f t="shared" si="77"/>
        <v>0.22758681141787543</v>
      </c>
      <c r="S211" s="295">
        <f t="shared" si="77"/>
        <v>0.19344878970519411</v>
      </c>
      <c r="T211" s="295">
        <f t="shared" si="77"/>
        <v>0.16443147124941498</v>
      </c>
      <c r="U211" s="295">
        <f t="shared" si="77"/>
        <v>0.13976675056200275</v>
      </c>
      <c r="V211" s="295">
        <f t="shared" si="77"/>
        <v>0.11880173797770233</v>
      </c>
      <c r="W211" s="295">
        <f t="shared" si="77"/>
        <v>0.10098147728104698</v>
      </c>
      <c r="X211" s="295">
        <f t="shared" si="77"/>
        <v>8.5834255688889929E-2</v>
      </c>
      <c r="Y211" s="295">
        <f t="shared" si="77"/>
        <v>7.2959117335556434E-2</v>
      </c>
      <c r="Z211" s="171"/>
      <c r="AA211" s="186" t="s">
        <v>1042</v>
      </c>
    </row>
    <row r="212" spans="1:27" s="38" customFormat="1" x14ac:dyDescent="0.25">
      <c r="A212" s="183"/>
      <c r="B212" s="184"/>
      <c r="C212" s="293"/>
      <c r="D212" s="185" t="s">
        <v>222</v>
      </c>
      <c r="E212" s="185"/>
      <c r="F212" s="294">
        <v>0.4</v>
      </c>
      <c r="G212" s="295">
        <f>F212*(1+G215)</f>
        <v>0.34</v>
      </c>
      <c r="H212" s="295">
        <f t="shared" ref="H212:O212" si="78">G212*(1+H215)</f>
        <v>0.28900000000000003</v>
      </c>
      <c r="I212" s="295">
        <f t="shared" si="78"/>
        <v>0.24565000000000003</v>
      </c>
      <c r="J212" s="295">
        <f t="shared" si="78"/>
        <v>0.20880250000000003</v>
      </c>
      <c r="K212" s="295">
        <f t="shared" si="78"/>
        <v>0.17748212500000002</v>
      </c>
      <c r="L212" s="295">
        <f t="shared" si="78"/>
        <v>0.15085980625000001</v>
      </c>
      <c r="M212" s="295">
        <f t="shared" si="78"/>
        <v>0.12823083531250001</v>
      </c>
      <c r="N212" s="295">
        <f t="shared" si="78"/>
        <v>0.10899621001562501</v>
      </c>
      <c r="O212" s="295">
        <f t="shared" si="78"/>
        <v>9.2646778513281264E-2</v>
      </c>
      <c r="P212" s="295">
        <f t="shared" ref="P212:Y212" si="79">O212*(1+P215)</f>
        <v>7.8749761736289073E-2</v>
      </c>
      <c r="Q212" s="295">
        <f t="shared" si="79"/>
        <v>6.6937297475845717E-2</v>
      </c>
      <c r="R212" s="295">
        <f t="shared" si="79"/>
        <v>5.6896702854468857E-2</v>
      </c>
      <c r="S212" s="295">
        <f t="shared" si="79"/>
        <v>4.8362197426298527E-2</v>
      </c>
      <c r="T212" s="295">
        <f t="shared" si="79"/>
        <v>4.1107867812353746E-2</v>
      </c>
      <c r="U212" s="295">
        <f t="shared" si="79"/>
        <v>3.4941687640500686E-2</v>
      </c>
      <c r="V212" s="295">
        <f t="shared" si="79"/>
        <v>2.9700434494425582E-2</v>
      </c>
      <c r="W212" s="295">
        <f t="shared" si="79"/>
        <v>2.5245369320261744E-2</v>
      </c>
      <c r="X212" s="295">
        <f t="shared" si="79"/>
        <v>2.1458563922222482E-2</v>
      </c>
      <c r="Y212" s="295">
        <f t="shared" si="79"/>
        <v>1.8239779333889108E-2</v>
      </c>
      <c r="Z212" s="171"/>
      <c r="AA212" s="186" t="s">
        <v>1042</v>
      </c>
    </row>
    <row r="213" spans="1:27" s="38" customFormat="1" x14ac:dyDescent="0.25">
      <c r="A213" s="183"/>
      <c r="B213" s="184"/>
      <c r="C213" s="293"/>
      <c r="D213" s="185"/>
      <c r="E213" s="185"/>
      <c r="F213" s="635"/>
      <c r="G213" s="63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171"/>
      <c r="AA213" s="186"/>
    </row>
    <row r="214" spans="1:27" s="38" customFormat="1" x14ac:dyDescent="0.25">
      <c r="A214" s="183"/>
      <c r="B214" s="184"/>
      <c r="C214" s="293"/>
      <c r="D214" s="185" t="s">
        <v>239</v>
      </c>
      <c r="E214" s="185"/>
      <c r="F214" s="295"/>
      <c r="G214" s="220">
        <v>-0.15</v>
      </c>
      <c r="H214" s="220">
        <v>-0.15</v>
      </c>
      <c r="I214" s="220">
        <v>-0.15</v>
      </c>
      <c r="J214" s="220">
        <v>-0.15</v>
      </c>
      <c r="K214" s="220">
        <v>-0.15</v>
      </c>
      <c r="L214" s="220">
        <v>-0.15</v>
      </c>
      <c r="M214" s="220">
        <v>-0.15</v>
      </c>
      <c r="N214" s="220">
        <v>-0.15</v>
      </c>
      <c r="O214" s="220">
        <v>-0.15</v>
      </c>
      <c r="P214" s="220">
        <v>-0.15</v>
      </c>
      <c r="Q214" s="220">
        <v>-0.15</v>
      </c>
      <c r="R214" s="220">
        <v>-0.15</v>
      </c>
      <c r="S214" s="220">
        <v>-0.15</v>
      </c>
      <c r="T214" s="220">
        <v>-0.15</v>
      </c>
      <c r="U214" s="220">
        <v>-0.15</v>
      </c>
      <c r="V214" s="220">
        <v>-0.15</v>
      </c>
      <c r="W214" s="220">
        <v>-0.15</v>
      </c>
      <c r="X214" s="220">
        <v>-0.15</v>
      </c>
      <c r="Y214" s="220">
        <v>-0.15</v>
      </c>
      <c r="Z214" s="171"/>
      <c r="AA214" s="186" t="s">
        <v>1042</v>
      </c>
    </row>
    <row r="215" spans="1:27" s="38" customFormat="1" x14ac:dyDescent="0.25">
      <c r="A215" s="183"/>
      <c r="B215" s="184"/>
      <c r="C215" s="293"/>
      <c r="D215" s="185" t="s">
        <v>240</v>
      </c>
      <c r="E215" s="185"/>
      <c r="F215" s="295"/>
      <c r="G215" s="220">
        <v>-0.15</v>
      </c>
      <c r="H215" s="220">
        <v>-0.15</v>
      </c>
      <c r="I215" s="220">
        <v>-0.15</v>
      </c>
      <c r="J215" s="220">
        <v>-0.15</v>
      </c>
      <c r="K215" s="220">
        <v>-0.15</v>
      </c>
      <c r="L215" s="220">
        <v>-0.15</v>
      </c>
      <c r="M215" s="220">
        <v>-0.15</v>
      </c>
      <c r="N215" s="220">
        <v>-0.15</v>
      </c>
      <c r="O215" s="220">
        <v>-0.15</v>
      </c>
      <c r="P215" s="220">
        <v>-0.15</v>
      </c>
      <c r="Q215" s="220">
        <v>-0.15</v>
      </c>
      <c r="R215" s="220">
        <v>-0.15</v>
      </c>
      <c r="S215" s="220">
        <v>-0.15</v>
      </c>
      <c r="T215" s="220">
        <v>-0.15</v>
      </c>
      <c r="U215" s="220">
        <v>-0.15</v>
      </c>
      <c r="V215" s="220">
        <v>-0.15</v>
      </c>
      <c r="W215" s="220">
        <v>-0.15</v>
      </c>
      <c r="X215" s="220">
        <v>-0.15</v>
      </c>
      <c r="Y215" s="220">
        <v>-0.15</v>
      </c>
      <c r="Z215" s="171"/>
      <c r="AA215" s="186"/>
    </row>
    <row r="216" spans="1:27" s="38" customFormat="1" x14ac:dyDescent="0.25">
      <c r="A216" s="183"/>
      <c r="B216" s="184"/>
      <c r="C216" s="293"/>
      <c r="D216" s="185"/>
      <c r="E216" s="185"/>
      <c r="F216" s="2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71"/>
      <c r="AA216" s="186"/>
    </row>
    <row r="217" spans="1:27" s="38" customFormat="1" x14ac:dyDescent="0.25">
      <c r="A217" s="183"/>
      <c r="B217" s="184"/>
      <c r="C217" s="293" t="s">
        <v>10</v>
      </c>
      <c r="E217" s="185"/>
      <c r="F217" s="2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71"/>
      <c r="AA217" s="186" t="s">
        <v>1044</v>
      </c>
    </row>
    <row r="218" spans="1:27" s="38" customFormat="1" x14ac:dyDescent="0.25">
      <c r="A218" s="183"/>
      <c r="B218" s="184"/>
      <c r="C218" s="293"/>
      <c r="D218" s="13" t="s">
        <v>249</v>
      </c>
      <c r="E218" s="13"/>
      <c r="F218" s="8">
        <v>-0.1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86" t="s">
        <v>1045</v>
      </c>
    </row>
    <row r="219" spans="1:27" s="38" customFormat="1" x14ac:dyDescent="0.25">
      <c r="A219" s="183"/>
      <c r="B219" s="184"/>
      <c r="C219" s="293"/>
      <c r="D219" s="13" t="s">
        <v>246</v>
      </c>
      <c r="E219" s="13"/>
      <c r="F219" s="9">
        <v>45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86" t="s">
        <v>1046</v>
      </c>
    </row>
    <row r="220" spans="1:27" s="38" customFormat="1" x14ac:dyDescent="0.25">
      <c r="A220" s="183"/>
      <c r="B220" s="184"/>
      <c r="C220" s="293"/>
      <c r="D220" s="13" t="s">
        <v>255</v>
      </c>
      <c r="E220" s="13"/>
      <c r="F220" s="10">
        <v>1100</v>
      </c>
      <c r="G220" s="13"/>
      <c r="H220" s="296"/>
      <c r="I220" s="171"/>
      <c r="J220" s="296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86" t="s">
        <v>1112</v>
      </c>
    </row>
    <row r="221" spans="1:27" s="38" customFormat="1" x14ac:dyDescent="0.25">
      <c r="A221" s="183"/>
      <c r="B221" s="184"/>
      <c r="C221" s="293"/>
      <c r="D221" s="13" t="s">
        <v>358</v>
      </c>
      <c r="E221" s="13"/>
      <c r="F221" s="11">
        <v>132</v>
      </c>
      <c r="G221" s="13"/>
      <c r="H221" s="296"/>
      <c r="I221" s="171"/>
      <c r="J221" s="296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86" t="s">
        <v>1112</v>
      </c>
    </row>
    <row r="222" spans="1:27" s="38" customFormat="1" x14ac:dyDescent="0.25">
      <c r="A222" s="183"/>
      <c r="B222" s="184"/>
      <c r="C222" s="293"/>
      <c r="D222" s="13" t="s">
        <v>913</v>
      </c>
      <c r="E222" s="13"/>
      <c r="F222" s="11">
        <v>5</v>
      </c>
      <c r="G222" s="13"/>
      <c r="H222" s="296"/>
      <c r="I222" s="171"/>
      <c r="J222" s="296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86" t="s">
        <v>387</v>
      </c>
    </row>
    <row r="223" spans="1:27" s="38" customFormat="1" x14ac:dyDescent="0.25">
      <c r="A223" s="183"/>
      <c r="B223" s="184"/>
      <c r="C223" s="293"/>
      <c r="D223" s="13"/>
      <c r="E223" s="13"/>
      <c r="F223" s="142"/>
      <c r="G223" s="13"/>
      <c r="H223" s="296"/>
      <c r="I223" s="171"/>
      <c r="J223" s="296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86"/>
    </row>
    <row r="224" spans="1:27" s="38" customFormat="1" x14ac:dyDescent="0.25">
      <c r="A224" s="183"/>
      <c r="B224" s="184"/>
      <c r="C224" s="293"/>
      <c r="D224" s="13"/>
      <c r="E224" s="13"/>
      <c r="F224" s="1">
        <v>2001</v>
      </c>
      <c r="G224" s="1">
        <v>2002</v>
      </c>
      <c r="H224" s="1">
        <v>2003</v>
      </c>
      <c r="I224" s="1">
        <v>2004</v>
      </c>
      <c r="J224" s="1">
        <v>2005</v>
      </c>
      <c r="K224" s="1">
        <v>2006</v>
      </c>
      <c r="L224" s="1">
        <v>2007</v>
      </c>
      <c r="M224" s="1">
        <v>2008</v>
      </c>
      <c r="N224" s="1">
        <v>2009</v>
      </c>
      <c r="O224" s="1">
        <v>2010</v>
      </c>
      <c r="P224" s="1">
        <v>2011</v>
      </c>
      <c r="Q224" s="1">
        <v>2012</v>
      </c>
      <c r="R224" s="1">
        <v>2013</v>
      </c>
      <c r="S224" s="1">
        <v>2014</v>
      </c>
      <c r="T224" s="1">
        <v>2015</v>
      </c>
      <c r="U224" s="1">
        <v>2016</v>
      </c>
      <c r="V224" s="1">
        <v>2017</v>
      </c>
      <c r="W224" s="1">
        <v>2018</v>
      </c>
      <c r="X224" s="1">
        <v>2019</v>
      </c>
      <c r="Y224" s="1">
        <v>2020</v>
      </c>
      <c r="AA224" s="186"/>
    </row>
    <row r="225" spans="1:27" s="38" customFormat="1" x14ac:dyDescent="0.25">
      <c r="A225" s="183"/>
      <c r="B225" s="184"/>
      <c r="C225" s="293"/>
      <c r="D225" s="13" t="s">
        <v>243</v>
      </c>
      <c r="E225" s="13"/>
      <c r="F225" s="297">
        <f>IF(Scenario!$F$3="W",Scenario!B66,IF(Scenario!$F$3="M",Scenario!B67,Scenario!B68))</f>
        <v>1760</v>
      </c>
      <c r="G225" s="297">
        <f>IF(Scenario!$F$3="W",Scenario!C66,IF(Scenario!$F$3="M",Scenario!C67,Scenario!C68))</f>
        <v>1408</v>
      </c>
      <c r="H225" s="297">
        <f>IF(Scenario!$F$3="W",Scenario!D66,IF(Scenario!$F$3="M",Scenario!D67,Scenario!D68))</f>
        <v>1126.4000000000001</v>
      </c>
      <c r="I225" s="297">
        <f>IF(Scenario!$F$3="W",Scenario!E66,IF(Scenario!$F$3="M",Scenario!E67,Scenario!E68))</f>
        <v>901.12000000000012</v>
      </c>
      <c r="J225" s="297">
        <f>IF(Scenario!$F$3="W",Scenario!F66,IF(Scenario!$F$3="M",Scenario!F67,Scenario!F68))</f>
        <v>720.89600000000019</v>
      </c>
      <c r="K225" s="297">
        <f>IF(Scenario!$F$3="W",Scenario!G66,IF(Scenario!$F$3="M",Scenario!G67,Scenario!G68))</f>
        <v>576.71680000000015</v>
      </c>
      <c r="L225" s="297">
        <f>IF(Scenario!$F$3="W",Scenario!H66,IF(Scenario!$F$3="M",Scenario!H67,Scenario!H68))</f>
        <v>461.37344000000013</v>
      </c>
      <c r="M225" s="297">
        <f>IF(Scenario!$F$3="W",Scenario!I66,IF(Scenario!$F$3="M",Scenario!I67,Scenario!I68))</f>
        <v>369.0987520000001</v>
      </c>
      <c r="N225" s="297">
        <f>IF(Scenario!$F$3="W",Scenario!J66,IF(Scenario!$F$3="M",Scenario!J67,Scenario!J68))</f>
        <v>295.27900160000007</v>
      </c>
      <c r="O225" s="297">
        <f>IF(Scenario!$F$3="W",Scenario!K66,IF(Scenario!$F$3="M",Scenario!K67,Scenario!K68))</f>
        <v>236.22320128000007</v>
      </c>
      <c r="P225" s="297">
        <f>IF(Scenario!$F$3="W",Scenario!L66,IF(Scenario!$F$3="M",Scenario!L67,Scenario!L68))</f>
        <v>188.97856102400007</v>
      </c>
      <c r="Q225" s="297">
        <f>IF(Scenario!$F$3="W",Scenario!M66,IF(Scenario!$F$3="M",Scenario!M67,Scenario!M68))</f>
        <v>151.18284881920007</v>
      </c>
      <c r="R225" s="297">
        <f>IF(Scenario!$F$3="W",Scenario!N66,IF(Scenario!$F$3="M",Scenario!N67,Scenario!N68))</f>
        <v>120.94627905536007</v>
      </c>
      <c r="S225" s="297">
        <f>IF(Scenario!$F$3="W",Scenario!O66,IF(Scenario!$F$3="M",Scenario!O67,Scenario!O68))</f>
        <v>96.757023244288064</v>
      </c>
      <c r="T225" s="297">
        <f>IF(Scenario!$F$3="W",Scenario!P66,IF(Scenario!$F$3="M",Scenario!P67,Scenario!P68))</f>
        <v>77.405618595430454</v>
      </c>
      <c r="U225" s="297">
        <f>IF(Scenario!$F$3="W",Scenario!Q66,IF(Scenario!$F$3="M",Scenario!Q67,Scenario!Q68))</f>
        <v>61.924494876344369</v>
      </c>
      <c r="V225" s="297">
        <f>IF(Scenario!$F$3="W",Scenario!R66,IF(Scenario!$F$3="M",Scenario!R67,Scenario!R68))</f>
        <v>49.539595901075501</v>
      </c>
      <c r="W225" s="297">
        <f>IF(Scenario!$F$3="W",Scenario!S66,IF(Scenario!$F$3="M",Scenario!S67,Scenario!S68))</f>
        <v>39.631676720860405</v>
      </c>
      <c r="X225" s="297">
        <f>IF(Scenario!$F$3="W",Scenario!T66,IF(Scenario!$F$3="M",Scenario!T67,Scenario!T68))</f>
        <v>31.705341376688324</v>
      </c>
      <c r="Y225" s="297">
        <f>IF(Scenario!$F$3="W",Scenario!U66,IF(Scenario!$F$3="M",Scenario!U67,Scenario!U68))</f>
        <v>25.364273101350662</v>
      </c>
      <c r="AA225" s="186" t="s">
        <v>1005</v>
      </c>
    </row>
    <row r="226" spans="1:27" s="38" customFormat="1" x14ac:dyDescent="0.25">
      <c r="A226" s="183"/>
      <c r="B226" s="184"/>
      <c r="C226" s="293"/>
      <c r="D226" s="185" t="s">
        <v>256</v>
      </c>
      <c r="E226" s="185"/>
      <c r="F226" s="205">
        <f>F225*12</f>
        <v>21120</v>
      </c>
      <c r="G226" s="205">
        <f t="shared" ref="G226:O226" si="80">G225*12</f>
        <v>16896</v>
      </c>
      <c r="H226" s="205">
        <f t="shared" si="80"/>
        <v>13516.800000000001</v>
      </c>
      <c r="I226" s="205">
        <f t="shared" si="80"/>
        <v>10813.440000000002</v>
      </c>
      <c r="J226" s="205">
        <f t="shared" si="80"/>
        <v>8650.7520000000022</v>
      </c>
      <c r="K226" s="205">
        <f t="shared" si="80"/>
        <v>6920.6016000000018</v>
      </c>
      <c r="L226" s="205">
        <f t="shared" si="80"/>
        <v>5536.4812800000018</v>
      </c>
      <c r="M226" s="205">
        <f t="shared" si="80"/>
        <v>4429.1850240000012</v>
      </c>
      <c r="N226" s="205">
        <f t="shared" si="80"/>
        <v>3543.3480192000006</v>
      </c>
      <c r="O226" s="205">
        <f t="shared" si="80"/>
        <v>2834.6784153600011</v>
      </c>
      <c r="P226" s="205">
        <f t="shared" ref="P226:Y226" si="81">P225*12</f>
        <v>2267.7427322880008</v>
      </c>
      <c r="Q226" s="205">
        <f t="shared" si="81"/>
        <v>1814.1941858304008</v>
      </c>
      <c r="R226" s="205">
        <f t="shared" si="81"/>
        <v>1451.3553486643209</v>
      </c>
      <c r="S226" s="205">
        <f t="shared" si="81"/>
        <v>1161.0842789314568</v>
      </c>
      <c r="T226" s="205">
        <f t="shared" si="81"/>
        <v>928.8674231451655</v>
      </c>
      <c r="U226" s="205">
        <f t="shared" si="81"/>
        <v>743.09393851613243</v>
      </c>
      <c r="V226" s="205">
        <f t="shared" si="81"/>
        <v>594.47515081290601</v>
      </c>
      <c r="W226" s="205">
        <f t="shared" si="81"/>
        <v>475.58012065032483</v>
      </c>
      <c r="X226" s="205">
        <f t="shared" si="81"/>
        <v>380.46409652025989</v>
      </c>
      <c r="Y226" s="205">
        <f t="shared" si="81"/>
        <v>304.37127721620794</v>
      </c>
      <c r="Z226" s="171"/>
      <c r="AA226" s="186"/>
    </row>
    <row r="227" spans="1:27" s="38" customFormat="1" x14ac:dyDescent="0.25">
      <c r="A227" s="183"/>
      <c r="B227" s="184"/>
      <c r="C227" s="293"/>
      <c r="D227" s="185"/>
      <c r="E227" s="185"/>
      <c r="F227" s="295"/>
      <c r="G227" s="195">
        <f>(G225-F225)/F225</f>
        <v>-0.2</v>
      </c>
      <c r="H227" s="195">
        <f t="shared" ref="H227:Y227" si="82">(H225-G225)/G225</f>
        <v>-0.19999999999999993</v>
      </c>
      <c r="I227" s="195">
        <f t="shared" si="82"/>
        <v>-0.19999999999999996</v>
      </c>
      <c r="J227" s="195">
        <f t="shared" si="82"/>
        <v>-0.1999999999999999</v>
      </c>
      <c r="K227" s="195">
        <f t="shared" si="82"/>
        <v>-0.2</v>
      </c>
      <c r="L227" s="195">
        <f t="shared" si="82"/>
        <v>-0.19999999999999998</v>
      </c>
      <c r="M227" s="195">
        <f t="shared" si="82"/>
        <v>-0.2</v>
      </c>
      <c r="N227" s="195">
        <f t="shared" si="82"/>
        <v>-0.20000000000000004</v>
      </c>
      <c r="O227" s="195">
        <f t="shared" si="82"/>
        <v>-0.19999999999999996</v>
      </c>
      <c r="P227" s="195">
        <f t="shared" si="82"/>
        <v>-0.19999999999999993</v>
      </c>
      <c r="Q227" s="195">
        <f t="shared" si="82"/>
        <v>-0.1999999999999999</v>
      </c>
      <c r="R227" s="195">
        <f t="shared" si="82"/>
        <v>-0.19999999999999996</v>
      </c>
      <c r="S227" s="195">
        <f t="shared" si="82"/>
        <v>-0.1999999999999999</v>
      </c>
      <c r="T227" s="195">
        <f t="shared" si="82"/>
        <v>-0.19999999999999998</v>
      </c>
      <c r="U227" s="195">
        <f t="shared" si="82"/>
        <v>-0.19999999999999993</v>
      </c>
      <c r="V227" s="195">
        <f t="shared" si="82"/>
        <v>-0.1999999999999999</v>
      </c>
      <c r="W227" s="195">
        <f t="shared" si="82"/>
        <v>-0.1999999999999999</v>
      </c>
      <c r="X227" s="195">
        <f t="shared" si="82"/>
        <v>-0.2</v>
      </c>
      <c r="Y227" s="195">
        <f t="shared" si="82"/>
        <v>-0.1999999999999999</v>
      </c>
      <c r="Z227" s="171"/>
      <c r="AA227" s="186" t="s">
        <v>852</v>
      </c>
    </row>
    <row r="228" spans="1:27" s="38" customFormat="1" x14ac:dyDescent="0.25">
      <c r="A228" s="183"/>
      <c r="B228" s="184"/>
      <c r="C228" s="184"/>
      <c r="D228" s="185" t="s">
        <v>47</v>
      </c>
      <c r="E228" s="185"/>
      <c r="F228" s="295">
        <f>F211</f>
        <v>1.6</v>
      </c>
      <c r="G228" s="295">
        <f t="shared" ref="G228:O228" si="83">G211</f>
        <v>1.36</v>
      </c>
      <c r="H228" s="295">
        <f t="shared" si="83"/>
        <v>1.1560000000000001</v>
      </c>
      <c r="I228" s="295">
        <f t="shared" si="83"/>
        <v>0.98260000000000014</v>
      </c>
      <c r="J228" s="295">
        <f t="shared" si="83"/>
        <v>0.83521000000000012</v>
      </c>
      <c r="K228" s="295">
        <f t="shared" si="83"/>
        <v>0.70992850000000007</v>
      </c>
      <c r="L228" s="295">
        <f t="shared" si="83"/>
        <v>0.60343922500000002</v>
      </c>
      <c r="M228" s="295">
        <f t="shared" si="83"/>
        <v>0.51292334125000005</v>
      </c>
      <c r="N228" s="295">
        <f t="shared" si="83"/>
        <v>0.43598484006250005</v>
      </c>
      <c r="O228" s="295">
        <f t="shared" si="83"/>
        <v>0.37058711405312506</v>
      </c>
      <c r="P228" s="295">
        <f t="shared" ref="P228:Y228" si="84">P211</f>
        <v>0.31499904694515629</v>
      </c>
      <c r="Q228" s="295">
        <f t="shared" si="84"/>
        <v>0.26774918990338287</v>
      </c>
      <c r="R228" s="295">
        <f t="shared" si="84"/>
        <v>0.22758681141787543</v>
      </c>
      <c r="S228" s="295">
        <f t="shared" si="84"/>
        <v>0.19344878970519411</v>
      </c>
      <c r="T228" s="295">
        <f t="shared" si="84"/>
        <v>0.16443147124941498</v>
      </c>
      <c r="U228" s="295">
        <f t="shared" si="84"/>
        <v>0.13976675056200275</v>
      </c>
      <c r="V228" s="295">
        <f t="shared" si="84"/>
        <v>0.11880173797770233</v>
      </c>
      <c r="W228" s="295">
        <f t="shared" si="84"/>
        <v>0.10098147728104698</v>
      </c>
      <c r="X228" s="295">
        <f t="shared" si="84"/>
        <v>8.5834255688889929E-2</v>
      </c>
      <c r="Y228" s="295">
        <f t="shared" si="84"/>
        <v>7.2959117335556434E-2</v>
      </c>
      <c r="Z228" s="171"/>
      <c r="AA228" s="186"/>
    </row>
    <row r="229" spans="1:27" s="38" customFormat="1" x14ac:dyDescent="0.25">
      <c r="A229" s="183"/>
      <c r="B229" s="184"/>
      <c r="C229" s="184"/>
      <c r="D229" s="185" t="s">
        <v>48</v>
      </c>
      <c r="E229" s="185"/>
      <c r="F229" s="295">
        <f>F212</f>
        <v>0.4</v>
      </c>
      <c r="G229" s="295">
        <f t="shared" ref="G229:O229" si="85">G212</f>
        <v>0.34</v>
      </c>
      <c r="H229" s="295">
        <f t="shared" si="85"/>
        <v>0.28900000000000003</v>
      </c>
      <c r="I229" s="295">
        <f t="shared" si="85"/>
        <v>0.24565000000000003</v>
      </c>
      <c r="J229" s="295">
        <f t="shared" si="85"/>
        <v>0.20880250000000003</v>
      </c>
      <c r="K229" s="295">
        <f t="shared" si="85"/>
        <v>0.17748212500000002</v>
      </c>
      <c r="L229" s="295">
        <f t="shared" si="85"/>
        <v>0.15085980625000001</v>
      </c>
      <c r="M229" s="295">
        <f t="shared" si="85"/>
        <v>0.12823083531250001</v>
      </c>
      <c r="N229" s="295">
        <f t="shared" si="85"/>
        <v>0.10899621001562501</v>
      </c>
      <c r="O229" s="295">
        <f t="shared" si="85"/>
        <v>9.2646778513281264E-2</v>
      </c>
      <c r="P229" s="295">
        <f t="shared" ref="P229:Y229" si="86">P212</f>
        <v>7.8749761736289073E-2</v>
      </c>
      <c r="Q229" s="295">
        <f t="shared" si="86"/>
        <v>6.6937297475845717E-2</v>
      </c>
      <c r="R229" s="295">
        <f t="shared" si="86"/>
        <v>5.6896702854468857E-2</v>
      </c>
      <c r="S229" s="295">
        <f t="shared" si="86"/>
        <v>4.8362197426298527E-2</v>
      </c>
      <c r="T229" s="295">
        <f t="shared" si="86"/>
        <v>4.1107867812353746E-2</v>
      </c>
      <c r="U229" s="295">
        <f t="shared" si="86"/>
        <v>3.4941687640500686E-2</v>
      </c>
      <c r="V229" s="295">
        <f t="shared" si="86"/>
        <v>2.9700434494425582E-2</v>
      </c>
      <c r="W229" s="295">
        <f t="shared" si="86"/>
        <v>2.5245369320261744E-2</v>
      </c>
      <c r="X229" s="295">
        <f t="shared" si="86"/>
        <v>2.1458563922222482E-2</v>
      </c>
      <c r="Y229" s="295">
        <f t="shared" si="86"/>
        <v>1.8239779333889108E-2</v>
      </c>
      <c r="Z229" s="171"/>
      <c r="AA229" s="186"/>
    </row>
    <row r="230" spans="1:27" s="38" customFormat="1" x14ac:dyDescent="0.25">
      <c r="A230" s="183"/>
      <c r="B230" s="184"/>
      <c r="C230" s="184"/>
      <c r="D230" s="185"/>
      <c r="E230" s="18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71"/>
      <c r="AA230" s="186"/>
    </row>
    <row r="231" spans="1:27" s="38" customFormat="1" ht="0.75" customHeight="1" thickBot="1" x14ac:dyDescent="0.3">
      <c r="A231" s="183"/>
      <c r="B231" s="184"/>
      <c r="C231" s="293" t="s">
        <v>51</v>
      </c>
      <c r="E231" s="2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71"/>
      <c r="AA231" s="186"/>
    </row>
    <row r="232" spans="1:27" s="38" customFormat="1" hidden="1" x14ac:dyDescent="0.25">
      <c r="A232" s="183"/>
      <c r="B232" s="184"/>
      <c r="C232" s="184"/>
      <c r="D232" s="185" t="s">
        <v>908</v>
      </c>
      <c r="E232" s="185"/>
      <c r="F232" s="295">
        <f>F228</f>
        <v>1.6</v>
      </c>
      <c r="G232" s="295">
        <f t="shared" ref="G232:Y232" si="87">G228</f>
        <v>1.36</v>
      </c>
      <c r="H232" s="295">
        <f t="shared" si="87"/>
        <v>1.1560000000000001</v>
      </c>
      <c r="I232" s="295">
        <f t="shared" si="87"/>
        <v>0.98260000000000014</v>
      </c>
      <c r="J232" s="295">
        <f t="shared" si="87"/>
        <v>0.83521000000000012</v>
      </c>
      <c r="K232" s="295">
        <f t="shared" si="87"/>
        <v>0.70992850000000007</v>
      </c>
      <c r="L232" s="295">
        <f t="shared" si="87"/>
        <v>0.60343922500000002</v>
      </c>
      <c r="M232" s="295">
        <f t="shared" si="87"/>
        <v>0.51292334125000005</v>
      </c>
      <c r="N232" s="295">
        <f t="shared" si="87"/>
        <v>0.43598484006250005</v>
      </c>
      <c r="O232" s="295">
        <f t="shared" si="87"/>
        <v>0.37058711405312506</v>
      </c>
      <c r="P232" s="295">
        <f t="shared" si="87"/>
        <v>0.31499904694515629</v>
      </c>
      <c r="Q232" s="295">
        <f t="shared" si="87"/>
        <v>0.26774918990338287</v>
      </c>
      <c r="R232" s="295">
        <f t="shared" si="87"/>
        <v>0.22758681141787543</v>
      </c>
      <c r="S232" s="295">
        <f t="shared" si="87"/>
        <v>0.19344878970519411</v>
      </c>
      <c r="T232" s="295">
        <f t="shared" si="87"/>
        <v>0.16443147124941498</v>
      </c>
      <c r="U232" s="295">
        <f t="shared" si="87"/>
        <v>0.13976675056200275</v>
      </c>
      <c r="V232" s="295">
        <f t="shared" si="87"/>
        <v>0.11880173797770233</v>
      </c>
      <c r="W232" s="295">
        <f t="shared" si="87"/>
        <v>0.10098147728104698</v>
      </c>
      <c r="X232" s="295">
        <f t="shared" si="87"/>
        <v>8.5834255688889929E-2</v>
      </c>
      <c r="Y232" s="295">
        <f t="shared" si="87"/>
        <v>7.2959117335556434E-2</v>
      </c>
      <c r="Z232" s="171"/>
      <c r="AA232" s="186"/>
    </row>
    <row r="233" spans="1:27" s="38" customFormat="1" hidden="1" x14ac:dyDescent="0.25">
      <c r="A233" s="183"/>
      <c r="B233" s="184"/>
      <c r="C233" s="184"/>
      <c r="D233" s="185" t="s">
        <v>909</v>
      </c>
      <c r="E233" s="185"/>
      <c r="F233" s="295">
        <f>F229</f>
        <v>0.4</v>
      </c>
      <c r="G233" s="295">
        <f t="shared" ref="G233:Y233" si="88">G229</f>
        <v>0.34</v>
      </c>
      <c r="H233" s="295">
        <f t="shared" si="88"/>
        <v>0.28900000000000003</v>
      </c>
      <c r="I233" s="295">
        <f t="shared" si="88"/>
        <v>0.24565000000000003</v>
      </c>
      <c r="J233" s="295">
        <f t="shared" si="88"/>
        <v>0.20880250000000003</v>
      </c>
      <c r="K233" s="295">
        <f t="shared" si="88"/>
        <v>0.17748212500000002</v>
      </c>
      <c r="L233" s="295">
        <f t="shared" si="88"/>
        <v>0.15085980625000001</v>
      </c>
      <c r="M233" s="295">
        <f t="shared" si="88"/>
        <v>0.12823083531250001</v>
      </c>
      <c r="N233" s="295">
        <f t="shared" si="88"/>
        <v>0.10899621001562501</v>
      </c>
      <c r="O233" s="295">
        <f t="shared" si="88"/>
        <v>9.2646778513281264E-2</v>
      </c>
      <c r="P233" s="295">
        <f t="shared" si="88"/>
        <v>7.8749761736289073E-2</v>
      </c>
      <c r="Q233" s="295">
        <f t="shared" si="88"/>
        <v>6.6937297475845717E-2</v>
      </c>
      <c r="R233" s="295">
        <f t="shared" si="88"/>
        <v>5.6896702854468857E-2</v>
      </c>
      <c r="S233" s="295">
        <f t="shared" si="88"/>
        <v>4.8362197426298527E-2</v>
      </c>
      <c r="T233" s="295">
        <f t="shared" si="88"/>
        <v>4.1107867812353746E-2</v>
      </c>
      <c r="U233" s="295">
        <f t="shared" si="88"/>
        <v>3.4941687640500686E-2</v>
      </c>
      <c r="V233" s="295">
        <f t="shared" si="88"/>
        <v>2.9700434494425582E-2</v>
      </c>
      <c r="W233" s="295">
        <f t="shared" si="88"/>
        <v>2.5245369320261744E-2</v>
      </c>
      <c r="X233" s="295">
        <f t="shared" si="88"/>
        <v>2.1458563922222482E-2</v>
      </c>
      <c r="Y233" s="295">
        <f t="shared" si="88"/>
        <v>1.8239779333889108E-2</v>
      </c>
      <c r="Z233" s="171"/>
      <c r="AA233" s="186"/>
    </row>
    <row r="234" spans="1:27" s="38" customFormat="1" ht="13.8" hidden="1" thickBot="1" x14ac:dyDescent="0.3">
      <c r="A234" s="285"/>
      <c r="B234" s="286"/>
      <c r="C234" s="286"/>
      <c r="D234" s="223"/>
      <c r="E234" s="223"/>
      <c r="F234" s="223"/>
      <c r="G234" s="223"/>
      <c r="H234" s="223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11"/>
      <c r="AA234" s="287"/>
    </row>
    <row r="235" spans="1:27" s="38" customFormat="1" x14ac:dyDescent="0.25">
      <c r="A235" s="288"/>
      <c r="B235" s="289"/>
      <c r="C235" s="289"/>
      <c r="D235" s="164"/>
      <c r="E235" s="164"/>
      <c r="F235" s="164"/>
      <c r="G235" s="164"/>
      <c r="H235" s="164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6"/>
      <c r="AA235" s="290"/>
    </row>
    <row r="236" spans="1:27" s="38" customFormat="1" x14ac:dyDescent="0.25">
      <c r="A236" s="183"/>
      <c r="B236" s="291" t="s">
        <v>23</v>
      </c>
      <c r="C236" s="184"/>
      <c r="D236" s="171"/>
      <c r="E236" s="177"/>
      <c r="F236" s="177">
        <v>2001</v>
      </c>
      <c r="G236" s="177">
        <v>2002</v>
      </c>
      <c r="H236" s="177">
        <v>2003</v>
      </c>
      <c r="I236" s="177">
        <v>2004</v>
      </c>
      <c r="J236" s="177">
        <v>2005</v>
      </c>
      <c r="K236" s="177">
        <v>2006</v>
      </c>
      <c r="L236" s="177">
        <v>2007</v>
      </c>
      <c r="M236" s="177">
        <v>2008</v>
      </c>
      <c r="N236" s="177">
        <v>2009</v>
      </c>
      <c r="O236" s="177">
        <v>2010</v>
      </c>
      <c r="P236" s="177">
        <v>2011</v>
      </c>
      <c r="Q236" s="177">
        <v>2012</v>
      </c>
      <c r="R236" s="177">
        <v>2013</v>
      </c>
      <c r="S236" s="177">
        <v>2014</v>
      </c>
      <c r="T236" s="177">
        <v>2015</v>
      </c>
      <c r="U236" s="177">
        <v>2016</v>
      </c>
      <c r="V236" s="177">
        <v>2017</v>
      </c>
      <c r="W236" s="177">
        <v>2018</v>
      </c>
      <c r="X236" s="177">
        <v>2019</v>
      </c>
      <c r="Y236" s="177">
        <v>2020</v>
      </c>
      <c r="Z236" s="171"/>
      <c r="AA236" s="186" t="s">
        <v>1053</v>
      </c>
    </row>
    <row r="237" spans="1:27" s="38" customFormat="1" x14ac:dyDescent="0.25">
      <c r="A237" s="183"/>
      <c r="B237" s="184"/>
      <c r="C237" s="184"/>
      <c r="D237" s="170"/>
      <c r="E237" s="170"/>
      <c r="F237" s="170"/>
      <c r="G237" s="170"/>
      <c r="H237" s="170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71"/>
      <c r="AA237" s="186"/>
    </row>
    <row r="238" spans="1:27" s="38" customFormat="1" x14ac:dyDescent="0.25">
      <c r="A238" s="183"/>
      <c r="B238" s="184"/>
      <c r="C238" s="184"/>
      <c r="D238" s="15" t="s">
        <v>845</v>
      </c>
      <c r="E238" s="15"/>
      <c r="F238" s="298">
        <v>50</v>
      </c>
      <c r="G238" s="170"/>
      <c r="H238" s="170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71"/>
      <c r="AA238" s="186"/>
    </row>
    <row r="239" spans="1:27" s="38" customFormat="1" x14ac:dyDescent="0.25">
      <c r="A239" s="183"/>
      <c r="B239" s="184"/>
      <c r="C239" s="184"/>
      <c r="D239" s="15" t="s">
        <v>910</v>
      </c>
      <c r="E239" s="15"/>
      <c r="F239" s="298">
        <v>120</v>
      </c>
      <c r="G239" s="170"/>
      <c r="H239" s="170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71"/>
      <c r="AA239" s="186"/>
    </row>
    <row r="240" spans="1:27" s="38" customFormat="1" x14ac:dyDescent="0.25">
      <c r="A240" s="183"/>
      <c r="B240" s="184"/>
      <c r="C240" s="184"/>
      <c r="D240" s="15" t="s">
        <v>143</v>
      </c>
      <c r="E240" s="15"/>
      <c r="F240" s="299">
        <f>F17*1024</f>
        <v>1536</v>
      </c>
      <c r="G240" s="170"/>
      <c r="H240" s="170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71"/>
      <c r="AA240" s="186"/>
    </row>
    <row r="241" spans="1:27" s="38" customFormat="1" x14ac:dyDescent="0.25">
      <c r="A241" s="183"/>
      <c r="B241" s="184"/>
      <c r="C241" s="184"/>
      <c r="D241" s="15" t="s">
        <v>144</v>
      </c>
      <c r="E241" s="15"/>
      <c r="F241" s="300">
        <f>F238*F239</f>
        <v>6000</v>
      </c>
      <c r="G241" s="170"/>
      <c r="H241" s="170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71"/>
      <c r="AA241" s="186"/>
    </row>
    <row r="242" spans="1:27" s="38" customFormat="1" x14ac:dyDescent="0.25">
      <c r="A242" s="183"/>
      <c r="B242" s="184"/>
      <c r="C242" s="184"/>
      <c r="D242" s="15"/>
      <c r="E242" s="15"/>
      <c r="F242" s="300"/>
      <c r="G242" s="170"/>
      <c r="H242" s="170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71"/>
      <c r="AA242" s="186"/>
    </row>
    <row r="243" spans="1:27" s="38" customFormat="1" x14ac:dyDescent="0.25">
      <c r="A243" s="183"/>
      <c r="B243" s="184"/>
      <c r="C243" s="184"/>
      <c r="D243" s="15" t="s">
        <v>872</v>
      </c>
      <c r="E243" s="15"/>
      <c r="F243" s="561">
        <v>16.350000000000001</v>
      </c>
      <c r="G243" s="33" t="s">
        <v>976</v>
      </c>
      <c r="H243" s="170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71"/>
      <c r="AA243" s="186" t="s">
        <v>881</v>
      </c>
    </row>
    <row r="244" spans="1:27" s="38" customFormat="1" x14ac:dyDescent="0.25">
      <c r="A244" s="183"/>
      <c r="B244" s="184"/>
      <c r="C244" s="184"/>
      <c r="D244" s="15" t="s">
        <v>977</v>
      </c>
      <c r="E244" s="15"/>
      <c r="F244" s="561">
        <v>16.670000000000002</v>
      </c>
      <c r="G244" s="33" t="s">
        <v>978</v>
      </c>
      <c r="H244" s="170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71"/>
      <c r="AA244" s="186" t="s">
        <v>881</v>
      </c>
    </row>
    <row r="245" spans="1:27" s="38" customFormat="1" x14ac:dyDescent="0.25">
      <c r="A245" s="183"/>
      <c r="B245" s="184"/>
      <c r="C245" s="184"/>
      <c r="D245" s="15" t="s">
        <v>979</v>
      </c>
      <c r="E245" s="15"/>
      <c r="F245" s="562">
        <v>10</v>
      </c>
      <c r="G245" s="33" t="s">
        <v>978</v>
      </c>
      <c r="H245" s="170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71"/>
      <c r="AA245" s="186" t="s">
        <v>881</v>
      </c>
    </row>
    <row r="246" spans="1:27" s="38" customFormat="1" x14ac:dyDescent="0.25">
      <c r="A246" s="183"/>
      <c r="B246" s="184"/>
      <c r="C246" s="184"/>
      <c r="D246" s="15"/>
      <c r="E246" s="15"/>
      <c r="F246" s="300"/>
      <c r="G246" s="170"/>
      <c r="H246" s="170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71"/>
      <c r="AA246" s="186"/>
    </row>
    <row r="247" spans="1:27" s="38" customFormat="1" ht="13.8" thickBot="1" x14ac:dyDescent="0.3">
      <c r="A247" s="301"/>
      <c r="B247" s="286"/>
      <c r="C247" s="286"/>
      <c r="D247" s="223"/>
      <c r="E247" s="223"/>
      <c r="F247" s="223"/>
      <c r="G247" s="223"/>
      <c r="H247" s="223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211"/>
      <c r="AA247" s="287"/>
    </row>
    <row r="248" spans="1:27" s="38" customFormat="1" x14ac:dyDescent="0.25">
      <c r="A248" s="302"/>
      <c r="B248" s="289"/>
      <c r="C248" s="289"/>
      <c r="D248" s="303"/>
      <c r="E248" s="304"/>
      <c r="F248" s="165"/>
      <c r="G248" s="305"/>
      <c r="H248" s="306"/>
      <c r="I248" s="165"/>
      <c r="J248" s="165"/>
      <c r="K248" s="304"/>
      <c r="L248" s="165"/>
      <c r="M248" s="165"/>
      <c r="N248" s="307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6"/>
      <c r="AA248" s="290"/>
    </row>
    <row r="249" spans="1:27" x14ac:dyDescent="0.25">
      <c r="A249" s="168"/>
      <c r="B249" s="169" t="s">
        <v>170</v>
      </c>
      <c r="C249" s="173"/>
      <c r="D249" s="177"/>
      <c r="E249" s="170"/>
      <c r="F249" s="170"/>
      <c r="G249" s="170"/>
      <c r="H249" s="170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71"/>
      <c r="AA249" s="172"/>
    </row>
    <row r="250" spans="1:27" x14ac:dyDescent="0.25">
      <c r="A250" s="168"/>
      <c r="B250" s="173"/>
      <c r="C250" s="308"/>
      <c r="D250" s="170"/>
      <c r="E250" s="170"/>
      <c r="F250" s="177">
        <f t="shared" ref="F250:Y250" si="89">F6</f>
        <v>2001</v>
      </c>
      <c r="G250" s="177">
        <f t="shared" si="89"/>
        <v>2002</v>
      </c>
      <c r="H250" s="177">
        <f t="shared" si="89"/>
        <v>2003</v>
      </c>
      <c r="I250" s="177">
        <f t="shared" si="89"/>
        <v>2004</v>
      </c>
      <c r="J250" s="177">
        <f t="shared" si="89"/>
        <v>2005</v>
      </c>
      <c r="K250" s="177">
        <f t="shared" si="89"/>
        <v>2006</v>
      </c>
      <c r="L250" s="177">
        <f t="shared" si="89"/>
        <v>2007</v>
      </c>
      <c r="M250" s="177">
        <f t="shared" si="89"/>
        <v>2008</v>
      </c>
      <c r="N250" s="177">
        <f t="shared" si="89"/>
        <v>2009</v>
      </c>
      <c r="O250" s="177">
        <f t="shared" si="89"/>
        <v>2010</v>
      </c>
      <c r="P250" s="177">
        <f t="shared" si="89"/>
        <v>2011</v>
      </c>
      <c r="Q250" s="177">
        <f t="shared" si="89"/>
        <v>2012</v>
      </c>
      <c r="R250" s="177">
        <f t="shared" si="89"/>
        <v>2013</v>
      </c>
      <c r="S250" s="177">
        <f t="shared" si="89"/>
        <v>2014</v>
      </c>
      <c r="T250" s="177">
        <f t="shared" si="89"/>
        <v>2015</v>
      </c>
      <c r="U250" s="177">
        <f t="shared" si="89"/>
        <v>2016</v>
      </c>
      <c r="V250" s="177">
        <f t="shared" si="89"/>
        <v>2017</v>
      </c>
      <c r="W250" s="177">
        <f t="shared" si="89"/>
        <v>2018</v>
      </c>
      <c r="X250" s="177">
        <f t="shared" si="89"/>
        <v>2019</v>
      </c>
      <c r="Y250" s="177">
        <f t="shared" si="89"/>
        <v>2020</v>
      </c>
      <c r="Z250" s="171"/>
      <c r="AA250" s="309" t="str">
        <f>AA6</f>
        <v>Assumption Source</v>
      </c>
    </row>
    <row r="251" spans="1:27" x14ac:dyDescent="0.25">
      <c r="A251" s="168"/>
      <c r="B251" s="173"/>
      <c r="C251" s="173"/>
      <c r="D251" s="170"/>
      <c r="E251" s="170"/>
      <c r="F251" s="635"/>
      <c r="G251" s="635"/>
      <c r="H251" s="170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71"/>
      <c r="AA251" s="172"/>
    </row>
    <row r="252" spans="1:27" x14ac:dyDescent="0.25">
      <c r="A252" s="168"/>
      <c r="B252" s="173"/>
      <c r="C252" s="33" t="s">
        <v>171</v>
      </c>
      <c r="E252" s="170"/>
      <c r="F252" s="310" t="s">
        <v>877</v>
      </c>
      <c r="H252" s="13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71"/>
      <c r="AA252" s="172"/>
    </row>
    <row r="253" spans="1:27" x14ac:dyDescent="0.25">
      <c r="A253" s="168"/>
      <c r="B253" s="173"/>
      <c r="C253" s="173"/>
      <c r="D253" s="170" t="s">
        <v>387</v>
      </c>
      <c r="E253" s="170"/>
      <c r="F253" s="232">
        <v>0.5</v>
      </c>
      <c r="H253" s="13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71"/>
      <c r="AA253" s="172"/>
    </row>
    <row r="254" spans="1:27" x14ac:dyDescent="0.25">
      <c r="A254" s="168"/>
      <c r="B254" s="173"/>
      <c r="C254" s="173"/>
      <c r="D254" s="170" t="s">
        <v>57</v>
      </c>
      <c r="E254" s="170"/>
      <c r="F254" s="232">
        <f>1-F253</f>
        <v>0.5</v>
      </c>
      <c r="H254" s="13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71"/>
      <c r="AA254" s="172"/>
    </row>
    <row r="255" spans="1:27" s="38" customFormat="1" x14ac:dyDescent="0.25">
      <c r="A255" s="312"/>
      <c r="B255" s="184"/>
      <c r="C255" s="184"/>
      <c r="D255" s="185"/>
      <c r="E255" s="185"/>
      <c r="F255" s="311"/>
      <c r="G255" s="31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86" t="s">
        <v>1049</v>
      </c>
    </row>
    <row r="256" spans="1:27" x14ac:dyDescent="0.25">
      <c r="A256" s="168"/>
      <c r="B256" s="173"/>
      <c r="C256" s="173" t="s">
        <v>882</v>
      </c>
      <c r="D256" s="170"/>
      <c r="E256" s="170"/>
      <c r="F256" s="33"/>
      <c r="G256" s="170"/>
      <c r="H256" s="170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71"/>
      <c r="AA256" s="172" t="s">
        <v>1050</v>
      </c>
    </row>
    <row r="257" spans="1:27" x14ac:dyDescent="0.25">
      <c r="A257" s="168"/>
      <c r="B257" s="173"/>
      <c r="C257" s="308"/>
      <c r="D257" s="170" t="s">
        <v>873</v>
      </c>
      <c r="E257" s="170"/>
      <c r="F257" s="313">
        <v>350</v>
      </c>
      <c r="G257" s="313">
        <v>350</v>
      </c>
      <c r="H257" s="313">
        <v>350</v>
      </c>
      <c r="I257" s="313">
        <v>350</v>
      </c>
      <c r="J257" s="313">
        <v>350</v>
      </c>
      <c r="K257" s="313">
        <v>350</v>
      </c>
      <c r="L257" s="313">
        <v>350</v>
      </c>
      <c r="M257" s="313">
        <v>350</v>
      </c>
      <c r="N257" s="313">
        <v>350</v>
      </c>
      <c r="O257" s="313">
        <v>350</v>
      </c>
      <c r="P257" s="313">
        <v>350</v>
      </c>
      <c r="Q257" s="313">
        <v>350</v>
      </c>
      <c r="R257" s="313">
        <v>350</v>
      </c>
      <c r="S257" s="313">
        <v>350</v>
      </c>
      <c r="T257" s="313">
        <v>350</v>
      </c>
      <c r="U257" s="313">
        <v>350</v>
      </c>
      <c r="V257" s="313">
        <v>350</v>
      </c>
      <c r="W257" s="313">
        <v>350</v>
      </c>
      <c r="X257" s="313">
        <v>350</v>
      </c>
      <c r="Y257" s="313">
        <v>350</v>
      </c>
      <c r="Z257" s="171"/>
      <c r="AA257" s="172" t="s">
        <v>1047</v>
      </c>
    </row>
    <row r="258" spans="1:27" x14ac:dyDescent="0.25">
      <c r="A258" s="168"/>
      <c r="B258" s="173"/>
      <c r="C258" s="308"/>
      <c r="D258" s="170" t="s">
        <v>874</v>
      </c>
      <c r="E258" s="170"/>
      <c r="F258" s="313">
        <v>35</v>
      </c>
      <c r="G258" s="313">
        <v>35</v>
      </c>
      <c r="H258" s="313">
        <v>35</v>
      </c>
      <c r="I258" s="313">
        <v>35</v>
      </c>
      <c r="J258" s="313">
        <v>35</v>
      </c>
      <c r="K258" s="313">
        <v>35</v>
      </c>
      <c r="L258" s="313">
        <v>35</v>
      </c>
      <c r="M258" s="313">
        <v>35</v>
      </c>
      <c r="N258" s="313">
        <v>35</v>
      </c>
      <c r="O258" s="313">
        <v>35</v>
      </c>
      <c r="P258" s="313">
        <v>35</v>
      </c>
      <c r="Q258" s="313">
        <v>35</v>
      </c>
      <c r="R258" s="313">
        <v>35</v>
      </c>
      <c r="S258" s="313">
        <v>35</v>
      </c>
      <c r="T258" s="313">
        <v>35</v>
      </c>
      <c r="U258" s="313">
        <v>35</v>
      </c>
      <c r="V258" s="313">
        <v>35</v>
      </c>
      <c r="W258" s="313">
        <v>35</v>
      </c>
      <c r="X258" s="313">
        <v>35</v>
      </c>
      <c r="Y258" s="313">
        <v>35</v>
      </c>
      <c r="Z258" s="171"/>
      <c r="AA258" s="172" t="s">
        <v>1047</v>
      </c>
    </row>
    <row r="259" spans="1:27" x14ac:dyDescent="0.25">
      <c r="A259" s="168"/>
      <c r="B259" s="173"/>
      <c r="C259" s="308"/>
      <c r="D259" s="170" t="s">
        <v>409</v>
      </c>
      <c r="E259" s="170"/>
      <c r="F259" s="314">
        <v>6.0000000000000001E-3</v>
      </c>
      <c r="G259" s="314">
        <v>6.0000000000000001E-3</v>
      </c>
      <c r="H259" s="314">
        <v>6.0000000000000001E-3</v>
      </c>
      <c r="I259" s="314">
        <v>6.0000000000000001E-3</v>
      </c>
      <c r="J259" s="314">
        <v>6.0000000000000001E-3</v>
      </c>
      <c r="K259" s="314">
        <v>6.0000000000000001E-3</v>
      </c>
      <c r="L259" s="314">
        <v>6.0000000000000001E-3</v>
      </c>
      <c r="M259" s="314">
        <v>6.0000000000000001E-3</v>
      </c>
      <c r="N259" s="314">
        <v>6.0000000000000001E-3</v>
      </c>
      <c r="O259" s="314">
        <v>6.0000000000000001E-3</v>
      </c>
      <c r="P259" s="314">
        <v>6.0000000000000001E-3</v>
      </c>
      <c r="Q259" s="314">
        <v>6.0000000000000001E-3</v>
      </c>
      <c r="R259" s="314">
        <v>6.0000000000000001E-3</v>
      </c>
      <c r="S259" s="314">
        <v>6.0000000000000001E-3</v>
      </c>
      <c r="T259" s="314">
        <v>6.0000000000000001E-3</v>
      </c>
      <c r="U259" s="314">
        <v>6.0000000000000001E-3</v>
      </c>
      <c r="V259" s="314">
        <v>6.0000000000000001E-3</v>
      </c>
      <c r="W259" s="314">
        <v>6.0000000000000001E-3</v>
      </c>
      <c r="X259" s="314">
        <v>6.0000000000000001E-3</v>
      </c>
      <c r="Y259" s="314">
        <v>6.0000000000000001E-3</v>
      </c>
      <c r="Z259" s="171"/>
      <c r="AA259" s="172" t="s">
        <v>1047</v>
      </c>
    </row>
    <row r="260" spans="1:27" x14ac:dyDescent="0.25">
      <c r="A260" s="168"/>
      <c r="B260" s="173"/>
      <c r="C260" s="308"/>
      <c r="D260" s="170"/>
      <c r="E260" s="170"/>
      <c r="F260" s="170"/>
      <c r="G260" s="170"/>
      <c r="H260" s="170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71"/>
      <c r="AA260" s="172"/>
    </row>
    <row r="261" spans="1:27" x14ac:dyDescent="0.25">
      <c r="A261" s="168"/>
      <c r="B261" s="173"/>
      <c r="C261" s="173" t="s">
        <v>883</v>
      </c>
      <c r="D261" s="170"/>
      <c r="E261" s="170"/>
      <c r="F261" s="170"/>
      <c r="G261" s="170"/>
      <c r="H261" s="170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71"/>
      <c r="AA261" s="172" t="s">
        <v>1051</v>
      </c>
    </row>
    <row r="262" spans="1:27" x14ac:dyDescent="0.25">
      <c r="A262" s="168"/>
      <c r="B262" s="173"/>
      <c r="C262" s="308"/>
      <c r="D262" s="170" t="s">
        <v>884</v>
      </c>
      <c r="E262" s="170"/>
      <c r="F262" s="315">
        <v>100</v>
      </c>
      <c r="G262" s="170"/>
      <c r="H262" s="170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71"/>
      <c r="AA262" s="275" t="s">
        <v>1048</v>
      </c>
    </row>
    <row r="263" spans="1:27" x14ac:dyDescent="0.25">
      <c r="A263" s="168"/>
      <c r="B263" s="173"/>
      <c r="C263" s="308"/>
      <c r="D263" s="170" t="s">
        <v>885</v>
      </c>
      <c r="E263" s="170"/>
      <c r="F263" s="316">
        <v>0.01</v>
      </c>
      <c r="G263" s="33" t="s">
        <v>886</v>
      </c>
      <c r="H263" s="170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71"/>
      <c r="AA263" s="275" t="s">
        <v>1048</v>
      </c>
    </row>
    <row r="264" spans="1:27" x14ac:dyDescent="0.25">
      <c r="A264" s="168"/>
      <c r="B264" s="173"/>
      <c r="C264" s="308"/>
      <c r="D264" s="170" t="s">
        <v>887</v>
      </c>
      <c r="E264" s="170"/>
      <c r="F264" s="316">
        <v>2.5000000000000001E-2</v>
      </c>
      <c r="G264" s="33" t="s">
        <v>888</v>
      </c>
      <c r="H264" s="170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71"/>
      <c r="AA264" s="275" t="s">
        <v>1048</v>
      </c>
    </row>
    <row r="265" spans="1:27" ht="13.8" thickBot="1" x14ac:dyDescent="0.3">
      <c r="A265" s="317"/>
      <c r="B265" s="209"/>
      <c r="C265" s="209"/>
      <c r="D265" s="223"/>
      <c r="E265" s="223"/>
      <c r="F265" s="223"/>
      <c r="G265" s="223"/>
      <c r="H265" s="223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11"/>
      <c r="AA265" s="212"/>
    </row>
    <row r="266" spans="1:27" x14ac:dyDescent="0.25">
      <c r="A266" s="162"/>
      <c r="B266" s="163"/>
      <c r="C266" s="163"/>
      <c r="D266" s="164"/>
      <c r="E266" s="164"/>
      <c r="F266" s="164"/>
      <c r="G266" s="164"/>
      <c r="H266" s="164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6"/>
      <c r="AA266" s="167"/>
    </row>
    <row r="267" spans="1:27" x14ac:dyDescent="0.25">
      <c r="A267" s="168"/>
      <c r="B267" s="169" t="s">
        <v>879</v>
      </c>
      <c r="C267" s="173"/>
      <c r="D267" s="170"/>
      <c r="E267" s="170"/>
      <c r="F267" s="170"/>
      <c r="G267" s="170"/>
      <c r="H267" s="170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71"/>
      <c r="AA267" s="172"/>
    </row>
    <row r="268" spans="1:27" x14ac:dyDescent="0.25">
      <c r="A268" s="168"/>
      <c r="B268" s="169"/>
      <c r="C268" s="173"/>
      <c r="D268" s="170"/>
      <c r="E268" s="170"/>
      <c r="F268" s="177">
        <v>2001</v>
      </c>
      <c r="G268" s="177">
        <v>2002</v>
      </c>
      <c r="H268" s="17">
        <v>2003</v>
      </c>
      <c r="I268" s="17">
        <v>2004</v>
      </c>
      <c r="J268" s="17">
        <v>2005</v>
      </c>
      <c r="K268" s="17">
        <v>2006</v>
      </c>
      <c r="L268" s="17">
        <v>2007</v>
      </c>
      <c r="M268" s="17">
        <v>2008</v>
      </c>
      <c r="N268" s="17">
        <v>2009</v>
      </c>
      <c r="O268" s="17">
        <v>2010</v>
      </c>
      <c r="P268" s="17">
        <v>2011</v>
      </c>
      <c r="Q268" s="17">
        <v>2012</v>
      </c>
      <c r="R268" s="17">
        <v>2013</v>
      </c>
      <c r="S268" s="17">
        <v>2014</v>
      </c>
      <c r="T268" s="17">
        <v>2015</v>
      </c>
      <c r="U268" s="17">
        <v>2016</v>
      </c>
      <c r="V268" s="17">
        <v>2017</v>
      </c>
      <c r="W268" s="17">
        <v>2018</v>
      </c>
      <c r="X268" s="17">
        <v>2019</v>
      </c>
      <c r="Y268" s="174">
        <v>2020</v>
      </c>
      <c r="AA268" s="172"/>
    </row>
    <row r="269" spans="1:27" x14ac:dyDescent="0.25">
      <c r="A269" s="168"/>
      <c r="B269" s="13"/>
      <c r="C269" s="33" t="s">
        <v>902</v>
      </c>
      <c r="D269" s="170"/>
      <c r="E269" s="170"/>
      <c r="F269" s="635"/>
      <c r="G269" s="635"/>
      <c r="H269" s="318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71"/>
      <c r="AA269" s="172"/>
    </row>
    <row r="270" spans="1:27" x14ac:dyDescent="0.25">
      <c r="A270" s="168"/>
      <c r="B270" s="13"/>
      <c r="C270" s="15"/>
      <c r="D270" s="13" t="s">
        <v>1052</v>
      </c>
      <c r="E270" s="15"/>
      <c r="F270" s="232">
        <v>0.5</v>
      </c>
      <c r="H270" s="170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71"/>
      <c r="AA270" s="172" t="s">
        <v>1119</v>
      </c>
    </row>
    <row r="271" spans="1:27" x14ac:dyDescent="0.25">
      <c r="A271" s="168"/>
      <c r="B271" s="13"/>
      <c r="C271" s="15"/>
      <c r="D271" s="13" t="s">
        <v>914</v>
      </c>
      <c r="E271" s="15"/>
      <c r="F271" s="232">
        <f>1-F270</f>
        <v>0.5</v>
      </c>
      <c r="H271" s="170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71"/>
      <c r="AA271" s="172"/>
    </row>
    <row r="272" spans="1:27" x14ac:dyDescent="0.25">
      <c r="A272" s="168"/>
      <c r="B272" s="173"/>
      <c r="C272" s="173"/>
      <c r="D272" s="170"/>
      <c r="E272" s="170"/>
      <c r="F272" s="170"/>
      <c r="G272" s="170"/>
      <c r="H272" s="170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71"/>
      <c r="AA272" s="172"/>
    </row>
    <row r="273" spans="1:27" x14ac:dyDescent="0.25">
      <c r="A273" s="168"/>
      <c r="B273" s="15" t="s">
        <v>251</v>
      </c>
      <c r="C273" s="173"/>
      <c r="D273" s="170"/>
      <c r="E273" s="170"/>
      <c r="F273" s="571">
        <v>16.1417092948444</v>
      </c>
      <c r="G273" s="571">
        <v>4.7387639783914182</v>
      </c>
      <c r="H273" s="571">
        <v>1.5888267025773004</v>
      </c>
      <c r="I273" s="571">
        <v>1.1817926169332831</v>
      </c>
      <c r="J273" s="571">
        <v>1.0928788224673505</v>
      </c>
      <c r="K273" s="571">
        <v>1.0393543117807287</v>
      </c>
      <c r="L273" s="571">
        <v>1.0138831154993977</v>
      </c>
      <c r="M273" s="571">
        <v>1.0104472807090068</v>
      </c>
      <c r="N273" s="571">
        <v>0.75833122582262968</v>
      </c>
      <c r="O273" s="571">
        <v>0.75689946687953069</v>
      </c>
      <c r="P273" s="571">
        <v>0.75621314496945258</v>
      </c>
      <c r="Q273" s="571">
        <v>0.75555720234186341</v>
      </c>
      <c r="R273" s="571">
        <v>0.75504855659246173</v>
      </c>
      <c r="S273" s="571">
        <v>0.50459932457703405</v>
      </c>
      <c r="T273" s="571">
        <v>0.50425029219322182</v>
      </c>
      <c r="U273" s="571">
        <v>0.503979874256131</v>
      </c>
      <c r="V273" s="571">
        <v>0.50373186227678302</v>
      </c>
      <c r="W273" s="571">
        <v>0.5</v>
      </c>
      <c r="X273" s="571">
        <v>0.5</v>
      </c>
      <c r="Y273" s="572">
        <v>0.5</v>
      </c>
      <c r="AA273" s="172" t="s">
        <v>985</v>
      </c>
    </row>
    <row r="274" spans="1:27" s="38" customFormat="1" x14ac:dyDescent="0.25">
      <c r="A274" s="312"/>
      <c r="B274" s="171"/>
      <c r="C274" s="184"/>
      <c r="D274" s="185"/>
      <c r="E274" s="185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1"/>
      <c r="AA274" s="186" t="s">
        <v>1118</v>
      </c>
    </row>
    <row r="275" spans="1:27" ht="13.8" thickBot="1" x14ac:dyDescent="0.3">
      <c r="A275" s="317"/>
      <c r="B275" s="209"/>
      <c r="C275" s="209"/>
      <c r="D275" s="223"/>
      <c r="E275" s="223"/>
      <c r="F275" s="223"/>
      <c r="G275" s="223"/>
      <c r="H275" s="223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11"/>
      <c r="AA275" s="212"/>
    </row>
    <row r="276" spans="1:27" x14ac:dyDescent="0.25">
      <c r="A276" s="162"/>
      <c r="B276" s="163"/>
      <c r="C276" s="163"/>
      <c r="D276" s="164"/>
      <c r="E276" s="164"/>
      <c r="F276" s="164"/>
      <c r="G276" s="164"/>
      <c r="H276" s="164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6"/>
      <c r="AA276" s="167"/>
    </row>
    <row r="277" spans="1:27" x14ac:dyDescent="0.25">
      <c r="A277" s="168"/>
      <c r="B277" s="169" t="s">
        <v>878</v>
      </c>
      <c r="C277" s="173"/>
      <c r="D277" s="170"/>
      <c r="E277" s="170"/>
      <c r="F277" s="177">
        <v>2001</v>
      </c>
      <c r="G277" s="177">
        <f>F277+1</f>
        <v>2002</v>
      </c>
      <c r="H277" s="177">
        <f t="shared" ref="H277:Y277" si="90">G277+1</f>
        <v>2003</v>
      </c>
      <c r="I277" s="177">
        <f t="shared" si="90"/>
        <v>2004</v>
      </c>
      <c r="J277" s="177">
        <f t="shared" si="90"/>
        <v>2005</v>
      </c>
      <c r="K277" s="177">
        <f t="shared" si="90"/>
        <v>2006</v>
      </c>
      <c r="L277" s="177">
        <f t="shared" si="90"/>
        <v>2007</v>
      </c>
      <c r="M277" s="177">
        <f t="shared" si="90"/>
        <v>2008</v>
      </c>
      <c r="N277" s="177">
        <f t="shared" si="90"/>
        <v>2009</v>
      </c>
      <c r="O277" s="177">
        <f t="shared" si="90"/>
        <v>2010</v>
      </c>
      <c r="P277" s="177">
        <f t="shared" si="90"/>
        <v>2011</v>
      </c>
      <c r="Q277" s="177">
        <f t="shared" si="90"/>
        <v>2012</v>
      </c>
      <c r="R277" s="177">
        <f t="shared" si="90"/>
        <v>2013</v>
      </c>
      <c r="S277" s="177">
        <f t="shared" si="90"/>
        <v>2014</v>
      </c>
      <c r="T277" s="177">
        <f t="shared" si="90"/>
        <v>2015</v>
      </c>
      <c r="U277" s="177">
        <f t="shared" si="90"/>
        <v>2016</v>
      </c>
      <c r="V277" s="177">
        <f t="shared" si="90"/>
        <v>2017</v>
      </c>
      <c r="W277" s="177">
        <f t="shared" si="90"/>
        <v>2018</v>
      </c>
      <c r="X277" s="177">
        <f t="shared" si="90"/>
        <v>2019</v>
      </c>
      <c r="Y277" s="177">
        <f t="shared" si="90"/>
        <v>2020</v>
      </c>
      <c r="Z277" s="171"/>
      <c r="AA277" s="309"/>
    </row>
    <row r="278" spans="1:27" x14ac:dyDescent="0.25">
      <c r="A278" s="168"/>
      <c r="B278" s="173"/>
      <c r="C278" s="173"/>
      <c r="D278" s="170"/>
      <c r="E278" s="170"/>
      <c r="F278" s="170"/>
      <c r="G278" s="170"/>
      <c r="H278" s="170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71"/>
      <c r="AA278" s="172"/>
    </row>
    <row r="279" spans="1:27" x14ac:dyDescent="0.25">
      <c r="A279" s="168"/>
      <c r="B279" s="173"/>
      <c r="C279" s="173" t="s">
        <v>259</v>
      </c>
      <c r="D279" s="170"/>
      <c r="E279" s="170"/>
      <c r="F279" s="181">
        <v>3</v>
      </c>
      <c r="G279" s="181">
        <v>3</v>
      </c>
      <c r="H279" s="181">
        <v>3</v>
      </c>
      <c r="I279" s="181">
        <v>3</v>
      </c>
      <c r="J279" s="181">
        <v>3</v>
      </c>
      <c r="K279" s="181">
        <v>3</v>
      </c>
      <c r="L279" s="181">
        <v>3</v>
      </c>
      <c r="M279" s="181">
        <v>3</v>
      </c>
      <c r="N279" s="181">
        <v>3</v>
      </c>
      <c r="O279" s="181">
        <v>3</v>
      </c>
      <c r="P279" s="181">
        <v>3</v>
      </c>
      <c r="Q279" s="181">
        <v>3</v>
      </c>
      <c r="R279" s="181">
        <v>3</v>
      </c>
      <c r="S279" s="181">
        <v>3</v>
      </c>
      <c r="T279" s="181">
        <v>3</v>
      </c>
      <c r="U279" s="181">
        <v>3</v>
      </c>
      <c r="V279" s="181">
        <v>3</v>
      </c>
      <c r="W279" s="181">
        <v>3</v>
      </c>
      <c r="X279" s="181">
        <v>3</v>
      </c>
      <c r="Y279" s="181">
        <v>3</v>
      </c>
      <c r="Z279" s="171"/>
      <c r="AA279" s="172" t="s">
        <v>1113</v>
      </c>
    </row>
    <row r="280" spans="1:27" x14ac:dyDescent="0.25">
      <c r="A280" s="168"/>
      <c r="B280" s="173"/>
      <c r="C280" s="173" t="s">
        <v>266</v>
      </c>
      <c r="D280" s="170"/>
      <c r="E280" s="170"/>
      <c r="F280" s="185">
        <f>F9</f>
        <v>10</v>
      </c>
      <c r="G280" s="185">
        <f>G9-F9</f>
        <v>8</v>
      </c>
      <c r="H280" s="185">
        <f t="shared" ref="H280:O280" si="91">H9-G9</f>
        <v>8</v>
      </c>
      <c r="I280" s="185">
        <f t="shared" si="91"/>
        <v>8</v>
      </c>
      <c r="J280" s="185">
        <f t="shared" si="91"/>
        <v>8</v>
      </c>
      <c r="K280" s="185">
        <f t="shared" si="91"/>
        <v>8</v>
      </c>
      <c r="L280" s="185">
        <f t="shared" si="91"/>
        <v>8</v>
      </c>
      <c r="M280" s="185">
        <f t="shared" si="91"/>
        <v>8</v>
      </c>
      <c r="N280" s="185">
        <f t="shared" si="91"/>
        <v>8</v>
      </c>
      <c r="O280" s="185">
        <f t="shared" si="91"/>
        <v>8</v>
      </c>
      <c r="P280" s="185">
        <f t="shared" ref="P280:Y280" si="92">P9-O9</f>
        <v>8</v>
      </c>
      <c r="Q280" s="185">
        <f t="shared" si="92"/>
        <v>8</v>
      </c>
      <c r="R280" s="185">
        <f t="shared" si="92"/>
        <v>8</v>
      </c>
      <c r="S280" s="185">
        <f t="shared" si="92"/>
        <v>8</v>
      </c>
      <c r="T280" s="185">
        <f t="shared" si="92"/>
        <v>8</v>
      </c>
      <c r="U280" s="185">
        <f t="shared" si="92"/>
        <v>8</v>
      </c>
      <c r="V280" s="185">
        <f t="shared" si="92"/>
        <v>8</v>
      </c>
      <c r="W280" s="185">
        <f t="shared" si="92"/>
        <v>8</v>
      </c>
      <c r="X280" s="185">
        <f t="shared" si="92"/>
        <v>8</v>
      </c>
      <c r="Y280" s="185">
        <f t="shared" si="92"/>
        <v>8</v>
      </c>
      <c r="Z280" s="171"/>
      <c r="AA280" s="172"/>
    </row>
    <row r="281" spans="1:27" x14ac:dyDescent="0.25">
      <c r="A281" s="168"/>
      <c r="B281" s="173"/>
      <c r="C281" s="173" t="s">
        <v>261</v>
      </c>
      <c r="D281" s="170"/>
      <c r="E281" s="170"/>
      <c r="F281" s="170">
        <f>F279*F280</f>
        <v>30</v>
      </c>
      <c r="G281" s="170">
        <f t="shared" ref="G281:O281" si="93">G279*G280</f>
        <v>24</v>
      </c>
      <c r="H281" s="170">
        <f t="shared" si="93"/>
        <v>24</v>
      </c>
      <c r="I281" s="170">
        <f t="shared" si="93"/>
        <v>24</v>
      </c>
      <c r="J281" s="170">
        <f t="shared" si="93"/>
        <v>24</v>
      </c>
      <c r="K281" s="170">
        <f t="shared" si="93"/>
        <v>24</v>
      </c>
      <c r="L281" s="170">
        <f t="shared" si="93"/>
        <v>24</v>
      </c>
      <c r="M281" s="170">
        <f t="shared" si="93"/>
        <v>24</v>
      </c>
      <c r="N281" s="170">
        <f t="shared" si="93"/>
        <v>24</v>
      </c>
      <c r="O281" s="170">
        <f t="shared" si="93"/>
        <v>24</v>
      </c>
      <c r="P281" s="170">
        <f t="shared" ref="P281:Y281" si="94">P279*P280</f>
        <v>24</v>
      </c>
      <c r="Q281" s="170">
        <f t="shared" si="94"/>
        <v>24</v>
      </c>
      <c r="R281" s="170">
        <f t="shared" si="94"/>
        <v>24</v>
      </c>
      <c r="S281" s="170">
        <f t="shared" si="94"/>
        <v>24</v>
      </c>
      <c r="T281" s="170">
        <f t="shared" si="94"/>
        <v>24</v>
      </c>
      <c r="U281" s="170">
        <f t="shared" si="94"/>
        <v>24</v>
      </c>
      <c r="V281" s="170">
        <f t="shared" si="94"/>
        <v>24</v>
      </c>
      <c r="W281" s="170">
        <f t="shared" si="94"/>
        <v>24</v>
      </c>
      <c r="X281" s="170">
        <f t="shared" si="94"/>
        <v>24</v>
      </c>
      <c r="Y281" s="170">
        <f t="shared" si="94"/>
        <v>24</v>
      </c>
      <c r="Z281" s="171"/>
      <c r="AA281" s="172"/>
    </row>
    <row r="282" spans="1:27" x14ac:dyDescent="0.25">
      <c r="A282" s="168"/>
      <c r="B282" s="173"/>
      <c r="C282" s="173"/>
      <c r="D282" s="170"/>
      <c r="E282" s="170"/>
      <c r="F282" s="170"/>
      <c r="G282" s="170"/>
      <c r="H282" s="170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71"/>
      <c r="AA282" s="172"/>
    </row>
    <row r="283" spans="1:27" x14ac:dyDescent="0.25">
      <c r="A283" s="168"/>
      <c r="B283" s="173"/>
      <c r="C283" s="173" t="s">
        <v>260</v>
      </c>
      <c r="D283" s="170"/>
      <c r="E283" s="170"/>
      <c r="F283" s="181">
        <v>2</v>
      </c>
      <c r="G283" s="181">
        <v>2</v>
      </c>
      <c r="H283" s="181">
        <v>1.5</v>
      </c>
      <c r="I283" s="181">
        <v>1.5</v>
      </c>
      <c r="J283" s="181">
        <v>1.5</v>
      </c>
      <c r="K283" s="238">
        <v>1.4</v>
      </c>
      <c r="L283" s="238">
        <v>1.3</v>
      </c>
      <c r="M283" s="238">
        <v>1.2</v>
      </c>
      <c r="N283" s="238">
        <v>1.1000000000000001</v>
      </c>
      <c r="O283" s="238">
        <v>1</v>
      </c>
      <c r="P283" s="238">
        <v>1</v>
      </c>
      <c r="Q283" s="238">
        <v>1</v>
      </c>
      <c r="R283" s="238">
        <v>1</v>
      </c>
      <c r="S283" s="238">
        <v>1</v>
      </c>
      <c r="T283" s="238">
        <v>1</v>
      </c>
      <c r="U283" s="238">
        <v>1</v>
      </c>
      <c r="V283" s="238">
        <v>1</v>
      </c>
      <c r="W283" s="238">
        <v>1</v>
      </c>
      <c r="X283" s="238">
        <v>1</v>
      </c>
      <c r="Y283" s="238">
        <v>1</v>
      </c>
      <c r="Z283" s="171"/>
      <c r="AA283" s="172" t="s">
        <v>1113</v>
      </c>
    </row>
    <row r="284" spans="1:27" x14ac:dyDescent="0.25">
      <c r="A284" s="168"/>
      <c r="B284" s="173"/>
      <c r="C284" s="173" t="s">
        <v>262</v>
      </c>
      <c r="D284" s="170"/>
      <c r="E284" s="170"/>
      <c r="F284" s="170">
        <f t="shared" ref="F284:Y284" si="95">F283*F9</f>
        <v>20</v>
      </c>
      <c r="G284" s="170">
        <f t="shared" si="95"/>
        <v>36</v>
      </c>
      <c r="H284" s="170">
        <f t="shared" si="95"/>
        <v>39</v>
      </c>
      <c r="I284" s="170">
        <f t="shared" si="95"/>
        <v>51</v>
      </c>
      <c r="J284" s="170">
        <f t="shared" si="95"/>
        <v>63</v>
      </c>
      <c r="K284" s="170">
        <f t="shared" si="95"/>
        <v>70</v>
      </c>
      <c r="L284" s="170">
        <f t="shared" si="95"/>
        <v>75.400000000000006</v>
      </c>
      <c r="M284" s="170">
        <f t="shared" si="95"/>
        <v>79.2</v>
      </c>
      <c r="N284" s="170">
        <f t="shared" si="95"/>
        <v>81.400000000000006</v>
      </c>
      <c r="O284" s="170">
        <f t="shared" si="95"/>
        <v>82</v>
      </c>
      <c r="P284" s="170">
        <f t="shared" si="95"/>
        <v>90</v>
      </c>
      <c r="Q284" s="170">
        <f t="shared" si="95"/>
        <v>98</v>
      </c>
      <c r="R284" s="170">
        <f t="shared" si="95"/>
        <v>106</v>
      </c>
      <c r="S284" s="170">
        <f t="shared" si="95"/>
        <v>114</v>
      </c>
      <c r="T284" s="170">
        <f t="shared" si="95"/>
        <v>122</v>
      </c>
      <c r="U284" s="170">
        <f t="shared" si="95"/>
        <v>130</v>
      </c>
      <c r="V284" s="170">
        <f t="shared" si="95"/>
        <v>138</v>
      </c>
      <c r="W284" s="170">
        <f t="shared" si="95"/>
        <v>146</v>
      </c>
      <c r="X284" s="170">
        <f t="shared" si="95"/>
        <v>154</v>
      </c>
      <c r="Y284" s="170">
        <f t="shared" si="95"/>
        <v>162</v>
      </c>
      <c r="Z284" s="171"/>
      <c r="AA284" s="172"/>
    </row>
    <row r="285" spans="1:27" x14ac:dyDescent="0.25">
      <c r="A285" s="168"/>
      <c r="B285" s="173"/>
      <c r="C285" s="173"/>
      <c r="D285" s="170"/>
      <c r="E285" s="170"/>
      <c r="F285" s="170"/>
      <c r="G285" s="170"/>
      <c r="H285" s="170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71"/>
      <c r="AA285" s="172"/>
    </row>
    <row r="286" spans="1:27" x14ac:dyDescent="0.25">
      <c r="A286" s="168"/>
      <c r="B286" s="173"/>
      <c r="C286" s="173" t="s">
        <v>263</v>
      </c>
      <c r="D286" s="170"/>
      <c r="E286" s="170"/>
      <c r="F286" s="181">
        <v>0</v>
      </c>
      <c r="G286" s="181">
        <v>0</v>
      </c>
      <c r="H286" s="181">
        <v>0</v>
      </c>
      <c r="I286" s="238">
        <v>0</v>
      </c>
      <c r="J286" s="238">
        <v>0</v>
      </c>
      <c r="K286" s="238">
        <v>0</v>
      </c>
      <c r="L286" s="238">
        <v>0</v>
      </c>
      <c r="M286" s="238">
        <v>0</v>
      </c>
      <c r="N286" s="238">
        <v>0</v>
      </c>
      <c r="O286" s="238">
        <v>0</v>
      </c>
      <c r="P286" s="238">
        <v>0</v>
      </c>
      <c r="Q286" s="238">
        <v>0</v>
      </c>
      <c r="R286" s="238">
        <v>0</v>
      </c>
      <c r="S286" s="238">
        <v>0</v>
      </c>
      <c r="T286" s="238">
        <v>0</v>
      </c>
      <c r="U286" s="238">
        <v>0</v>
      </c>
      <c r="V286" s="238">
        <v>0</v>
      </c>
      <c r="W286" s="238">
        <v>0</v>
      </c>
      <c r="X286" s="238">
        <v>0</v>
      </c>
      <c r="Y286" s="238">
        <v>0</v>
      </c>
      <c r="Z286" s="171"/>
      <c r="AA286" s="172" t="s">
        <v>1113</v>
      </c>
    </row>
    <row r="287" spans="1:27" x14ac:dyDescent="0.25">
      <c r="A287" s="168"/>
      <c r="B287" s="173"/>
      <c r="C287" s="173"/>
      <c r="D287" s="170"/>
      <c r="E287" s="170"/>
      <c r="F287" s="170"/>
      <c r="G287" s="170"/>
      <c r="H287" s="170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71"/>
      <c r="AA287" s="172"/>
    </row>
    <row r="288" spans="1:27" x14ac:dyDescent="0.25">
      <c r="A288" s="168"/>
      <c r="B288" s="173"/>
      <c r="C288" s="173" t="s">
        <v>360</v>
      </c>
      <c r="D288" s="170"/>
      <c r="E288" s="170"/>
      <c r="F288" s="170">
        <f>F281+F284+F286</f>
        <v>50</v>
      </c>
      <c r="G288" s="170">
        <f t="shared" ref="G288:O288" si="96">G281+G284+G286</f>
        <v>60</v>
      </c>
      <c r="H288" s="170">
        <f t="shared" si="96"/>
        <v>63</v>
      </c>
      <c r="I288" s="170">
        <f t="shared" si="96"/>
        <v>75</v>
      </c>
      <c r="J288" s="170">
        <f t="shared" si="96"/>
        <v>87</v>
      </c>
      <c r="K288" s="170">
        <f t="shared" si="96"/>
        <v>94</v>
      </c>
      <c r="L288" s="170">
        <f t="shared" si="96"/>
        <v>99.4</v>
      </c>
      <c r="M288" s="170">
        <f t="shared" si="96"/>
        <v>103.2</v>
      </c>
      <c r="N288" s="170">
        <f t="shared" si="96"/>
        <v>105.4</v>
      </c>
      <c r="O288" s="170">
        <f t="shared" si="96"/>
        <v>106</v>
      </c>
      <c r="P288" s="170">
        <f t="shared" ref="P288:Y288" si="97">P281+P284+P286</f>
        <v>114</v>
      </c>
      <c r="Q288" s="170">
        <f t="shared" si="97"/>
        <v>122</v>
      </c>
      <c r="R288" s="170">
        <f t="shared" si="97"/>
        <v>130</v>
      </c>
      <c r="S288" s="170">
        <f t="shared" si="97"/>
        <v>138</v>
      </c>
      <c r="T288" s="170">
        <f t="shared" si="97"/>
        <v>146</v>
      </c>
      <c r="U288" s="170">
        <f t="shared" si="97"/>
        <v>154</v>
      </c>
      <c r="V288" s="170">
        <f t="shared" si="97"/>
        <v>162</v>
      </c>
      <c r="W288" s="170">
        <f t="shared" si="97"/>
        <v>170</v>
      </c>
      <c r="X288" s="170">
        <f t="shared" si="97"/>
        <v>178</v>
      </c>
      <c r="Y288" s="170">
        <f t="shared" si="97"/>
        <v>186</v>
      </c>
      <c r="Z288" s="171"/>
      <c r="AA288" s="172"/>
    </row>
    <row r="289" spans="1:27" x14ac:dyDescent="0.25">
      <c r="A289" s="168"/>
      <c r="B289" s="173"/>
      <c r="C289" s="173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1"/>
      <c r="AA289" s="172"/>
    </row>
    <row r="290" spans="1:27" x14ac:dyDescent="0.25">
      <c r="A290" s="168"/>
      <c r="B290" s="173"/>
      <c r="C290" s="173" t="s">
        <v>361</v>
      </c>
      <c r="D290" s="170"/>
      <c r="E290" s="170"/>
      <c r="F290" s="319">
        <f>IF(Scenario!$G$3="W",Scenario!B72,IF(Scenario!$G$3="M",Scenario!B73,Scenario!B74))</f>
        <v>50</v>
      </c>
      <c r="G290" s="319">
        <f>IF(Scenario!$G$3="W",Scenario!C72,IF(Scenario!$G$3="M",Scenario!C73,Scenario!C74))</f>
        <v>60</v>
      </c>
      <c r="H290" s="319">
        <f>IF(Scenario!$G$3="W",Scenario!D72,IF(Scenario!$G$3="M",Scenario!D73,Scenario!D74))</f>
        <v>63</v>
      </c>
      <c r="I290" s="319">
        <f>IF(Scenario!$G$3="W",Scenario!E72,IF(Scenario!$G$3="M",Scenario!E73,Scenario!E74))</f>
        <v>75</v>
      </c>
      <c r="J290" s="319">
        <f>IF(Scenario!$G$3="W",Scenario!F72,IF(Scenario!$G$3="M",Scenario!F73,Scenario!F74))</f>
        <v>87</v>
      </c>
      <c r="K290" s="319">
        <f>IF(Scenario!$G$3="W",Scenario!G72,IF(Scenario!$G$3="M",Scenario!G73,Scenario!G74))</f>
        <v>94</v>
      </c>
      <c r="L290" s="319">
        <f>IF(Scenario!$G$3="W",Scenario!H72,IF(Scenario!$G$3="M",Scenario!H73,Scenario!H74))</f>
        <v>99.4</v>
      </c>
      <c r="M290" s="319">
        <f>IF(Scenario!$G$3="W",Scenario!I72,IF(Scenario!$G$3="M",Scenario!I73,Scenario!I74))</f>
        <v>103.2</v>
      </c>
      <c r="N290" s="319">
        <f>IF(Scenario!$G$3="W",Scenario!J72,IF(Scenario!$G$3="M",Scenario!J73,Scenario!J74))</f>
        <v>105.4</v>
      </c>
      <c r="O290" s="319">
        <f>IF(Scenario!$G$3="W",Scenario!K72,IF(Scenario!$G$3="M",Scenario!K73,Scenario!K74))</f>
        <v>106</v>
      </c>
      <c r="P290" s="319">
        <f>IF(Scenario!$G$3="W",Scenario!L72,IF(Scenario!$G$3="M",Scenario!L73,Scenario!L74))</f>
        <v>114</v>
      </c>
      <c r="Q290" s="319">
        <f>IF(Scenario!$G$3="W",Scenario!M72,IF(Scenario!$G$3="M",Scenario!M73,Scenario!M74))</f>
        <v>122</v>
      </c>
      <c r="R290" s="319">
        <f>IF(Scenario!$G$3="W",Scenario!N72,IF(Scenario!$G$3="M",Scenario!N73,Scenario!N74))</f>
        <v>130</v>
      </c>
      <c r="S290" s="319">
        <f>IF(Scenario!$G$3="W",Scenario!O72,IF(Scenario!$G$3="M",Scenario!O73,Scenario!O74))</f>
        <v>138</v>
      </c>
      <c r="T290" s="319">
        <f>IF(Scenario!$G$3="W",Scenario!P72,IF(Scenario!$G$3="M",Scenario!P73,Scenario!P74))</f>
        <v>146</v>
      </c>
      <c r="U290" s="319">
        <f>IF(Scenario!$G$3="W",Scenario!Q72,IF(Scenario!$G$3="M",Scenario!Q73,Scenario!Q74))</f>
        <v>154</v>
      </c>
      <c r="V290" s="319">
        <f>IF(Scenario!$G$3="W",Scenario!R72,IF(Scenario!$G$3="M",Scenario!R73,Scenario!R74))</f>
        <v>162</v>
      </c>
      <c r="W290" s="319">
        <f>IF(Scenario!$G$3="W",Scenario!S72,IF(Scenario!$G$3="M",Scenario!S73,Scenario!S74))</f>
        <v>170</v>
      </c>
      <c r="X290" s="319">
        <f>IF(Scenario!$G$3="W",Scenario!T72,IF(Scenario!$G$3="M",Scenario!T73,Scenario!T74))</f>
        <v>178</v>
      </c>
      <c r="Y290" s="319">
        <f>IF(Scenario!$G$3="W",Scenario!U72,IF(Scenario!$G$3="M",Scenario!U73,Scenario!U74))</f>
        <v>186</v>
      </c>
      <c r="Z290" s="171"/>
      <c r="AA290" s="172"/>
    </row>
    <row r="291" spans="1:27" x14ac:dyDescent="0.25">
      <c r="A291" s="168"/>
      <c r="B291" s="173"/>
      <c r="C291" s="173"/>
      <c r="D291" s="170"/>
      <c r="E291" s="170"/>
      <c r="F291" s="170"/>
      <c r="G291" s="170"/>
      <c r="H291" s="170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71"/>
      <c r="AA291" s="172"/>
    </row>
    <row r="292" spans="1:27" x14ac:dyDescent="0.25">
      <c r="A292" s="168"/>
      <c r="B292" s="173"/>
      <c r="C292" s="173" t="s">
        <v>982</v>
      </c>
      <c r="D292" s="170"/>
      <c r="E292" s="170"/>
      <c r="F292" s="203">
        <v>75</v>
      </c>
      <c r="G292" s="170"/>
      <c r="H292" s="170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71"/>
      <c r="AA292" s="172" t="s">
        <v>1113</v>
      </c>
    </row>
    <row r="293" spans="1:27" x14ac:dyDescent="0.25">
      <c r="A293" s="168"/>
      <c r="B293" s="173"/>
      <c r="C293" s="173" t="s">
        <v>983</v>
      </c>
      <c r="D293" s="170"/>
      <c r="E293" s="170"/>
      <c r="F293" s="431">
        <v>0.7</v>
      </c>
      <c r="G293" s="170"/>
      <c r="H293" s="170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71"/>
      <c r="AA293" s="172"/>
    </row>
    <row r="294" spans="1:27" x14ac:dyDescent="0.25">
      <c r="A294" s="168"/>
      <c r="B294" s="173"/>
      <c r="C294" s="173" t="s">
        <v>984</v>
      </c>
      <c r="D294" s="170"/>
      <c r="E294" s="170"/>
      <c r="F294" s="203">
        <f>F292*(1+F293)</f>
        <v>127.5</v>
      </c>
      <c r="G294" s="192">
        <f>F294*1.03</f>
        <v>131.32500000000002</v>
      </c>
      <c r="H294" s="192">
        <f t="shared" ref="H294:Y294" si="98">G294*1.03</f>
        <v>135.26475000000002</v>
      </c>
      <c r="I294" s="192">
        <f t="shared" si="98"/>
        <v>139.32269250000002</v>
      </c>
      <c r="J294" s="192">
        <f t="shared" si="98"/>
        <v>143.50237327500002</v>
      </c>
      <c r="K294" s="192">
        <f t="shared" si="98"/>
        <v>147.80744447325003</v>
      </c>
      <c r="L294" s="192">
        <f t="shared" si="98"/>
        <v>152.24166780744753</v>
      </c>
      <c r="M294" s="192">
        <f t="shared" si="98"/>
        <v>156.80891784167096</v>
      </c>
      <c r="N294" s="192">
        <f t="shared" si="98"/>
        <v>161.51318537692109</v>
      </c>
      <c r="O294" s="192">
        <f t="shared" si="98"/>
        <v>166.35858093822873</v>
      </c>
      <c r="P294" s="192">
        <f t="shared" si="98"/>
        <v>171.3493383663756</v>
      </c>
      <c r="Q294" s="192">
        <f t="shared" si="98"/>
        <v>176.48981851736687</v>
      </c>
      <c r="R294" s="192">
        <f t="shared" si="98"/>
        <v>181.78451307288788</v>
      </c>
      <c r="S294" s="192">
        <f t="shared" si="98"/>
        <v>187.23804846507451</v>
      </c>
      <c r="T294" s="192">
        <f t="shared" si="98"/>
        <v>192.85518991902674</v>
      </c>
      <c r="U294" s="192">
        <f t="shared" si="98"/>
        <v>198.64084561659755</v>
      </c>
      <c r="V294" s="192">
        <f t="shared" si="98"/>
        <v>204.60007098509547</v>
      </c>
      <c r="W294" s="192">
        <f t="shared" si="98"/>
        <v>210.73807311464833</v>
      </c>
      <c r="X294" s="192">
        <f t="shared" si="98"/>
        <v>217.06021530808778</v>
      </c>
      <c r="Y294" s="192">
        <f t="shared" si="98"/>
        <v>223.57202176733043</v>
      </c>
      <c r="Z294" s="171"/>
      <c r="AA294" s="172" t="s">
        <v>870</v>
      </c>
    </row>
    <row r="295" spans="1:27" ht="13.8" thickBot="1" x14ac:dyDescent="0.3">
      <c r="A295" s="317"/>
      <c r="B295" s="209"/>
      <c r="C295" s="209"/>
      <c r="D295" s="223"/>
      <c r="E295" s="223"/>
      <c r="F295" s="223"/>
      <c r="G295" s="223"/>
      <c r="H295" s="223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11"/>
      <c r="AA295" s="212"/>
    </row>
    <row r="296" spans="1:27" x14ac:dyDescent="0.25">
      <c r="A296" s="168"/>
      <c r="B296" s="173"/>
      <c r="C296" s="173"/>
      <c r="D296" s="170"/>
      <c r="E296" s="170"/>
      <c r="F296" s="170"/>
      <c r="G296" s="170"/>
      <c r="H296" s="170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71"/>
      <c r="AA296" s="172"/>
    </row>
    <row r="297" spans="1:27" x14ac:dyDescent="0.25">
      <c r="A297" s="168"/>
      <c r="B297" s="169" t="s">
        <v>386</v>
      </c>
      <c r="C297" s="173"/>
      <c r="D297" s="170"/>
      <c r="E297" s="170"/>
      <c r="F297" s="177">
        <f>F277</f>
        <v>2001</v>
      </c>
      <c r="G297" s="177">
        <f t="shared" ref="G297:Y297" si="99">G277</f>
        <v>2002</v>
      </c>
      <c r="H297" s="177">
        <f t="shared" si="99"/>
        <v>2003</v>
      </c>
      <c r="I297" s="177">
        <f t="shared" si="99"/>
        <v>2004</v>
      </c>
      <c r="J297" s="177">
        <f t="shared" si="99"/>
        <v>2005</v>
      </c>
      <c r="K297" s="177">
        <f t="shared" si="99"/>
        <v>2006</v>
      </c>
      <c r="L297" s="177">
        <f t="shared" si="99"/>
        <v>2007</v>
      </c>
      <c r="M297" s="177">
        <f t="shared" si="99"/>
        <v>2008</v>
      </c>
      <c r="N297" s="177">
        <f t="shared" si="99"/>
        <v>2009</v>
      </c>
      <c r="O297" s="177">
        <f t="shared" si="99"/>
        <v>2010</v>
      </c>
      <c r="P297" s="177">
        <f t="shared" si="99"/>
        <v>2011</v>
      </c>
      <c r="Q297" s="177">
        <f t="shared" si="99"/>
        <v>2012</v>
      </c>
      <c r="R297" s="177">
        <f t="shared" si="99"/>
        <v>2013</v>
      </c>
      <c r="S297" s="177">
        <f t="shared" si="99"/>
        <v>2014</v>
      </c>
      <c r="T297" s="177">
        <f t="shared" si="99"/>
        <v>2015</v>
      </c>
      <c r="U297" s="177">
        <f t="shared" si="99"/>
        <v>2016</v>
      </c>
      <c r="V297" s="177">
        <f t="shared" si="99"/>
        <v>2017</v>
      </c>
      <c r="W297" s="177">
        <f t="shared" si="99"/>
        <v>2018</v>
      </c>
      <c r="X297" s="177">
        <f t="shared" si="99"/>
        <v>2019</v>
      </c>
      <c r="Y297" s="177">
        <f t="shared" si="99"/>
        <v>2020</v>
      </c>
      <c r="Z297" s="171"/>
      <c r="AA297" s="309" t="s">
        <v>56</v>
      </c>
    </row>
    <row r="298" spans="1:27" x14ac:dyDescent="0.25">
      <c r="A298" s="168"/>
      <c r="B298" s="173"/>
      <c r="C298" s="173"/>
      <c r="D298" s="170"/>
      <c r="E298" s="170"/>
      <c r="F298" s="170"/>
      <c r="G298" s="170"/>
      <c r="H298" s="170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71"/>
      <c r="AA298" s="172"/>
    </row>
    <row r="299" spans="1:27" x14ac:dyDescent="0.25">
      <c r="A299" s="168"/>
      <c r="B299" s="173" t="s">
        <v>173</v>
      </c>
      <c r="C299" s="173"/>
      <c r="D299" s="170"/>
      <c r="E299" s="170"/>
      <c r="F299" s="267">
        <v>1</v>
      </c>
      <c r="G299" s="33" t="s">
        <v>415</v>
      </c>
      <c r="H299" s="170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71"/>
      <c r="AA299" s="172" t="s">
        <v>1054</v>
      </c>
    </row>
    <row r="300" spans="1:27" x14ac:dyDescent="0.25">
      <c r="A300" s="168"/>
      <c r="B300" s="173"/>
      <c r="C300" s="173"/>
      <c r="D300" s="170"/>
      <c r="E300" s="170"/>
      <c r="F300" s="170"/>
      <c r="G300" s="170"/>
      <c r="H300" s="170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71"/>
      <c r="AA300" s="172"/>
    </row>
    <row r="301" spans="1:27" x14ac:dyDescent="0.25">
      <c r="A301" s="168"/>
      <c r="B301" s="179" t="s">
        <v>405</v>
      </c>
      <c r="C301" s="173"/>
      <c r="D301" s="170"/>
      <c r="E301" s="170"/>
      <c r="F301" s="170"/>
      <c r="G301" s="170"/>
      <c r="H301" s="170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71"/>
      <c r="AA301" s="172"/>
    </row>
    <row r="302" spans="1:27" x14ac:dyDescent="0.25">
      <c r="A302" s="168"/>
      <c r="B302" s="15" t="s">
        <v>370</v>
      </c>
      <c r="C302" s="173"/>
      <c r="D302" s="170"/>
      <c r="E302" s="170"/>
      <c r="F302" s="203">
        <v>2000</v>
      </c>
      <c r="G302" s="203">
        <v>2000</v>
      </c>
      <c r="H302" s="203">
        <v>1800</v>
      </c>
      <c r="I302" s="204">
        <v>1800</v>
      </c>
      <c r="J302" s="204">
        <v>1600</v>
      </c>
      <c r="K302" s="204">
        <v>1600</v>
      </c>
      <c r="L302" s="204">
        <v>1400</v>
      </c>
      <c r="M302" s="204">
        <v>1400</v>
      </c>
      <c r="N302" s="204">
        <v>1200</v>
      </c>
      <c r="O302" s="204">
        <v>1200</v>
      </c>
      <c r="P302" s="204">
        <v>1200</v>
      </c>
      <c r="Q302" s="204">
        <v>1200</v>
      </c>
      <c r="R302" s="204">
        <v>1200</v>
      </c>
      <c r="S302" s="204">
        <v>1200</v>
      </c>
      <c r="T302" s="204">
        <v>1200</v>
      </c>
      <c r="U302" s="204">
        <v>1200</v>
      </c>
      <c r="V302" s="204">
        <v>1200</v>
      </c>
      <c r="W302" s="204">
        <v>1200</v>
      </c>
      <c r="X302" s="204">
        <v>1200</v>
      </c>
      <c r="Y302" s="204">
        <v>1200</v>
      </c>
      <c r="Z302" s="171"/>
      <c r="AA302" s="172" t="s">
        <v>880</v>
      </c>
    </row>
    <row r="303" spans="1:27" x14ac:dyDescent="0.25">
      <c r="A303" s="168"/>
      <c r="B303" s="15"/>
      <c r="C303" s="173"/>
      <c r="D303" s="170"/>
      <c r="E303" s="170"/>
      <c r="F303" s="170"/>
      <c r="G303" s="170"/>
      <c r="H303" s="170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71"/>
      <c r="AA303" s="172"/>
    </row>
    <row r="304" spans="1:27" x14ac:dyDescent="0.25">
      <c r="A304" s="168"/>
      <c r="B304" s="179" t="s">
        <v>411</v>
      </c>
      <c r="C304" s="173"/>
      <c r="D304" s="170"/>
      <c r="E304" s="170"/>
      <c r="F304" s="170"/>
      <c r="G304" s="170"/>
      <c r="H304" s="170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71"/>
      <c r="AA304" s="172"/>
    </row>
    <row r="305" spans="1:27" x14ac:dyDescent="0.25">
      <c r="A305" s="168"/>
      <c r="B305" s="171" t="s">
        <v>416</v>
      </c>
      <c r="C305" s="173"/>
      <c r="D305" s="170"/>
      <c r="E305" s="170"/>
      <c r="F305" s="320">
        <v>200</v>
      </c>
      <c r="G305" s="320">
        <v>200</v>
      </c>
      <c r="H305" s="320">
        <v>200</v>
      </c>
      <c r="I305" s="320">
        <v>200</v>
      </c>
      <c r="J305" s="320">
        <v>200</v>
      </c>
      <c r="K305" s="320">
        <v>0</v>
      </c>
      <c r="L305" s="320">
        <v>0</v>
      </c>
      <c r="M305" s="320">
        <v>0</v>
      </c>
      <c r="N305" s="320">
        <v>0</v>
      </c>
      <c r="O305" s="320">
        <v>0</v>
      </c>
      <c r="P305" s="320">
        <v>0</v>
      </c>
      <c r="Q305" s="320">
        <v>0</v>
      </c>
      <c r="R305" s="320">
        <v>0</v>
      </c>
      <c r="S305" s="320">
        <v>0</v>
      </c>
      <c r="T305" s="320">
        <v>0</v>
      </c>
      <c r="U305" s="320">
        <v>0</v>
      </c>
      <c r="V305" s="320">
        <v>0</v>
      </c>
      <c r="W305" s="320">
        <v>0</v>
      </c>
      <c r="X305" s="320">
        <v>0</v>
      </c>
      <c r="Y305" s="320">
        <v>0</v>
      </c>
      <c r="Z305" s="171"/>
      <c r="AA305" s="172"/>
    </row>
    <row r="306" spans="1:27" x14ac:dyDescent="0.25">
      <c r="A306" s="168"/>
      <c r="B306" s="171" t="s">
        <v>414</v>
      </c>
      <c r="C306" s="173"/>
      <c r="D306" s="170"/>
      <c r="E306" s="170"/>
      <c r="F306" s="321">
        <v>1</v>
      </c>
      <c r="G306" s="321">
        <v>0.8</v>
      </c>
      <c r="H306" s="321">
        <v>0.6</v>
      </c>
      <c r="I306" s="321">
        <v>0.4</v>
      </c>
      <c r="J306" s="321">
        <v>0.2</v>
      </c>
      <c r="K306" s="321">
        <v>0</v>
      </c>
      <c r="L306" s="321">
        <v>0</v>
      </c>
      <c r="M306" s="321">
        <v>0</v>
      </c>
      <c r="N306" s="321">
        <v>0</v>
      </c>
      <c r="O306" s="321">
        <v>0</v>
      </c>
      <c r="P306" s="321">
        <v>0</v>
      </c>
      <c r="Q306" s="321">
        <v>0</v>
      </c>
      <c r="R306" s="321">
        <v>0</v>
      </c>
      <c r="S306" s="321">
        <v>0</v>
      </c>
      <c r="T306" s="321">
        <v>0</v>
      </c>
      <c r="U306" s="321">
        <v>0</v>
      </c>
      <c r="V306" s="321">
        <v>0</v>
      </c>
      <c r="W306" s="321">
        <v>0</v>
      </c>
      <c r="X306" s="321">
        <v>0</v>
      </c>
      <c r="Y306" s="321">
        <v>0</v>
      </c>
      <c r="Z306" s="171"/>
      <c r="AA306" s="172"/>
    </row>
    <row r="307" spans="1:27" ht="13.8" thickBot="1" x14ac:dyDescent="0.3">
      <c r="A307" s="317"/>
      <c r="B307" s="209"/>
      <c r="C307" s="209"/>
      <c r="D307" s="223"/>
      <c r="E307" s="223"/>
      <c r="F307" s="223"/>
      <c r="G307" s="223"/>
      <c r="H307" s="223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11"/>
      <c r="AA307" s="212"/>
    </row>
    <row r="308" spans="1:27" x14ac:dyDescent="0.25">
      <c r="A308" s="168"/>
      <c r="B308" s="173"/>
      <c r="C308" s="173"/>
      <c r="D308" s="170"/>
      <c r="E308" s="170"/>
      <c r="F308" s="170"/>
      <c r="G308" s="170"/>
      <c r="H308" s="170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71"/>
      <c r="AA308" s="172"/>
    </row>
    <row r="309" spans="1:27" x14ac:dyDescent="0.25">
      <c r="A309" s="168"/>
      <c r="B309" s="169" t="s">
        <v>927</v>
      </c>
      <c r="C309" s="173"/>
      <c r="D309" s="170"/>
      <c r="E309" s="170"/>
      <c r="F309" s="170"/>
      <c r="G309" s="170"/>
      <c r="H309" s="170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71"/>
      <c r="AA309" s="172"/>
    </row>
    <row r="310" spans="1:27" ht="13.8" thickBot="1" x14ac:dyDescent="0.3">
      <c r="A310" s="168"/>
      <c r="B310" s="169"/>
      <c r="C310" s="173"/>
      <c r="D310" s="170"/>
      <c r="E310" s="170"/>
      <c r="F310" s="322" t="s">
        <v>931</v>
      </c>
      <c r="G310" s="170"/>
      <c r="H310" s="323" t="s">
        <v>932</v>
      </c>
      <c r="I310" s="15"/>
      <c r="J310" s="323" t="s">
        <v>933</v>
      </c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71"/>
      <c r="AA310" s="172"/>
    </row>
    <row r="311" spans="1:27" ht="13.5" customHeight="1" thickBot="1" x14ac:dyDescent="0.3">
      <c r="A311" s="168"/>
      <c r="B311" s="169"/>
      <c r="C311" s="173"/>
      <c r="D311" s="160" t="s">
        <v>930</v>
      </c>
      <c r="E311" s="170"/>
      <c r="F311" s="324">
        <v>3</v>
      </c>
      <c r="G311" s="170"/>
      <c r="H311" s="324" t="s">
        <v>934</v>
      </c>
      <c r="I311" s="325" t="s">
        <v>935</v>
      </c>
      <c r="J311" s="326">
        <v>0</v>
      </c>
      <c r="K311" s="15"/>
      <c r="L311" s="533" t="s">
        <v>960</v>
      </c>
      <c r="M311" s="527"/>
      <c r="N311" s="528"/>
      <c r="O311" s="526">
        <v>0</v>
      </c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71"/>
      <c r="AA311" s="172"/>
    </row>
    <row r="312" spans="1:27" ht="13.5" customHeight="1" x14ac:dyDescent="0.25">
      <c r="A312" s="168"/>
      <c r="B312" s="169"/>
      <c r="C312" s="173"/>
      <c r="D312" s="170" t="s">
        <v>925</v>
      </c>
      <c r="E312" s="170"/>
      <c r="F312" s="324">
        <f>F179</f>
        <v>5</v>
      </c>
      <c r="G312" s="170"/>
      <c r="H312" s="324" t="s">
        <v>934</v>
      </c>
      <c r="J312" s="326">
        <v>0</v>
      </c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71"/>
      <c r="AA312" s="172"/>
    </row>
    <row r="313" spans="1:27" ht="13.5" customHeight="1" x14ac:dyDescent="0.25">
      <c r="A313" s="168"/>
      <c r="B313" s="169"/>
      <c r="C313" s="173"/>
      <c r="D313" s="170" t="s">
        <v>175</v>
      </c>
      <c r="E313" s="170"/>
      <c r="F313" s="324">
        <v>2</v>
      </c>
      <c r="G313" s="170"/>
      <c r="H313" s="324" t="s">
        <v>934</v>
      </c>
      <c r="J313" s="326">
        <v>0</v>
      </c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71"/>
      <c r="AA313" s="172"/>
    </row>
    <row r="314" spans="1:27" x14ac:dyDescent="0.25">
      <c r="A314" s="168"/>
      <c r="B314" s="169"/>
      <c r="C314" s="173"/>
      <c r="D314" s="170" t="s">
        <v>926</v>
      </c>
      <c r="E314" s="170"/>
      <c r="F314" s="324"/>
      <c r="G314" s="170"/>
      <c r="H314" s="324"/>
      <c r="J314" s="326"/>
      <c r="K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71"/>
      <c r="AA314" s="172"/>
    </row>
    <row r="315" spans="1:27" ht="15" x14ac:dyDescent="0.25">
      <c r="A315" s="168"/>
      <c r="B315" s="169"/>
      <c r="C315" s="173"/>
      <c r="D315" s="170"/>
      <c r="E315" s="170"/>
      <c r="F315" s="170"/>
      <c r="G315" s="170"/>
      <c r="H315" s="327" t="s">
        <v>945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71"/>
      <c r="AA315" s="172"/>
    </row>
    <row r="316" spans="1:27" x14ac:dyDescent="0.25">
      <c r="A316" s="168"/>
      <c r="B316" s="169" t="s">
        <v>929</v>
      </c>
      <c r="C316" s="173"/>
      <c r="D316" s="170"/>
      <c r="E316" s="170"/>
      <c r="F316" s="170"/>
      <c r="G316" s="170"/>
      <c r="H316" s="170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71"/>
      <c r="AA316" s="172"/>
    </row>
    <row r="317" spans="1:27" x14ac:dyDescent="0.25">
      <c r="A317" s="168"/>
      <c r="B317" s="169"/>
      <c r="C317" s="173"/>
      <c r="D317" s="170"/>
      <c r="E317" s="170"/>
      <c r="F317" s="170"/>
      <c r="G317" s="170"/>
      <c r="H317" s="170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71"/>
      <c r="AA317" s="172"/>
    </row>
    <row r="318" spans="1:27" x14ac:dyDescent="0.25">
      <c r="A318" s="168"/>
      <c r="B318" s="169"/>
      <c r="C318" s="173"/>
      <c r="D318" s="160" t="s">
        <v>1072</v>
      </c>
      <c r="E318" s="170"/>
      <c r="F318" s="324">
        <v>3</v>
      </c>
      <c r="G318" s="170"/>
      <c r="H318" t="s">
        <v>1070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71"/>
      <c r="AA318" s="172" t="s">
        <v>1071</v>
      </c>
    </row>
    <row r="319" spans="1:27" x14ac:dyDescent="0.25">
      <c r="A319" s="168"/>
      <c r="B319" s="169"/>
      <c r="C319" s="173"/>
      <c r="E319" s="170"/>
      <c r="F319"/>
      <c r="G319" s="170"/>
      <c r="H319" s="170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71"/>
      <c r="AA319" s="172"/>
    </row>
    <row r="320" spans="1:27" customFormat="1" x14ac:dyDescent="0.25"/>
    <row r="321" spans="1:27" ht="13.8" thickBot="1" x14ac:dyDescent="0.3">
      <c r="A321" s="168"/>
      <c r="B321" s="173"/>
      <c r="C321" s="173"/>
      <c r="D321" s="170"/>
      <c r="E321" s="170"/>
      <c r="F321" s="170"/>
      <c r="G321" s="170"/>
      <c r="H321" s="170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71"/>
      <c r="AA321" s="172"/>
    </row>
    <row r="322" spans="1:27" x14ac:dyDescent="0.25">
      <c r="A322" s="162"/>
      <c r="B322" s="163"/>
      <c r="C322" s="163"/>
      <c r="D322" s="164"/>
      <c r="E322" s="164"/>
      <c r="F322" s="164"/>
      <c r="G322" s="164"/>
      <c r="H322" s="164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6"/>
      <c r="AA322" s="167"/>
    </row>
    <row r="323" spans="1:27" x14ac:dyDescent="0.25">
      <c r="A323" s="168"/>
      <c r="B323" s="169" t="s">
        <v>315</v>
      </c>
      <c r="C323" s="173"/>
      <c r="D323" s="170"/>
      <c r="E323" s="170"/>
      <c r="F323" s="170"/>
      <c r="G323" s="170"/>
      <c r="H323" s="170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71"/>
      <c r="AA323" s="172"/>
    </row>
    <row r="324" spans="1:27" x14ac:dyDescent="0.25">
      <c r="A324" s="168"/>
      <c r="B324" s="169"/>
      <c r="C324" s="173" t="s">
        <v>921</v>
      </c>
      <c r="D324" s="170"/>
      <c r="E324" s="170"/>
      <c r="F324" s="232">
        <v>0.39</v>
      </c>
      <c r="G324" s="33" t="s">
        <v>928</v>
      </c>
      <c r="H324" s="170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71"/>
      <c r="AA324" s="172" t="s">
        <v>922</v>
      </c>
    </row>
    <row r="325" spans="1:27" x14ac:dyDescent="0.25">
      <c r="A325" s="168"/>
      <c r="B325" s="173"/>
      <c r="C325" s="173" t="s">
        <v>316</v>
      </c>
      <c r="D325" s="170"/>
      <c r="E325" s="170"/>
      <c r="F325" s="232">
        <v>0.23</v>
      </c>
      <c r="G325" s="33" t="s">
        <v>432</v>
      </c>
      <c r="H325" s="170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71"/>
      <c r="AA325" s="172"/>
    </row>
    <row r="326" spans="1:27" ht="13.8" thickBot="1" x14ac:dyDescent="0.3">
      <c r="A326" s="317"/>
      <c r="B326" s="209"/>
      <c r="C326" s="209"/>
      <c r="D326" s="223"/>
      <c r="E326" s="223"/>
      <c r="F326" s="223"/>
      <c r="G326" s="223"/>
      <c r="H326" s="223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211"/>
      <c r="AA326" s="212"/>
    </row>
  </sheetData>
  <customSheetViews>
    <customSheetView guid="{00A591F2-C6CE-11D4-B3FE-00409628F381}" scale="75" showPageBreaks="1" fitToPage="1" printArea="1" hiddenRows="1" showRuler="0">
      <pane xSplit="4" ySplit="6" topLeftCell="E7" activePane="bottomRight" state="frozen"/>
      <selection pane="bottomRight" activeCell="F4" sqref="F4"/>
      <rowBreaks count="7" manualBreakCount="7">
        <brk id="51" max="16383" man="1"/>
        <brk id="85" max="26" man="1"/>
        <brk id="98" max="16383" man="1"/>
        <brk id="161" max="16383" man="1"/>
        <brk id="168" max="26" man="1"/>
        <brk id="200" max="16383" man="1"/>
        <brk id="254" max="26" man="1"/>
      </rowBreaks>
      <pageMargins left="0" right="0" top="0.75" bottom="0.75" header="0.5" footer="0.5"/>
      <pageSetup paperSize="5" scale="48" fitToWidth="2" fitToHeight="4" orientation="landscape" r:id="rId1"/>
      <headerFooter alignWithMargins="0">
        <oddHeader>&amp;F</oddHeader>
        <oddFooter>&amp;L&amp;BEnron Broadband Services Confidential&amp;B&amp;C&amp;A&amp;RPage &amp;P</oddFooter>
      </headerFooter>
    </customSheetView>
    <customSheetView guid="{B3262CAD-330A-11D4-B597-AAD73BEEFD7F}" hiddenColumns="1" showRuler="0">
      <selection activeCell="I8" sqref="I8"/>
      <pageMargins left="0.75" right="0.75" top="1" bottom="1" header="0.5" footer="0.5"/>
      <pageSetup orientation="portrait" r:id="rId2"/>
      <headerFooter alignWithMargins="0"/>
    </customSheetView>
    <customSheetView guid="{39AEF1F3-C6CC-11D4-B3CC-0080C71F7D28}" scale="75" showPageBreaks="1" fitToPage="1" printArea="1" hiddenRows="1" showRuler="0">
      <pane xSplit="4" ySplit="6" topLeftCell="E51" activePane="bottomRight" state="frozen"/>
      <selection pane="bottomRight" activeCell="F67" sqref="F67"/>
      <rowBreaks count="7" manualBreakCount="7">
        <brk id="51" max="16383" man="1"/>
        <brk id="83" max="26" man="1"/>
        <brk id="98" max="16383" man="1"/>
        <brk id="161" max="16383" man="1"/>
        <brk id="164" max="26" man="1"/>
        <brk id="200" max="16383" man="1"/>
        <brk id="250" max="26" man="1"/>
      </rowBreaks>
      <pageMargins left="0" right="0" top="0.75" bottom="0.75" header="0.5" footer="0.5"/>
      <pageSetup paperSize="5" scale="48" fitToWidth="2" fitToHeight="4" orientation="landscape" r:id="rId3"/>
      <headerFooter alignWithMargins="0">
        <oddHeader>&amp;F</oddHeader>
        <oddFooter>&amp;L&amp;BEnron Broadband Services Confidential&amp;B&amp;C&amp;A&amp;RPage &amp;P</oddFooter>
      </headerFooter>
    </customSheetView>
  </customSheetViews>
  <mergeCells count="2">
    <mergeCell ref="H142:K142"/>
    <mergeCell ref="L142:O142"/>
  </mergeCells>
  <pageMargins left="0" right="0" top="0.75" bottom="0.75" header="0.5" footer="0.5"/>
  <pageSetup paperSize="5" scale="48" fitToWidth="2" fitToHeight="4" orientation="landscape" r:id="rId4"/>
  <headerFooter alignWithMargins="0">
    <oddHeader>&amp;F</oddHeader>
    <oddFooter>&amp;L&amp;BEnron Broadband Services Confidential&amp;B&amp;C&amp;A&amp;RPage &amp;P</oddFooter>
  </headerFooter>
  <rowBreaks count="7" manualBreakCount="7">
    <brk id="51" max="16383" man="1"/>
    <brk id="85" max="26" man="1"/>
    <brk id="98" max="16383" man="1"/>
    <brk id="161" max="16383" man="1"/>
    <brk id="168" max="26" man="1"/>
    <brk id="200" max="16383" man="1"/>
    <brk id="254" max="26" man="1"/>
  </rowBreaks>
  <drawing r:id="rId5"/>
  <legacyDrawing r:id="rId6"/>
  <controls>
    <mc:AlternateContent xmlns:mc="http://schemas.openxmlformats.org/markup-compatibility/2006">
      <mc:Choice Requires="x14">
        <control shapeId="1602" r:id="rId7" name="ScrollBar1">
          <controlPr defaultSize="0" autoLine="0" linkedCell="F94" r:id="rId8">
            <anchor moveWithCells="1">
              <from>
                <xdr:col>3</xdr:col>
                <xdr:colOff>2545080</xdr:colOff>
                <xdr:row>93</xdr:row>
                <xdr:rowOff>0</xdr:rowOff>
              </from>
              <to>
                <xdr:col>3</xdr:col>
                <xdr:colOff>3345180</xdr:colOff>
                <xdr:row>94</xdr:row>
                <xdr:rowOff>30480</xdr:rowOff>
              </to>
            </anchor>
          </controlPr>
        </control>
      </mc:Choice>
      <mc:Fallback>
        <control shapeId="1602" r:id="rId7" name="ScrollBar1"/>
      </mc:Fallback>
    </mc:AlternateContent>
    <mc:AlternateContent xmlns:mc="http://schemas.openxmlformats.org/markup-compatibility/2006">
      <mc:Choice Requires="x14">
        <control shapeId="1551" r:id="rId9" name="ScrollBar1">
          <controlPr defaultSize="0" autoLine="0" autoPict="0" linkedCell="F167" r:id="rId10">
            <anchor moveWithCells="1">
              <from>
                <xdr:col>6</xdr:col>
                <xdr:colOff>0</xdr:colOff>
                <xdr:row>166</xdr:row>
                <xdr:rowOff>0</xdr:rowOff>
              </from>
              <to>
                <xdr:col>7</xdr:col>
                <xdr:colOff>579120</xdr:colOff>
                <xdr:row>167</xdr:row>
                <xdr:rowOff>30480</xdr:rowOff>
              </to>
            </anchor>
          </controlPr>
        </control>
      </mc:Choice>
      <mc:Fallback>
        <control shapeId="1551" r:id="rId9" name="ScrollBa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X95"/>
  <sheetViews>
    <sheetView zoomScale="75" zoomScaleNormal="75" workbookViewId="0">
      <pane xSplit="3" ySplit="5" topLeftCell="D10" activePane="bottomRight" state="frozen"/>
      <selection pane="topRight" activeCell="D1" sqref="D1"/>
      <selection pane="bottomLeft" activeCell="A6" sqref="A6"/>
      <selection pane="bottomRight" activeCell="E10" sqref="E10"/>
    </sheetView>
  </sheetViews>
  <sheetFormatPr defaultColWidth="9.109375" defaultRowHeight="13.2" x14ac:dyDescent="0.25"/>
  <cols>
    <col min="1" max="2" width="2.6640625" style="144" customWidth="1"/>
    <col min="3" max="3" width="44.5546875" style="144" customWidth="1"/>
    <col min="4" max="4" width="4.109375" style="144" customWidth="1"/>
    <col min="5" max="24" width="10.6640625" style="144" customWidth="1"/>
    <col min="25" max="16384" width="9.109375" style="144"/>
  </cols>
  <sheetData>
    <row r="1" spans="1:24" x14ac:dyDescent="0.25">
      <c r="A1" s="143" t="s">
        <v>154</v>
      </c>
      <c r="B1" s="380"/>
      <c r="C1" s="380"/>
    </row>
    <row r="2" spans="1:24" ht="13.8" thickBot="1" x14ac:dyDescent="0.3"/>
    <row r="3" spans="1:24" x14ac:dyDescent="0.25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1:24" x14ac:dyDescent="0.25">
      <c r="A4" s="383"/>
      <c r="B4" s="384"/>
      <c r="C4" s="33"/>
      <c r="D4" s="33"/>
      <c r="E4" s="385">
        <v>2001</v>
      </c>
      <c r="F4" s="385">
        <v>2002</v>
      </c>
      <c r="G4" s="385">
        <v>2003</v>
      </c>
      <c r="H4" s="385">
        <v>2004</v>
      </c>
      <c r="I4" s="385">
        <v>2005</v>
      </c>
      <c r="J4" s="385">
        <v>2006</v>
      </c>
      <c r="K4" s="385">
        <v>2007</v>
      </c>
      <c r="L4" s="385">
        <v>2008</v>
      </c>
      <c r="M4" s="385">
        <v>2009</v>
      </c>
      <c r="N4" s="385">
        <v>2010</v>
      </c>
      <c r="O4" s="385">
        <v>2011</v>
      </c>
      <c r="P4" s="385">
        <v>2012</v>
      </c>
      <c r="Q4" s="385">
        <v>2013</v>
      </c>
      <c r="R4" s="385">
        <v>2014</v>
      </c>
      <c r="S4" s="385">
        <v>2015</v>
      </c>
      <c r="T4" s="385">
        <v>2016</v>
      </c>
      <c r="U4" s="385">
        <v>2017</v>
      </c>
      <c r="V4" s="385">
        <v>2018</v>
      </c>
      <c r="W4" s="385">
        <v>2019</v>
      </c>
      <c r="X4" s="385">
        <v>2020</v>
      </c>
    </row>
    <row r="5" spans="1:24" ht="13.8" thickBot="1" x14ac:dyDescent="0.3">
      <c r="A5" s="386"/>
      <c r="B5" s="387"/>
      <c r="C5" s="34"/>
      <c r="D5" s="34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</row>
    <row r="6" spans="1:24" x14ac:dyDescent="0.25">
      <c r="A6" s="38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5">
      <c r="A7" s="383"/>
      <c r="B7" s="33"/>
      <c r="C7" s="173" t="s">
        <v>85</v>
      </c>
      <c r="E7" s="33"/>
      <c r="F7" s="389">
        <f>Assumptions!$F$104</f>
        <v>1</v>
      </c>
      <c r="G7" s="390" t="s">
        <v>86</v>
      </c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</row>
    <row r="8" spans="1:24" x14ac:dyDescent="0.25">
      <c r="A8" s="383"/>
      <c r="B8" s="33"/>
      <c r="C8" s="173"/>
      <c r="D8" s="33"/>
      <c r="E8" s="33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</row>
    <row r="9" spans="1:24" x14ac:dyDescent="0.25">
      <c r="A9" s="383"/>
      <c r="B9" s="33"/>
      <c r="C9" s="256" t="s">
        <v>87</v>
      </c>
      <c r="D9" s="33"/>
      <c r="E9" s="33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</row>
    <row r="10" spans="1:24" x14ac:dyDescent="0.25">
      <c r="A10" s="383"/>
      <c r="B10" s="33"/>
      <c r="C10" s="33" t="s">
        <v>1101</v>
      </c>
      <c r="D10" s="33"/>
      <c r="E10" s="618">
        <f>Assumptions!F107</f>
        <v>0.2</v>
      </c>
      <c r="F10" s="618">
        <f>Assumptions!G107</f>
        <v>0.2</v>
      </c>
      <c r="G10" s="618">
        <f>Assumptions!H107</f>
        <v>0.2</v>
      </c>
      <c r="H10" s="618">
        <f>Assumptions!I107</f>
        <v>0.2</v>
      </c>
      <c r="I10" s="618">
        <f>Assumptions!J107</f>
        <v>0.2</v>
      </c>
      <c r="J10" s="618">
        <f>Assumptions!K107</f>
        <v>0.2</v>
      </c>
      <c r="K10" s="618">
        <f>Assumptions!L107</f>
        <v>0.2</v>
      </c>
      <c r="L10" s="618">
        <f>Assumptions!M107</f>
        <v>0.2</v>
      </c>
      <c r="M10" s="618">
        <f>Assumptions!N107</f>
        <v>0.2</v>
      </c>
      <c r="N10" s="618">
        <f>Assumptions!O107</f>
        <v>0.2</v>
      </c>
      <c r="O10" s="618">
        <f>Assumptions!P107</f>
        <v>0.2</v>
      </c>
      <c r="P10" s="618">
        <f>Assumptions!Q107</f>
        <v>0.2</v>
      </c>
      <c r="Q10" s="618">
        <f>Assumptions!R107</f>
        <v>0.2</v>
      </c>
      <c r="R10" s="618">
        <f>Assumptions!S107</f>
        <v>0.2</v>
      </c>
      <c r="S10" s="618">
        <f>Assumptions!T107</f>
        <v>0.2</v>
      </c>
      <c r="T10" s="618">
        <f>Assumptions!U107</f>
        <v>0.2</v>
      </c>
      <c r="U10" s="618">
        <f>Assumptions!V107</f>
        <v>0.2</v>
      </c>
      <c r="V10" s="618">
        <f>Assumptions!W107</f>
        <v>0.2</v>
      </c>
      <c r="W10" s="618">
        <f>Assumptions!X107</f>
        <v>0.2</v>
      </c>
      <c r="X10" s="618">
        <f>Assumptions!Y107</f>
        <v>0.2</v>
      </c>
    </row>
    <row r="11" spans="1:24" x14ac:dyDescent="0.25">
      <c r="A11" s="383"/>
      <c r="B11" s="33"/>
      <c r="C11" s="33" t="s">
        <v>160</v>
      </c>
      <c r="D11" s="33"/>
      <c r="E11" s="392">
        <f>Assumptions!F88</f>
        <v>4.99</v>
      </c>
      <c r="F11" s="392">
        <f>Assumptions!G88</f>
        <v>4.99</v>
      </c>
      <c r="G11" s="392">
        <f>Assumptions!H88</f>
        <v>4.99</v>
      </c>
      <c r="H11" s="392">
        <f>Assumptions!I88</f>
        <v>4.99</v>
      </c>
      <c r="I11" s="392">
        <f>Assumptions!J88</f>
        <v>4.99</v>
      </c>
      <c r="J11" s="392">
        <f>Assumptions!K88</f>
        <v>4.99</v>
      </c>
      <c r="K11" s="392">
        <f>Assumptions!L88</f>
        <v>4.99</v>
      </c>
      <c r="L11" s="392">
        <f>Assumptions!M88</f>
        <v>4.99</v>
      </c>
      <c r="M11" s="392">
        <f>Assumptions!N88</f>
        <v>4.99</v>
      </c>
      <c r="N11" s="392">
        <f>Assumptions!O88</f>
        <v>4.99</v>
      </c>
      <c r="O11" s="392">
        <f>Assumptions!P88</f>
        <v>4.99</v>
      </c>
      <c r="P11" s="392">
        <f>Assumptions!Q88</f>
        <v>4.99</v>
      </c>
      <c r="Q11" s="392">
        <f>Assumptions!R88</f>
        <v>4.99</v>
      </c>
      <c r="R11" s="392">
        <f>Assumptions!S88</f>
        <v>4.99</v>
      </c>
      <c r="S11" s="392">
        <f>Assumptions!T88</f>
        <v>4.99</v>
      </c>
      <c r="T11" s="392">
        <f>Assumptions!U88</f>
        <v>4.99</v>
      </c>
      <c r="U11" s="392">
        <f>Assumptions!V88</f>
        <v>4.99</v>
      </c>
      <c r="V11" s="392">
        <f>Assumptions!W88</f>
        <v>4.99</v>
      </c>
      <c r="W11" s="392">
        <f>Assumptions!X88</f>
        <v>4.99</v>
      </c>
      <c r="X11" s="392">
        <f>Assumptions!Y88</f>
        <v>4.99</v>
      </c>
    </row>
    <row r="12" spans="1:24" x14ac:dyDescent="0.25">
      <c r="A12" s="383"/>
      <c r="B12" s="33"/>
      <c r="C12" s="33" t="s">
        <v>161</v>
      </c>
      <c r="D12" s="33"/>
      <c r="E12" s="393">
        <f>Assumptions!F34</f>
        <v>464634.8080618371</v>
      </c>
      <c r="F12" s="393">
        <f>Assumptions!G34</f>
        <v>2354253.1450969223</v>
      </c>
      <c r="G12" s="393">
        <f>Assumptions!H34</f>
        <v>9276923.0337051321</v>
      </c>
      <c r="H12" s="393">
        <f>Assumptions!I34</f>
        <v>32420183.500427719</v>
      </c>
      <c r="I12" s="393">
        <f>Assumptions!J34</f>
        <v>68099485.242972583</v>
      </c>
      <c r="J12" s="393">
        <f>Assumptions!K34</f>
        <v>108310876.42313455</v>
      </c>
      <c r="K12" s="393">
        <f>Assumptions!L34</f>
        <v>158465871.7342982</v>
      </c>
      <c r="L12" s="393">
        <f>Assumptions!M34</f>
        <v>210581113.04536319</v>
      </c>
      <c r="M12" s="393">
        <f>Assumptions!N34</f>
        <v>264066782.828554</v>
      </c>
      <c r="N12" s="393">
        <f>Assumptions!O34</f>
        <v>318865216.45997775</v>
      </c>
      <c r="O12" s="393">
        <f>Assumptions!P34</f>
        <v>354087987.77696174</v>
      </c>
      <c r="P12" s="393">
        <f>Assumptions!Q34</f>
        <v>395882651.8564896</v>
      </c>
      <c r="Q12" s="393">
        <f>Assumptions!R34</f>
        <v>435768117.02674592</v>
      </c>
      <c r="R12" s="393">
        <f>Assumptions!S34</f>
        <v>478331103.437518</v>
      </c>
      <c r="S12" s="393">
        <f>Assumptions!T34</f>
        <v>517611472.33793819</v>
      </c>
      <c r="T12" s="393">
        <f>Assumptions!U34</f>
        <v>552781283.63248909</v>
      </c>
      <c r="U12" s="393">
        <f>Assumptions!V34</f>
        <v>589518003.83600271</v>
      </c>
      <c r="V12" s="393">
        <f>Assumptions!W34</f>
        <v>641216958.11842382</v>
      </c>
      <c r="W12" s="393">
        <f>Assumptions!X34</f>
        <v>695701571.27627254</v>
      </c>
      <c r="X12" s="393">
        <f>Assumptions!Y34</f>
        <v>753108339.82696891</v>
      </c>
    </row>
    <row r="13" spans="1:24" x14ac:dyDescent="0.25">
      <c r="A13" s="383"/>
      <c r="B13" s="33"/>
      <c r="C13" s="173"/>
      <c r="D13" s="33"/>
      <c r="E13" s="33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</row>
    <row r="14" spans="1:24" x14ac:dyDescent="0.25">
      <c r="A14" s="383"/>
      <c r="B14" s="33"/>
      <c r="C14" s="256" t="s">
        <v>88</v>
      </c>
      <c r="D14" s="33"/>
      <c r="E14" s="33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</row>
    <row r="15" spans="1:24" x14ac:dyDescent="0.25">
      <c r="A15" s="383"/>
      <c r="B15" s="33"/>
      <c r="C15" s="394" t="s">
        <v>95</v>
      </c>
      <c r="D15" s="394"/>
      <c r="E15" s="395">
        <f>Assumptions!F111</f>
        <v>10</v>
      </c>
      <c r="F15" s="395">
        <f>Assumptions!G111</f>
        <v>10</v>
      </c>
      <c r="G15" s="395">
        <f>Assumptions!H111</f>
        <v>10</v>
      </c>
      <c r="H15" s="395">
        <f>Assumptions!I111</f>
        <v>10</v>
      </c>
      <c r="I15" s="395">
        <f>Assumptions!J111</f>
        <v>10</v>
      </c>
      <c r="J15" s="395">
        <f>Assumptions!K111</f>
        <v>10</v>
      </c>
      <c r="K15" s="395">
        <f>Assumptions!L111</f>
        <v>10</v>
      </c>
      <c r="L15" s="395">
        <f>Assumptions!M111</f>
        <v>10</v>
      </c>
      <c r="M15" s="395">
        <f>Assumptions!N111</f>
        <v>10</v>
      </c>
      <c r="N15" s="395">
        <f>Assumptions!O111</f>
        <v>10</v>
      </c>
      <c r="O15" s="395">
        <f>Assumptions!P111</f>
        <v>10</v>
      </c>
      <c r="P15" s="395">
        <f>Assumptions!Q111</f>
        <v>10</v>
      </c>
      <c r="Q15" s="395">
        <f>Assumptions!R111</f>
        <v>10</v>
      </c>
      <c r="R15" s="395">
        <f>Assumptions!S111</f>
        <v>10</v>
      </c>
      <c r="S15" s="395">
        <f>Assumptions!T111</f>
        <v>10</v>
      </c>
      <c r="T15" s="395">
        <f>Assumptions!U111</f>
        <v>10</v>
      </c>
      <c r="U15" s="395">
        <f>Assumptions!V111</f>
        <v>10</v>
      </c>
      <c r="V15" s="395">
        <f>Assumptions!W111</f>
        <v>10</v>
      </c>
      <c r="W15" s="395">
        <f>Assumptions!X111</f>
        <v>10</v>
      </c>
      <c r="X15" s="395">
        <f>Assumptions!Y111</f>
        <v>10</v>
      </c>
    </row>
    <row r="16" spans="1:24" x14ac:dyDescent="0.25">
      <c r="A16" s="383"/>
      <c r="B16" s="33"/>
      <c r="C16" s="394" t="s">
        <v>90</v>
      </c>
      <c r="D16" s="394"/>
      <c r="E16" s="396">
        <f>Assumptions!F112</f>
        <v>1</v>
      </c>
      <c r="F16" s="396">
        <v>0</v>
      </c>
      <c r="G16" s="396">
        <v>0</v>
      </c>
      <c r="H16" s="396">
        <v>0</v>
      </c>
      <c r="I16" s="396">
        <f>Assumptions!J112</f>
        <v>0</v>
      </c>
      <c r="J16" s="396">
        <f>Assumptions!K112</f>
        <v>0</v>
      </c>
      <c r="K16" s="396">
        <f>Assumptions!L112</f>
        <v>0</v>
      </c>
      <c r="L16" s="396">
        <f>Assumptions!M112</f>
        <v>0</v>
      </c>
      <c r="M16" s="396">
        <f>Assumptions!N112</f>
        <v>0</v>
      </c>
      <c r="N16" s="396">
        <f>Assumptions!O112</f>
        <v>0</v>
      </c>
      <c r="O16" s="396">
        <f>Assumptions!P112</f>
        <v>0</v>
      </c>
      <c r="P16" s="396">
        <f>Assumptions!Q112</f>
        <v>0</v>
      </c>
      <c r="Q16" s="396">
        <f>Assumptions!R112</f>
        <v>0</v>
      </c>
      <c r="R16" s="396">
        <f>Assumptions!S112</f>
        <v>0</v>
      </c>
      <c r="S16" s="396">
        <f>Assumptions!T112</f>
        <v>0</v>
      </c>
      <c r="T16" s="396">
        <f>Assumptions!U112</f>
        <v>0</v>
      </c>
      <c r="U16" s="396">
        <f>Assumptions!V112</f>
        <v>0</v>
      </c>
      <c r="V16" s="396">
        <f>Assumptions!W112</f>
        <v>0</v>
      </c>
      <c r="W16" s="396">
        <f>Assumptions!X112</f>
        <v>0</v>
      </c>
      <c r="X16" s="396">
        <f>Assumptions!Y112</f>
        <v>0</v>
      </c>
    </row>
    <row r="17" spans="1:24" x14ac:dyDescent="0.25">
      <c r="A17" s="383"/>
      <c r="B17" s="33"/>
      <c r="C17" s="308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x14ac:dyDescent="0.25">
      <c r="A18" s="383"/>
      <c r="B18" s="33"/>
      <c r="C18" s="33" t="s">
        <v>93</v>
      </c>
      <c r="D18" s="33"/>
      <c r="E18" s="391">
        <f>Assumptions!F117</f>
        <v>0.5</v>
      </c>
      <c r="F18" s="391">
        <f>Assumptions!G117</f>
        <v>0.5</v>
      </c>
      <c r="G18" s="391">
        <f>Assumptions!H117</f>
        <v>0.5</v>
      </c>
      <c r="H18" s="391">
        <f>Assumptions!I117</f>
        <v>0.5</v>
      </c>
      <c r="I18" s="391">
        <f>Assumptions!J117</f>
        <v>0.5</v>
      </c>
      <c r="J18" s="391">
        <f>Assumptions!K117</f>
        <v>0.5</v>
      </c>
      <c r="K18" s="391">
        <f>Assumptions!L117</f>
        <v>0.5</v>
      </c>
      <c r="L18" s="391">
        <f>Assumptions!M117</f>
        <v>0.5</v>
      </c>
      <c r="M18" s="391">
        <f>Assumptions!N117</f>
        <v>0.5</v>
      </c>
      <c r="N18" s="391">
        <f>Assumptions!O117</f>
        <v>0.5</v>
      </c>
      <c r="O18" s="391">
        <f>Assumptions!P117</f>
        <v>0.5</v>
      </c>
      <c r="P18" s="391">
        <f>Assumptions!Q117</f>
        <v>0.5</v>
      </c>
      <c r="Q18" s="391">
        <f>Assumptions!R117</f>
        <v>0.5</v>
      </c>
      <c r="R18" s="391">
        <f>Assumptions!S117</f>
        <v>0.5</v>
      </c>
      <c r="S18" s="391">
        <f>Assumptions!T117</f>
        <v>0.5</v>
      </c>
      <c r="T18" s="391">
        <f>Assumptions!U117</f>
        <v>0.5</v>
      </c>
      <c r="U18" s="391">
        <f>Assumptions!V117</f>
        <v>0.5</v>
      </c>
      <c r="V18" s="391">
        <f>Assumptions!W117</f>
        <v>0.5</v>
      </c>
      <c r="W18" s="391">
        <f>Assumptions!X117</f>
        <v>0.5</v>
      </c>
      <c r="X18" s="391">
        <f>Assumptions!Y117</f>
        <v>0.5</v>
      </c>
    </row>
    <row r="19" spans="1:24" x14ac:dyDescent="0.25">
      <c r="A19" s="383"/>
      <c r="B19" s="33"/>
      <c r="C19" s="33" t="s">
        <v>94</v>
      </c>
      <c r="D19" s="33"/>
      <c r="E19" s="391">
        <f>Assumptions!F118</f>
        <v>0.5</v>
      </c>
      <c r="F19" s="391">
        <f>Assumptions!G118</f>
        <v>0.5</v>
      </c>
      <c r="G19" s="391">
        <f>Assumptions!H118</f>
        <v>0.5</v>
      </c>
      <c r="H19" s="391">
        <f>Assumptions!I118</f>
        <v>0.5</v>
      </c>
      <c r="I19" s="391">
        <f>Assumptions!J118</f>
        <v>0.5</v>
      </c>
      <c r="J19" s="391">
        <f>Assumptions!K118</f>
        <v>0.5</v>
      </c>
      <c r="K19" s="391">
        <f>Assumptions!L118</f>
        <v>0.5</v>
      </c>
      <c r="L19" s="391">
        <f>Assumptions!M118</f>
        <v>0.5</v>
      </c>
      <c r="M19" s="391">
        <f>Assumptions!N118</f>
        <v>0.5</v>
      </c>
      <c r="N19" s="391">
        <f>Assumptions!O118</f>
        <v>0.5</v>
      </c>
      <c r="O19" s="391">
        <f>Assumptions!P118</f>
        <v>0.5</v>
      </c>
      <c r="P19" s="391">
        <f>Assumptions!Q118</f>
        <v>0.5</v>
      </c>
      <c r="Q19" s="391">
        <f>Assumptions!R118</f>
        <v>0.5</v>
      </c>
      <c r="R19" s="391">
        <f>Assumptions!S118</f>
        <v>0.5</v>
      </c>
      <c r="S19" s="391">
        <f>Assumptions!T118</f>
        <v>0.5</v>
      </c>
      <c r="T19" s="391">
        <f>Assumptions!U118</f>
        <v>0.5</v>
      </c>
      <c r="U19" s="391">
        <f>Assumptions!V118</f>
        <v>0.5</v>
      </c>
      <c r="V19" s="391">
        <f>Assumptions!W118</f>
        <v>0.5</v>
      </c>
      <c r="W19" s="391">
        <f>Assumptions!X118</f>
        <v>0.5</v>
      </c>
      <c r="X19" s="391">
        <f>Assumptions!Y118</f>
        <v>0.5</v>
      </c>
    </row>
    <row r="20" spans="1:24" x14ac:dyDescent="0.25">
      <c r="A20" s="383"/>
      <c r="B20" s="33"/>
      <c r="C20" s="308"/>
      <c r="D20" s="33"/>
      <c r="E20" s="33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</row>
    <row r="21" spans="1:24" x14ac:dyDescent="0.25">
      <c r="A21" s="383"/>
      <c r="B21" s="33"/>
      <c r="C21" s="256" t="s">
        <v>89</v>
      </c>
      <c r="D21" s="33"/>
      <c r="E21" s="33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</row>
    <row r="22" spans="1:24" x14ac:dyDescent="0.25">
      <c r="A22" s="383"/>
      <c r="B22" s="33"/>
      <c r="C22" s="394" t="s">
        <v>77</v>
      </c>
      <c r="D22" s="394"/>
      <c r="E22" s="397">
        <f>Assumptions!F125</f>
        <v>2</v>
      </c>
      <c r="F22" s="397">
        <f>Assumptions!G125</f>
        <v>2</v>
      </c>
      <c r="G22" s="397">
        <f>Assumptions!H125</f>
        <v>2</v>
      </c>
      <c r="H22" s="397">
        <f>Assumptions!I125</f>
        <v>1.75</v>
      </c>
      <c r="I22" s="397">
        <f>Assumptions!J125</f>
        <v>1.5</v>
      </c>
      <c r="J22" s="397">
        <f>Assumptions!K125</f>
        <v>1.25</v>
      </c>
      <c r="K22" s="397">
        <f>Assumptions!L125</f>
        <v>1</v>
      </c>
      <c r="L22" s="397">
        <f>Assumptions!M125</f>
        <v>0.75</v>
      </c>
      <c r="M22" s="397">
        <f>Assumptions!N125</f>
        <v>0.5</v>
      </c>
      <c r="N22" s="397">
        <f>Assumptions!O125</f>
        <v>0.5</v>
      </c>
      <c r="O22" s="397">
        <f>Assumptions!P125</f>
        <v>0.375</v>
      </c>
      <c r="P22" s="397">
        <f>Assumptions!Q125</f>
        <v>0.25</v>
      </c>
      <c r="Q22" s="397">
        <f>Assumptions!R125</f>
        <v>0.25</v>
      </c>
      <c r="R22" s="397">
        <f>Assumptions!S125</f>
        <v>0.25</v>
      </c>
      <c r="S22" s="397">
        <f>Assumptions!T125</f>
        <v>0.25</v>
      </c>
      <c r="T22" s="397">
        <f>Assumptions!U125</f>
        <v>0.25</v>
      </c>
      <c r="U22" s="397">
        <f>Assumptions!V125</f>
        <v>0.25</v>
      </c>
      <c r="V22" s="397">
        <f>Assumptions!W125</f>
        <v>0.25</v>
      </c>
      <c r="W22" s="397">
        <f>Assumptions!X125</f>
        <v>0.25</v>
      </c>
      <c r="X22" s="397">
        <f>Assumptions!Y125</f>
        <v>0.25</v>
      </c>
    </row>
    <row r="23" spans="1:24" x14ac:dyDescent="0.25">
      <c r="A23" s="383"/>
      <c r="B23" s="33"/>
      <c r="C23" s="394" t="s">
        <v>78</v>
      </c>
      <c r="D23" s="394"/>
      <c r="E23" s="397">
        <f>Assumptions!F126</f>
        <v>0.24999999999999994</v>
      </c>
      <c r="F23" s="397">
        <f>Assumptions!G126</f>
        <v>0.24999999999999994</v>
      </c>
      <c r="G23" s="397">
        <f>Assumptions!H126</f>
        <v>0.24999999999999994</v>
      </c>
      <c r="H23" s="397">
        <f>Assumptions!I126</f>
        <v>0.37500000000000006</v>
      </c>
      <c r="I23" s="397">
        <f>Assumptions!J126</f>
        <v>0.5</v>
      </c>
      <c r="J23" s="397">
        <f>Assumptions!K126</f>
        <v>0.625</v>
      </c>
      <c r="K23" s="397">
        <f>Assumptions!L126</f>
        <v>0.75</v>
      </c>
      <c r="L23" s="397">
        <f>Assumptions!M126</f>
        <v>0.875</v>
      </c>
      <c r="M23" s="397">
        <f>Assumptions!N126</f>
        <v>1</v>
      </c>
      <c r="N23" s="397">
        <f>Assumptions!O126</f>
        <v>1</v>
      </c>
      <c r="O23" s="397">
        <f>Assumptions!P126</f>
        <v>1.0625</v>
      </c>
      <c r="P23" s="397">
        <f>Assumptions!Q126</f>
        <v>1.125</v>
      </c>
      <c r="Q23" s="397">
        <f>Assumptions!R126</f>
        <v>1.125</v>
      </c>
      <c r="R23" s="397">
        <f>Assumptions!S126</f>
        <v>1.125</v>
      </c>
      <c r="S23" s="397">
        <f>Assumptions!T126</f>
        <v>1.125</v>
      </c>
      <c r="T23" s="397">
        <f>Assumptions!U126</f>
        <v>1.125</v>
      </c>
      <c r="U23" s="397">
        <f>Assumptions!V126</f>
        <v>1.125</v>
      </c>
      <c r="V23" s="397">
        <f>Assumptions!W126</f>
        <v>1.125</v>
      </c>
      <c r="W23" s="397">
        <f>Assumptions!X126</f>
        <v>1.125</v>
      </c>
      <c r="X23" s="397">
        <f>Assumptions!Y126</f>
        <v>1.125</v>
      </c>
    </row>
    <row r="24" spans="1:24" x14ac:dyDescent="0.25">
      <c r="A24" s="383"/>
      <c r="B24" s="33"/>
      <c r="C24" s="394" t="s">
        <v>79</v>
      </c>
      <c r="D24" s="394"/>
      <c r="E24" s="397">
        <f>Assumptions!F127</f>
        <v>0.24999999999999994</v>
      </c>
      <c r="F24" s="397">
        <f>Assumptions!G127</f>
        <v>0.24999999999999994</v>
      </c>
      <c r="G24" s="397">
        <f>Assumptions!H127</f>
        <v>0.24999999999999994</v>
      </c>
      <c r="H24" s="397">
        <f>Assumptions!I127</f>
        <v>0.37500000000000006</v>
      </c>
      <c r="I24" s="397">
        <f>Assumptions!J127</f>
        <v>0.5</v>
      </c>
      <c r="J24" s="397">
        <f>Assumptions!K127</f>
        <v>0.625</v>
      </c>
      <c r="K24" s="397">
        <f>Assumptions!L127</f>
        <v>0.75</v>
      </c>
      <c r="L24" s="397">
        <f>Assumptions!M127</f>
        <v>0.875</v>
      </c>
      <c r="M24" s="397">
        <f>Assumptions!N127</f>
        <v>1</v>
      </c>
      <c r="N24" s="397">
        <f>Assumptions!O127</f>
        <v>1</v>
      </c>
      <c r="O24" s="397">
        <f>Assumptions!P127</f>
        <v>1.0625</v>
      </c>
      <c r="P24" s="397">
        <f>Assumptions!Q127</f>
        <v>1.125</v>
      </c>
      <c r="Q24" s="397">
        <f>Assumptions!R127</f>
        <v>1.125</v>
      </c>
      <c r="R24" s="397">
        <f>Assumptions!S127</f>
        <v>1.125</v>
      </c>
      <c r="S24" s="397">
        <f>Assumptions!T127</f>
        <v>1.125</v>
      </c>
      <c r="T24" s="397">
        <f>Assumptions!U127</f>
        <v>1.125</v>
      </c>
      <c r="U24" s="397">
        <f>Assumptions!V127</f>
        <v>1.125</v>
      </c>
      <c r="V24" s="397">
        <f>Assumptions!W127</f>
        <v>1.125</v>
      </c>
      <c r="W24" s="397">
        <f>Assumptions!X127</f>
        <v>1.125</v>
      </c>
      <c r="X24" s="397">
        <f>Assumptions!Y127</f>
        <v>1.125</v>
      </c>
    </row>
    <row r="25" spans="1:24" x14ac:dyDescent="0.25">
      <c r="A25" s="383"/>
      <c r="B25" s="33"/>
      <c r="C25" s="394"/>
      <c r="D25" s="394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</row>
    <row r="26" spans="1:24" x14ac:dyDescent="0.25">
      <c r="A26" s="383"/>
      <c r="B26" s="33"/>
      <c r="C26" s="394" t="s">
        <v>164</v>
      </c>
      <c r="D26" s="394"/>
      <c r="E26" s="398">
        <f>Assumptions!F28</f>
        <v>9679.8918346216069</v>
      </c>
      <c r="F26" s="398">
        <f>Assumptions!G28</f>
        <v>44842.917049465184</v>
      </c>
      <c r="G26" s="398">
        <f>Assumptions!H28</f>
        <v>162753.03567903742</v>
      </c>
      <c r="H26" s="398">
        <f>Assumptions!I28</f>
        <v>527157.45529150765</v>
      </c>
      <c r="I26" s="398">
        <f>Assumptions!J28</f>
        <v>1031810.3824692816</v>
      </c>
      <c r="J26" s="398">
        <f>Assumptions!K28</f>
        <v>1641073.8851990085</v>
      </c>
      <c r="K26" s="398">
        <f>Assumptions!L28</f>
        <v>2400998.0565802758</v>
      </c>
      <c r="L26" s="398">
        <f>Assumptions!M28</f>
        <v>3190622.9249297455</v>
      </c>
      <c r="M26" s="398">
        <f>Assumptions!N28</f>
        <v>4001011.861038697</v>
      </c>
      <c r="N26" s="398">
        <f>Assumptions!O28</f>
        <v>4831291.1584845111</v>
      </c>
      <c r="O26" s="398">
        <f>Assumptions!P28</f>
        <v>5364969.5117721474</v>
      </c>
      <c r="P26" s="398">
        <f>Assumptions!Q28</f>
        <v>5998221.9978256002</v>
      </c>
      <c r="Q26" s="398">
        <f>Assumptions!R28</f>
        <v>6602547.2276779683</v>
      </c>
      <c r="R26" s="398">
        <f>Assumptions!S28</f>
        <v>7247440.9611745151</v>
      </c>
      <c r="S26" s="398">
        <f>Assumptions!T28</f>
        <v>7842598.0657263361</v>
      </c>
      <c r="T26" s="398">
        <f>Assumptions!U28</f>
        <v>8375473.9944316531</v>
      </c>
      <c r="U26" s="398">
        <f>Assumptions!V28</f>
        <v>8932090.9672121629</v>
      </c>
      <c r="V26" s="398">
        <f>Assumptions!W28</f>
        <v>9715408.4563397542</v>
      </c>
      <c r="W26" s="398">
        <f>Assumptions!X28</f>
        <v>10540932.898125341</v>
      </c>
      <c r="X26" s="398">
        <f>Assumptions!Y28</f>
        <v>11410732.42162074</v>
      </c>
    </row>
    <row r="27" spans="1:24" ht="13.8" thickBot="1" x14ac:dyDescent="0.3">
      <c r="A27" s="386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81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</row>
    <row r="29" spans="1:24" x14ac:dyDescent="0.25">
      <c r="A29" s="383"/>
      <c r="B29" s="384" t="s">
        <v>155</v>
      </c>
      <c r="C29" s="33"/>
      <c r="D29" s="33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  <c r="W29" s="399"/>
      <c r="X29" s="399"/>
    </row>
    <row r="30" spans="1:24" x14ac:dyDescent="0.25">
      <c r="A30" s="383"/>
      <c r="B30" s="384"/>
      <c r="C30" s="33"/>
      <c r="D30" s="33"/>
      <c r="E30" s="399"/>
      <c r="F30" s="399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</row>
    <row r="31" spans="1:24" x14ac:dyDescent="0.25">
      <c r="A31" s="383"/>
      <c r="B31" s="33"/>
      <c r="C31" s="399" t="s">
        <v>163</v>
      </c>
      <c r="D31" s="33"/>
      <c r="E31" s="399">
        <f>E4</f>
        <v>2001</v>
      </c>
      <c r="F31" s="399">
        <f t="shared" ref="F31:N31" si="0">F4</f>
        <v>2002</v>
      </c>
      <c r="G31" s="399">
        <f t="shared" si="0"/>
        <v>2003</v>
      </c>
      <c r="H31" s="399">
        <f t="shared" si="0"/>
        <v>2004</v>
      </c>
      <c r="I31" s="399">
        <f t="shared" si="0"/>
        <v>2005</v>
      </c>
      <c r="J31" s="399">
        <f t="shared" si="0"/>
        <v>2006</v>
      </c>
      <c r="K31" s="399">
        <f t="shared" si="0"/>
        <v>2007</v>
      </c>
      <c r="L31" s="399">
        <f t="shared" si="0"/>
        <v>2008</v>
      </c>
      <c r="M31" s="399">
        <f t="shared" si="0"/>
        <v>2009</v>
      </c>
      <c r="N31" s="399">
        <f t="shared" si="0"/>
        <v>2010</v>
      </c>
      <c r="O31" s="399">
        <f t="shared" ref="O31:X31" si="1">O4</f>
        <v>2011</v>
      </c>
      <c r="P31" s="399">
        <f t="shared" si="1"/>
        <v>2012</v>
      </c>
      <c r="Q31" s="399">
        <f t="shared" si="1"/>
        <v>2013</v>
      </c>
      <c r="R31" s="399">
        <f t="shared" si="1"/>
        <v>2014</v>
      </c>
      <c r="S31" s="399">
        <f t="shared" si="1"/>
        <v>2015</v>
      </c>
      <c r="T31" s="399">
        <f t="shared" si="1"/>
        <v>2016</v>
      </c>
      <c r="U31" s="399">
        <f t="shared" si="1"/>
        <v>2017</v>
      </c>
      <c r="V31" s="399">
        <f t="shared" si="1"/>
        <v>2018</v>
      </c>
      <c r="W31" s="399">
        <f t="shared" si="1"/>
        <v>2019</v>
      </c>
      <c r="X31" s="399">
        <f t="shared" si="1"/>
        <v>2020</v>
      </c>
    </row>
    <row r="32" spans="1:24" x14ac:dyDescent="0.25">
      <c r="A32" s="383"/>
      <c r="B32" s="33"/>
      <c r="C32" s="33" t="s">
        <v>156</v>
      </c>
      <c r="D32" s="33"/>
      <c r="E32" s="400">
        <f>IF($F$7=1,E10*E11*E12/1000,0)</f>
        <v>463.70553844571344</v>
      </c>
      <c r="F32" s="400">
        <f t="shared" ref="F32:N32" si="2">IF($F$7=1,F10*F11*F12/1000,0)</f>
        <v>2349.5446388067285</v>
      </c>
      <c r="G32" s="400">
        <f t="shared" si="2"/>
        <v>9258.3691876377216</v>
      </c>
      <c r="H32" s="400">
        <f t="shared" si="2"/>
        <v>32355.343133426868</v>
      </c>
      <c r="I32" s="400">
        <f t="shared" si="2"/>
        <v>67963.286272486643</v>
      </c>
      <c r="J32" s="400">
        <f t="shared" si="2"/>
        <v>108094.2546702883</v>
      </c>
      <c r="K32" s="400">
        <f t="shared" si="2"/>
        <v>158148.93999082962</v>
      </c>
      <c r="L32" s="400">
        <f t="shared" si="2"/>
        <v>210159.95081927249</v>
      </c>
      <c r="M32" s="400">
        <f t="shared" si="2"/>
        <v>263538.64926289691</v>
      </c>
      <c r="N32" s="400">
        <f t="shared" si="2"/>
        <v>318227.48602705781</v>
      </c>
      <c r="O32" s="400">
        <f t="shared" ref="O32:X32" si="3">IF($F$7=1,O10*O11*O12/1000,0)</f>
        <v>353379.81180140789</v>
      </c>
      <c r="P32" s="400">
        <f t="shared" si="3"/>
        <v>395090.88655277662</v>
      </c>
      <c r="Q32" s="400">
        <f t="shared" si="3"/>
        <v>434896.58079269249</v>
      </c>
      <c r="R32" s="400">
        <f t="shared" si="3"/>
        <v>477374.44123064302</v>
      </c>
      <c r="S32" s="400">
        <f t="shared" si="3"/>
        <v>516576.24939326238</v>
      </c>
      <c r="T32" s="400">
        <f t="shared" si="3"/>
        <v>551675.72106522415</v>
      </c>
      <c r="U32" s="400">
        <f t="shared" si="3"/>
        <v>588338.9678283307</v>
      </c>
      <c r="V32" s="400">
        <f t="shared" si="3"/>
        <v>639934.52420218708</v>
      </c>
      <c r="W32" s="400">
        <f t="shared" si="3"/>
        <v>694310.16813372006</v>
      </c>
      <c r="X32" s="400">
        <f t="shared" si="3"/>
        <v>751602.123147315</v>
      </c>
    </row>
    <row r="33" spans="1:24" x14ac:dyDescent="0.25">
      <c r="A33" s="383"/>
      <c r="B33" s="33"/>
      <c r="C33" s="33" t="s">
        <v>157</v>
      </c>
      <c r="D33" s="33"/>
      <c r="E33" s="400">
        <f>IF($F$7=2,E15*E16*1000,0)</f>
        <v>0</v>
      </c>
      <c r="F33" s="400">
        <f t="shared" ref="F33:N33" si="4">IF($F$7=2,F15*F16*1000,0)</f>
        <v>0</v>
      </c>
      <c r="G33" s="400">
        <f t="shared" si="4"/>
        <v>0</v>
      </c>
      <c r="H33" s="400">
        <f t="shared" si="4"/>
        <v>0</v>
      </c>
      <c r="I33" s="400">
        <f t="shared" si="4"/>
        <v>0</v>
      </c>
      <c r="J33" s="400">
        <f t="shared" si="4"/>
        <v>0</v>
      </c>
      <c r="K33" s="400">
        <f t="shared" si="4"/>
        <v>0</v>
      </c>
      <c r="L33" s="400">
        <f t="shared" si="4"/>
        <v>0</v>
      </c>
      <c r="M33" s="400">
        <f t="shared" si="4"/>
        <v>0</v>
      </c>
      <c r="N33" s="400">
        <f t="shared" si="4"/>
        <v>0</v>
      </c>
      <c r="O33" s="400">
        <f t="shared" ref="O33:X33" si="5">IF($F$7=2,O15*O16*1000,0)</f>
        <v>0</v>
      </c>
      <c r="P33" s="400">
        <f t="shared" si="5"/>
        <v>0</v>
      </c>
      <c r="Q33" s="400">
        <f t="shared" si="5"/>
        <v>0</v>
      </c>
      <c r="R33" s="400">
        <f t="shared" si="5"/>
        <v>0</v>
      </c>
      <c r="S33" s="400">
        <f t="shared" si="5"/>
        <v>0</v>
      </c>
      <c r="T33" s="400">
        <f t="shared" si="5"/>
        <v>0</v>
      </c>
      <c r="U33" s="400">
        <f t="shared" si="5"/>
        <v>0</v>
      </c>
      <c r="V33" s="400">
        <f t="shared" si="5"/>
        <v>0</v>
      </c>
      <c r="W33" s="400">
        <f t="shared" si="5"/>
        <v>0</v>
      </c>
      <c r="X33" s="400">
        <f t="shared" si="5"/>
        <v>0</v>
      </c>
    </row>
    <row r="34" spans="1:24" x14ac:dyDescent="0.25">
      <c r="A34" s="383"/>
      <c r="B34" s="33"/>
      <c r="C34" s="33" t="s">
        <v>158</v>
      </c>
      <c r="D34" s="33"/>
      <c r="E34" s="401">
        <f>IF($F$7=3,E22*12*E26/1000,0)</f>
        <v>0</v>
      </c>
      <c r="F34" s="401">
        <f t="shared" ref="F34:N34" si="6">IF($F$7=3,F22*12*F26/1000,0)</f>
        <v>0</v>
      </c>
      <c r="G34" s="401">
        <f t="shared" si="6"/>
        <v>0</v>
      </c>
      <c r="H34" s="401">
        <f t="shared" si="6"/>
        <v>0</v>
      </c>
      <c r="I34" s="401">
        <f t="shared" si="6"/>
        <v>0</v>
      </c>
      <c r="J34" s="401">
        <f t="shared" si="6"/>
        <v>0</v>
      </c>
      <c r="K34" s="401">
        <f t="shared" si="6"/>
        <v>0</v>
      </c>
      <c r="L34" s="401">
        <f t="shared" si="6"/>
        <v>0</v>
      </c>
      <c r="M34" s="401">
        <f t="shared" si="6"/>
        <v>0</v>
      </c>
      <c r="N34" s="401">
        <f t="shared" si="6"/>
        <v>0</v>
      </c>
      <c r="O34" s="401">
        <f t="shared" ref="O34:X34" si="7">IF($F$7=3,O22*12*O26/1000,0)</f>
        <v>0</v>
      </c>
      <c r="P34" s="401">
        <f t="shared" si="7"/>
        <v>0</v>
      </c>
      <c r="Q34" s="401">
        <f t="shared" si="7"/>
        <v>0</v>
      </c>
      <c r="R34" s="401">
        <f t="shared" si="7"/>
        <v>0</v>
      </c>
      <c r="S34" s="401">
        <f t="shared" si="7"/>
        <v>0</v>
      </c>
      <c r="T34" s="401">
        <f t="shared" si="7"/>
        <v>0</v>
      </c>
      <c r="U34" s="401">
        <f t="shared" si="7"/>
        <v>0</v>
      </c>
      <c r="V34" s="401">
        <f t="shared" si="7"/>
        <v>0</v>
      </c>
      <c r="W34" s="401">
        <f t="shared" si="7"/>
        <v>0</v>
      </c>
      <c r="X34" s="401">
        <f t="shared" si="7"/>
        <v>0</v>
      </c>
    </row>
    <row r="35" spans="1:24" x14ac:dyDescent="0.25">
      <c r="A35" s="383"/>
      <c r="B35" s="33"/>
      <c r="C35" s="145" t="s">
        <v>165</v>
      </c>
      <c r="D35" s="145"/>
      <c r="E35" s="402">
        <f>SUM(E32:E34)</f>
        <v>463.70553844571344</v>
      </c>
      <c r="F35" s="402">
        <f t="shared" ref="F35:N35" si="8">SUM(F32:F34)</f>
        <v>2349.5446388067285</v>
      </c>
      <c r="G35" s="402">
        <f t="shared" si="8"/>
        <v>9258.3691876377216</v>
      </c>
      <c r="H35" s="402">
        <f t="shared" si="8"/>
        <v>32355.343133426868</v>
      </c>
      <c r="I35" s="402">
        <f t="shared" si="8"/>
        <v>67963.286272486643</v>
      </c>
      <c r="J35" s="402">
        <f t="shared" si="8"/>
        <v>108094.2546702883</v>
      </c>
      <c r="K35" s="402">
        <f t="shared" si="8"/>
        <v>158148.93999082962</v>
      </c>
      <c r="L35" s="402">
        <f t="shared" si="8"/>
        <v>210159.95081927249</v>
      </c>
      <c r="M35" s="402">
        <f t="shared" si="8"/>
        <v>263538.64926289691</v>
      </c>
      <c r="N35" s="402">
        <f t="shared" si="8"/>
        <v>318227.48602705781</v>
      </c>
      <c r="O35" s="402">
        <f t="shared" ref="O35:X35" si="9">SUM(O32:O34)</f>
        <v>353379.81180140789</v>
      </c>
      <c r="P35" s="402">
        <f t="shared" si="9"/>
        <v>395090.88655277662</v>
      </c>
      <c r="Q35" s="402">
        <f t="shared" si="9"/>
        <v>434896.58079269249</v>
      </c>
      <c r="R35" s="402">
        <f t="shared" si="9"/>
        <v>477374.44123064302</v>
      </c>
      <c r="S35" s="402">
        <f t="shared" si="9"/>
        <v>516576.24939326238</v>
      </c>
      <c r="T35" s="402">
        <f t="shared" si="9"/>
        <v>551675.72106522415</v>
      </c>
      <c r="U35" s="402">
        <f t="shared" si="9"/>
        <v>588338.9678283307</v>
      </c>
      <c r="V35" s="402">
        <f t="shared" si="9"/>
        <v>639934.52420218708</v>
      </c>
      <c r="W35" s="402">
        <f t="shared" si="9"/>
        <v>694310.16813372006</v>
      </c>
      <c r="X35" s="402">
        <f t="shared" si="9"/>
        <v>751602.123147315</v>
      </c>
    </row>
    <row r="36" spans="1:24" x14ac:dyDescent="0.25">
      <c r="A36" s="38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5">
      <c r="A37" s="383"/>
      <c r="B37" s="33"/>
      <c r="C37" s="145" t="s">
        <v>166</v>
      </c>
      <c r="D37" s="33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</row>
    <row r="38" spans="1:24" x14ac:dyDescent="0.25">
      <c r="A38" s="383"/>
      <c r="B38" s="33"/>
      <c r="C38" s="33" t="s">
        <v>168</v>
      </c>
      <c r="D38" s="33"/>
      <c r="E38" s="403">
        <f>'Local Loop'!F20</f>
        <v>8342.4</v>
      </c>
      <c r="F38" s="403">
        <f>'Local Loop'!G20</f>
        <v>11523.072</v>
      </c>
      <c r="G38" s="403">
        <f>'Local Loop'!H20</f>
        <v>13584.384000000002</v>
      </c>
      <c r="H38" s="403">
        <f>'Local Loop'!I20</f>
        <v>30666.915840000005</v>
      </c>
      <c r="I38" s="403">
        <f>'Local Loop'!J20</f>
        <v>34533.801984000012</v>
      </c>
      <c r="J38" s="403">
        <f>'Local Loop'!K20</f>
        <v>33689.488588800014</v>
      </c>
      <c r="K38" s="403">
        <f>'Local Loop'!L20</f>
        <v>50326.614835200016</v>
      </c>
      <c r="L38" s="403">
        <f>'Local Loop'!M20</f>
        <v>42666.33933619201</v>
      </c>
      <c r="M38" s="403">
        <f>'Local Loop'!N20</f>
        <v>47906.065219584008</v>
      </c>
      <c r="N38" s="403">
        <f>'Local Loop'!O20</f>
        <v>40071.01407952897</v>
      </c>
      <c r="O38" s="403">
        <f>'Local Loop'!P20</f>
        <v>33399.314961137672</v>
      </c>
      <c r="P38" s="403">
        <f>'Local Loop'!Q20</f>
        <v>34632.967007502353</v>
      </c>
      <c r="Q38" s="403">
        <f>'Local Loop'!R20</f>
        <v>28657.011359377015</v>
      </c>
      <c r="R38" s="403">
        <f>'Local Loop'!S20</f>
        <v>23651.286761833773</v>
      </c>
      <c r="S38" s="403">
        <f>'Local Loop'!T20</f>
        <v>23362.873426947201</v>
      </c>
      <c r="T38" s="403">
        <f>'Local Loop'!U20</f>
        <v>19189.657868240607</v>
      </c>
      <c r="U38" s="403">
        <f>'Local Loop'!V20</f>
        <v>15744.079894129001</v>
      </c>
      <c r="V38" s="403">
        <f>'Local Loop'!W20</f>
        <v>13171.667021531397</v>
      </c>
      <c r="W38" s="403">
        <f>'Local Loop'!X20</f>
        <v>10993.890533049431</v>
      </c>
      <c r="X38" s="403">
        <f>'Local Loop'!Y20</f>
        <v>10680.692488793953</v>
      </c>
    </row>
    <row r="39" spans="1:24" x14ac:dyDescent="0.25">
      <c r="A39" s="383"/>
      <c r="B39" s="33"/>
      <c r="C39" s="33" t="s">
        <v>167</v>
      </c>
      <c r="D39" s="33"/>
      <c r="E39" s="155">
        <f>E38</f>
        <v>8342.4</v>
      </c>
      <c r="F39" s="155">
        <f t="shared" ref="F39:N39" si="10">F38</f>
        <v>11523.072</v>
      </c>
      <c r="G39" s="155">
        <f t="shared" si="10"/>
        <v>13584.384000000002</v>
      </c>
      <c r="H39" s="155">
        <f t="shared" si="10"/>
        <v>30666.915840000005</v>
      </c>
      <c r="I39" s="155">
        <f t="shared" si="10"/>
        <v>34533.801984000012</v>
      </c>
      <c r="J39" s="155">
        <f t="shared" si="10"/>
        <v>33689.488588800014</v>
      </c>
      <c r="K39" s="155">
        <f t="shared" si="10"/>
        <v>50326.614835200016</v>
      </c>
      <c r="L39" s="155">
        <f t="shared" si="10"/>
        <v>42666.33933619201</v>
      </c>
      <c r="M39" s="155">
        <f t="shared" si="10"/>
        <v>47906.065219584008</v>
      </c>
      <c r="N39" s="155">
        <f t="shared" si="10"/>
        <v>40071.01407952897</v>
      </c>
      <c r="O39" s="155">
        <f t="shared" ref="O39:X39" si="11">O38</f>
        <v>33399.314961137672</v>
      </c>
      <c r="P39" s="155">
        <f t="shared" si="11"/>
        <v>34632.967007502353</v>
      </c>
      <c r="Q39" s="155">
        <f t="shared" si="11"/>
        <v>28657.011359377015</v>
      </c>
      <c r="R39" s="155">
        <f t="shared" si="11"/>
        <v>23651.286761833773</v>
      </c>
      <c r="S39" s="155">
        <f t="shared" si="11"/>
        <v>23362.873426947201</v>
      </c>
      <c r="T39" s="155">
        <f t="shared" si="11"/>
        <v>19189.657868240607</v>
      </c>
      <c r="U39" s="155">
        <f t="shared" si="11"/>
        <v>15744.079894129001</v>
      </c>
      <c r="V39" s="155">
        <f t="shared" si="11"/>
        <v>13171.667021531397</v>
      </c>
      <c r="W39" s="155">
        <f t="shared" si="11"/>
        <v>10993.890533049431</v>
      </c>
      <c r="X39" s="155">
        <f t="shared" si="11"/>
        <v>10680.692488793953</v>
      </c>
    </row>
    <row r="40" spans="1:24" x14ac:dyDescent="0.25">
      <c r="A40" s="383"/>
      <c r="B40" s="33"/>
      <c r="C40" s="33"/>
      <c r="D40" s="33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</row>
    <row r="41" spans="1:24" x14ac:dyDescent="0.25">
      <c r="A41" s="383"/>
      <c r="B41" s="33"/>
      <c r="C41" s="33" t="s">
        <v>861</v>
      </c>
      <c r="D41" s="33"/>
      <c r="E41" s="404">
        <f>Assumptions!F102</f>
        <v>0.8</v>
      </c>
      <c r="F41" s="404">
        <f>Assumptions!G102</f>
        <v>0.8</v>
      </c>
      <c r="G41" s="404">
        <f>Assumptions!H102</f>
        <v>0.8</v>
      </c>
      <c r="H41" s="404">
        <f>Assumptions!I102</f>
        <v>0.8</v>
      </c>
      <c r="I41" s="404">
        <f>Assumptions!J102</f>
        <v>0.8</v>
      </c>
      <c r="J41" s="404">
        <f>Assumptions!K102</f>
        <v>0.8</v>
      </c>
      <c r="K41" s="404">
        <f>Assumptions!L102</f>
        <v>0.8</v>
      </c>
      <c r="L41" s="404">
        <f>Assumptions!M102</f>
        <v>0.8</v>
      </c>
      <c r="M41" s="404">
        <f>Assumptions!N102</f>
        <v>0.8</v>
      </c>
      <c r="N41" s="404">
        <f>Assumptions!O102</f>
        <v>0.8</v>
      </c>
      <c r="O41" s="404">
        <f>Assumptions!P102</f>
        <v>0.8</v>
      </c>
      <c r="P41" s="404">
        <f>Assumptions!Q102</f>
        <v>0.8</v>
      </c>
      <c r="Q41" s="404">
        <f>Assumptions!R102</f>
        <v>0.8</v>
      </c>
      <c r="R41" s="404">
        <f>Assumptions!S102</f>
        <v>0.8</v>
      </c>
      <c r="S41" s="404">
        <f>Assumptions!T102</f>
        <v>0.8</v>
      </c>
      <c r="T41" s="404">
        <f>Assumptions!U102</f>
        <v>0.8</v>
      </c>
      <c r="U41" s="404">
        <f>Assumptions!V102</f>
        <v>0.8</v>
      </c>
      <c r="V41" s="404">
        <f>Assumptions!W102</f>
        <v>0.8</v>
      </c>
      <c r="W41" s="404">
        <f>Assumptions!X102</f>
        <v>0.8</v>
      </c>
      <c r="X41" s="404">
        <f>Assumptions!Y102</f>
        <v>0.8</v>
      </c>
    </row>
    <row r="42" spans="1:24" s="157" customFormat="1" x14ac:dyDescent="0.25">
      <c r="A42" s="405"/>
      <c r="B42" s="145"/>
      <c r="C42" s="145" t="s">
        <v>860</v>
      </c>
      <c r="D42" s="145"/>
      <c r="E42" s="406">
        <f>E39*E41</f>
        <v>6673.92</v>
      </c>
      <c r="F42" s="406">
        <f t="shared" ref="F42:N42" si="12">F39*F41</f>
        <v>9218.4575999999997</v>
      </c>
      <c r="G42" s="406">
        <f t="shared" si="12"/>
        <v>10867.507200000002</v>
      </c>
      <c r="H42" s="406">
        <f t="shared" si="12"/>
        <v>24533.532672000005</v>
      </c>
      <c r="I42" s="406">
        <f t="shared" si="12"/>
        <v>27627.041587200012</v>
      </c>
      <c r="J42" s="406">
        <f t="shared" si="12"/>
        <v>26951.590871040011</v>
      </c>
      <c r="K42" s="406">
        <f t="shared" si="12"/>
        <v>40261.291868160013</v>
      </c>
      <c r="L42" s="406">
        <f t="shared" si="12"/>
        <v>34133.071468953611</v>
      </c>
      <c r="M42" s="406">
        <f t="shared" si="12"/>
        <v>38324.852175667205</v>
      </c>
      <c r="N42" s="406">
        <f t="shared" si="12"/>
        <v>32056.811263623178</v>
      </c>
      <c r="O42" s="406">
        <f t="shared" ref="O42:X42" si="13">O39*O41</f>
        <v>26719.45196891014</v>
      </c>
      <c r="P42" s="406">
        <f t="shared" si="13"/>
        <v>27706.373606001885</v>
      </c>
      <c r="Q42" s="406">
        <f t="shared" si="13"/>
        <v>22925.609087501613</v>
      </c>
      <c r="R42" s="406">
        <f t="shared" si="13"/>
        <v>18921.029409467021</v>
      </c>
      <c r="S42" s="406">
        <f t="shared" si="13"/>
        <v>18690.298741557763</v>
      </c>
      <c r="T42" s="406">
        <f t="shared" si="13"/>
        <v>15351.726294592487</v>
      </c>
      <c r="U42" s="406">
        <f t="shared" si="13"/>
        <v>12595.263915303201</v>
      </c>
      <c r="V42" s="406">
        <f t="shared" si="13"/>
        <v>10537.333617225118</v>
      </c>
      <c r="W42" s="406">
        <f t="shared" si="13"/>
        <v>8795.1124264395457</v>
      </c>
      <c r="X42" s="406">
        <f t="shared" si="13"/>
        <v>8544.5539910351636</v>
      </c>
    </row>
    <row r="43" spans="1:24" x14ac:dyDescent="0.25">
      <c r="A43" s="383"/>
      <c r="B43" s="33"/>
      <c r="C43" s="33"/>
      <c r="D43" s="33"/>
      <c r="E43" s="404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  <c r="X43" s="400"/>
    </row>
    <row r="44" spans="1:24" s="157" customFormat="1" x14ac:dyDescent="0.25">
      <c r="A44" s="405"/>
      <c r="B44" s="145"/>
      <c r="C44" s="145" t="s">
        <v>169</v>
      </c>
      <c r="D44" s="145"/>
      <c r="E44" s="407">
        <f>E35-E42</f>
        <v>-6210.2144615542866</v>
      </c>
      <c r="F44" s="407">
        <f t="shared" ref="F44:X44" si="14">F35-F42</f>
        <v>-6868.9129611932713</v>
      </c>
      <c r="G44" s="407">
        <f t="shared" si="14"/>
        <v>-1609.1380123622803</v>
      </c>
      <c r="H44" s="407">
        <f t="shared" si="14"/>
        <v>7821.8104614268632</v>
      </c>
      <c r="I44" s="407">
        <f t="shared" si="14"/>
        <v>40336.244685286627</v>
      </c>
      <c r="J44" s="407">
        <f t="shared" si="14"/>
        <v>81142.663799248287</v>
      </c>
      <c r="K44" s="407">
        <f t="shared" si="14"/>
        <v>117887.64812266961</v>
      </c>
      <c r="L44" s="407">
        <f t="shared" si="14"/>
        <v>176026.87935031886</v>
      </c>
      <c r="M44" s="407">
        <f t="shared" si="14"/>
        <v>225213.7970872297</v>
      </c>
      <c r="N44" s="407">
        <f t="shared" si="14"/>
        <v>286170.67476343462</v>
      </c>
      <c r="O44" s="407">
        <f t="shared" si="14"/>
        <v>326660.35983249778</v>
      </c>
      <c r="P44" s="407">
        <f t="shared" si="14"/>
        <v>367384.51294677472</v>
      </c>
      <c r="Q44" s="407">
        <f t="shared" si="14"/>
        <v>411970.9717051909</v>
      </c>
      <c r="R44" s="407">
        <f t="shared" si="14"/>
        <v>458453.41182117601</v>
      </c>
      <c r="S44" s="407">
        <f t="shared" si="14"/>
        <v>497885.95065170462</v>
      </c>
      <c r="T44" s="407">
        <f t="shared" si="14"/>
        <v>536323.99477063166</v>
      </c>
      <c r="U44" s="407">
        <f t="shared" si="14"/>
        <v>575743.70391302754</v>
      </c>
      <c r="V44" s="407">
        <f t="shared" si="14"/>
        <v>629397.19058496191</v>
      </c>
      <c r="W44" s="407">
        <f t="shared" si="14"/>
        <v>685515.05570728052</v>
      </c>
      <c r="X44" s="407">
        <f t="shared" si="14"/>
        <v>743057.56915627979</v>
      </c>
    </row>
    <row r="45" spans="1:24" x14ac:dyDescent="0.25">
      <c r="A45" s="383"/>
      <c r="B45" s="33"/>
      <c r="C45" s="33"/>
      <c r="D45" s="33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</row>
    <row r="46" spans="1:24" ht="13.8" thickBot="1" x14ac:dyDescent="0.3">
      <c r="A46" s="386"/>
      <c r="B46" s="34"/>
      <c r="C46" s="34"/>
      <c r="D46" s="34"/>
      <c r="E46" s="409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</row>
    <row r="47" spans="1:24" x14ac:dyDescent="0.25">
      <c r="A47" s="381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</row>
    <row r="48" spans="1:24" x14ac:dyDescent="0.25">
      <c r="A48" s="383"/>
      <c r="B48" s="384" t="s">
        <v>229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x14ac:dyDescent="0.25">
      <c r="A49" s="383"/>
      <c r="B49" s="33"/>
      <c r="C49" s="399" t="s">
        <v>163</v>
      </c>
      <c r="D49" s="33"/>
      <c r="E49" s="399">
        <f>E31</f>
        <v>2001</v>
      </c>
      <c r="F49" s="399">
        <f t="shared" ref="F49:N49" si="15">F31</f>
        <v>2002</v>
      </c>
      <c r="G49" s="399">
        <f t="shared" si="15"/>
        <v>2003</v>
      </c>
      <c r="H49" s="399">
        <f t="shared" si="15"/>
        <v>2004</v>
      </c>
      <c r="I49" s="399">
        <f t="shared" si="15"/>
        <v>2005</v>
      </c>
      <c r="J49" s="399">
        <f t="shared" si="15"/>
        <v>2006</v>
      </c>
      <c r="K49" s="399">
        <f t="shared" si="15"/>
        <v>2007</v>
      </c>
      <c r="L49" s="399">
        <f t="shared" si="15"/>
        <v>2008</v>
      </c>
      <c r="M49" s="399">
        <f t="shared" si="15"/>
        <v>2009</v>
      </c>
      <c r="N49" s="399">
        <f t="shared" si="15"/>
        <v>2010</v>
      </c>
      <c r="O49" s="399">
        <f t="shared" ref="O49:X49" si="16">O31</f>
        <v>2011</v>
      </c>
      <c r="P49" s="399">
        <f t="shared" si="16"/>
        <v>2012</v>
      </c>
      <c r="Q49" s="399">
        <f t="shared" si="16"/>
        <v>2013</v>
      </c>
      <c r="R49" s="399">
        <f t="shared" si="16"/>
        <v>2014</v>
      </c>
      <c r="S49" s="399">
        <f t="shared" si="16"/>
        <v>2015</v>
      </c>
      <c r="T49" s="399">
        <f t="shared" si="16"/>
        <v>2016</v>
      </c>
      <c r="U49" s="399">
        <f t="shared" si="16"/>
        <v>2017</v>
      </c>
      <c r="V49" s="399">
        <f t="shared" si="16"/>
        <v>2018</v>
      </c>
      <c r="W49" s="399">
        <f t="shared" si="16"/>
        <v>2019</v>
      </c>
      <c r="X49" s="399">
        <f t="shared" si="16"/>
        <v>2020</v>
      </c>
    </row>
    <row r="50" spans="1:24" x14ac:dyDescent="0.25">
      <c r="A50" s="383"/>
      <c r="B50" s="33"/>
      <c r="C50" s="33" t="s">
        <v>158</v>
      </c>
      <c r="D50" s="33"/>
      <c r="E50" s="403">
        <f>IF($F$7=3,E23*E26*12/1000,0)</f>
        <v>0</v>
      </c>
      <c r="F50" s="403">
        <f t="shared" ref="F50:N50" si="17">IF($F$7=3,F23*F26*12/1000,0)</f>
        <v>0</v>
      </c>
      <c r="G50" s="403">
        <f t="shared" si="17"/>
        <v>0</v>
      </c>
      <c r="H50" s="403">
        <f t="shared" si="17"/>
        <v>0</v>
      </c>
      <c r="I50" s="403">
        <f t="shared" si="17"/>
        <v>0</v>
      </c>
      <c r="J50" s="403">
        <f t="shared" si="17"/>
        <v>0</v>
      </c>
      <c r="K50" s="403">
        <f t="shared" si="17"/>
        <v>0</v>
      </c>
      <c r="L50" s="403">
        <f t="shared" si="17"/>
        <v>0</v>
      </c>
      <c r="M50" s="403">
        <f t="shared" si="17"/>
        <v>0</v>
      </c>
      <c r="N50" s="403">
        <f t="shared" si="17"/>
        <v>0</v>
      </c>
      <c r="O50" s="403">
        <f t="shared" ref="O50:X50" si="18">IF($F$7=3,O23*O26*12/1000,0)</f>
        <v>0</v>
      </c>
      <c r="P50" s="403">
        <f t="shared" si="18"/>
        <v>0</v>
      </c>
      <c r="Q50" s="403">
        <f t="shared" si="18"/>
        <v>0</v>
      </c>
      <c r="R50" s="403">
        <f t="shared" si="18"/>
        <v>0</v>
      </c>
      <c r="S50" s="403">
        <f t="shared" si="18"/>
        <v>0</v>
      </c>
      <c r="T50" s="403">
        <f t="shared" si="18"/>
        <v>0</v>
      </c>
      <c r="U50" s="403">
        <f t="shared" si="18"/>
        <v>0</v>
      </c>
      <c r="V50" s="403">
        <f t="shared" si="18"/>
        <v>0</v>
      </c>
      <c r="W50" s="403">
        <f t="shared" si="18"/>
        <v>0</v>
      </c>
      <c r="X50" s="403">
        <f t="shared" si="18"/>
        <v>0</v>
      </c>
    </row>
    <row r="51" spans="1:24" x14ac:dyDescent="0.25">
      <c r="A51" s="383"/>
      <c r="B51" s="33"/>
      <c r="C51" s="145" t="s">
        <v>230</v>
      </c>
      <c r="D51" s="33"/>
      <c r="E51" s="402">
        <f>E50</f>
        <v>0</v>
      </c>
      <c r="F51" s="402">
        <f t="shared" ref="F51:N51" si="19">F50</f>
        <v>0</v>
      </c>
      <c r="G51" s="402">
        <f t="shared" si="19"/>
        <v>0</v>
      </c>
      <c r="H51" s="402">
        <f t="shared" si="19"/>
        <v>0</v>
      </c>
      <c r="I51" s="402">
        <f t="shared" si="19"/>
        <v>0</v>
      </c>
      <c r="J51" s="402">
        <f t="shared" si="19"/>
        <v>0</v>
      </c>
      <c r="K51" s="402">
        <f t="shared" si="19"/>
        <v>0</v>
      </c>
      <c r="L51" s="402">
        <f t="shared" si="19"/>
        <v>0</v>
      </c>
      <c r="M51" s="402">
        <f t="shared" si="19"/>
        <v>0</v>
      </c>
      <c r="N51" s="402">
        <f t="shared" si="19"/>
        <v>0</v>
      </c>
      <c r="O51" s="402">
        <f t="shared" ref="O51:X51" si="20">O50</f>
        <v>0</v>
      </c>
      <c r="P51" s="402">
        <f t="shared" si="20"/>
        <v>0</v>
      </c>
      <c r="Q51" s="402">
        <f t="shared" si="20"/>
        <v>0</v>
      </c>
      <c r="R51" s="402">
        <f t="shared" si="20"/>
        <v>0</v>
      </c>
      <c r="S51" s="402">
        <f t="shared" si="20"/>
        <v>0</v>
      </c>
      <c r="T51" s="402">
        <f t="shared" si="20"/>
        <v>0</v>
      </c>
      <c r="U51" s="402">
        <f t="shared" si="20"/>
        <v>0</v>
      </c>
      <c r="V51" s="402">
        <f t="shared" si="20"/>
        <v>0</v>
      </c>
      <c r="W51" s="402">
        <f t="shared" si="20"/>
        <v>0</v>
      </c>
      <c r="X51" s="402">
        <f t="shared" si="20"/>
        <v>0</v>
      </c>
    </row>
    <row r="52" spans="1:24" x14ac:dyDescent="0.25">
      <c r="A52" s="38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x14ac:dyDescent="0.25">
      <c r="A53" s="383"/>
      <c r="B53" s="33"/>
      <c r="C53" s="145" t="s">
        <v>166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x14ac:dyDescent="0.25">
      <c r="A54" s="383"/>
      <c r="B54" s="33"/>
      <c r="C54" s="33" t="s">
        <v>156</v>
      </c>
      <c r="D54" s="33"/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</row>
    <row r="55" spans="1:24" x14ac:dyDescent="0.25">
      <c r="A55" s="383"/>
      <c r="B55" s="33"/>
      <c r="C55" s="33" t="s">
        <v>157</v>
      </c>
      <c r="D55" s="33"/>
      <c r="E55" s="33">
        <f>IF($F$7=2,-E15*E16*E18*1000,0)</f>
        <v>0</v>
      </c>
      <c r="F55" s="33">
        <f t="shared" ref="F55:N55" si="21">IF($F$7=2,-F15*F16*F18*1000/20,0)</f>
        <v>0</v>
      </c>
      <c r="G55" s="33">
        <f t="shared" si="21"/>
        <v>0</v>
      </c>
      <c r="H55" s="33">
        <f t="shared" si="21"/>
        <v>0</v>
      </c>
      <c r="I55" s="33">
        <f t="shared" si="21"/>
        <v>0</v>
      </c>
      <c r="J55" s="33">
        <f t="shared" si="21"/>
        <v>0</v>
      </c>
      <c r="K55" s="33">
        <f t="shared" si="21"/>
        <v>0</v>
      </c>
      <c r="L55" s="33">
        <f t="shared" si="21"/>
        <v>0</v>
      </c>
      <c r="M55" s="33">
        <f t="shared" si="21"/>
        <v>0</v>
      </c>
      <c r="N55" s="33">
        <f t="shared" si="21"/>
        <v>0</v>
      </c>
      <c r="O55" s="33">
        <f t="shared" ref="O55:X55" si="22">IF($F$7=2,-O15*O16*O18*1000/20,0)</f>
        <v>0</v>
      </c>
      <c r="P55" s="33">
        <f t="shared" si="22"/>
        <v>0</v>
      </c>
      <c r="Q55" s="33">
        <f t="shared" si="22"/>
        <v>0</v>
      </c>
      <c r="R55" s="33">
        <f t="shared" si="22"/>
        <v>0</v>
      </c>
      <c r="S55" s="33">
        <f t="shared" si="22"/>
        <v>0</v>
      </c>
      <c r="T55" s="33">
        <f t="shared" si="22"/>
        <v>0</v>
      </c>
      <c r="U55" s="33">
        <f t="shared" si="22"/>
        <v>0</v>
      </c>
      <c r="V55" s="33">
        <f t="shared" si="22"/>
        <v>0</v>
      </c>
      <c r="W55" s="33">
        <f t="shared" si="22"/>
        <v>0</v>
      </c>
      <c r="X55" s="33">
        <f t="shared" si="22"/>
        <v>0</v>
      </c>
    </row>
    <row r="56" spans="1:24" x14ac:dyDescent="0.25">
      <c r="A56" s="383"/>
      <c r="B56" s="33"/>
      <c r="C56" s="33" t="s">
        <v>158</v>
      </c>
      <c r="D56" s="33"/>
      <c r="E56" s="411">
        <v>0</v>
      </c>
      <c r="F56" s="411">
        <v>0</v>
      </c>
      <c r="G56" s="411">
        <v>0</v>
      </c>
      <c r="H56" s="411">
        <v>0</v>
      </c>
      <c r="I56" s="411">
        <v>0</v>
      </c>
      <c r="J56" s="411">
        <v>0</v>
      </c>
      <c r="K56" s="411">
        <v>0</v>
      </c>
      <c r="L56" s="411">
        <v>0</v>
      </c>
      <c r="M56" s="411">
        <v>0</v>
      </c>
      <c r="N56" s="411">
        <v>0</v>
      </c>
      <c r="O56" s="411">
        <v>0</v>
      </c>
      <c r="P56" s="411">
        <v>0</v>
      </c>
      <c r="Q56" s="411">
        <v>0</v>
      </c>
      <c r="R56" s="411">
        <v>0</v>
      </c>
      <c r="S56" s="411">
        <v>0</v>
      </c>
      <c r="T56" s="411">
        <v>0</v>
      </c>
      <c r="U56" s="411">
        <v>0</v>
      </c>
      <c r="V56" s="411">
        <v>0</v>
      </c>
      <c r="W56" s="411">
        <v>0</v>
      </c>
      <c r="X56" s="411">
        <v>0</v>
      </c>
    </row>
    <row r="57" spans="1:24" x14ac:dyDescent="0.25">
      <c r="A57" s="383"/>
      <c r="B57" s="33"/>
      <c r="C57" s="145" t="s">
        <v>232</v>
      </c>
      <c r="D57" s="33"/>
      <c r="E57" s="402">
        <f>SUM(E54:E56)</f>
        <v>0</v>
      </c>
      <c r="F57" s="402">
        <f t="shared" ref="F57:N57" si="23">SUM(F54:F56)</f>
        <v>0</v>
      </c>
      <c r="G57" s="402">
        <f t="shared" si="23"/>
        <v>0</v>
      </c>
      <c r="H57" s="402">
        <f t="shared" si="23"/>
        <v>0</v>
      </c>
      <c r="I57" s="402">
        <f t="shared" si="23"/>
        <v>0</v>
      </c>
      <c r="J57" s="402">
        <f t="shared" si="23"/>
        <v>0</v>
      </c>
      <c r="K57" s="402">
        <f t="shared" si="23"/>
        <v>0</v>
      </c>
      <c r="L57" s="402">
        <f t="shared" si="23"/>
        <v>0</v>
      </c>
      <c r="M57" s="402">
        <f t="shared" si="23"/>
        <v>0</v>
      </c>
      <c r="N57" s="402">
        <f t="shared" si="23"/>
        <v>0</v>
      </c>
      <c r="O57" s="402">
        <f t="shared" ref="O57:X57" si="24">SUM(O54:O56)</f>
        <v>0</v>
      </c>
      <c r="P57" s="402">
        <f t="shared" si="24"/>
        <v>0</v>
      </c>
      <c r="Q57" s="402">
        <f t="shared" si="24"/>
        <v>0</v>
      </c>
      <c r="R57" s="402">
        <f t="shared" si="24"/>
        <v>0</v>
      </c>
      <c r="S57" s="402">
        <f t="shared" si="24"/>
        <v>0</v>
      </c>
      <c r="T57" s="402">
        <f t="shared" si="24"/>
        <v>0</v>
      </c>
      <c r="U57" s="402">
        <f t="shared" si="24"/>
        <v>0</v>
      </c>
      <c r="V57" s="402">
        <f t="shared" si="24"/>
        <v>0</v>
      </c>
      <c r="W57" s="402">
        <f t="shared" si="24"/>
        <v>0</v>
      </c>
      <c r="X57" s="402">
        <f t="shared" si="24"/>
        <v>0</v>
      </c>
    </row>
    <row r="58" spans="1:24" x14ac:dyDescent="0.25">
      <c r="A58" s="383"/>
      <c r="B58" s="33"/>
      <c r="C58" s="33"/>
      <c r="D58" s="33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</row>
    <row r="59" spans="1:24" x14ac:dyDescent="0.25">
      <c r="A59" s="383"/>
      <c r="B59" s="33"/>
      <c r="C59" s="33" t="s">
        <v>273</v>
      </c>
      <c r="D59" s="33"/>
      <c r="E59" s="400">
        <f>E51+E57</f>
        <v>0</v>
      </c>
      <c r="F59" s="400">
        <f t="shared" ref="F59:N59" si="25">F51+F57</f>
        <v>0</v>
      </c>
      <c r="G59" s="400">
        <f t="shared" si="25"/>
        <v>0</v>
      </c>
      <c r="H59" s="400">
        <f t="shared" si="25"/>
        <v>0</v>
      </c>
      <c r="I59" s="400">
        <f t="shared" si="25"/>
        <v>0</v>
      </c>
      <c r="J59" s="400">
        <f t="shared" si="25"/>
        <v>0</v>
      </c>
      <c r="K59" s="400">
        <f t="shared" si="25"/>
        <v>0</v>
      </c>
      <c r="L59" s="400">
        <f t="shared" si="25"/>
        <v>0</v>
      </c>
      <c r="M59" s="400">
        <f t="shared" si="25"/>
        <v>0</v>
      </c>
      <c r="N59" s="400">
        <f t="shared" si="25"/>
        <v>0</v>
      </c>
      <c r="O59" s="400">
        <f t="shared" ref="O59:X59" si="26">O51+O57</f>
        <v>0</v>
      </c>
      <c r="P59" s="400">
        <f t="shared" si="26"/>
        <v>0</v>
      </c>
      <c r="Q59" s="400">
        <f t="shared" si="26"/>
        <v>0</v>
      </c>
      <c r="R59" s="400">
        <f t="shared" si="26"/>
        <v>0</v>
      </c>
      <c r="S59" s="400">
        <f t="shared" si="26"/>
        <v>0</v>
      </c>
      <c r="T59" s="400">
        <f t="shared" si="26"/>
        <v>0</v>
      </c>
      <c r="U59" s="400">
        <f t="shared" si="26"/>
        <v>0</v>
      </c>
      <c r="V59" s="400">
        <f t="shared" si="26"/>
        <v>0</v>
      </c>
      <c r="W59" s="400">
        <f t="shared" si="26"/>
        <v>0</v>
      </c>
      <c r="X59" s="400">
        <f t="shared" si="26"/>
        <v>0</v>
      </c>
    </row>
    <row r="60" spans="1:24" x14ac:dyDescent="0.25">
      <c r="A60" s="383"/>
      <c r="B60" s="33"/>
      <c r="C60" s="33" t="s">
        <v>233</v>
      </c>
      <c r="D60" s="33"/>
      <c r="E60" s="400">
        <f>SUM($E$59:E59)</f>
        <v>0</v>
      </c>
      <c r="F60" s="400">
        <f>SUM($E$59:F59)</f>
        <v>0</v>
      </c>
      <c r="G60" s="400">
        <f>SUM($E$59:G59)</f>
        <v>0</v>
      </c>
      <c r="H60" s="400">
        <f>SUM($E$59:H59)</f>
        <v>0</v>
      </c>
      <c r="I60" s="400">
        <f>SUM($E$59:I59)</f>
        <v>0</v>
      </c>
      <c r="J60" s="400">
        <f>SUM($E$59:J59)</f>
        <v>0</v>
      </c>
      <c r="K60" s="400">
        <f>SUM($E$59:K59)</f>
        <v>0</v>
      </c>
      <c r="L60" s="400">
        <f>SUM($E$59:L59)</f>
        <v>0</v>
      </c>
      <c r="M60" s="400">
        <f>SUM($E$59:M59)</f>
        <v>0</v>
      </c>
      <c r="N60" s="400">
        <f>SUM($E$59:N59)</f>
        <v>0</v>
      </c>
      <c r="O60" s="400">
        <f>SUM($E$59:O59)</f>
        <v>0</v>
      </c>
      <c r="P60" s="400">
        <f>SUM($E$59:P59)</f>
        <v>0</v>
      </c>
      <c r="Q60" s="400">
        <f>SUM($E$59:Q59)</f>
        <v>0</v>
      </c>
      <c r="R60" s="400">
        <f>SUM($E$59:R59)</f>
        <v>0</v>
      </c>
      <c r="S60" s="400">
        <f>SUM($E$59:S59)</f>
        <v>0</v>
      </c>
      <c r="T60" s="400">
        <f>SUM($E$59:T59)</f>
        <v>0</v>
      </c>
      <c r="U60" s="400">
        <f>SUM($E$59:U59)</f>
        <v>0</v>
      </c>
      <c r="V60" s="400">
        <f>SUM($E$59:V59)</f>
        <v>0</v>
      </c>
      <c r="W60" s="400">
        <f>SUM($E$59:W59)</f>
        <v>0</v>
      </c>
      <c r="X60" s="400">
        <f>SUM($E$59:X59)</f>
        <v>0</v>
      </c>
    </row>
    <row r="61" spans="1:24" x14ac:dyDescent="0.25">
      <c r="A61" s="383"/>
      <c r="B61" s="33"/>
      <c r="C61" s="33"/>
      <c r="D61" s="33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</row>
    <row r="62" spans="1:24" x14ac:dyDescent="0.25">
      <c r="A62" s="383"/>
      <c r="B62" s="33"/>
      <c r="C62" s="33" t="s">
        <v>235</v>
      </c>
      <c r="D62" s="33"/>
      <c r="E62" s="400">
        <f>Streaming!E80</f>
        <v>464.63480806183708</v>
      </c>
      <c r="F62" s="400">
        <f>Streaming!F80</f>
        <v>2818.8879531587595</v>
      </c>
      <c r="G62" s="400">
        <f>Streaming!G80</f>
        <v>12095.810986863891</v>
      </c>
      <c r="H62" s="400">
        <f>Streaming!H80</f>
        <v>44515.994487291609</v>
      </c>
      <c r="I62" s="400">
        <f>Streaming!I80</f>
        <v>112615.4797302642</v>
      </c>
      <c r="J62" s="400">
        <f>Streaming!J80</f>
        <v>220926.35615339875</v>
      </c>
      <c r="K62" s="400">
        <f>Streaming!K80</f>
        <v>379392.22788769694</v>
      </c>
      <c r="L62" s="400">
        <f>Streaming!L80</f>
        <v>589973.34093306016</v>
      </c>
      <c r="M62" s="400">
        <f>Streaming!M80</f>
        <v>854040.12376161409</v>
      </c>
      <c r="N62" s="400">
        <f>Streaming!N80</f>
        <v>1172905.3402215918</v>
      </c>
      <c r="O62" s="400">
        <f>Streaming!O80</f>
        <v>1526993.3279985534</v>
      </c>
      <c r="P62" s="400">
        <f>Streaming!P80</f>
        <v>1922875.9798550429</v>
      </c>
      <c r="Q62" s="400">
        <f>Streaming!Q80</f>
        <v>2358644.0968817887</v>
      </c>
      <c r="R62" s="400">
        <f>Streaming!R80</f>
        <v>2836975.2003193069</v>
      </c>
      <c r="S62" s="400">
        <f>Streaming!S80</f>
        <v>3354586.6726572453</v>
      </c>
      <c r="T62" s="400">
        <f>Streaming!T80</f>
        <v>3907367.9562897342</v>
      </c>
      <c r="U62" s="400">
        <f>Streaming!U80</f>
        <v>4496885.9601257369</v>
      </c>
      <c r="V62" s="400">
        <f>Streaming!V80</f>
        <v>5138102.9182441607</v>
      </c>
      <c r="W62" s="400">
        <f>Streaming!W80</f>
        <v>5833804.4895204334</v>
      </c>
      <c r="X62" s="400">
        <f>Streaming!X80</f>
        <v>6586912.8293474019</v>
      </c>
    </row>
    <row r="63" spans="1:24" x14ac:dyDescent="0.25">
      <c r="A63" s="383"/>
      <c r="B63" s="33"/>
      <c r="C63" s="33"/>
      <c r="D63" s="33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</row>
    <row r="64" spans="1:24" x14ac:dyDescent="0.25">
      <c r="A64" s="383"/>
      <c r="B64" s="33"/>
      <c r="C64" s="33" t="s">
        <v>234</v>
      </c>
      <c r="D64" s="33"/>
      <c r="E64" s="412">
        <f>E60/E62</f>
        <v>0</v>
      </c>
      <c r="F64" s="412">
        <f t="shared" ref="F64:N64" si="27">F60/F62</f>
        <v>0</v>
      </c>
      <c r="G64" s="412">
        <f t="shared" si="27"/>
        <v>0</v>
      </c>
      <c r="H64" s="412">
        <f t="shared" si="27"/>
        <v>0</v>
      </c>
      <c r="I64" s="412">
        <f t="shared" si="27"/>
        <v>0</v>
      </c>
      <c r="J64" s="412">
        <f t="shared" si="27"/>
        <v>0</v>
      </c>
      <c r="K64" s="412">
        <f t="shared" si="27"/>
        <v>0</v>
      </c>
      <c r="L64" s="412">
        <f t="shared" si="27"/>
        <v>0</v>
      </c>
      <c r="M64" s="412">
        <f t="shared" si="27"/>
        <v>0</v>
      </c>
      <c r="N64" s="412">
        <f t="shared" si="27"/>
        <v>0</v>
      </c>
      <c r="O64" s="412">
        <f t="shared" ref="O64:X64" si="28">O60/O62</f>
        <v>0</v>
      </c>
      <c r="P64" s="412">
        <f t="shared" si="28"/>
        <v>0</v>
      </c>
      <c r="Q64" s="412">
        <f t="shared" si="28"/>
        <v>0</v>
      </c>
      <c r="R64" s="412">
        <f t="shared" si="28"/>
        <v>0</v>
      </c>
      <c r="S64" s="412">
        <f t="shared" si="28"/>
        <v>0</v>
      </c>
      <c r="T64" s="412">
        <f t="shared" si="28"/>
        <v>0</v>
      </c>
      <c r="U64" s="412">
        <f t="shared" si="28"/>
        <v>0</v>
      </c>
      <c r="V64" s="412">
        <f t="shared" si="28"/>
        <v>0</v>
      </c>
      <c r="W64" s="412">
        <f t="shared" si="28"/>
        <v>0</v>
      </c>
      <c r="X64" s="412">
        <f t="shared" si="28"/>
        <v>0</v>
      </c>
    </row>
    <row r="65" spans="1:24" ht="13.8" thickBot="1" x14ac:dyDescent="0.3">
      <c r="A65" s="38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7" spans="1:24" x14ac:dyDescent="0.25">
      <c r="B67" s="413" t="s">
        <v>231</v>
      </c>
    </row>
    <row r="68" spans="1:24" x14ac:dyDescent="0.25">
      <c r="C68" s="399" t="s">
        <v>163</v>
      </c>
      <c r="E68" s="414">
        <f>E49</f>
        <v>2001</v>
      </c>
      <c r="F68" s="414">
        <f t="shared" ref="F68:N68" si="29">F49</f>
        <v>2002</v>
      </c>
      <c r="G68" s="414">
        <f t="shared" si="29"/>
        <v>2003</v>
      </c>
      <c r="H68" s="414">
        <f t="shared" si="29"/>
        <v>2004</v>
      </c>
      <c r="I68" s="414">
        <f t="shared" si="29"/>
        <v>2005</v>
      </c>
      <c r="J68" s="414">
        <f t="shared" si="29"/>
        <v>2006</v>
      </c>
      <c r="K68" s="414">
        <f t="shared" si="29"/>
        <v>2007</v>
      </c>
      <c r="L68" s="414">
        <f t="shared" si="29"/>
        <v>2008</v>
      </c>
      <c r="M68" s="414">
        <f t="shared" si="29"/>
        <v>2009</v>
      </c>
      <c r="N68" s="414">
        <f t="shared" si="29"/>
        <v>2010</v>
      </c>
      <c r="O68" s="414">
        <f t="shared" ref="O68:X68" si="30">O49</f>
        <v>2011</v>
      </c>
      <c r="P68" s="414">
        <f t="shared" si="30"/>
        <v>2012</v>
      </c>
      <c r="Q68" s="414">
        <f t="shared" si="30"/>
        <v>2013</v>
      </c>
      <c r="R68" s="414">
        <f t="shared" si="30"/>
        <v>2014</v>
      </c>
      <c r="S68" s="414">
        <f t="shared" si="30"/>
        <v>2015</v>
      </c>
      <c r="T68" s="414">
        <f t="shared" si="30"/>
        <v>2016</v>
      </c>
      <c r="U68" s="414">
        <f t="shared" si="30"/>
        <v>2017</v>
      </c>
      <c r="V68" s="414">
        <f t="shared" si="30"/>
        <v>2018</v>
      </c>
      <c r="W68" s="414">
        <f t="shared" si="30"/>
        <v>2019</v>
      </c>
      <c r="X68" s="414">
        <f t="shared" si="30"/>
        <v>2020</v>
      </c>
    </row>
    <row r="69" spans="1:24" x14ac:dyDescent="0.25">
      <c r="C69" s="33" t="s">
        <v>158</v>
      </c>
      <c r="E69" s="415">
        <f>IF($F$7=3,E24*E26*12/1000,0)</f>
        <v>0</v>
      </c>
      <c r="F69" s="416">
        <f t="shared" ref="F69:N69" si="31">IF($F$7=3,F24*F26*12/1000,0)</f>
        <v>0</v>
      </c>
      <c r="G69" s="416">
        <f t="shared" si="31"/>
        <v>0</v>
      </c>
      <c r="H69" s="416">
        <f t="shared" si="31"/>
        <v>0</v>
      </c>
      <c r="I69" s="416">
        <f t="shared" si="31"/>
        <v>0</v>
      </c>
      <c r="J69" s="416">
        <f t="shared" si="31"/>
        <v>0</v>
      </c>
      <c r="K69" s="416">
        <f t="shared" si="31"/>
        <v>0</v>
      </c>
      <c r="L69" s="416">
        <f t="shared" si="31"/>
        <v>0</v>
      </c>
      <c r="M69" s="416">
        <f t="shared" si="31"/>
        <v>0</v>
      </c>
      <c r="N69" s="416">
        <f t="shared" si="31"/>
        <v>0</v>
      </c>
      <c r="O69" s="416">
        <f t="shared" ref="O69:X69" si="32">IF($F$7=3,O24*O26*12/1000,0)</f>
        <v>0</v>
      </c>
      <c r="P69" s="416">
        <f t="shared" si="32"/>
        <v>0</v>
      </c>
      <c r="Q69" s="416">
        <f t="shared" si="32"/>
        <v>0</v>
      </c>
      <c r="R69" s="416">
        <f t="shared" si="32"/>
        <v>0</v>
      </c>
      <c r="S69" s="416">
        <f t="shared" si="32"/>
        <v>0</v>
      </c>
      <c r="T69" s="416">
        <f t="shared" si="32"/>
        <v>0</v>
      </c>
      <c r="U69" s="416">
        <f t="shared" si="32"/>
        <v>0</v>
      </c>
      <c r="V69" s="416">
        <f t="shared" si="32"/>
        <v>0</v>
      </c>
      <c r="W69" s="416">
        <f t="shared" si="32"/>
        <v>0</v>
      </c>
      <c r="X69" s="416">
        <f t="shared" si="32"/>
        <v>0</v>
      </c>
    </row>
    <row r="70" spans="1:24" x14ac:dyDescent="0.25">
      <c r="C70" s="145" t="s">
        <v>271</v>
      </c>
      <c r="E70" s="417">
        <f>E69</f>
        <v>0</v>
      </c>
      <c r="F70" s="417">
        <f t="shared" ref="F70:N70" si="33">F69</f>
        <v>0</v>
      </c>
      <c r="G70" s="417">
        <f t="shared" si="33"/>
        <v>0</v>
      </c>
      <c r="H70" s="417">
        <f t="shared" si="33"/>
        <v>0</v>
      </c>
      <c r="I70" s="417">
        <f t="shared" si="33"/>
        <v>0</v>
      </c>
      <c r="J70" s="417">
        <f t="shared" si="33"/>
        <v>0</v>
      </c>
      <c r="K70" s="417">
        <f t="shared" si="33"/>
        <v>0</v>
      </c>
      <c r="L70" s="417">
        <f t="shared" si="33"/>
        <v>0</v>
      </c>
      <c r="M70" s="417">
        <f t="shared" si="33"/>
        <v>0</v>
      </c>
      <c r="N70" s="417">
        <f t="shared" si="33"/>
        <v>0</v>
      </c>
      <c r="O70" s="417">
        <f t="shared" ref="O70:X70" si="34">O69</f>
        <v>0</v>
      </c>
      <c r="P70" s="417">
        <f t="shared" si="34"/>
        <v>0</v>
      </c>
      <c r="Q70" s="417">
        <f t="shared" si="34"/>
        <v>0</v>
      </c>
      <c r="R70" s="417">
        <f t="shared" si="34"/>
        <v>0</v>
      </c>
      <c r="S70" s="417">
        <f t="shared" si="34"/>
        <v>0</v>
      </c>
      <c r="T70" s="417">
        <f t="shared" si="34"/>
        <v>0</v>
      </c>
      <c r="U70" s="417">
        <f t="shared" si="34"/>
        <v>0</v>
      </c>
      <c r="V70" s="417">
        <f t="shared" si="34"/>
        <v>0</v>
      </c>
      <c r="W70" s="417">
        <f t="shared" si="34"/>
        <v>0</v>
      </c>
      <c r="X70" s="417">
        <f t="shared" si="34"/>
        <v>0</v>
      </c>
    </row>
    <row r="71" spans="1:24" x14ac:dyDescent="0.25">
      <c r="C71" s="33"/>
    </row>
    <row r="72" spans="1:24" x14ac:dyDescent="0.25">
      <c r="C72" s="145" t="s">
        <v>166</v>
      </c>
      <c r="E72" s="418"/>
      <c r="F72" s="418"/>
      <c r="G72" s="418"/>
      <c r="H72" s="418"/>
      <c r="I72" s="418"/>
      <c r="J72" s="418"/>
      <c r="K72" s="418"/>
      <c r="L72" s="418"/>
      <c r="M72" s="418"/>
      <c r="N72" s="418"/>
      <c r="O72" s="418"/>
      <c r="P72" s="418"/>
      <c r="Q72" s="418"/>
      <c r="R72" s="418"/>
      <c r="S72" s="418"/>
      <c r="T72" s="418"/>
      <c r="U72" s="418"/>
      <c r="V72" s="418"/>
      <c r="W72" s="418"/>
      <c r="X72" s="418"/>
    </row>
    <row r="73" spans="1:24" x14ac:dyDescent="0.25">
      <c r="C73" s="33" t="s">
        <v>156</v>
      </c>
      <c r="E73" s="418">
        <f>-IF($F$7=1,E10*E11*E12/1000,0)</f>
        <v>-463.70553844571344</v>
      </c>
      <c r="F73" s="418">
        <f t="shared" ref="F73:N73" si="35">-IF($F$7=1,F10*F11*F12/1000,0)</f>
        <v>-2349.5446388067285</v>
      </c>
      <c r="G73" s="418">
        <f t="shared" si="35"/>
        <v>-9258.3691876377216</v>
      </c>
      <c r="H73" s="418">
        <f t="shared" si="35"/>
        <v>-32355.343133426868</v>
      </c>
      <c r="I73" s="418">
        <f t="shared" si="35"/>
        <v>-67963.286272486643</v>
      </c>
      <c r="J73" s="418">
        <f t="shared" si="35"/>
        <v>-108094.2546702883</v>
      </c>
      <c r="K73" s="418">
        <f t="shared" si="35"/>
        <v>-158148.93999082962</v>
      </c>
      <c r="L73" s="418">
        <f t="shared" si="35"/>
        <v>-210159.95081927249</v>
      </c>
      <c r="M73" s="418">
        <f t="shared" si="35"/>
        <v>-263538.64926289691</v>
      </c>
      <c r="N73" s="418">
        <f t="shared" si="35"/>
        <v>-318227.48602705781</v>
      </c>
      <c r="O73" s="418">
        <f t="shared" ref="O73:X73" si="36">-IF($F$7=1,O10*O11*O12/1000,0)</f>
        <v>-353379.81180140789</v>
      </c>
      <c r="P73" s="418">
        <f t="shared" si="36"/>
        <v>-395090.88655277662</v>
      </c>
      <c r="Q73" s="418">
        <f t="shared" si="36"/>
        <v>-434896.58079269249</v>
      </c>
      <c r="R73" s="418">
        <f t="shared" si="36"/>
        <v>-477374.44123064302</v>
      </c>
      <c r="S73" s="418">
        <f t="shared" si="36"/>
        <v>-516576.24939326238</v>
      </c>
      <c r="T73" s="418">
        <f t="shared" si="36"/>
        <v>-551675.72106522415</v>
      </c>
      <c r="U73" s="418">
        <f t="shared" si="36"/>
        <v>-588338.9678283307</v>
      </c>
      <c r="V73" s="418">
        <f t="shared" si="36"/>
        <v>-639934.52420218708</v>
      </c>
      <c r="W73" s="418">
        <f t="shared" si="36"/>
        <v>-694310.16813372006</v>
      </c>
      <c r="X73" s="418">
        <f t="shared" si="36"/>
        <v>-751602.123147315</v>
      </c>
    </row>
    <row r="74" spans="1:24" x14ac:dyDescent="0.25">
      <c r="C74" s="33" t="s">
        <v>157</v>
      </c>
      <c r="E74" s="418">
        <f>IF($F$7=2,-E15*E16*E19*1000,0)</f>
        <v>0</v>
      </c>
      <c r="F74" s="418">
        <f t="shared" ref="F74:N74" si="37">IF($F$7=2,-F15*F16*F19*1000,0)</f>
        <v>0</v>
      </c>
      <c r="G74" s="418">
        <f t="shared" si="37"/>
        <v>0</v>
      </c>
      <c r="H74" s="418">
        <f t="shared" si="37"/>
        <v>0</v>
      </c>
      <c r="I74" s="418">
        <f t="shared" si="37"/>
        <v>0</v>
      </c>
      <c r="J74" s="418">
        <f t="shared" si="37"/>
        <v>0</v>
      </c>
      <c r="K74" s="418">
        <f t="shared" si="37"/>
        <v>0</v>
      </c>
      <c r="L74" s="418">
        <f t="shared" si="37"/>
        <v>0</v>
      </c>
      <c r="M74" s="418">
        <f t="shared" si="37"/>
        <v>0</v>
      </c>
      <c r="N74" s="418">
        <f t="shared" si="37"/>
        <v>0</v>
      </c>
      <c r="O74" s="418">
        <f t="shared" ref="O74:X74" si="38">IF($F$7=2,-O15*O16*O19*1000,0)</f>
        <v>0</v>
      </c>
      <c r="P74" s="418">
        <f t="shared" si="38"/>
        <v>0</v>
      </c>
      <c r="Q74" s="418">
        <f t="shared" si="38"/>
        <v>0</v>
      </c>
      <c r="R74" s="418">
        <f t="shared" si="38"/>
        <v>0</v>
      </c>
      <c r="S74" s="418">
        <f t="shared" si="38"/>
        <v>0</v>
      </c>
      <c r="T74" s="418">
        <f t="shared" si="38"/>
        <v>0</v>
      </c>
      <c r="U74" s="418">
        <f t="shared" si="38"/>
        <v>0</v>
      </c>
      <c r="V74" s="418">
        <f t="shared" si="38"/>
        <v>0</v>
      </c>
      <c r="W74" s="418">
        <f t="shared" si="38"/>
        <v>0</v>
      </c>
      <c r="X74" s="418">
        <f t="shared" si="38"/>
        <v>0</v>
      </c>
    </row>
    <row r="75" spans="1:24" x14ac:dyDescent="0.25">
      <c r="C75" s="33" t="s">
        <v>158</v>
      </c>
      <c r="E75" s="419">
        <v>0</v>
      </c>
      <c r="F75" s="419">
        <v>0</v>
      </c>
      <c r="G75" s="419">
        <v>0</v>
      </c>
      <c r="H75" s="419">
        <v>0</v>
      </c>
      <c r="I75" s="419">
        <v>0</v>
      </c>
      <c r="J75" s="419">
        <v>0</v>
      </c>
      <c r="K75" s="419">
        <v>0</v>
      </c>
      <c r="L75" s="419">
        <v>0</v>
      </c>
      <c r="M75" s="419">
        <v>0</v>
      </c>
      <c r="N75" s="419">
        <v>0</v>
      </c>
      <c r="O75" s="419">
        <v>0</v>
      </c>
      <c r="P75" s="419">
        <v>0</v>
      </c>
      <c r="Q75" s="419">
        <v>0</v>
      </c>
      <c r="R75" s="419">
        <v>0</v>
      </c>
      <c r="S75" s="419">
        <v>0</v>
      </c>
      <c r="T75" s="419">
        <v>0</v>
      </c>
      <c r="U75" s="419">
        <v>0</v>
      </c>
      <c r="V75" s="419">
        <v>0</v>
      </c>
      <c r="W75" s="419">
        <v>0</v>
      </c>
      <c r="X75" s="419">
        <v>0</v>
      </c>
    </row>
    <row r="76" spans="1:24" x14ac:dyDescent="0.25">
      <c r="C76" s="145" t="s">
        <v>272</v>
      </c>
      <c r="E76" s="420">
        <f>SUM(E73:E75)</f>
        <v>-463.70553844571344</v>
      </c>
      <c r="F76" s="420">
        <f t="shared" ref="F76:N76" si="39">SUM(F73:F75)</f>
        <v>-2349.5446388067285</v>
      </c>
      <c r="G76" s="420">
        <f t="shared" si="39"/>
        <v>-9258.3691876377216</v>
      </c>
      <c r="H76" s="420">
        <f t="shared" si="39"/>
        <v>-32355.343133426868</v>
      </c>
      <c r="I76" s="420">
        <f t="shared" si="39"/>
        <v>-67963.286272486643</v>
      </c>
      <c r="J76" s="420">
        <f t="shared" si="39"/>
        <v>-108094.2546702883</v>
      </c>
      <c r="K76" s="420">
        <f t="shared" si="39"/>
        <v>-158148.93999082962</v>
      </c>
      <c r="L76" s="420">
        <f t="shared" si="39"/>
        <v>-210159.95081927249</v>
      </c>
      <c r="M76" s="420">
        <f t="shared" si="39"/>
        <v>-263538.64926289691</v>
      </c>
      <c r="N76" s="420">
        <f t="shared" si="39"/>
        <v>-318227.48602705781</v>
      </c>
      <c r="O76" s="420">
        <f t="shared" ref="O76:X76" si="40">SUM(O73:O75)</f>
        <v>-353379.81180140789</v>
      </c>
      <c r="P76" s="420">
        <f t="shared" si="40"/>
        <v>-395090.88655277662</v>
      </c>
      <c r="Q76" s="420">
        <f t="shared" si="40"/>
        <v>-434896.58079269249</v>
      </c>
      <c r="R76" s="420">
        <f t="shared" si="40"/>
        <v>-477374.44123064302</v>
      </c>
      <c r="S76" s="420">
        <f t="shared" si="40"/>
        <v>-516576.24939326238</v>
      </c>
      <c r="T76" s="420">
        <f t="shared" si="40"/>
        <v>-551675.72106522415</v>
      </c>
      <c r="U76" s="420">
        <f t="shared" si="40"/>
        <v>-588338.9678283307</v>
      </c>
      <c r="V76" s="420">
        <f t="shared" si="40"/>
        <v>-639934.52420218708</v>
      </c>
      <c r="W76" s="420">
        <f t="shared" si="40"/>
        <v>-694310.16813372006</v>
      </c>
      <c r="X76" s="420">
        <f t="shared" si="40"/>
        <v>-751602.123147315</v>
      </c>
    </row>
    <row r="77" spans="1:24" x14ac:dyDescent="0.25">
      <c r="C77" s="33"/>
    </row>
    <row r="78" spans="1:24" x14ac:dyDescent="0.25">
      <c r="C78" s="33" t="s">
        <v>274</v>
      </c>
      <c r="E78" s="400">
        <f>E70+E76</f>
        <v>-463.70553844571344</v>
      </c>
      <c r="F78" s="400">
        <f>F70+F76</f>
        <v>-2349.5446388067285</v>
      </c>
      <c r="G78" s="400">
        <f t="shared" ref="G78:N78" si="41">G70+G76</f>
        <v>-9258.3691876377216</v>
      </c>
      <c r="H78" s="400">
        <f t="shared" si="41"/>
        <v>-32355.343133426868</v>
      </c>
      <c r="I78" s="400">
        <f t="shared" si="41"/>
        <v>-67963.286272486643</v>
      </c>
      <c r="J78" s="400">
        <f t="shared" si="41"/>
        <v>-108094.2546702883</v>
      </c>
      <c r="K78" s="400">
        <f t="shared" si="41"/>
        <v>-158148.93999082962</v>
      </c>
      <c r="L78" s="400">
        <f t="shared" si="41"/>
        <v>-210159.95081927249</v>
      </c>
      <c r="M78" s="400">
        <f t="shared" si="41"/>
        <v>-263538.64926289691</v>
      </c>
      <c r="N78" s="400">
        <f t="shared" si="41"/>
        <v>-318227.48602705781</v>
      </c>
      <c r="O78" s="400">
        <f t="shared" ref="O78:X78" si="42">O70+O76</f>
        <v>-353379.81180140789</v>
      </c>
      <c r="P78" s="400">
        <f t="shared" si="42"/>
        <v>-395090.88655277662</v>
      </c>
      <c r="Q78" s="400">
        <f t="shared" si="42"/>
        <v>-434896.58079269249</v>
      </c>
      <c r="R78" s="400">
        <f t="shared" si="42"/>
        <v>-477374.44123064302</v>
      </c>
      <c r="S78" s="400">
        <f t="shared" si="42"/>
        <v>-516576.24939326238</v>
      </c>
      <c r="T78" s="400">
        <f t="shared" si="42"/>
        <v>-551675.72106522415</v>
      </c>
      <c r="U78" s="400">
        <f t="shared" si="42"/>
        <v>-588338.9678283307</v>
      </c>
      <c r="V78" s="400">
        <f t="shared" si="42"/>
        <v>-639934.52420218708</v>
      </c>
      <c r="W78" s="400">
        <f t="shared" si="42"/>
        <v>-694310.16813372006</v>
      </c>
      <c r="X78" s="400">
        <f t="shared" si="42"/>
        <v>-751602.123147315</v>
      </c>
    </row>
    <row r="79" spans="1:24" x14ac:dyDescent="0.25">
      <c r="C79" s="33" t="s">
        <v>233</v>
      </c>
      <c r="E79" s="400">
        <f>E78</f>
        <v>-463.70553844571344</v>
      </c>
      <c r="F79" s="400">
        <f>SUM($E$78:F78)</f>
        <v>-2813.250177252442</v>
      </c>
      <c r="G79" s="400">
        <f>SUM($E$78:G78)</f>
        <v>-12071.619364890164</v>
      </c>
      <c r="H79" s="400">
        <f>SUM($E$78:H78)</f>
        <v>-44426.962498317036</v>
      </c>
      <c r="I79" s="400">
        <f>SUM($E$78:I78)</f>
        <v>-112390.24877080368</v>
      </c>
      <c r="J79" s="400">
        <f>SUM($E$78:J78)</f>
        <v>-220484.50344109198</v>
      </c>
      <c r="K79" s="400">
        <f>SUM($E$78:K78)</f>
        <v>-378633.44343192159</v>
      </c>
      <c r="L79" s="400">
        <f>SUM($E$78:L78)</f>
        <v>-588793.39425119408</v>
      </c>
      <c r="M79" s="400">
        <f>SUM($E$78:M78)</f>
        <v>-852332.04351409106</v>
      </c>
      <c r="N79" s="400">
        <f>SUM($E$78:N78)</f>
        <v>-1170559.5295411488</v>
      </c>
      <c r="O79" s="400">
        <f>SUM($E$78:O78)</f>
        <v>-1523939.3413425568</v>
      </c>
      <c r="P79" s="400">
        <f>SUM($E$78:P78)</f>
        <v>-1919030.2278953334</v>
      </c>
      <c r="Q79" s="400">
        <f>SUM($E$78:Q78)</f>
        <v>-2353926.8086880259</v>
      </c>
      <c r="R79" s="400">
        <f>SUM($E$78:R78)</f>
        <v>-2831301.249918669</v>
      </c>
      <c r="S79" s="400">
        <f>SUM($E$78:S78)</f>
        <v>-3347877.4993119314</v>
      </c>
      <c r="T79" s="400">
        <f>SUM($E$78:T78)</f>
        <v>-3899553.2203771556</v>
      </c>
      <c r="U79" s="400">
        <f>SUM($E$78:U78)</f>
        <v>-4487892.1882054862</v>
      </c>
      <c r="V79" s="400">
        <f>SUM($E$78:V78)</f>
        <v>-5127826.7124076728</v>
      </c>
      <c r="W79" s="400">
        <f>SUM($E$78:W78)</f>
        <v>-5822136.8805413926</v>
      </c>
      <c r="X79" s="400">
        <f>SUM($E$78:X78)</f>
        <v>-6573739.0036887079</v>
      </c>
    </row>
    <row r="80" spans="1:24" x14ac:dyDescent="0.25">
      <c r="C80" s="33"/>
    </row>
    <row r="81" spans="1:24" x14ac:dyDescent="0.25">
      <c r="C81" s="33" t="s">
        <v>235</v>
      </c>
      <c r="E81" s="418">
        <f>E62</f>
        <v>464.63480806183708</v>
      </c>
      <c r="F81" s="418">
        <f>F62</f>
        <v>2818.8879531587595</v>
      </c>
      <c r="G81" s="418">
        <f t="shared" ref="G81:N81" si="43">G62</f>
        <v>12095.810986863891</v>
      </c>
      <c r="H81" s="418">
        <f t="shared" si="43"/>
        <v>44515.994487291609</v>
      </c>
      <c r="I81" s="418">
        <f t="shared" si="43"/>
        <v>112615.4797302642</v>
      </c>
      <c r="J81" s="418">
        <f t="shared" si="43"/>
        <v>220926.35615339875</v>
      </c>
      <c r="K81" s="418">
        <f t="shared" si="43"/>
        <v>379392.22788769694</v>
      </c>
      <c r="L81" s="418">
        <f t="shared" si="43"/>
        <v>589973.34093306016</v>
      </c>
      <c r="M81" s="418">
        <f t="shared" si="43"/>
        <v>854040.12376161409</v>
      </c>
      <c r="N81" s="418">
        <f t="shared" si="43"/>
        <v>1172905.3402215918</v>
      </c>
      <c r="O81" s="418">
        <f t="shared" ref="O81:X81" si="44">O62</f>
        <v>1526993.3279985534</v>
      </c>
      <c r="P81" s="418">
        <f t="shared" si="44"/>
        <v>1922875.9798550429</v>
      </c>
      <c r="Q81" s="418">
        <f t="shared" si="44"/>
        <v>2358644.0968817887</v>
      </c>
      <c r="R81" s="418">
        <f t="shared" si="44"/>
        <v>2836975.2003193069</v>
      </c>
      <c r="S81" s="418">
        <f t="shared" si="44"/>
        <v>3354586.6726572453</v>
      </c>
      <c r="T81" s="418">
        <f t="shared" si="44"/>
        <v>3907367.9562897342</v>
      </c>
      <c r="U81" s="418">
        <f t="shared" si="44"/>
        <v>4496885.9601257369</v>
      </c>
      <c r="V81" s="418">
        <f t="shared" si="44"/>
        <v>5138102.9182441607</v>
      </c>
      <c r="W81" s="418">
        <f t="shared" si="44"/>
        <v>5833804.4895204334</v>
      </c>
      <c r="X81" s="418">
        <f t="shared" si="44"/>
        <v>6586912.8293474019</v>
      </c>
    </row>
    <row r="82" spans="1:24" x14ac:dyDescent="0.25">
      <c r="C82" s="33"/>
    </row>
    <row r="83" spans="1:24" x14ac:dyDescent="0.25">
      <c r="C83" s="33" t="s">
        <v>234</v>
      </c>
      <c r="E83" s="412">
        <f>E79/E81</f>
        <v>-0.99800000000000011</v>
      </c>
      <c r="F83" s="412">
        <f>F79/F81</f>
        <v>-0.998</v>
      </c>
      <c r="G83" s="412">
        <f t="shared" ref="G83:N83" si="45">G79/G81</f>
        <v>-0.99800000000000011</v>
      </c>
      <c r="H83" s="412">
        <f t="shared" si="45"/>
        <v>-0.99800000000000022</v>
      </c>
      <c r="I83" s="412">
        <f t="shared" si="45"/>
        <v>-0.99800000000000011</v>
      </c>
      <c r="J83" s="412">
        <f t="shared" si="45"/>
        <v>-0.99800000000000011</v>
      </c>
      <c r="K83" s="412">
        <f t="shared" si="45"/>
        <v>-0.99800000000000011</v>
      </c>
      <c r="L83" s="412">
        <f t="shared" si="45"/>
        <v>-0.99800000000000011</v>
      </c>
      <c r="M83" s="412">
        <f t="shared" si="45"/>
        <v>-0.99800000000000022</v>
      </c>
      <c r="N83" s="412">
        <f t="shared" si="45"/>
        <v>-0.99800000000000022</v>
      </c>
      <c r="O83" s="412">
        <f t="shared" ref="O83:X83" si="46">O79/O81</f>
        <v>-0.99800000000000033</v>
      </c>
      <c r="P83" s="412">
        <f t="shared" si="46"/>
        <v>-0.99800000000000033</v>
      </c>
      <c r="Q83" s="412">
        <f t="shared" si="46"/>
        <v>-0.99800000000000033</v>
      </c>
      <c r="R83" s="412">
        <f t="shared" si="46"/>
        <v>-0.99800000000000022</v>
      </c>
      <c r="S83" s="412">
        <f t="shared" si="46"/>
        <v>-0.99800000000000022</v>
      </c>
      <c r="T83" s="412">
        <f t="shared" si="46"/>
        <v>-0.99800000000000022</v>
      </c>
      <c r="U83" s="412">
        <f t="shared" si="46"/>
        <v>-0.99800000000000022</v>
      </c>
      <c r="V83" s="412">
        <f t="shared" si="46"/>
        <v>-0.99800000000000011</v>
      </c>
      <c r="W83" s="412">
        <f t="shared" si="46"/>
        <v>-0.998</v>
      </c>
      <c r="X83" s="412">
        <f t="shared" si="46"/>
        <v>-0.99800000000000011</v>
      </c>
    </row>
    <row r="84" spans="1:24" ht="13.8" thickBot="1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6" spans="1:24" x14ac:dyDescent="0.25">
      <c r="B86" s="413" t="s">
        <v>420</v>
      </c>
    </row>
    <row r="87" spans="1:24" x14ac:dyDescent="0.25">
      <c r="C87" s="144" t="s">
        <v>421</v>
      </c>
      <c r="E87" s="421">
        <f>Assumptions!F95*12*E26/2/1000</f>
        <v>145.19837751932411</v>
      </c>
      <c r="F87" s="421">
        <f>Assumptions!G95*12*F26/2/1000</f>
        <v>672.64375574197777</v>
      </c>
      <c r="G87" s="421">
        <f>Assumptions!H95*12*G26/2/1000</f>
        <v>2441.2955351855617</v>
      </c>
      <c r="H87" s="421">
        <f>Assumptions!I95*12*H26/2/1000</f>
        <v>7907.3618293726149</v>
      </c>
      <c r="I87" s="421">
        <f>Assumptions!J95*12*I26/2/1000</f>
        <v>15477.155737039224</v>
      </c>
      <c r="J87" s="421">
        <f>Assumptions!K95*12*J26/2/1000</f>
        <v>24616.108277985124</v>
      </c>
      <c r="K87" s="421">
        <f>Assumptions!L95*12*K26/2/1000</f>
        <v>36014.970848704135</v>
      </c>
      <c r="L87" s="421">
        <f>Assumptions!M95*12*L26/2/1000</f>
        <v>47859.343873946185</v>
      </c>
      <c r="M87" s="421">
        <f>Assumptions!N95*12*M26/2/1000</f>
        <v>60015.177915580454</v>
      </c>
      <c r="N87" s="421">
        <f>Assumptions!O95*12*N26/2/1000</f>
        <v>72469.367377267656</v>
      </c>
      <c r="O87" s="421">
        <f>Assumptions!P95*12*O26/2/1000</f>
        <v>80474.542676582219</v>
      </c>
      <c r="P87" s="421">
        <f>Assumptions!Q95*12*P26/2/1000</f>
        <v>89973.329967384008</v>
      </c>
      <c r="Q87" s="421">
        <f>Assumptions!R95*12*Q26/2/1000</f>
        <v>99038.208415169516</v>
      </c>
      <c r="R87" s="421">
        <f>Assumptions!S95*12*R26/2/1000</f>
        <v>108711.61441761772</v>
      </c>
      <c r="S87" s="421">
        <f>Assumptions!T95*12*S26/2/1000</f>
        <v>117638.97098589504</v>
      </c>
      <c r="T87" s="421">
        <f>Assumptions!U95*12*T26/2/1000</f>
        <v>125632.10991647479</v>
      </c>
      <c r="U87" s="421">
        <f>Assumptions!V95*12*U26/2/1000</f>
        <v>133981.36450818245</v>
      </c>
      <c r="V87" s="421">
        <f>Assumptions!W95*12*V26/2/1000</f>
        <v>145731.12684509633</v>
      </c>
      <c r="W87" s="421">
        <f>Assumptions!X95*12*W26/2/1000</f>
        <v>158113.99347188009</v>
      </c>
      <c r="X87" s="421">
        <f>Assumptions!Y95*12*X26/2/1000</f>
        <v>171160.98632431112</v>
      </c>
    </row>
    <row r="88" spans="1:24" x14ac:dyDescent="0.25">
      <c r="C88" s="144" t="s">
        <v>422</v>
      </c>
      <c r="E88" s="421">
        <f>Assumptions!F125*12*Distribution!E26/2/1000</f>
        <v>116.15870201545927</v>
      </c>
      <c r="F88" s="421">
        <f>Assumptions!G125*12*Distribution!F26/2/1000</f>
        <v>538.11500459358228</v>
      </c>
      <c r="G88" s="421">
        <f>Assumptions!H125*12*Distribution!G26/2/1000</f>
        <v>1953.036428148449</v>
      </c>
      <c r="H88" s="421">
        <f>Assumptions!I125*12*Distribution!H26/2/1000</f>
        <v>5535.1532805608304</v>
      </c>
      <c r="I88" s="421">
        <f>Assumptions!J125*12*Distribution!I26/2/1000</f>
        <v>9286.2934422235339</v>
      </c>
      <c r="J88" s="421">
        <f>Assumptions!K125*12*Distribution!J26/2/1000</f>
        <v>12308.054138992562</v>
      </c>
      <c r="K88" s="421">
        <f>Assumptions!L125*12*Distribution!K26/2/1000</f>
        <v>14405.988339481655</v>
      </c>
      <c r="L88" s="421">
        <f>Assumptions!M125*12*Distribution!L26/2/1000</f>
        <v>14357.803162183855</v>
      </c>
      <c r="M88" s="421">
        <f>Assumptions!N125*12*Distribution!M26/2/1000</f>
        <v>12003.035583116092</v>
      </c>
      <c r="N88" s="421">
        <f>Assumptions!O125*12*Distribution!N26/2/1000</f>
        <v>14493.873475453533</v>
      </c>
      <c r="O88" s="421">
        <f>Assumptions!P125*12*Distribution!O26/2/1000</f>
        <v>12071.181401487333</v>
      </c>
      <c r="P88" s="421">
        <f>Assumptions!Q125*12*Distribution!P26/2/1000</f>
        <v>8997.3329967383997</v>
      </c>
      <c r="Q88" s="421">
        <f>Assumptions!R125*12*Distribution!Q26/2/1000</f>
        <v>9903.8208415169538</v>
      </c>
      <c r="R88" s="421">
        <f>Assumptions!S125*12*Distribution!R26/2/1000</f>
        <v>10871.161441761773</v>
      </c>
      <c r="S88" s="421">
        <f>Assumptions!T125*12*Distribution!S26/2/1000</f>
        <v>11763.897098589505</v>
      </c>
      <c r="T88" s="421">
        <f>Assumptions!U125*12*Distribution!T26/2/1000</f>
        <v>12563.21099164748</v>
      </c>
      <c r="U88" s="421">
        <f>Assumptions!V125*12*Distribution!U26/2/1000</f>
        <v>13398.136450818245</v>
      </c>
      <c r="V88" s="421">
        <f>Assumptions!W125*12*Distribution!V26/2/1000</f>
        <v>14573.112684509631</v>
      </c>
      <c r="W88" s="421">
        <f>Assumptions!X125*12*Distribution!W26/2/1000</f>
        <v>15811.399347188011</v>
      </c>
      <c r="X88" s="421">
        <f>Assumptions!Y125*12*Distribution!X26/2/1000</f>
        <v>17116.098632431109</v>
      </c>
    </row>
    <row r="90" spans="1:24" x14ac:dyDescent="0.25">
      <c r="C90" s="144" t="s">
        <v>425</v>
      </c>
      <c r="E90" s="421">
        <f>SUM($E$87:E87)</f>
        <v>145.19837751932411</v>
      </c>
      <c r="F90" s="421">
        <f>SUM($E$87:F87)</f>
        <v>817.84213326130191</v>
      </c>
      <c r="G90" s="421">
        <f>SUM($E$87:G87)</f>
        <v>3259.1376684468637</v>
      </c>
      <c r="H90" s="421">
        <f>SUM($E$87:H87)</f>
        <v>11166.499497819479</v>
      </c>
      <c r="I90" s="421">
        <f>SUM($E$87:I87)</f>
        <v>26643.655234858703</v>
      </c>
      <c r="J90" s="421">
        <f>SUM($E$87:J87)</f>
        <v>51259.763512843827</v>
      </c>
      <c r="K90" s="421">
        <f>SUM($E$87:K87)</f>
        <v>87274.734361547962</v>
      </c>
      <c r="L90" s="421">
        <f>SUM($E$87:L87)</f>
        <v>135134.07823549415</v>
      </c>
      <c r="M90" s="421">
        <f>SUM($E$87:M87)</f>
        <v>195149.2561510746</v>
      </c>
      <c r="N90" s="421">
        <f>SUM($E$87:N87)</f>
        <v>267618.62352834223</v>
      </c>
      <c r="O90" s="421">
        <f>SUM($E$87:O87)</f>
        <v>348093.16620492446</v>
      </c>
      <c r="P90" s="421">
        <f>SUM($E$87:P87)</f>
        <v>438066.49617230846</v>
      </c>
      <c r="Q90" s="421">
        <f>SUM($E$87:Q87)</f>
        <v>537104.70458747796</v>
      </c>
      <c r="R90" s="421">
        <f>SUM($E$87:R87)</f>
        <v>645816.31900509563</v>
      </c>
      <c r="S90" s="421">
        <f>SUM($E$87:S87)</f>
        <v>763455.28999099066</v>
      </c>
      <c r="T90" s="421">
        <f>SUM($E$87:T87)</f>
        <v>889087.39990746544</v>
      </c>
      <c r="U90" s="421">
        <f>SUM($E$87:U87)</f>
        <v>1023068.7644156478</v>
      </c>
      <c r="V90" s="421">
        <f>SUM($E$87:V87)</f>
        <v>1168799.8912607441</v>
      </c>
      <c r="W90" s="421">
        <f>SUM($E$87:W87)</f>
        <v>1326913.8847326241</v>
      </c>
      <c r="X90" s="421">
        <f>SUM($E$87:X87)</f>
        <v>1498074.8710569353</v>
      </c>
    </row>
    <row r="91" spans="1:24" x14ac:dyDescent="0.25">
      <c r="C91" s="144" t="s">
        <v>426</v>
      </c>
      <c r="E91" s="421">
        <f>SUM($E$88:E88)</f>
        <v>116.15870201545927</v>
      </c>
      <c r="F91" s="421">
        <f>SUM($E$88:F88)</f>
        <v>654.2737066090416</v>
      </c>
      <c r="G91" s="421">
        <f>SUM($E$88:G88)</f>
        <v>2607.3101347574907</v>
      </c>
      <c r="H91" s="421">
        <f>SUM($E$88:H88)</f>
        <v>8142.4634153183215</v>
      </c>
      <c r="I91" s="421">
        <f>SUM($E$88:I88)</f>
        <v>17428.756857541855</v>
      </c>
      <c r="J91" s="421">
        <f>SUM($E$88:J88)</f>
        <v>29736.810996534419</v>
      </c>
      <c r="K91" s="421">
        <f>SUM($E$88:K88)</f>
        <v>44142.799336016076</v>
      </c>
      <c r="L91" s="421">
        <f>SUM($E$88:L88)</f>
        <v>58500.602498199929</v>
      </c>
      <c r="M91" s="421">
        <f>SUM($E$88:M88)</f>
        <v>70503.638081316021</v>
      </c>
      <c r="N91" s="421">
        <f>SUM($E$88:N88)</f>
        <v>84997.511556769547</v>
      </c>
      <c r="O91" s="421">
        <f>SUM($E$88:O88)</f>
        <v>97068.692958256885</v>
      </c>
      <c r="P91" s="421">
        <f>SUM($E$88:P88)</f>
        <v>106066.02595499529</v>
      </c>
      <c r="Q91" s="421">
        <f>SUM($E$88:Q88)</f>
        <v>115969.84679651224</v>
      </c>
      <c r="R91" s="421">
        <f>SUM($E$88:R88)</f>
        <v>126841.00823827401</v>
      </c>
      <c r="S91" s="421">
        <f>SUM($E$88:S88)</f>
        <v>138604.90533686351</v>
      </c>
      <c r="T91" s="421">
        <f>SUM($E$88:T88)</f>
        <v>151168.11632851098</v>
      </c>
      <c r="U91" s="421">
        <f>SUM($E$88:U88)</f>
        <v>164566.25277932922</v>
      </c>
      <c r="V91" s="421">
        <f>SUM($E$88:V88)</f>
        <v>179139.36546383885</v>
      </c>
      <c r="W91" s="421">
        <f>SUM($E$88:W88)</f>
        <v>194950.76481102686</v>
      </c>
      <c r="X91" s="421">
        <f>SUM($E$88:X88)</f>
        <v>212066.86344345799</v>
      </c>
    </row>
    <row r="93" spans="1:24" x14ac:dyDescent="0.25">
      <c r="C93" s="144" t="s">
        <v>423</v>
      </c>
      <c r="E93" s="422">
        <f>E90/E81</f>
        <v>0.31250000000000006</v>
      </c>
      <c r="F93" s="422">
        <f t="shared" ref="F93:X93" si="47">F90/F81</f>
        <v>0.29012935130850204</v>
      </c>
      <c r="G93" s="422">
        <f t="shared" si="47"/>
        <v>0.26944350172024867</v>
      </c>
      <c r="H93" s="422">
        <f t="shared" si="47"/>
        <v>0.25084241352863146</v>
      </c>
      <c r="I93" s="422">
        <f t="shared" si="47"/>
        <v>0.23658963491231755</v>
      </c>
      <c r="J93" s="422">
        <f t="shared" si="47"/>
        <v>0.23202194797098791</v>
      </c>
      <c r="K93" s="422">
        <f t="shared" si="47"/>
        <v>0.2300382768710327</v>
      </c>
      <c r="L93" s="422">
        <f t="shared" si="47"/>
        <v>0.22905116021306257</v>
      </c>
      <c r="M93" s="422">
        <f t="shared" si="47"/>
        <v>0.22850127379442198</v>
      </c>
      <c r="N93" s="422">
        <f t="shared" si="47"/>
        <v>0.22816728200570921</v>
      </c>
      <c r="O93" s="422">
        <f t="shared" si="47"/>
        <v>0.22795984751365869</v>
      </c>
      <c r="P93" s="422">
        <f t="shared" si="47"/>
        <v>0.22781838286072528</v>
      </c>
      <c r="Q93" s="422">
        <f t="shared" si="47"/>
        <v>0.2277175709966372</v>
      </c>
      <c r="R93" s="422">
        <f t="shared" si="47"/>
        <v>0.22764256766587448</v>
      </c>
      <c r="S93" s="422">
        <f t="shared" si="47"/>
        <v>0.22758550143116146</v>
      </c>
      <c r="T93" s="422">
        <f t="shared" si="47"/>
        <v>0.22754125279557852</v>
      </c>
      <c r="U93" s="422">
        <f t="shared" si="47"/>
        <v>0.22750605051746564</v>
      </c>
      <c r="V93" s="422">
        <f t="shared" si="47"/>
        <v>0.22747693260690019</v>
      </c>
      <c r="W93" s="422">
        <f t="shared" si="47"/>
        <v>0.227452580407216</v>
      </c>
      <c r="X93" s="422">
        <f t="shared" si="47"/>
        <v>0.22743201707215502</v>
      </c>
    </row>
    <row r="94" spans="1:24" x14ac:dyDescent="0.25">
      <c r="C94" s="144" t="s">
        <v>424</v>
      </c>
      <c r="E94" s="422">
        <f>E91/E81</f>
        <v>0.25</v>
      </c>
      <c r="F94" s="422">
        <f t="shared" ref="F94:X94" si="48">F91/F81</f>
        <v>0.23210348104680165</v>
      </c>
      <c r="G94" s="422">
        <f t="shared" si="48"/>
        <v>0.21555480137619892</v>
      </c>
      <c r="H94" s="422">
        <f t="shared" si="48"/>
        <v>0.18291096288195527</v>
      </c>
      <c r="I94" s="422">
        <f t="shared" si="48"/>
        <v>0.15476342061754825</v>
      </c>
      <c r="J94" s="422">
        <f t="shared" si="48"/>
        <v>0.13460055882099853</v>
      </c>
      <c r="K94" s="422">
        <f t="shared" si="48"/>
        <v>0.11635135380022252</v>
      </c>
      <c r="L94" s="422">
        <f t="shared" si="48"/>
        <v>9.9158043998529677E-2</v>
      </c>
      <c r="M94" s="422">
        <f t="shared" si="48"/>
        <v>8.2553074638675297E-2</v>
      </c>
      <c r="N94" s="422">
        <f t="shared" si="48"/>
        <v>7.2467494726139919E-2</v>
      </c>
      <c r="O94" s="422">
        <f t="shared" si="48"/>
        <v>6.3568511517654025E-2</v>
      </c>
      <c r="P94" s="422">
        <f t="shared" si="48"/>
        <v>5.5160097201376004E-2</v>
      </c>
      <c r="Q94" s="422">
        <f t="shared" si="48"/>
        <v>4.9168014347662076E-2</v>
      </c>
      <c r="R94" s="422">
        <f t="shared" si="48"/>
        <v>4.4709946080599437E-2</v>
      </c>
      <c r="S94" s="422">
        <f t="shared" si="48"/>
        <v>4.1318027781667474E-2</v>
      </c>
      <c r="T94" s="422">
        <f t="shared" si="48"/>
        <v>3.868796540780705E-2</v>
      </c>
      <c r="U94" s="422">
        <f t="shared" si="48"/>
        <v>3.6595602876868999E-2</v>
      </c>
      <c r="V94" s="422">
        <f t="shared" si="48"/>
        <v>3.4864884630426203E-2</v>
      </c>
      <c r="W94" s="422">
        <f t="shared" si="48"/>
        <v>3.3417431996774501E-2</v>
      </c>
      <c r="X94" s="422">
        <f t="shared" si="48"/>
        <v>3.2195182923723087E-2</v>
      </c>
    </row>
    <row r="95" spans="1:24" ht="13.8" thickBot="1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</sheetData>
  <customSheetViews>
    <customSheetView guid="{00A591F2-C6CE-11D4-B3FE-00409628F381}" scale="75" showPageBreaks="1" fitToPage="1" showRuler="0">
      <pane xSplit="3" ySplit="5" topLeftCell="D10" activePane="bottomRight" state="frozen"/>
      <selection pane="bottomRight" activeCell="E10" sqref="E10"/>
      <rowBreaks count="1" manualBreakCount="1">
        <brk id="46" max="16383" man="1"/>
      </rowBreaks>
      <pageMargins left="0.75" right="0.75" top="1" bottom="1" header="0.5" footer="0.5"/>
      <pageSetup scale="39" orientation="landscape" r:id="rId1"/>
      <headerFooter alignWithMargins="0"/>
    </customSheetView>
    <customSheetView guid="{39AEF1F3-C6CC-11D4-B3CC-0080C71F7D28}" scale="75" fitToPage="1" showRuler="0">
      <pane xSplit="3" ySplit="5" topLeftCell="D10" activePane="bottomRight" state="frozen"/>
      <selection pane="bottomRight" activeCell="E10" sqref="E10"/>
      <rowBreaks count="1" manualBreakCount="1">
        <brk id="46" max="16383" man="1"/>
      </rowBreaks>
      <pageMargins left="0.75" right="0.75" top="1" bottom="1" header="0.5" footer="0.5"/>
      <pageSetup scale="39" orientation="landscape" r:id="rId2"/>
      <headerFooter alignWithMargins="0"/>
    </customSheetView>
  </customSheetViews>
  <pageMargins left="0.75" right="0.75" top="1" bottom="1" header="0.5" footer="0.5"/>
  <pageSetup scale="39" orientation="landscape" r:id="rId3"/>
  <headerFooter alignWithMargins="0"/>
  <rowBreaks count="1" manualBreakCount="1">
    <brk id="4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G28"/>
  <sheetViews>
    <sheetView zoomScale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0" sqref="E10"/>
    </sheetView>
  </sheetViews>
  <sheetFormatPr defaultColWidth="9.109375" defaultRowHeight="13.2" x14ac:dyDescent="0.25"/>
  <cols>
    <col min="1" max="2" width="3.6640625" style="13" customWidth="1"/>
    <col min="3" max="3" width="45.88671875" style="13" customWidth="1"/>
    <col min="4" max="4" width="2" style="13" customWidth="1"/>
    <col min="5" max="14" width="10.6640625" style="13" customWidth="1"/>
    <col min="15" max="22" width="9.109375" style="13"/>
    <col min="23" max="23" width="9.88671875" style="13" bestFit="1" customWidth="1"/>
    <col min="24" max="16384" width="9.109375" style="13"/>
  </cols>
  <sheetData>
    <row r="1" spans="1:24" x14ac:dyDescent="0.25">
      <c r="A1" s="5" t="s">
        <v>948</v>
      </c>
      <c r="B1" s="6"/>
      <c r="C1" s="6"/>
    </row>
    <row r="2" spans="1:24" ht="13.8" thickBo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4" spans="1:24" x14ac:dyDescent="0.25">
      <c r="B4" s="148"/>
      <c r="E4" s="12">
        <f>Distribution!E31</f>
        <v>2001</v>
      </c>
      <c r="F4" s="12">
        <f>Distribution!F31</f>
        <v>2002</v>
      </c>
      <c r="G4" s="12">
        <f>Distribution!G31</f>
        <v>2003</v>
      </c>
      <c r="H4" s="12">
        <f>Distribution!H31</f>
        <v>2004</v>
      </c>
      <c r="I4" s="12">
        <f>Distribution!I31</f>
        <v>2005</v>
      </c>
      <c r="J4" s="12">
        <f>Distribution!J31</f>
        <v>2006</v>
      </c>
      <c r="K4" s="12">
        <f>Distribution!K31</f>
        <v>2007</v>
      </c>
      <c r="L4" s="12">
        <f>Distribution!L31</f>
        <v>2008</v>
      </c>
      <c r="M4" s="12">
        <f>Distribution!M31</f>
        <v>2009</v>
      </c>
      <c r="N4" s="12">
        <f>Distribution!N31</f>
        <v>2010</v>
      </c>
      <c r="O4" s="12">
        <f>Distribution!O31</f>
        <v>2011</v>
      </c>
      <c r="P4" s="12">
        <f>Distribution!P31</f>
        <v>2012</v>
      </c>
      <c r="Q4" s="12">
        <f>Distribution!Q31</f>
        <v>2013</v>
      </c>
      <c r="R4" s="12">
        <f>Distribution!R31</f>
        <v>2014</v>
      </c>
      <c r="S4" s="12">
        <f>Distribution!S31</f>
        <v>2015</v>
      </c>
      <c r="T4" s="12">
        <f>Distribution!T31</f>
        <v>2016</v>
      </c>
      <c r="U4" s="12">
        <f>Distribution!U31</f>
        <v>2017</v>
      </c>
      <c r="V4" s="12">
        <f>Distribution!V31</f>
        <v>2018</v>
      </c>
      <c r="W4" s="12">
        <f>Distribution!W31</f>
        <v>2019</v>
      </c>
      <c r="X4" s="12">
        <f>Distribution!X31</f>
        <v>2020</v>
      </c>
    </row>
    <row r="5" spans="1:24" s="38" customFormat="1" ht="13.8" thickBot="1" x14ac:dyDescent="0.3">
      <c r="A5" s="211"/>
      <c r="B5" s="375"/>
      <c r="C5" s="211"/>
      <c r="D5" s="211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4" x14ac:dyDescent="0.25">
      <c r="C6" s="376"/>
    </row>
    <row r="7" spans="1:24" x14ac:dyDescent="0.25">
      <c r="E7" s="568"/>
    </row>
    <row r="8" spans="1:24" x14ac:dyDescent="0.25">
      <c r="C8" s="1" t="s">
        <v>1089</v>
      </c>
      <c r="E8" s="568">
        <f>Assumptions!F273</f>
        <v>16.1417092948444</v>
      </c>
      <c r="F8" s="568">
        <f>Assumptions!G273</f>
        <v>4.7387639783914182</v>
      </c>
      <c r="G8" s="568">
        <f>Assumptions!H273</f>
        <v>1.5888267025773004</v>
      </c>
      <c r="H8" s="568">
        <f>Assumptions!I273</f>
        <v>1.1817926169332831</v>
      </c>
      <c r="I8" s="568">
        <f>Assumptions!J273</f>
        <v>1.0928788224673505</v>
      </c>
      <c r="J8" s="568">
        <f>Assumptions!K273</f>
        <v>1.0393543117807287</v>
      </c>
      <c r="K8" s="568">
        <f>Assumptions!L273</f>
        <v>1.0138831154993977</v>
      </c>
      <c r="L8" s="568">
        <f>Assumptions!M273</f>
        <v>1.0104472807090068</v>
      </c>
      <c r="M8" s="568">
        <f>Assumptions!N273</f>
        <v>0.75833122582262968</v>
      </c>
      <c r="N8" s="568">
        <f>Assumptions!O273</f>
        <v>0.75689946687953069</v>
      </c>
      <c r="O8" s="568">
        <f>Assumptions!P273</f>
        <v>0.75621314496945258</v>
      </c>
      <c r="P8" s="568">
        <f>Assumptions!Q273</f>
        <v>0.75555720234186341</v>
      </c>
      <c r="Q8" s="568">
        <f>Assumptions!R273</f>
        <v>0.75504855659246173</v>
      </c>
      <c r="R8" s="568">
        <f>Assumptions!S273</f>
        <v>0.50459932457703405</v>
      </c>
      <c r="S8" s="568">
        <f>Assumptions!T273</f>
        <v>0.50425029219322182</v>
      </c>
      <c r="T8" s="568">
        <f>Assumptions!U273</f>
        <v>0.503979874256131</v>
      </c>
      <c r="U8" s="568">
        <f>Assumptions!V273</f>
        <v>0.50373186227678302</v>
      </c>
      <c r="V8" s="568">
        <f>Assumptions!W273</f>
        <v>0.5</v>
      </c>
      <c r="W8" s="568">
        <f>Assumptions!X273</f>
        <v>0.5</v>
      </c>
      <c r="X8" s="568">
        <f>Assumptions!Y273</f>
        <v>0.5</v>
      </c>
    </row>
    <row r="9" spans="1:24" ht="13.8" thickBot="1" x14ac:dyDescent="0.3">
      <c r="E9" s="568"/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568"/>
      <c r="T9" s="568"/>
      <c r="U9" s="568"/>
      <c r="V9" s="568"/>
      <c r="W9" s="568"/>
      <c r="X9" s="568"/>
    </row>
    <row r="10" spans="1:24" x14ac:dyDescent="0.25">
      <c r="C10" s="13" t="s">
        <v>1088</v>
      </c>
      <c r="E10" s="569">
        <f>Assumptions!F270</f>
        <v>0.5</v>
      </c>
    </row>
    <row r="11" spans="1:24" ht="13.8" thickBot="1" x14ac:dyDescent="0.3">
      <c r="C11" s="13" t="s">
        <v>914</v>
      </c>
      <c r="E11" s="377">
        <f>Assumptions!F271</f>
        <v>0.5</v>
      </c>
    </row>
    <row r="14" spans="1:24" x14ac:dyDescent="0.25">
      <c r="C14" s="13" t="s">
        <v>55</v>
      </c>
      <c r="E14" s="50">
        <f>Assumptions!F28</f>
        <v>9679.8918346216069</v>
      </c>
      <c r="F14" s="50">
        <f>Assumptions!G28</f>
        <v>44842.917049465184</v>
      </c>
      <c r="G14" s="50">
        <f>Assumptions!H28</f>
        <v>162753.03567903742</v>
      </c>
      <c r="H14" s="50">
        <f>Assumptions!I28</f>
        <v>527157.45529150765</v>
      </c>
      <c r="I14" s="50">
        <f>Assumptions!J28</f>
        <v>1031810.3824692816</v>
      </c>
      <c r="J14" s="50">
        <f>Assumptions!K28</f>
        <v>1641073.8851990085</v>
      </c>
      <c r="K14" s="50">
        <f>Assumptions!L28</f>
        <v>2400998.0565802758</v>
      </c>
      <c r="L14" s="50">
        <f>Assumptions!M28</f>
        <v>3190622.9249297455</v>
      </c>
      <c r="M14" s="50">
        <f>Assumptions!N28</f>
        <v>4001011.861038697</v>
      </c>
      <c r="N14" s="50">
        <f>Assumptions!O28</f>
        <v>4831291.1584845111</v>
      </c>
      <c r="O14" s="50">
        <f>Assumptions!P28</f>
        <v>5364969.5117721474</v>
      </c>
      <c r="P14" s="50">
        <f>Assumptions!Q28</f>
        <v>5998221.9978256002</v>
      </c>
      <c r="Q14" s="50">
        <f>Assumptions!R28</f>
        <v>6602547.2276779683</v>
      </c>
      <c r="R14" s="50">
        <f>Assumptions!S28</f>
        <v>7247440.9611745151</v>
      </c>
      <c r="S14" s="50">
        <f>Assumptions!T28</f>
        <v>7842598.0657263361</v>
      </c>
      <c r="T14" s="50">
        <f>Assumptions!U28</f>
        <v>8375473.9944316531</v>
      </c>
      <c r="U14" s="50">
        <f>Assumptions!V28</f>
        <v>8932090.9672121629</v>
      </c>
      <c r="V14" s="50">
        <f>Assumptions!W28</f>
        <v>9715408.4563397542</v>
      </c>
      <c r="W14" s="50">
        <f>Assumptions!X28</f>
        <v>10540932.898125341</v>
      </c>
      <c r="X14" s="50">
        <f>Assumptions!Y28</f>
        <v>11410732.42162074</v>
      </c>
    </row>
    <row r="15" spans="1:24" ht="15" x14ac:dyDescent="0.4">
      <c r="C15" s="13" t="s">
        <v>297</v>
      </c>
      <c r="E15" s="378">
        <f>E8*12</f>
        <v>193.70051153813279</v>
      </c>
      <c r="F15" s="570">
        <f t="shared" ref="F15:X15" si="0">F8*12</f>
        <v>56.865167740697018</v>
      </c>
      <c r="G15" s="570">
        <f t="shared" si="0"/>
        <v>19.065920430927605</v>
      </c>
      <c r="H15" s="570">
        <f t="shared" si="0"/>
        <v>14.181511403199398</v>
      </c>
      <c r="I15" s="570">
        <f t="shared" si="0"/>
        <v>13.114545869608206</v>
      </c>
      <c r="J15" s="570">
        <f t="shared" si="0"/>
        <v>12.472251741368744</v>
      </c>
      <c r="K15" s="570">
        <f t="shared" si="0"/>
        <v>12.166597385992773</v>
      </c>
      <c r="L15" s="570">
        <f t="shared" si="0"/>
        <v>12.125367368508082</v>
      </c>
      <c r="M15" s="570">
        <f t="shared" si="0"/>
        <v>9.0999747098715567</v>
      </c>
      <c r="N15" s="570">
        <f t="shared" si="0"/>
        <v>9.0827936025543679</v>
      </c>
      <c r="O15" s="570">
        <f t="shared" si="0"/>
        <v>9.0745577396334305</v>
      </c>
      <c r="P15" s="570">
        <f t="shared" si="0"/>
        <v>9.0666864281023614</v>
      </c>
      <c r="Q15" s="570">
        <f t="shared" si="0"/>
        <v>9.0605826791095403</v>
      </c>
      <c r="R15" s="570">
        <f t="shared" si="0"/>
        <v>6.055191894924409</v>
      </c>
      <c r="S15" s="570">
        <f t="shared" si="0"/>
        <v>6.0510035063186614</v>
      </c>
      <c r="T15" s="570">
        <f t="shared" si="0"/>
        <v>6.047758491073572</v>
      </c>
      <c r="U15" s="570">
        <f t="shared" si="0"/>
        <v>6.0447823473213962</v>
      </c>
      <c r="V15" s="570">
        <f t="shared" si="0"/>
        <v>6</v>
      </c>
      <c r="W15" s="570">
        <f t="shared" si="0"/>
        <v>6</v>
      </c>
      <c r="X15" s="570">
        <f t="shared" si="0"/>
        <v>6</v>
      </c>
    </row>
    <row r="16" spans="1:24" s="1" customFormat="1" x14ac:dyDescent="0.25">
      <c r="C16" s="1" t="s">
        <v>252</v>
      </c>
      <c r="E16" s="3">
        <f>E14*E15/1000</f>
        <v>1875</v>
      </c>
      <c r="F16" s="3">
        <f t="shared" ref="F16:N16" si="1">F14*F15/1000</f>
        <v>2550</v>
      </c>
      <c r="G16" s="3">
        <f t="shared" si="1"/>
        <v>3103.036428148449</v>
      </c>
      <c r="H16" s="3">
        <f t="shared" si="1"/>
        <v>7475.8894634980925</v>
      </c>
      <c r="I16" s="3">
        <f t="shared" si="1"/>
        <v>13531.724589631378</v>
      </c>
      <c r="J16" s="3">
        <f t="shared" si="1"/>
        <v>20467.886622388105</v>
      </c>
      <c r="K16" s="3">
        <f t="shared" si="1"/>
        <v>29211.97667896331</v>
      </c>
      <c r="L16" s="3">
        <f t="shared" si="1"/>
        <v>38687.475099156945</v>
      </c>
      <c r="M16" s="3">
        <f t="shared" si="1"/>
        <v>36409.106749348277</v>
      </c>
      <c r="N16" s="3">
        <f t="shared" si="1"/>
        <v>43881.620426360598</v>
      </c>
      <c r="O16" s="3">
        <f t="shared" ref="O16:X16" si="2">O14*O15/1000</f>
        <v>48684.72560594933</v>
      </c>
      <c r="P16" s="3">
        <f t="shared" si="2"/>
        <v>54383.997980430402</v>
      </c>
      <c r="Q16" s="3">
        <f t="shared" si="2"/>
        <v>59822.925049101716</v>
      </c>
      <c r="R16" s="3">
        <f t="shared" si="2"/>
        <v>43884.645767047092</v>
      </c>
      <c r="S16" s="3">
        <f t="shared" si="2"/>
        <v>47455.588394358012</v>
      </c>
      <c r="T16" s="3">
        <f t="shared" si="2"/>
        <v>50652.84396658992</v>
      </c>
      <c r="U16" s="3">
        <f t="shared" si="2"/>
        <v>53992.54580327298</v>
      </c>
      <c r="V16" s="3">
        <f t="shared" si="2"/>
        <v>58292.450738038526</v>
      </c>
      <c r="W16" s="3">
        <f t="shared" si="2"/>
        <v>63245.597388752045</v>
      </c>
      <c r="X16" s="3">
        <f t="shared" si="2"/>
        <v>68464.394529724435</v>
      </c>
    </row>
    <row r="19" spans="1:33" x14ac:dyDescent="0.25">
      <c r="B19" s="145" t="s">
        <v>278</v>
      </c>
      <c r="C19" s="33"/>
      <c r="E19" s="40">
        <f t="shared" ref="E19:X19" si="3">E16*$E$10</f>
        <v>937.5</v>
      </c>
      <c r="F19" s="40">
        <f t="shared" si="3"/>
        <v>1275</v>
      </c>
      <c r="G19" s="40">
        <f t="shared" si="3"/>
        <v>1551.5182140742245</v>
      </c>
      <c r="H19" s="40">
        <f t="shared" si="3"/>
        <v>3737.9447317490462</v>
      </c>
      <c r="I19" s="40">
        <f t="shared" si="3"/>
        <v>6765.862294815689</v>
      </c>
      <c r="J19" s="40">
        <f t="shared" si="3"/>
        <v>10233.943311194053</v>
      </c>
      <c r="K19" s="40">
        <f t="shared" si="3"/>
        <v>14605.988339481655</v>
      </c>
      <c r="L19" s="40">
        <f t="shared" si="3"/>
        <v>19343.737549578473</v>
      </c>
      <c r="M19" s="40">
        <f t="shared" si="3"/>
        <v>18204.553374674138</v>
      </c>
      <c r="N19" s="40">
        <f t="shared" si="3"/>
        <v>21940.810213180299</v>
      </c>
      <c r="O19" s="40">
        <f t="shared" si="3"/>
        <v>24342.362802974665</v>
      </c>
      <c r="P19" s="40">
        <f t="shared" si="3"/>
        <v>27191.998990215201</v>
      </c>
      <c r="Q19" s="40">
        <f t="shared" si="3"/>
        <v>29911.462524550858</v>
      </c>
      <c r="R19" s="40">
        <f t="shared" si="3"/>
        <v>21942.322883523546</v>
      </c>
      <c r="S19" s="40">
        <f t="shared" si="3"/>
        <v>23727.794197179006</v>
      </c>
      <c r="T19" s="40">
        <f t="shared" si="3"/>
        <v>25326.42198329496</v>
      </c>
      <c r="U19" s="40">
        <f t="shared" si="3"/>
        <v>26996.27290163649</v>
      </c>
      <c r="V19" s="40">
        <f t="shared" si="3"/>
        <v>29146.225369019263</v>
      </c>
      <c r="W19" s="40">
        <f t="shared" si="3"/>
        <v>31622.798694376022</v>
      </c>
      <c r="X19" s="40">
        <f t="shared" si="3"/>
        <v>34232.197264862218</v>
      </c>
    </row>
    <row r="21" spans="1:33" x14ac:dyDescent="0.25">
      <c r="B21" s="33"/>
      <c r="C21" s="3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33" x14ac:dyDescent="0.25">
      <c r="B22" s="145" t="s">
        <v>253</v>
      </c>
      <c r="E22" s="40">
        <f t="shared" ref="E22:X22" si="4">E16*$E$11</f>
        <v>937.5</v>
      </c>
      <c r="F22" s="40">
        <f t="shared" si="4"/>
        <v>1275</v>
      </c>
      <c r="G22" s="40">
        <f t="shared" si="4"/>
        <v>1551.5182140742245</v>
      </c>
      <c r="H22" s="40">
        <f t="shared" si="4"/>
        <v>3737.9447317490462</v>
      </c>
      <c r="I22" s="40">
        <f t="shared" si="4"/>
        <v>6765.862294815689</v>
      </c>
      <c r="J22" s="40">
        <f t="shared" si="4"/>
        <v>10233.943311194053</v>
      </c>
      <c r="K22" s="40">
        <f t="shared" si="4"/>
        <v>14605.988339481655</v>
      </c>
      <c r="L22" s="40">
        <f t="shared" si="4"/>
        <v>19343.737549578473</v>
      </c>
      <c r="M22" s="40">
        <f t="shared" si="4"/>
        <v>18204.553374674138</v>
      </c>
      <c r="N22" s="40">
        <f t="shared" si="4"/>
        <v>21940.810213180299</v>
      </c>
      <c r="O22" s="40">
        <f t="shared" si="4"/>
        <v>24342.362802974665</v>
      </c>
      <c r="P22" s="40">
        <f t="shared" si="4"/>
        <v>27191.998990215201</v>
      </c>
      <c r="Q22" s="40">
        <f t="shared" si="4"/>
        <v>29911.462524550858</v>
      </c>
      <c r="R22" s="40">
        <f t="shared" si="4"/>
        <v>21942.322883523546</v>
      </c>
      <c r="S22" s="40">
        <f t="shared" si="4"/>
        <v>23727.794197179006</v>
      </c>
      <c r="T22" s="40">
        <f t="shared" si="4"/>
        <v>25326.42198329496</v>
      </c>
      <c r="U22" s="40">
        <f t="shared" si="4"/>
        <v>26996.27290163649</v>
      </c>
      <c r="V22" s="40">
        <f t="shared" si="4"/>
        <v>29146.225369019263</v>
      </c>
      <c r="W22" s="40">
        <f t="shared" si="4"/>
        <v>31622.798694376022</v>
      </c>
      <c r="X22" s="40">
        <f t="shared" si="4"/>
        <v>34232.197264862218</v>
      </c>
    </row>
    <row r="23" spans="1:33" ht="13.8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3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33" x14ac:dyDescent="0.25">
      <c r="B25" s="33" t="s">
        <v>277</v>
      </c>
      <c r="C25" s="33"/>
      <c r="E25" s="36">
        <f>SUM($E$19:E19)</f>
        <v>937.5</v>
      </c>
      <c r="F25" s="36">
        <f>SUM($E$19:F19)</f>
        <v>2212.5</v>
      </c>
      <c r="G25" s="36">
        <f>SUM($E$19:G19)</f>
        <v>3764.0182140742245</v>
      </c>
      <c r="H25" s="36">
        <f>SUM($E$19:H19)</f>
        <v>7501.9629458232703</v>
      </c>
      <c r="I25" s="36">
        <f>SUM($E$19:I19)</f>
        <v>14267.825240638958</v>
      </c>
      <c r="J25" s="36">
        <f>SUM($E$19:J19)</f>
        <v>24501.768551833011</v>
      </c>
      <c r="K25" s="36">
        <f>SUM($E$19:K19)</f>
        <v>39107.756891314668</v>
      </c>
      <c r="L25" s="36">
        <f>SUM($E$19:L19)</f>
        <v>58451.494440893141</v>
      </c>
      <c r="M25" s="36">
        <f>SUM($E$19:M19)</f>
        <v>76656.047815567275</v>
      </c>
      <c r="N25" s="36">
        <f>SUM($E$19:N19)</f>
        <v>98596.858028747578</v>
      </c>
      <c r="O25" s="36">
        <f>SUM($E$19:O19)</f>
        <v>122939.22083172224</v>
      </c>
      <c r="P25" s="36">
        <f>SUM($E$19:P19)</f>
        <v>150131.21982193744</v>
      </c>
      <c r="Q25" s="36">
        <f>SUM($E$19:Q19)</f>
        <v>180042.68234648829</v>
      </c>
      <c r="R25" s="36">
        <f>SUM($E$19:R19)</f>
        <v>201985.00523001183</v>
      </c>
      <c r="S25" s="36">
        <f>SUM($E$19:S19)</f>
        <v>225712.79942719082</v>
      </c>
      <c r="T25" s="36">
        <f>SUM($E$19:T19)</f>
        <v>251039.2214104858</v>
      </c>
      <c r="U25" s="36">
        <f>SUM($E$19:U19)</f>
        <v>278035.49431212229</v>
      </c>
      <c r="V25" s="36">
        <f>SUM($E$19:V19)</f>
        <v>307181.71968114155</v>
      </c>
      <c r="W25" s="36">
        <f>SUM($E$19:W19)</f>
        <v>338804.51837551757</v>
      </c>
      <c r="X25" s="36">
        <f>SUM($E$19:X19)</f>
        <v>373036.71564037981</v>
      </c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x14ac:dyDescent="0.25">
      <c r="B26" s="13" t="s">
        <v>276</v>
      </c>
      <c r="E26" s="36">
        <f>STB!E82</f>
        <v>464.63480806183708</v>
      </c>
      <c r="F26" s="36">
        <f>STB!F82</f>
        <v>2818.8879531587595</v>
      </c>
      <c r="G26" s="36">
        <f>STB!G82</f>
        <v>12095.810986863891</v>
      </c>
      <c r="H26" s="36">
        <f>STB!H82</f>
        <v>44515.994487291609</v>
      </c>
      <c r="I26" s="36">
        <f>STB!I82</f>
        <v>112615.4797302642</v>
      </c>
      <c r="J26" s="36">
        <f>STB!J82</f>
        <v>220926.35615339875</v>
      </c>
      <c r="K26" s="36">
        <f>STB!K82</f>
        <v>379392.22788769694</v>
      </c>
      <c r="L26" s="36">
        <f>STB!L82</f>
        <v>589973.34093306016</v>
      </c>
      <c r="M26" s="36">
        <f>STB!M82</f>
        <v>854040.12376161409</v>
      </c>
      <c r="N26" s="36">
        <f>STB!N82</f>
        <v>1172905.3402215918</v>
      </c>
      <c r="O26" s="36">
        <f>STB!O82</f>
        <v>1526993.3279985534</v>
      </c>
      <c r="P26" s="36">
        <f>STB!P82</f>
        <v>1922875.9798550429</v>
      </c>
      <c r="Q26" s="36">
        <f>STB!Q82</f>
        <v>2358644.0968817887</v>
      </c>
      <c r="R26" s="36">
        <f>STB!R82</f>
        <v>2836975.2003193069</v>
      </c>
      <c r="S26" s="36">
        <f>STB!S82</f>
        <v>3354586.6726572453</v>
      </c>
      <c r="T26" s="36">
        <f>STB!T82</f>
        <v>3907367.9562897342</v>
      </c>
      <c r="U26" s="36">
        <f>STB!U82</f>
        <v>4496885.9601257369</v>
      </c>
      <c r="V26" s="36">
        <f>STB!V82</f>
        <v>5138102.9182441607</v>
      </c>
      <c r="W26" s="36">
        <f>STB!W82</f>
        <v>5833804.4895204334</v>
      </c>
      <c r="X26" s="36">
        <f>STB!X82</f>
        <v>6586912.8293474019</v>
      </c>
    </row>
    <row r="27" spans="1:33" s="1" customFormat="1" x14ac:dyDescent="0.25">
      <c r="B27" s="1" t="s">
        <v>210</v>
      </c>
      <c r="E27" s="379">
        <f t="shared" ref="E27:X27" si="5">E25/E26</f>
        <v>2.01771366185555</v>
      </c>
      <c r="F27" s="379">
        <f t="shared" si="5"/>
        <v>0.78488398147245986</v>
      </c>
      <c r="G27" s="379">
        <f t="shared" si="5"/>
        <v>0.31118361705238007</v>
      </c>
      <c r="H27" s="379">
        <f t="shared" si="5"/>
        <v>0.16852286537066863</v>
      </c>
      <c r="I27" s="379">
        <f t="shared" si="5"/>
        <v>0.12669506247998191</v>
      </c>
      <c r="J27" s="379">
        <f t="shared" si="5"/>
        <v>0.11090468778120964</v>
      </c>
      <c r="K27" s="379">
        <f t="shared" si="5"/>
        <v>0.10308001592191517</v>
      </c>
      <c r="L27" s="379">
        <f t="shared" si="5"/>
        <v>9.9074806242008137E-2</v>
      </c>
      <c r="M27" s="379">
        <f t="shared" si="5"/>
        <v>8.9756963031123432E-2</v>
      </c>
      <c r="N27" s="379">
        <f t="shared" si="5"/>
        <v>8.4062076151959639E-2</v>
      </c>
      <c r="O27" s="379">
        <f t="shared" si="5"/>
        <v>8.051064701956491E-2</v>
      </c>
      <c r="P27" s="379">
        <f t="shared" si="5"/>
        <v>7.8076392546780463E-2</v>
      </c>
      <c r="Q27" s="379">
        <f t="shared" si="5"/>
        <v>7.6333128251316551E-2</v>
      </c>
      <c r="R27" s="379">
        <f t="shared" si="5"/>
        <v>7.1197310856745605E-2</v>
      </c>
      <c r="S27" s="379">
        <f t="shared" si="5"/>
        <v>6.7284831620820371E-2</v>
      </c>
      <c r="T27" s="379">
        <f t="shared" si="5"/>
        <v>6.4247653207675295E-2</v>
      </c>
      <c r="U27" s="379">
        <f t="shared" si="5"/>
        <v>6.1828451238809749E-2</v>
      </c>
      <c r="V27" s="379">
        <f t="shared" si="5"/>
        <v>5.9785046070294459E-2</v>
      </c>
      <c r="W27" s="379">
        <f t="shared" si="5"/>
        <v>5.807608379473974E-2</v>
      </c>
      <c r="X27" s="379">
        <f t="shared" si="5"/>
        <v>5.6633012354186323E-2</v>
      </c>
    </row>
    <row r="28" spans="1:33" ht="13.8" thickBo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</sheetData>
  <customSheetViews>
    <customSheetView guid="{00A591F2-C6CE-11D4-B3FE-00409628F381}" scale="75" showPageBreaks="1" fitToPage="1" showRuler="0">
      <pane xSplit="4" ySplit="4" topLeftCell="E5" activePane="bottomRight" state="frozen"/>
      <selection pane="bottomRight" activeCell="E19" sqref="E19"/>
      <pageMargins left="0.75" right="0.75" top="1" bottom="1" header="0.5" footer="0.5"/>
      <pageSetup scale="48" orientation="landscape" r:id="rId1"/>
      <headerFooter alignWithMargins="0"/>
    </customSheetView>
    <customSheetView guid="{39AEF1F3-C6CC-11D4-B3CC-0080C71F7D28}" scale="75" fitToPage="1" showRuler="0">
      <pane xSplit="4" ySplit="4" topLeftCell="E5" activePane="bottomRight" state="frozen"/>
      <selection pane="bottomRight" activeCell="D32" sqref="D32"/>
      <pageMargins left="0.75" right="0.75" top="1" bottom="1" header="0.5" footer="0.5"/>
      <pageSetup scale="49" orientation="landscape" r:id="rId2"/>
      <headerFooter alignWithMargins="0"/>
    </customSheetView>
  </customSheetViews>
  <pageMargins left="0.75" right="0.75" top="1" bottom="1" header="0.5" footer="0.5"/>
  <pageSetup scale="48" orientation="landscape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6"/>
  <sheetViews>
    <sheetView zoomScale="75" workbookViewId="0">
      <selection activeCell="E9" sqref="E9"/>
    </sheetView>
  </sheetViews>
  <sheetFormatPr defaultColWidth="9.109375" defaultRowHeight="13.2" x14ac:dyDescent="0.25"/>
  <cols>
    <col min="1" max="2" width="3.6640625" style="13" customWidth="1"/>
    <col min="3" max="3" width="24.44140625" style="13" customWidth="1"/>
    <col min="4" max="4" width="5.6640625" style="13" customWidth="1"/>
    <col min="5" max="14" width="10.6640625" style="13" customWidth="1"/>
    <col min="15" max="16" width="11.109375" style="13" bestFit="1" customWidth="1"/>
    <col min="17" max="21" width="11.5546875" style="13" bestFit="1" customWidth="1"/>
    <col min="22" max="22" width="10.88671875" style="13" bestFit="1" customWidth="1"/>
    <col min="23" max="23" width="11.5546875" style="13" bestFit="1" customWidth="1"/>
    <col min="24" max="24" width="11.109375" style="13" bestFit="1" customWidth="1"/>
    <col min="25" max="16384" width="9.109375" style="13"/>
  </cols>
  <sheetData>
    <row r="1" spans="1:24" x14ac:dyDescent="0.25">
      <c r="A1" s="5" t="s">
        <v>268</v>
      </c>
      <c r="B1" s="6"/>
      <c r="C1" s="6"/>
    </row>
    <row r="2" spans="1:24" s="38" customFormat="1" x14ac:dyDescent="0.25">
      <c r="A2" s="372"/>
      <c r="B2" s="7"/>
      <c r="C2" s="7"/>
    </row>
    <row r="3" spans="1:24" s="38" customFormat="1" ht="13.8" thickBot="1" x14ac:dyDescent="0.3">
      <c r="A3" s="358"/>
      <c r="B3" s="359"/>
      <c r="C3" s="359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</row>
    <row r="4" spans="1:24" s="38" customFormat="1" x14ac:dyDescent="0.25">
      <c r="C4" s="184"/>
      <c r="D4" s="185"/>
      <c r="E4" s="149">
        <f>Assumptions!F277</f>
        <v>2001</v>
      </c>
      <c r="F4" s="149">
        <f>Assumptions!G277</f>
        <v>2002</v>
      </c>
      <c r="G4" s="149">
        <f>Assumptions!H277</f>
        <v>2003</v>
      </c>
      <c r="H4" s="149">
        <f>Assumptions!I277</f>
        <v>2004</v>
      </c>
      <c r="I4" s="149">
        <f>Assumptions!J277</f>
        <v>2005</v>
      </c>
      <c r="J4" s="149">
        <f>Assumptions!K277</f>
        <v>2006</v>
      </c>
      <c r="K4" s="149">
        <f>Assumptions!L277</f>
        <v>2007</v>
      </c>
      <c r="L4" s="149">
        <f>Assumptions!M277</f>
        <v>2008</v>
      </c>
      <c r="M4" s="149">
        <f>Assumptions!N277</f>
        <v>2009</v>
      </c>
      <c r="N4" s="149">
        <f>Assumptions!O277</f>
        <v>2010</v>
      </c>
      <c r="O4" s="149">
        <f>Assumptions!P277</f>
        <v>2011</v>
      </c>
      <c r="P4" s="149">
        <f>Assumptions!Q277</f>
        <v>2012</v>
      </c>
      <c r="Q4" s="149">
        <f>Assumptions!R277</f>
        <v>2013</v>
      </c>
      <c r="R4" s="149">
        <f>Assumptions!S277</f>
        <v>2014</v>
      </c>
      <c r="S4" s="149">
        <f>Assumptions!T277</f>
        <v>2015</v>
      </c>
      <c r="T4" s="149">
        <f>Assumptions!U277</f>
        <v>2016</v>
      </c>
      <c r="U4" s="149">
        <f>Assumptions!V277</f>
        <v>2017</v>
      </c>
      <c r="V4" s="149">
        <f>Assumptions!W277</f>
        <v>2018</v>
      </c>
      <c r="W4" s="149">
        <f>Assumptions!X277</f>
        <v>2019</v>
      </c>
      <c r="X4" s="149">
        <f>Assumptions!Y277</f>
        <v>2020</v>
      </c>
    </row>
    <row r="5" spans="1:24" ht="13.8" thickBot="1" x14ac:dyDescent="0.3">
      <c r="A5" s="18"/>
      <c r="B5" s="18"/>
      <c r="C5" s="209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x14ac:dyDescent="0.25">
      <c r="C6" s="173" t="s">
        <v>264</v>
      </c>
      <c r="D6" s="170"/>
      <c r="E6" s="152">
        <f>Assumptions!F290</f>
        <v>50</v>
      </c>
      <c r="F6" s="152">
        <f>Assumptions!G290</f>
        <v>60</v>
      </c>
      <c r="G6" s="152">
        <f>Assumptions!H290</f>
        <v>63</v>
      </c>
      <c r="H6" s="152">
        <f>Assumptions!I290</f>
        <v>75</v>
      </c>
      <c r="I6" s="152">
        <f>Assumptions!J290</f>
        <v>87</v>
      </c>
      <c r="J6" s="152">
        <f>Assumptions!K290</f>
        <v>94</v>
      </c>
      <c r="K6" s="152">
        <f>Assumptions!L290</f>
        <v>99.4</v>
      </c>
      <c r="L6" s="152">
        <f>Assumptions!M290</f>
        <v>103.2</v>
      </c>
      <c r="M6" s="152">
        <f>Assumptions!N290</f>
        <v>105.4</v>
      </c>
      <c r="N6" s="152">
        <f>Assumptions!O290</f>
        <v>106</v>
      </c>
      <c r="O6" s="152">
        <f>Assumptions!P290</f>
        <v>114</v>
      </c>
      <c r="P6" s="152">
        <f>Assumptions!Q290</f>
        <v>122</v>
      </c>
      <c r="Q6" s="152">
        <f>Assumptions!R290</f>
        <v>130</v>
      </c>
      <c r="R6" s="152">
        <f>Assumptions!S290</f>
        <v>138</v>
      </c>
      <c r="S6" s="152">
        <f>Assumptions!T290</f>
        <v>146</v>
      </c>
      <c r="T6" s="152">
        <f>Assumptions!U290</f>
        <v>154</v>
      </c>
      <c r="U6" s="152">
        <f>Assumptions!V290</f>
        <v>162</v>
      </c>
      <c r="V6" s="152">
        <f>Assumptions!W290</f>
        <v>170</v>
      </c>
      <c r="W6" s="152">
        <f>Assumptions!X290</f>
        <v>178</v>
      </c>
      <c r="X6" s="152">
        <f>Assumptions!Y290</f>
        <v>186</v>
      </c>
    </row>
    <row r="7" spans="1:24" x14ac:dyDescent="0.25">
      <c r="C7" s="173" t="s">
        <v>265</v>
      </c>
      <c r="D7" s="170"/>
      <c r="E7" s="192">
        <f>Assumptions!F294</f>
        <v>127.5</v>
      </c>
      <c r="F7" s="192">
        <f>Assumptions!G294</f>
        <v>131.32500000000002</v>
      </c>
      <c r="G7" s="192">
        <f>Assumptions!H294</f>
        <v>135.26475000000002</v>
      </c>
      <c r="H7" s="192">
        <f>Assumptions!I294</f>
        <v>139.32269250000002</v>
      </c>
      <c r="I7" s="192">
        <f>Assumptions!J294</f>
        <v>143.50237327500002</v>
      </c>
      <c r="J7" s="192">
        <f>Assumptions!K294</f>
        <v>147.80744447325003</v>
      </c>
      <c r="K7" s="192">
        <f>Assumptions!L294</f>
        <v>152.24166780744753</v>
      </c>
      <c r="L7" s="192">
        <f>Assumptions!M294</f>
        <v>156.80891784167096</v>
      </c>
      <c r="M7" s="192">
        <f>Assumptions!N294</f>
        <v>161.51318537692109</v>
      </c>
      <c r="N7" s="192">
        <f>Assumptions!O294</f>
        <v>166.35858093822873</v>
      </c>
      <c r="O7" s="192">
        <f>Assumptions!P294</f>
        <v>171.3493383663756</v>
      </c>
      <c r="P7" s="192">
        <f>Assumptions!Q294</f>
        <v>176.48981851736687</v>
      </c>
      <c r="Q7" s="192">
        <f>Assumptions!R294</f>
        <v>181.78451307288788</v>
      </c>
      <c r="R7" s="192">
        <f>Assumptions!S294</f>
        <v>187.23804846507451</v>
      </c>
      <c r="S7" s="192">
        <f>Assumptions!T294</f>
        <v>192.85518991902674</v>
      </c>
      <c r="T7" s="192">
        <f>Assumptions!U294</f>
        <v>198.64084561659755</v>
      </c>
      <c r="U7" s="192">
        <f>Assumptions!V294</f>
        <v>204.60007098509547</v>
      </c>
      <c r="V7" s="192">
        <f>Assumptions!W294</f>
        <v>210.73807311464833</v>
      </c>
      <c r="W7" s="192">
        <f>Assumptions!X294</f>
        <v>217.06021530808778</v>
      </c>
      <c r="X7" s="192">
        <f>Assumptions!Y294</f>
        <v>223.57202176733043</v>
      </c>
    </row>
    <row r="9" spans="1:24" x14ac:dyDescent="0.25">
      <c r="C9" s="1" t="s">
        <v>267</v>
      </c>
      <c r="E9" s="3">
        <f>E6*E7</f>
        <v>6375</v>
      </c>
      <c r="F9" s="3">
        <f t="shared" ref="F9:N9" si="0">F6*F7</f>
        <v>7879.5000000000009</v>
      </c>
      <c r="G9" s="3">
        <f t="shared" si="0"/>
        <v>8521.679250000001</v>
      </c>
      <c r="H9" s="3">
        <f t="shared" si="0"/>
        <v>10449.201937500002</v>
      </c>
      <c r="I9" s="3">
        <f t="shared" si="0"/>
        <v>12484.706474925002</v>
      </c>
      <c r="J9" s="3">
        <f t="shared" si="0"/>
        <v>13893.899780485503</v>
      </c>
      <c r="K9" s="3">
        <f t="shared" si="0"/>
        <v>15132.821780060285</v>
      </c>
      <c r="L9" s="3">
        <f t="shared" si="0"/>
        <v>16182.680321260445</v>
      </c>
      <c r="M9" s="3">
        <f t="shared" si="0"/>
        <v>17023.489738727483</v>
      </c>
      <c r="N9" s="3">
        <f t="shared" si="0"/>
        <v>17634.009579452246</v>
      </c>
      <c r="O9" s="3">
        <f t="shared" ref="O9:X9" si="1">O6*O7</f>
        <v>19533.824573766819</v>
      </c>
      <c r="P9" s="3">
        <f t="shared" si="1"/>
        <v>21531.757859118759</v>
      </c>
      <c r="Q9" s="3">
        <f t="shared" si="1"/>
        <v>23631.986699475423</v>
      </c>
      <c r="R9" s="3">
        <f t="shared" si="1"/>
        <v>25838.850688180282</v>
      </c>
      <c r="S9" s="3">
        <f t="shared" si="1"/>
        <v>28156.857728177903</v>
      </c>
      <c r="T9" s="3">
        <f t="shared" si="1"/>
        <v>30590.690224956023</v>
      </c>
      <c r="U9" s="3">
        <f t="shared" si="1"/>
        <v>33145.211499585464</v>
      </c>
      <c r="V9" s="3">
        <f t="shared" si="1"/>
        <v>35825.472429490219</v>
      </c>
      <c r="W9" s="3">
        <f t="shared" si="1"/>
        <v>38636.718324839625</v>
      </c>
      <c r="X9" s="3">
        <f t="shared" si="1"/>
        <v>41584.396048723458</v>
      </c>
    </row>
    <row r="10" spans="1:24" x14ac:dyDescent="0.25">
      <c r="C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8" thickBot="1" x14ac:dyDescent="0.3">
      <c r="A11" s="18"/>
      <c r="B11" s="18"/>
      <c r="C11" s="4"/>
      <c r="D11" s="18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</row>
    <row r="12" spans="1:24" x14ac:dyDescent="0.25">
      <c r="A12" s="15"/>
      <c r="B12" s="15"/>
      <c r="C12" s="17"/>
      <c r="D12" s="15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25">
      <c r="C13" s="13" t="s">
        <v>279</v>
      </c>
      <c r="E13" s="40">
        <f>SUM($E$9:E9)</f>
        <v>6375</v>
      </c>
      <c r="F13" s="40">
        <f>SUM($E$9:F9)</f>
        <v>14254.5</v>
      </c>
      <c r="G13" s="40">
        <f>SUM($E$9:G9)</f>
        <v>22776.179250000001</v>
      </c>
      <c r="H13" s="40">
        <f>SUM($E$9:H9)</f>
        <v>33225.381187500003</v>
      </c>
      <c r="I13" s="40">
        <f>SUM($E$9:I9)</f>
        <v>45710.087662425009</v>
      </c>
      <c r="J13" s="40">
        <f>SUM($E$9:J9)</f>
        <v>59603.987442910511</v>
      </c>
      <c r="K13" s="40">
        <f>SUM($E$9:K9)</f>
        <v>74736.809222970798</v>
      </c>
      <c r="L13" s="40">
        <f>SUM($E$9:L9)</f>
        <v>90919.489544231241</v>
      </c>
      <c r="M13" s="40">
        <f>SUM($E$9:M9)</f>
        <v>107942.97928295872</v>
      </c>
      <c r="N13" s="40">
        <f>SUM($E$9:N9)</f>
        <v>125576.98886241097</v>
      </c>
      <c r="O13" s="40">
        <f>SUM($E$9:O9)</f>
        <v>145110.81343617779</v>
      </c>
      <c r="P13" s="40">
        <f>SUM($E$9:P9)</f>
        <v>166642.57129529654</v>
      </c>
      <c r="Q13" s="40">
        <f>SUM($E$9:Q9)</f>
        <v>190274.55799477195</v>
      </c>
      <c r="R13" s="40">
        <f>SUM($E$9:R9)</f>
        <v>216113.40868295223</v>
      </c>
      <c r="S13" s="40">
        <f>SUM($E$9:S9)</f>
        <v>244270.26641113014</v>
      </c>
      <c r="T13" s="40">
        <f>SUM($E$9:T9)</f>
        <v>274860.95663608616</v>
      </c>
      <c r="U13" s="40">
        <f>SUM($E$9:U9)</f>
        <v>308006.16813567164</v>
      </c>
      <c r="V13" s="40">
        <f>SUM($E$9:V9)</f>
        <v>343831.64056516188</v>
      </c>
      <c r="W13" s="40">
        <f>SUM($E$9:W9)</f>
        <v>382468.35889000149</v>
      </c>
      <c r="X13" s="40">
        <f>SUM($E$9:X9)</f>
        <v>424052.75493872492</v>
      </c>
    </row>
    <row r="14" spans="1:24" x14ac:dyDescent="0.25">
      <c r="C14" s="13" t="s">
        <v>211</v>
      </c>
      <c r="E14" s="36">
        <f>STB!E82</f>
        <v>464.63480806183708</v>
      </c>
      <c r="F14" s="36">
        <f>STB!F82</f>
        <v>2818.8879531587595</v>
      </c>
      <c r="G14" s="36">
        <f>STB!G82</f>
        <v>12095.810986863891</v>
      </c>
      <c r="H14" s="36">
        <f>STB!H82</f>
        <v>44515.994487291609</v>
      </c>
      <c r="I14" s="36">
        <f>STB!I82</f>
        <v>112615.4797302642</v>
      </c>
      <c r="J14" s="36">
        <f>STB!J82</f>
        <v>220926.35615339875</v>
      </c>
      <c r="K14" s="36">
        <f>STB!K82</f>
        <v>379392.22788769694</v>
      </c>
      <c r="L14" s="36">
        <f>STB!L82</f>
        <v>589973.34093306016</v>
      </c>
      <c r="M14" s="36">
        <f>STB!M82</f>
        <v>854040.12376161409</v>
      </c>
      <c r="N14" s="36">
        <f>STB!N82</f>
        <v>1172905.3402215918</v>
      </c>
      <c r="O14" s="36">
        <f>STB!O82</f>
        <v>1526993.3279985534</v>
      </c>
      <c r="P14" s="36">
        <f>STB!P82</f>
        <v>1922875.9798550429</v>
      </c>
      <c r="Q14" s="36">
        <f>STB!Q82</f>
        <v>2358644.0968817887</v>
      </c>
      <c r="R14" s="36">
        <f>STB!R82</f>
        <v>2836975.2003193069</v>
      </c>
      <c r="S14" s="36">
        <f>STB!S82</f>
        <v>3354586.6726572453</v>
      </c>
      <c r="T14" s="36">
        <f>STB!T82</f>
        <v>3907367.9562897342</v>
      </c>
      <c r="U14" s="36">
        <f>STB!U82</f>
        <v>4496885.9601257369</v>
      </c>
      <c r="V14" s="36">
        <f>STB!V82</f>
        <v>5138102.9182441607</v>
      </c>
      <c r="W14" s="36">
        <f>STB!W82</f>
        <v>5833804.4895204334</v>
      </c>
      <c r="X14" s="36">
        <f>STB!X82</f>
        <v>6586912.8293474019</v>
      </c>
    </row>
    <row r="15" spans="1:24" s="15" customFormat="1" x14ac:dyDescent="0.25">
      <c r="C15" s="17" t="s">
        <v>280</v>
      </c>
      <c r="E15" s="374">
        <f t="shared" ref="E15:X15" si="2">E13/E14</f>
        <v>13.720452900617742</v>
      </c>
      <c r="F15" s="374">
        <f t="shared" si="2"/>
        <v>5.0567813396154477</v>
      </c>
      <c r="G15" s="374">
        <f t="shared" si="2"/>
        <v>1.8829807505040415</v>
      </c>
      <c r="H15" s="374">
        <f t="shared" si="2"/>
        <v>0.74636951437724608</v>
      </c>
      <c r="I15" s="374">
        <f t="shared" si="2"/>
        <v>0.40589524434748658</v>
      </c>
      <c r="J15" s="374">
        <f t="shared" si="2"/>
        <v>0.26979120318955913</v>
      </c>
      <c r="K15" s="374">
        <f t="shared" si="2"/>
        <v>0.19699088101797774</v>
      </c>
      <c r="L15" s="374">
        <f t="shared" si="2"/>
        <v>0.15410779307491995</v>
      </c>
      <c r="M15" s="374">
        <f t="shared" si="2"/>
        <v>0.12639099297527684</v>
      </c>
      <c r="N15" s="374">
        <f t="shared" si="2"/>
        <v>0.10706489650621445</v>
      </c>
      <c r="O15" s="374">
        <f t="shared" si="2"/>
        <v>9.5030417471683448E-2</v>
      </c>
      <c r="P15" s="374">
        <f t="shared" si="2"/>
        <v>8.666319255174168E-2</v>
      </c>
      <c r="Q15" s="374">
        <f t="shared" si="2"/>
        <v>8.0671161132924496E-2</v>
      </c>
      <c r="R15" s="374">
        <f t="shared" si="2"/>
        <v>7.6177404955329972E-2</v>
      </c>
      <c r="S15" s="374">
        <f t="shared" si="2"/>
        <v>7.2816799876462293E-2</v>
      </c>
      <c r="T15" s="374">
        <f t="shared" si="2"/>
        <v>7.0344272592408247E-2</v>
      </c>
      <c r="U15" s="374">
        <f t="shared" si="2"/>
        <v>6.8493213051606827E-2</v>
      </c>
      <c r="V15" s="374">
        <f t="shared" si="2"/>
        <v>6.6918013522909187E-2</v>
      </c>
      <c r="W15" s="374">
        <f t="shared" si="2"/>
        <v>6.556070906679326E-2</v>
      </c>
      <c r="X15" s="374">
        <f t="shared" si="2"/>
        <v>6.4378072994893107E-2</v>
      </c>
    </row>
    <row r="16" spans="1:24" ht="13.8" thickBo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</sheetData>
  <customSheetViews>
    <customSheetView guid="{00A591F2-C6CE-11D4-B3FE-00409628F381}" scale="75" showPageBreaks="1" fitToPage="1" showRuler="0">
      <selection activeCell="E9" sqref="E9"/>
      <pageMargins left="0.75" right="0.75" top="1" bottom="1" header="0.5" footer="0.5"/>
      <pageSetup scale="47" orientation="landscape" r:id="rId1"/>
      <headerFooter alignWithMargins="0"/>
    </customSheetView>
    <customSheetView guid="{39AEF1F3-C6CC-11D4-B3CC-0080C71F7D28}" scale="75" fitToPage="1" showRuler="0">
      <selection activeCell="E9" sqref="E9"/>
      <pageMargins left="0.75" right="0.75" top="1" bottom="1" header="0.5" footer="0.5"/>
      <pageSetup scale="47" orientation="landscape" r:id="rId2"/>
      <headerFooter alignWithMargins="0"/>
    </customSheetView>
  </customSheetViews>
  <pageMargins left="0.75" right="0.75" top="1" bottom="1" header="0.5" footer="0.5"/>
  <pageSetup scale="47" orientation="landscape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Y16"/>
  <sheetViews>
    <sheetView zoomScale="75" workbookViewId="0">
      <selection activeCell="E9" sqref="E9"/>
    </sheetView>
  </sheetViews>
  <sheetFormatPr defaultColWidth="9.109375" defaultRowHeight="13.2" x14ac:dyDescent="0.25"/>
  <cols>
    <col min="1" max="2" width="2.6640625" style="13" customWidth="1"/>
    <col min="3" max="3" width="34.88671875" style="13" customWidth="1"/>
    <col min="4" max="4" width="5.6640625" style="13" customWidth="1"/>
    <col min="5" max="16384" width="9.109375" style="13"/>
  </cols>
  <sheetData>
    <row r="1" spans="1:25" x14ac:dyDescent="0.25">
      <c r="A1" s="356" t="s">
        <v>363</v>
      </c>
      <c r="B1" s="357"/>
      <c r="C1" s="3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1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idden="1" x14ac:dyDescent="0.25">
      <c r="A3" s="15"/>
      <c r="B3" s="15"/>
      <c r="C3" s="15" t="s">
        <v>364</v>
      </c>
      <c r="D3" s="15"/>
      <c r="E3" s="363">
        <v>233.8</v>
      </c>
      <c r="F3" s="15" t="s">
        <v>366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idden="1" x14ac:dyDescent="0.25">
      <c r="A4" s="15"/>
      <c r="B4" s="15"/>
      <c r="C4" s="15" t="s">
        <v>365</v>
      </c>
      <c r="D4" s="15"/>
      <c r="E4" s="363">
        <v>4463.5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idden="1" x14ac:dyDescent="0.25">
      <c r="A5" s="15"/>
      <c r="B5" s="15"/>
      <c r="C5" s="15" t="s">
        <v>371</v>
      </c>
      <c r="D5" s="15"/>
      <c r="E5" s="363">
        <v>3758.5</v>
      </c>
      <c r="F5" s="15" t="s">
        <v>366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idden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idden="1" x14ac:dyDescent="0.25">
      <c r="A7" s="15"/>
      <c r="B7" s="15"/>
      <c r="C7" s="15" t="s">
        <v>372</v>
      </c>
      <c r="D7" s="15"/>
      <c r="E7" s="364">
        <f>E3/E5</f>
        <v>6.2205667154449917E-2</v>
      </c>
      <c r="F7" s="15" t="s">
        <v>366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3.8" thickBot="1" x14ac:dyDescent="0.3">
      <c r="A8" s="18"/>
      <c r="B8" s="18"/>
      <c r="C8" s="18"/>
      <c r="D8" s="18"/>
      <c r="E8" s="36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5"/>
    </row>
    <row r="9" spans="1:25" x14ac:dyDescent="0.25">
      <c r="A9" s="15"/>
      <c r="B9" s="15"/>
      <c r="C9" s="15"/>
      <c r="D9" s="15"/>
      <c r="E9" s="366">
        <v>2001</v>
      </c>
      <c r="F9" s="366">
        <v>2002</v>
      </c>
      <c r="G9" s="366">
        <v>2003</v>
      </c>
      <c r="H9" s="366">
        <v>2004</v>
      </c>
      <c r="I9" s="366">
        <v>2005</v>
      </c>
      <c r="J9" s="366">
        <v>2006</v>
      </c>
      <c r="K9" s="366">
        <v>2007</v>
      </c>
      <c r="L9" s="366">
        <v>2008</v>
      </c>
      <c r="M9" s="366">
        <v>2009</v>
      </c>
      <c r="N9" s="366">
        <v>2010</v>
      </c>
      <c r="O9" s="366">
        <v>2011</v>
      </c>
      <c r="P9" s="366">
        <v>2012</v>
      </c>
      <c r="Q9" s="366">
        <v>2013</v>
      </c>
      <c r="R9" s="366">
        <v>2014</v>
      </c>
      <c r="S9" s="366">
        <v>2015</v>
      </c>
      <c r="T9" s="366">
        <v>2016</v>
      </c>
      <c r="U9" s="366">
        <v>2017</v>
      </c>
      <c r="V9" s="366">
        <v>2018</v>
      </c>
      <c r="W9" s="366">
        <v>2019</v>
      </c>
      <c r="X9" s="366">
        <v>2020</v>
      </c>
      <c r="Y9" s="15"/>
    </row>
    <row r="10" spans="1:25" ht="13.8" thickBot="1" x14ac:dyDescent="0.3">
      <c r="A10" s="18"/>
      <c r="B10" s="18"/>
      <c r="C10" s="18"/>
      <c r="D10" s="18"/>
      <c r="E10" s="367"/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15"/>
    </row>
    <row r="11" spans="1:25" x14ac:dyDescent="0.25">
      <c r="A11" s="15"/>
      <c r="B11" s="15"/>
      <c r="C11" s="15" t="s">
        <v>370</v>
      </c>
      <c r="D11" s="15"/>
      <c r="E11" s="368">
        <f>Assumptions!F302</f>
        <v>2000</v>
      </c>
      <c r="F11" s="368">
        <f>Assumptions!G302</f>
        <v>2000</v>
      </c>
      <c r="G11" s="368">
        <f>Assumptions!H302</f>
        <v>1800</v>
      </c>
      <c r="H11" s="368">
        <f>Assumptions!I302</f>
        <v>1800</v>
      </c>
      <c r="I11" s="368">
        <f>Assumptions!J302</f>
        <v>1600</v>
      </c>
      <c r="J11" s="368">
        <f>Assumptions!K302</f>
        <v>1600</v>
      </c>
      <c r="K11" s="368">
        <f>Assumptions!L302</f>
        <v>1400</v>
      </c>
      <c r="L11" s="368">
        <f>Assumptions!M302</f>
        <v>1400</v>
      </c>
      <c r="M11" s="368">
        <f>Assumptions!N302</f>
        <v>1200</v>
      </c>
      <c r="N11" s="368">
        <f>Assumptions!O302</f>
        <v>1200</v>
      </c>
      <c r="O11" s="368">
        <f>Assumptions!P302</f>
        <v>1200</v>
      </c>
      <c r="P11" s="368">
        <f>Assumptions!Q302</f>
        <v>1200</v>
      </c>
      <c r="Q11" s="368">
        <f>Assumptions!R302</f>
        <v>1200</v>
      </c>
      <c r="R11" s="368">
        <f>Assumptions!S302</f>
        <v>1200</v>
      </c>
      <c r="S11" s="368">
        <f>Assumptions!T302</f>
        <v>1200</v>
      </c>
      <c r="T11" s="368">
        <f>Assumptions!U302</f>
        <v>1200</v>
      </c>
      <c r="U11" s="368">
        <f>Assumptions!V302</f>
        <v>1200</v>
      </c>
      <c r="V11" s="368">
        <f>Assumptions!W302</f>
        <v>1200</v>
      </c>
      <c r="W11" s="368">
        <f>Assumptions!X302</f>
        <v>1200</v>
      </c>
      <c r="X11" s="368">
        <f>Assumptions!Y302</f>
        <v>1200</v>
      </c>
      <c r="Y11" s="15"/>
    </row>
    <row r="12" spans="1:25" x14ac:dyDescent="0.25">
      <c r="A12" s="15"/>
      <c r="B12" s="15"/>
      <c r="C12" s="15" t="s">
        <v>367</v>
      </c>
      <c r="D12" s="15"/>
      <c r="E12" s="369">
        <f>Assumptions!F9</f>
        <v>10</v>
      </c>
      <c r="F12" s="369">
        <f>Assumptions!G9</f>
        <v>18</v>
      </c>
      <c r="G12" s="369">
        <f>Assumptions!H9</f>
        <v>26</v>
      </c>
      <c r="H12" s="369">
        <f>Assumptions!I9</f>
        <v>34</v>
      </c>
      <c r="I12" s="369">
        <f>Assumptions!J9</f>
        <v>42</v>
      </c>
      <c r="J12" s="369">
        <f>Assumptions!K9</f>
        <v>50</v>
      </c>
      <c r="K12" s="369">
        <f>Assumptions!L9</f>
        <v>58</v>
      </c>
      <c r="L12" s="369">
        <f>Assumptions!M9</f>
        <v>66</v>
      </c>
      <c r="M12" s="369">
        <f>Assumptions!N9</f>
        <v>74</v>
      </c>
      <c r="N12" s="369">
        <f>Assumptions!O9</f>
        <v>82</v>
      </c>
      <c r="O12" s="369">
        <f>Assumptions!P9</f>
        <v>90</v>
      </c>
      <c r="P12" s="369">
        <f>Assumptions!Q9</f>
        <v>98</v>
      </c>
      <c r="Q12" s="369">
        <f>Assumptions!R9</f>
        <v>106</v>
      </c>
      <c r="R12" s="369">
        <f>Assumptions!S9</f>
        <v>114</v>
      </c>
      <c r="S12" s="369">
        <f>Assumptions!T9</f>
        <v>122</v>
      </c>
      <c r="T12" s="369">
        <f>Assumptions!U9</f>
        <v>130</v>
      </c>
      <c r="U12" s="369">
        <f>Assumptions!V9</f>
        <v>138</v>
      </c>
      <c r="V12" s="369">
        <f>Assumptions!W9</f>
        <v>146</v>
      </c>
      <c r="W12" s="369">
        <f>Assumptions!X9</f>
        <v>154</v>
      </c>
      <c r="X12" s="369">
        <f>Assumptions!Y9</f>
        <v>162</v>
      </c>
      <c r="Y12" s="15"/>
    </row>
    <row r="13" spans="1:25" s="1" customFormat="1" x14ac:dyDescent="0.25">
      <c r="A13" s="17"/>
      <c r="B13" s="17"/>
      <c r="C13" s="17" t="s">
        <v>368</v>
      </c>
      <c r="D13" s="17"/>
      <c r="E13" s="370">
        <f>E11*E12</f>
        <v>20000</v>
      </c>
      <c r="F13" s="370">
        <f t="shared" ref="F13:N13" si="0">F11*F12</f>
        <v>36000</v>
      </c>
      <c r="G13" s="370">
        <f t="shared" si="0"/>
        <v>46800</v>
      </c>
      <c r="H13" s="370">
        <f t="shared" si="0"/>
        <v>61200</v>
      </c>
      <c r="I13" s="370">
        <f t="shared" si="0"/>
        <v>67200</v>
      </c>
      <c r="J13" s="370">
        <f t="shared" si="0"/>
        <v>80000</v>
      </c>
      <c r="K13" s="370">
        <f t="shared" si="0"/>
        <v>81200</v>
      </c>
      <c r="L13" s="370">
        <f t="shared" si="0"/>
        <v>92400</v>
      </c>
      <c r="M13" s="370">
        <f t="shared" si="0"/>
        <v>88800</v>
      </c>
      <c r="N13" s="370">
        <f t="shared" si="0"/>
        <v>98400</v>
      </c>
      <c r="O13" s="370">
        <f t="shared" ref="O13:X13" si="1">O11*O12</f>
        <v>108000</v>
      </c>
      <c r="P13" s="370">
        <f t="shared" si="1"/>
        <v>117600</v>
      </c>
      <c r="Q13" s="370">
        <f t="shared" si="1"/>
        <v>127200</v>
      </c>
      <c r="R13" s="370">
        <f t="shared" si="1"/>
        <v>136800</v>
      </c>
      <c r="S13" s="370">
        <f t="shared" si="1"/>
        <v>146400</v>
      </c>
      <c r="T13" s="370">
        <f t="shared" si="1"/>
        <v>156000</v>
      </c>
      <c r="U13" s="370">
        <f t="shared" si="1"/>
        <v>165600</v>
      </c>
      <c r="V13" s="370">
        <f t="shared" si="1"/>
        <v>175200</v>
      </c>
      <c r="W13" s="370">
        <f t="shared" si="1"/>
        <v>184800</v>
      </c>
      <c r="X13" s="370">
        <f t="shared" si="1"/>
        <v>194400</v>
      </c>
      <c r="Y13" s="17"/>
    </row>
    <row r="14" spans="1:25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s="1" customFormat="1" x14ac:dyDescent="0.25">
      <c r="A15" s="17"/>
      <c r="B15" s="17"/>
      <c r="C15" s="17" t="s">
        <v>373</v>
      </c>
      <c r="D15" s="17"/>
      <c r="E15" s="371">
        <f>E13/(Assumptions!F34*Assumptions!F88/1000)</f>
        <v>8.6261639518206543</v>
      </c>
      <c r="F15" s="371">
        <f>F13/(Assumptions!G34*Assumptions!G88/1000)</f>
        <v>3.0644235827997246</v>
      </c>
      <c r="G15" s="371">
        <f>G13/(Assumptions!H34*Assumptions!H88/1000)</f>
        <v>1.0109771829468608</v>
      </c>
      <c r="H15" s="371">
        <f>H13/(Assumptions!I34*Assumptions!I88/1000)</f>
        <v>0.37829918692330738</v>
      </c>
      <c r="I15" s="371">
        <f>I13/(Assumptions!J34*Assumptions!J88/1000)</f>
        <v>0.1977538276491623</v>
      </c>
      <c r="J15" s="371">
        <f>J13/(Assumptions!K34*Assumptions!K88/1000)</f>
        <v>0.14801896778698914</v>
      </c>
      <c r="K15" s="371">
        <f>K13/(Assumptions!L34*Assumptions!L88/1000)</f>
        <v>0.10268801043460481</v>
      </c>
      <c r="L15" s="371">
        <f>L13/(Assumptions!M34*Assumptions!M88/1000)</f>
        <v>8.7933024003664331E-2</v>
      </c>
      <c r="M15" s="371">
        <f>M13/(Assumptions!N34*Assumptions!N88/1000)</f>
        <v>6.7390494903399337E-2</v>
      </c>
      <c r="N15" s="371">
        <f>N13/(Assumptions!O34*Assumptions!O88/1000)</f>
        <v>6.1842552463638158E-2</v>
      </c>
      <c r="O15" s="371">
        <f>O13/(Assumptions!P34*Assumptions!P88/1000)</f>
        <v>6.1124035042892481E-2</v>
      </c>
      <c r="P15" s="371">
        <f>P13/(Assumptions!Q34*Assumptions!Q88/1000)</f>
        <v>5.9530606249147626E-2</v>
      </c>
      <c r="Q15" s="371">
        <f>Q13/(Assumptions!R34*Assumptions!R88/1000)</f>
        <v>5.8496665928322852E-2</v>
      </c>
      <c r="R15" s="371">
        <f>R13/(Assumptions!S34*Assumptions!S88/1000)</f>
        <v>5.731349992150301E-2</v>
      </c>
      <c r="S15" s="371">
        <f>S13/(Assumptions!T34*Assumptions!T88/1000)</f>
        <v>5.6680886963716266E-2</v>
      </c>
      <c r="T15" s="371">
        <f>T13/(Assumptions!U34*Assumptions!U88/1000)</f>
        <v>5.6554963012974885E-2</v>
      </c>
      <c r="U15" s="371">
        <f>U13/(Assumptions!V34*Assumptions!V88/1000)</f>
        <v>5.6294078432798905E-2</v>
      </c>
      <c r="V15" s="371">
        <f>V13/(Assumptions!W34*Assumptions!W88/1000)</f>
        <v>5.4755601822990767E-2</v>
      </c>
      <c r="W15" s="371">
        <f>W13/(Assumptions!X34*Assumptions!X88/1000)</f>
        <v>5.323269296105386E-2</v>
      </c>
      <c r="X15" s="371">
        <f>X13/(Assumptions!Y34*Assumptions!Y88/1000)</f>
        <v>5.1729497299968993E-2</v>
      </c>
      <c r="Y15" s="17"/>
    </row>
    <row r="16" spans="1:25" ht="13.8" thickBo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</sheetData>
  <customSheetViews>
    <customSheetView guid="{00A591F2-C6CE-11D4-B3FE-00409628F381}" scale="75" showPageBreaks="1" fitToPage="1" hiddenRows="1" showRuler="0">
      <selection activeCell="E9" sqref="E9"/>
      <pageMargins left="0.75" right="0.75" top="1" bottom="1" header="0.5" footer="0.5"/>
      <pageSetup scale="54" orientation="landscape" r:id="rId1"/>
      <headerFooter alignWithMargins="0"/>
    </customSheetView>
    <customSheetView guid="{39AEF1F3-C6CC-11D4-B3CC-0080C71F7D28}" scale="75" fitToPage="1" hiddenRows="1" showRuler="0">
      <selection activeCell="E9" sqref="E9"/>
      <pageMargins left="0.75" right="0.75" top="1" bottom="1" header="0.5" footer="0.5"/>
      <pageSetup scale="51" orientation="landscape" r:id="rId2"/>
      <headerFooter alignWithMargins="0"/>
    </customSheetView>
  </customSheetViews>
  <pageMargins left="0.75" right="0.75" top="1" bottom="1" header="0.5" footer="0.5"/>
  <pageSetup scale="54" orientation="landscape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"/>
  <sheetViews>
    <sheetView zoomScale="75" workbookViewId="0">
      <selection activeCell="A23" sqref="A23"/>
    </sheetView>
  </sheetViews>
  <sheetFormatPr defaultColWidth="9.109375" defaultRowHeight="13.2" x14ac:dyDescent="0.25"/>
  <cols>
    <col min="1" max="2" width="3.6640625" style="13" customWidth="1"/>
    <col min="3" max="3" width="34.88671875" style="13" customWidth="1"/>
    <col min="4" max="4" width="3.44140625" style="13" customWidth="1"/>
    <col min="5" max="24" width="10.6640625" style="13" customWidth="1"/>
    <col min="25" max="25" width="4" style="13" customWidth="1"/>
    <col min="26" max="26" width="21.6640625" style="13" customWidth="1"/>
    <col min="27" max="16384" width="9.109375" style="13"/>
  </cols>
  <sheetData>
    <row r="1" spans="1:26" x14ac:dyDescent="0.25">
      <c r="A1" s="356" t="s">
        <v>375</v>
      </c>
      <c r="B1" s="357"/>
      <c r="C1" s="3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38" customFormat="1" ht="13.8" thickBot="1" x14ac:dyDescent="0.3">
      <c r="A2" s="358"/>
      <c r="B2" s="359"/>
      <c r="C2" s="359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171"/>
      <c r="Z2" s="171"/>
    </row>
    <row r="3" spans="1:26" s="38" customFormat="1" x14ac:dyDescent="0.25">
      <c r="A3" s="360"/>
      <c r="B3" s="361"/>
      <c r="C3" s="36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26" x14ac:dyDescent="0.25">
      <c r="A4" s="15"/>
      <c r="B4" s="15"/>
      <c r="C4" s="15"/>
      <c r="D4" s="15"/>
      <c r="E4" s="37">
        <v>2001</v>
      </c>
      <c r="F4" s="37">
        <v>2002</v>
      </c>
      <c r="G4" s="37">
        <v>2003</v>
      </c>
      <c r="H4" s="37">
        <v>2004</v>
      </c>
      <c r="I4" s="37">
        <v>2005</v>
      </c>
      <c r="J4" s="37">
        <v>2006</v>
      </c>
      <c r="K4" s="37">
        <v>2007</v>
      </c>
      <c r="L4" s="37">
        <v>2008</v>
      </c>
      <c r="M4" s="37">
        <v>2009</v>
      </c>
      <c r="N4" s="37">
        <v>2010</v>
      </c>
      <c r="O4" s="37">
        <v>2011</v>
      </c>
      <c r="P4" s="37">
        <v>2012</v>
      </c>
      <c r="Q4" s="37">
        <v>2013</v>
      </c>
      <c r="R4" s="37">
        <v>2014</v>
      </c>
      <c r="S4" s="37">
        <v>2015</v>
      </c>
      <c r="T4" s="37">
        <v>2016</v>
      </c>
      <c r="U4" s="37">
        <v>2017</v>
      </c>
      <c r="V4" s="37">
        <v>2018</v>
      </c>
      <c r="W4" s="37">
        <v>2019</v>
      </c>
      <c r="X4" s="37">
        <v>2020</v>
      </c>
      <c r="Y4" s="15"/>
      <c r="Z4" s="15"/>
    </row>
    <row r="5" spans="1:26" ht="13.8" thickBot="1" x14ac:dyDescent="0.3">
      <c r="A5" s="18"/>
      <c r="B5" s="18"/>
      <c r="C5" s="18"/>
      <c r="D5" s="18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15"/>
      <c r="Z5" s="15"/>
    </row>
    <row r="6" spans="1:26" x14ac:dyDescent="0.25">
      <c r="A6" s="15"/>
      <c r="B6" s="15"/>
      <c r="C6" s="15" t="s">
        <v>283</v>
      </c>
      <c r="D6" s="15"/>
      <c r="E6" s="151">
        <f>Assumptions!F92</f>
        <v>2.4950000000000001</v>
      </c>
      <c r="F6" s="151">
        <f>Assumptions!G92</f>
        <v>2.4950000000000001</v>
      </c>
      <c r="G6" s="151">
        <f>Assumptions!H92</f>
        <v>2.4950000000000001</v>
      </c>
      <c r="H6" s="151">
        <f>Assumptions!I92</f>
        <v>2.4950000000000001</v>
      </c>
      <c r="I6" s="151">
        <f>Assumptions!J92</f>
        <v>2.4950000000000001</v>
      </c>
      <c r="J6" s="151">
        <f>Assumptions!K92</f>
        <v>2.4950000000000001</v>
      </c>
      <c r="K6" s="151">
        <f>Assumptions!L92</f>
        <v>2.4950000000000001</v>
      </c>
      <c r="L6" s="151">
        <f>Assumptions!M92</f>
        <v>2.4950000000000001</v>
      </c>
      <c r="M6" s="151">
        <f>Assumptions!N92</f>
        <v>2.4950000000000001</v>
      </c>
      <c r="N6" s="151">
        <f>Assumptions!O92</f>
        <v>2.4950000000000001</v>
      </c>
      <c r="O6" s="151">
        <f>Assumptions!P92</f>
        <v>2.4950000000000001</v>
      </c>
      <c r="P6" s="151">
        <f>Assumptions!Q92</f>
        <v>2.4950000000000001</v>
      </c>
      <c r="Q6" s="151">
        <f>Assumptions!R92</f>
        <v>2.4950000000000001</v>
      </c>
      <c r="R6" s="151">
        <f>Assumptions!S92</f>
        <v>2.4950000000000001</v>
      </c>
      <c r="S6" s="151">
        <f>Assumptions!T92</f>
        <v>2.4950000000000001</v>
      </c>
      <c r="T6" s="151">
        <f>Assumptions!U92</f>
        <v>2.4950000000000001</v>
      </c>
      <c r="U6" s="151">
        <f>Assumptions!V92</f>
        <v>2.4950000000000001</v>
      </c>
      <c r="V6" s="151">
        <f>Assumptions!W92</f>
        <v>2.4950000000000001</v>
      </c>
      <c r="W6" s="151">
        <f>Assumptions!X92</f>
        <v>2.4950000000000001</v>
      </c>
      <c r="X6" s="151">
        <f>Assumptions!Y92</f>
        <v>2.4950000000000001</v>
      </c>
      <c r="Y6" s="15"/>
      <c r="Z6" s="15"/>
    </row>
    <row r="7" spans="1:26" x14ac:dyDescent="0.25">
      <c r="A7" s="15"/>
      <c r="B7" s="15"/>
      <c r="C7" s="15" t="s">
        <v>161</v>
      </c>
      <c r="D7" s="15"/>
      <c r="E7" s="20">
        <f>Assumptions!F34</f>
        <v>464634.8080618371</v>
      </c>
      <c r="F7" s="20">
        <f>Assumptions!G34</f>
        <v>2354253.1450969223</v>
      </c>
      <c r="G7" s="20">
        <f>Assumptions!H34</f>
        <v>9276923.0337051321</v>
      </c>
      <c r="H7" s="20">
        <f>Assumptions!I34</f>
        <v>32420183.500427719</v>
      </c>
      <c r="I7" s="20">
        <f>Assumptions!J34</f>
        <v>68099485.242972583</v>
      </c>
      <c r="J7" s="20">
        <f>Assumptions!K34</f>
        <v>108310876.42313455</v>
      </c>
      <c r="K7" s="20">
        <f>Assumptions!L34</f>
        <v>158465871.7342982</v>
      </c>
      <c r="L7" s="20">
        <f>Assumptions!M34</f>
        <v>210581113.04536319</v>
      </c>
      <c r="M7" s="20">
        <f>Assumptions!N34</f>
        <v>264066782.828554</v>
      </c>
      <c r="N7" s="20">
        <f>Assumptions!O34</f>
        <v>318865216.45997775</v>
      </c>
      <c r="O7" s="20">
        <f>Assumptions!P34</f>
        <v>354087987.77696174</v>
      </c>
      <c r="P7" s="20">
        <f>Assumptions!Q34</f>
        <v>395882651.8564896</v>
      </c>
      <c r="Q7" s="20">
        <f>Assumptions!R34</f>
        <v>435768117.02674592</v>
      </c>
      <c r="R7" s="20">
        <f>Assumptions!S34</f>
        <v>478331103.437518</v>
      </c>
      <c r="S7" s="20">
        <f>Assumptions!T34</f>
        <v>517611472.33793819</v>
      </c>
      <c r="T7" s="20">
        <f>Assumptions!U34</f>
        <v>552781283.63248909</v>
      </c>
      <c r="U7" s="20">
        <f>Assumptions!V34</f>
        <v>589518003.83600271</v>
      </c>
      <c r="V7" s="20">
        <f>Assumptions!W34</f>
        <v>641216958.11842382</v>
      </c>
      <c r="W7" s="20">
        <f>Assumptions!X34</f>
        <v>695701571.27627254</v>
      </c>
      <c r="X7" s="20">
        <f>Assumptions!Y34</f>
        <v>753108339.82696891</v>
      </c>
      <c r="Y7" s="15"/>
      <c r="Z7" s="15"/>
    </row>
    <row r="8" spans="1:26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5"/>
      <c r="B9" s="15"/>
      <c r="C9" s="17" t="s">
        <v>284</v>
      </c>
      <c r="D9" s="17"/>
      <c r="E9" s="27">
        <f>E6*E7/1000</f>
        <v>1159.2638461142838</v>
      </c>
      <c r="F9" s="27">
        <f t="shared" ref="F9:N9" si="0">F6*F7/1000</f>
        <v>5873.8615970168212</v>
      </c>
      <c r="G9" s="27">
        <f t="shared" si="0"/>
        <v>23145.922969094307</v>
      </c>
      <c r="H9" s="27">
        <f t="shared" si="0"/>
        <v>80888.357833567163</v>
      </c>
      <c r="I9" s="27">
        <f t="shared" si="0"/>
        <v>169908.21568121659</v>
      </c>
      <c r="J9" s="27">
        <f t="shared" si="0"/>
        <v>270235.63667572069</v>
      </c>
      <c r="K9" s="27">
        <f t="shared" si="0"/>
        <v>395372.34997707402</v>
      </c>
      <c r="L9" s="27">
        <f t="shared" si="0"/>
        <v>525399.87704818114</v>
      </c>
      <c r="M9" s="27">
        <f t="shared" si="0"/>
        <v>658846.62315724231</v>
      </c>
      <c r="N9" s="27">
        <f t="shared" si="0"/>
        <v>795568.71506764449</v>
      </c>
      <c r="O9" s="27">
        <f t="shared" ref="O9:X9" si="1">O6*O7/1000</f>
        <v>883449.52950351953</v>
      </c>
      <c r="P9" s="27">
        <f t="shared" si="1"/>
        <v>987727.21638194157</v>
      </c>
      <c r="Q9" s="27">
        <f t="shared" si="1"/>
        <v>1087241.4519817312</v>
      </c>
      <c r="R9" s="27">
        <f t="shared" si="1"/>
        <v>1193436.1030766075</v>
      </c>
      <c r="S9" s="27">
        <f t="shared" si="1"/>
        <v>1291440.6234831556</v>
      </c>
      <c r="T9" s="27">
        <f t="shared" si="1"/>
        <v>1379189.3026630604</v>
      </c>
      <c r="U9" s="27">
        <f t="shared" si="1"/>
        <v>1470847.4195708267</v>
      </c>
      <c r="V9" s="27">
        <f t="shared" si="1"/>
        <v>1599836.3105054675</v>
      </c>
      <c r="W9" s="27">
        <f t="shared" si="1"/>
        <v>1735775.4203343</v>
      </c>
      <c r="X9" s="27">
        <f t="shared" si="1"/>
        <v>1879005.3078682877</v>
      </c>
      <c r="Y9" s="15"/>
      <c r="Z9" s="15"/>
    </row>
    <row r="10" spans="1:26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3.8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</sheetData>
  <customSheetViews>
    <customSheetView guid="{00A591F2-C6CE-11D4-B3FE-00409628F381}" scale="75" showPageBreaks="1" fitToPage="1" showRuler="0">
      <selection activeCell="A23" sqref="A23"/>
      <pageMargins left="0.75" right="0.75" top="1" bottom="1" header="0.5" footer="0.5"/>
      <pageSetup scale="47" orientation="landscape" r:id="rId1"/>
      <headerFooter alignWithMargins="0"/>
    </customSheetView>
    <customSheetView guid="{39AEF1F3-C6CC-11D4-B3CC-0080C71F7D28}" scale="75" fitToPage="1" showRuler="0">
      <selection activeCell="A23" sqref="A23"/>
      <pageMargins left="0.75" right="0.75" top="1" bottom="1" header="0.5" footer="0.5"/>
      <pageSetup scale="47" orientation="landscape" r:id="rId2"/>
      <headerFooter alignWithMargins="0"/>
    </customSheetView>
  </customSheetViews>
  <pageMargins left="0.75" right="0.75" top="1" bottom="1" header="0.5" footer="0.5"/>
  <pageSetup scale="47" orientation="landscape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zoomScale="75" workbookViewId="0">
      <selection activeCell="E14" sqref="E14"/>
    </sheetView>
  </sheetViews>
  <sheetFormatPr defaultColWidth="9.109375" defaultRowHeight="13.2" x14ac:dyDescent="0.25"/>
  <cols>
    <col min="1" max="1" width="2.88671875" style="13" customWidth="1"/>
    <col min="2" max="2" width="2.6640625" style="13" customWidth="1"/>
    <col min="3" max="3" width="29.33203125" style="13" customWidth="1"/>
    <col min="4" max="4" width="2.44140625" style="38" customWidth="1"/>
    <col min="5" max="5" width="9.44140625" style="13" bestFit="1" customWidth="1"/>
    <col min="6" max="8" width="9.5546875" style="13" bestFit="1" customWidth="1"/>
    <col min="9" max="24" width="10.5546875" style="13" bestFit="1" customWidth="1"/>
    <col min="25" max="16384" width="9.109375" style="13"/>
  </cols>
  <sheetData>
    <row r="1" spans="1:24" x14ac:dyDescent="0.25">
      <c r="A1" s="648" t="s">
        <v>949</v>
      </c>
      <c r="B1" s="649"/>
      <c r="C1" s="649"/>
    </row>
    <row r="2" spans="1:24" ht="13.8" thickBot="1" x14ac:dyDescent="0.3">
      <c r="A2" s="18"/>
      <c r="B2" s="18"/>
      <c r="C2" s="18"/>
      <c r="D2" s="211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D3" s="146"/>
      <c r="E3" s="12">
        <f>Assumptions!F6</f>
        <v>2001</v>
      </c>
      <c r="F3" s="12">
        <f>Assumptions!G6</f>
        <v>2002</v>
      </c>
      <c r="G3" s="12">
        <f>Assumptions!H6</f>
        <v>2003</v>
      </c>
      <c r="H3" s="12">
        <f>Assumptions!I6</f>
        <v>2004</v>
      </c>
      <c r="I3" s="12">
        <f>Assumptions!J6</f>
        <v>2005</v>
      </c>
      <c r="J3" s="12">
        <f>Assumptions!K6</f>
        <v>2006</v>
      </c>
      <c r="K3" s="12">
        <f>Assumptions!L6</f>
        <v>2007</v>
      </c>
      <c r="L3" s="12">
        <f>Assumptions!M6</f>
        <v>2008</v>
      </c>
      <c r="M3" s="12">
        <f>Assumptions!N6</f>
        <v>2009</v>
      </c>
      <c r="N3" s="12">
        <f>Assumptions!O6</f>
        <v>2010</v>
      </c>
      <c r="O3" s="12">
        <f>Assumptions!P6</f>
        <v>2011</v>
      </c>
      <c r="P3" s="12">
        <f>Assumptions!Q6</f>
        <v>2012</v>
      </c>
      <c r="Q3" s="12">
        <f>Assumptions!R6</f>
        <v>2013</v>
      </c>
      <c r="R3" s="12">
        <f>Assumptions!S6</f>
        <v>2014</v>
      </c>
      <c r="S3" s="12">
        <f>Assumptions!T6</f>
        <v>2015</v>
      </c>
      <c r="T3" s="12">
        <f>Assumptions!U6</f>
        <v>2016</v>
      </c>
      <c r="U3" s="12">
        <f>Assumptions!V6</f>
        <v>2017</v>
      </c>
      <c r="V3" s="12">
        <f>Assumptions!W6</f>
        <v>2018</v>
      </c>
      <c r="W3" s="12">
        <f>Assumptions!X6</f>
        <v>2019</v>
      </c>
      <c r="X3" s="12">
        <f>Assumptions!Y6</f>
        <v>2020</v>
      </c>
    </row>
    <row r="5" spans="1:24" x14ac:dyDescent="0.25">
      <c r="B5" s="1" t="s">
        <v>941</v>
      </c>
    </row>
    <row r="7" spans="1:24" x14ac:dyDescent="0.25">
      <c r="C7" s="532" t="s">
        <v>930</v>
      </c>
    </row>
    <row r="8" spans="1:24" x14ac:dyDescent="0.25">
      <c r="C8" s="13" t="s">
        <v>943</v>
      </c>
      <c r="E8" s="328">
        <f>-STB!E29</f>
        <v>4685.0676479568574</v>
      </c>
      <c r="F8" s="36">
        <f>-STB!F29</f>
        <v>13683.691262356377</v>
      </c>
      <c r="G8" s="36">
        <f>-STB!G29</f>
        <v>36349.036595827951</v>
      </c>
      <c r="H8" s="36">
        <f>-STB!H29</f>
        <v>0</v>
      </c>
      <c r="I8" s="36">
        <f>-STB!I29</f>
        <v>0</v>
      </c>
      <c r="J8" s="36">
        <f>-STB!J29</f>
        <v>0</v>
      </c>
      <c r="K8" s="36">
        <f>-STB!K29</f>
        <v>0</v>
      </c>
      <c r="L8" s="36">
        <f>-STB!L29</f>
        <v>0</v>
      </c>
      <c r="M8" s="36">
        <f>-STB!M29</f>
        <v>0</v>
      </c>
      <c r="N8" s="36">
        <f>-STB!N29</f>
        <v>0</v>
      </c>
      <c r="O8" s="36">
        <f>-STB!O29</f>
        <v>0</v>
      </c>
      <c r="P8" s="36">
        <f>-STB!P29</f>
        <v>0</v>
      </c>
      <c r="Q8" s="36">
        <f>-STB!Q29</f>
        <v>0</v>
      </c>
      <c r="R8" s="36">
        <f>-STB!R29</f>
        <v>0</v>
      </c>
      <c r="S8" s="36">
        <f>-STB!S29</f>
        <v>0</v>
      </c>
      <c r="T8" s="36">
        <f>-STB!T29</f>
        <v>0</v>
      </c>
      <c r="U8" s="36">
        <f>-STB!U29</f>
        <v>0</v>
      </c>
      <c r="V8" s="36">
        <f>-STB!V29</f>
        <v>0</v>
      </c>
      <c r="W8" s="36">
        <f>-STB!W29</f>
        <v>0</v>
      </c>
      <c r="X8" s="36">
        <f>-STB!X29</f>
        <v>0</v>
      </c>
    </row>
    <row r="9" spans="1:24" x14ac:dyDescent="0.25">
      <c r="C9" s="13" t="s">
        <v>942</v>
      </c>
      <c r="E9" s="328">
        <f t="shared" ref="E9:X9" si="0">E8</f>
        <v>4685.0676479568574</v>
      </c>
      <c r="F9" s="328">
        <f t="shared" si="0"/>
        <v>13683.691262356377</v>
      </c>
      <c r="G9" s="328">
        <f t="shared" si="0"/>
        <v>36349.036595827951</v>
      </c>
      <c r="H9" s="328">
        <f t="shared" si="0"/>
        <v>0</v>
      </c>
      <c r="I9" s="328">
        <f t="shared" si="0"/>
        <v>0</v>
      </c>
      <c r="J9" s="328">
        <f t="shared" si="0"/>
        <v>0</v>
      </c>
      <c r="K9" s="328">
        <f t="shared" si="0"/>
        <v>0</v>
      </c>
      <c r="L9" s="328">
        <f t="shared" si="0"/>
        <v>0</v>
      </c>
      <c r="M9" s="328">
        <f t="shared" si="0"/>
        <v>0</v>
      </c>
      <c r="N9" s="328">
        <f t="shared" si="0"/>
        <v>0</v>
      </c>
      <c r="O9" s="328">
        <f t="shared" si="0"/>
        <v>0</v>
      </c>
      <c r="P9" s="328">
        <f t="shared" si="0"/>
        <v>0</v>
      </c>
      <c r="Q9" s="328">
        <f t="shared" si="0"/>
        <v>0</v>
      </c>
      <c r="R9" s="328">
        <f t="shared" si="0"/>
        <v>0</v>
      </c>
      <c r="S9" s="328">
        <f t="shared" si="0"/>
        <v>0</v>
      </c>
      <c r="T9" s="328">
        <f t="shared" si="0"/>
        <v>0</v>
      </c>
      <c r="U9" s="328">
        <f t="shared" si="0"/>
        <v>0</v>
      </c>
      <c r="V9" s="328">
        <f t="shared" si="0"/>
        <v>0</v>
      </c>
      <c r="W9" s="328">
        <f t="shared" si="0"/>
        <v>0</v>
      </c>
      <c r="X9" s="328">
        <f t="shared" si="0"/>
        <v>0</v>
      </c>
    </row>
    <row r="10" spans="1:24" x14ac:dyDescent="0.25">
      <c r="C10" s="13" t="s">
        <v>944</v>
      </c>
      <c r="E10" s="328">
        <f>Assumptions!$F$311</f>
        <v>3</v>
      </c>
      <c r="F10" s="328">
        <f>Assumptions!$F$311</f>
        <v>3</v>
      </c>
      <c r="G10" s="328">
        <f>Assumptions!$F$311</f>
        <v>3</v>
      </c>
      <c r="H10" s="328">
        <f>Assumptions!$F$311</f>
        <v>3</v>
      </c>
      <c r="I10" s="328">
        <f>Assumptions!$F$311</f>
        <v>3</v>
      </c>
      <c r="J10" s="328">
        <f>Assumptions!$F$311</f>
        <v>3</v>
      </c>
      <c r="K10" s="328">
        <f>Assumptions!$F$311</f>
        <v>3</v>
      </c>
      <c r="L10" s="328">
        <f>Assumptions!$F$311</f>
        <v>3</v>
      </c>
      <c r="M10" s="328">
        <f>Assumptions!$F$311</f>
        <v>3</v>
      </c>
      <c r="N10" s="328">
        <f>Assumptions!$F$311</f>
        <v>3</v>
      </c>
      <c r="O10" s="328">
        <f>Assumptions!$F$311</f>
        <v>3</v>
      </c>
      <c r="P10" s="328">
        <f>Assumptions!$F$311</f>
        <v>3</v>
      </c>
      <c r="Q10" s="328">
        <f>Assumptions!$F$311</f>
        <v>3</v>
      </c>
      <c r="R10" s="328">
        <f>Assumptions!$F$311</f>
        <v>3</v>
      </c>
      <c r="S10" s="328">
        <f>Assumptions!$F$311</f>
        <v>3</v>
      </c>
      <c r="T10" s="328">
        <f>Assumptions!$F$311</f>
        <v>3</v>
      </c>
      <c r="U10" s="328">
        <f>Assumptions!$F$311</f>
        <v>3</v>
      </c>
      <c r="V10" s="328">
        <f>Assumptions!$F$311</f>
        <v>3</v>
      </c>
      <c r="W10" s="328">
        <f>Assumptions!$F$311</f>
        <v>3</v>
      </c>
      <c r="X10" s="328">
        <f>Assumptions!$F$311</f>
        <v>3</v>
      </c>
    </row>
    <row r="11" spans="1:24" x14ac:dyDescent="0.25">
      <c r="C11" s="13" t="s">
        <v>933</v>
      </c>
      <c r="E11" s="328">
        <f>Assumptions!$J$311</f>
        <v>0</v>
      </c>
      <c r="F11" s="328">
        <f>Assumptions!$J$311</f>
        <v>0</v>
      </c>
      <c r="G11" s="328">
        <f>Assumptions!$J$311</f>
        <v>0</v>
      </c>
      <c r="H11" s="328">
        <f>Assumptions!$J$311</f>
        <v>0</v>
      </c>
      <c r="I11" s="328">
        <f>Assumptions!$J$311</f>
        <v>0</v>
      </c>
      <c r="J11" s="328">
        <f>Assumptions!$J$311</f>
        <v>0</v>
      </c>
      <c r="K11" s="328">
        <f>Assumptions!$J$311</f>
        <v>0</v>
      </c>
      <c r="L11" s="328">
        <f>Assumptions!$J$311</f>
        <v>0</v>
      </c>
      <c r="M11" s="328">
        <f>Assumptions!$J$311</f>
        <v>0</v>
      </c>
      <c r="N11" s="328">
        <f>Assumptions!$J$311</f>
        <v>0</v>
      </c>
      <c r="O11" s="328">
        <f>Assumptions!$J$311</f>
        <v>0</v>
      </c>
      <c r="P11" s="328">
        <f>Assumptions!$J$311</f>
        <v>0</v>
      </c>
      <c r="Q11" s="328">
        <f>Assumptions!$J$311</f>
        <v>0</v>
      </c>
      <c r="R11" s="328">
        <f>Assumptions!$J$311</f>
        <v>0</v>
      </c>
      <c r="S11" s="328">
        <f>Assumptions!$J$311</f>
        <v>0</v>
      </c>
      <c r="T11" s="328">
        <f>Assumptions!$J$311</f>
        <v>0</v>
      </c>
      <c r="U11" s="328">
        <f>Assumptions!$J$311</f>
        <v>0</v>
      </c>
      <c r="V11" s="328">
        <f>Assumptions!$J$311</f>
        <v>0</v>
      </c>
      <c r="W11" s="328">
        <f>Assumptions!$J$311</f>
        <v>0</v>
      </c>
      <c r="X11" s="328">
        <f>Assumptions!$J$311</f>
        <v>0</v>
      </c>
    </row>
    <row r="12" spans="1:24" x14ac:dyDescent="0.25">
      <c r="C12" s="1" t="s">
        <v>975</v>
      </c>
      <c r="E12" s="147">
        <f>SLN(E9,E11,E10)</f>
        <v>1561.6892159856191</v>
      </c>
      <c r="F12" s="147">
        <f>SLN(F9,F11,F10)+E13</f>
        <v>6122.9196367710774</v>
      </c>
      <c r="G12" s="147">
        <f t="shared" ref="G12:M12" si="1">SLN(G9,G11,G10)+SUM(E13:F13)</f>
        <v>18239.265168713726</v>
      </c>
      <c r="H12" s="147">
        <f t="shared" si="1"/>
        <v>16677.575952728108</v>
      </c>
      <c r="I12" s="147">
        <f t="shared" si="1"/>
        <v>12116.34553194265</v>
      </c>
      <c r="J12" s="147">
        <f t="shared" si="1"/>
        <v>0</v>
      </c>
      <c r="K12" s="147">
        <f t="shared" si="1"/>
        <v>0</v>
      </c>
      <c r="L12" s="147">
        <f t="shared" si="1"/>
        <v>0</v>
      </c>
      <c r="M12" s="147">
        <f t="shared" si="1"/>
        <v>0</v>
      </c>
      <c r="N12" s="147">
        <f t="shared" ref="N12:X12" si="2">SLN(N9,N11,N10)+SUM(L13:M13)</f>
        <v>0</v>
      </c>
      <c r="O12" s="147">
        <f t="shared" si="2"/>
        <v>0</v>
      </c>
      <c r="P12" s="147">
        <f t="shared" si="2"/>
        <v>0</v>
      </c>
      <c r="Q12" s="147">
        <f t="shared" si="2"/>
        <v>0</v>
      </c>
      <c r="R12" s="147">
        <f t="shared" si="2"/>
        <v>0</v>
      </c>
      <c r="S12" s="147">
        <f t="shared" si="2"/>
        <v>0</v>
      </c>
      <c r="T12" s="147">
        <f t="shared" si="2"/>
        <v>0</v>
      </c>
      <c r="U12" s="147">
        <f t="shared" si="2"/>
        <v>0</v>
      </c>
      <c r="V12" s="147">
        <f t="shared" si="2"/>
        <v>0</v>
      </c>
      <c r="W12" s="147">
        <f t="shared" si="2"/>
        <v>0</v>
      </c>
      <c r="X12" s="147">
        <f t="shared" si="2"/>
        <v>0</v>
      </c>
    </row>
    <row r="13" spans="1:24" x14ac:dyDescent="0.25">
      <c r="C13" s="13" t="s">
        <v>950</v>
      </c>
      <c r="E13" s="328">
        <f>SLN(E9,E11,E10)</f>
        <v>1561.6892159856191</v>
      </c>
      <c r="F13" s="328">
        <f t="shared" ref="F13:M13" si="3">SLN(F9,F11,F10)</f>
        <v>4561.2304207854586</v>
      </c>
      <c r="G13" s="328">
        <f t="shared" si="3"/>
        <v>12116.34553194265</v>
      </c>
      <c r="H13" s="328">
        <f t="shared" si="3"/>
        <v>0</v>
      </c>
      <c r="I13" s="328">
        <f t="shared" si="3"/>
        <v>0</v>
      </c>
      <c r="J13" s="328">
        <f t="shared" si="3"/>
        <v>0</v>
      </c>
      <c r="K13" s="328">
        <f t="shared" si="3"/>
        <v>0</v>
      </c>
      <c r="L13" s="328">
        <f t="shared" si="3"/>
        <v>0</v>
      </c>
      <c r="M13" s="328">
        <f t="shared" si="3"/>
        <v>0</v>
      </c>
      <c r="N13" s="328">
        <f t="shared" ref="N13:X13" si="4">SLN(N9,N11,N10)</f>
        <v>0</v>
      </c>
      <c r="O13" s="328">
        <f t="shared" si="4"/>
        <v>0</v>
      </c>
      <c r="P13" s="328">
        <f t="shared" si="4"/>
        <v>0</v>
      </c>
      <c r="Q13" s="328">
        <f t="shared" si="4"/>
        <v>0</v>
      </c>
      <c r="R13" s="328">
        <f t="shared" si="4"/>
        <v>0</v>
      </c>
      <c r="S13" s="328">
        <f t="shared" si="4"/>
        <v>0</v>
      </c>
      <c r="T13" s="328">
        <f t="shared" si="4"/>
        <v>0</v>
      </c>
      <c r="U13" s="328">
        <f t="shared" si="4"/>
        <v>0</v>
      </c>
      <c r="V13" s="328">
        <f t="shared" si="4"/>
        <v>0</v>
      </c>
      <c r="W13" s="328">
        <f t="shared" si="4"/>
        <v>0</v>
      </c>
      <c r="X13" s="328">
        <f t="shared" si="4"/>
        <v>0</v>
      </c>
    </row>
    <row r="14" spans="1:24" x14ac:dyDescent="0.25">
      <c r="C14" s="13" t="s">
        <v>946</v>
      </c>
      <c r="E14" s="338">
        <f>E8-E12</f>
        <v>3123.3784319712386</v>
      </c>
      <c r="F14" s="338">
        <f t="shared" ref="F14:K14" si="5">F8+E14-F12</f>
        <v>10684.150057556539</v>
      </c>
      <c r="G14" s="338">
        <f t="shared" si="5"/>
        <v>28793.921484670762</v>
      </c>
      <c r="H14" s="338">
        <f t="shared" si="5"/>
        <v>12116.345531942654</v>
      </c>
      <c r="I14" s="338">
        <f t="shared" si="5"/>
        <v>0</v>
      </c>
      <c r="J14" s="338">
        <f t="shared" si="5"/>
        <v>0</v>
      </c>
      <c r="K14" s="338">
        <f t="shared" si="5"/>
        <v>0</v>
      </c>
      <c r="L14" s="338">
        <f t="shared" ref="L14:X14" si="6">L8+K14-L12</f>
        <v>0</v>
      </c>
      <c r="M14" s="338">
        <f t="shared" si="6"/>
        <v>0</v>
      </c>
      <c r="N14" s="338">
        <f t="shared" si="6"/>
        <v>0</v>
      </c>
      <c r="O14" s="338">
        <f t="shared" si="6"/>
        <v>0</v>
      </c>
      <c r="P14" s="338">
        <f t="shared" si="6"/>
        <v>0</v>
      </c>
      <c r="Q14" s="338">
        <f t="shared" si="6"/>
        <v>0</v>
      </c>
      <c r="R14" s="338">
        <f t="shared" si="6"/>
        <v>0</v>
      </c>
      <c r="S14" s="338">
        <f t="shared" si="6"/>
        <v>0</v>
      </c>
      <c r="T14" s="338">
        <f t="shared" si="6"/>
        <v>0</v>
      </c>
      <c r="U14" s="338">
        <f t="shared" si="6"/>
        <v>0</v>
      </c>
      <c r="V14" s="338">
        <f t="shared" si="6"/>
        <v>0</v>
      </c>
      <c r="W14" s="338">
        <f t="shared" si="6"/>
        <v>0</v>
      </c>
      <c r="X14" s="338">
        <f t="shared" si="6"/>
        <v>0</v>
      </c>
    </row>
    <row r="15" spans="1:24" x14ac:dyDescent="0.25"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</row>
    <row r="16" spans="1:24" x14ac:dyDescent="0.25">
      <c r="C16" s="532" t="s">
        <v>940</v>
      </c>
      <c r="E16" s="530"/>
      <c r="F16" s="531"/>
      <c r="G16" s="531"/>
      <c r="H16" s="531"/>
      <c r="I16" s="531"/>
      <c r="J16" s="531"/>
      <c r="K16" s="531"/>
      <c r="L16" s="531"/>
      <c r="M16" s="531"/>
      <c r="N16" s="531"/>
      <c r="O16" s="531"/>
      <c r="P16" s="531"/>
      <c r="Q16" s="531"/>
      <c r="R16" s="531"/>
      <c r="S16" s="531"/>
      <c r="T16" s="531"/>
      <c r="U16" s="531"/>
      <c r="V16" s="531"/>
      <c r="W16" s="531"/>
      <c r="X16" s="531"/>
    </row>
    <row r="17" spans="3:24" x14ac:dyDescent="0.25">
      <c r="C17" s="13" t="s">
        <v>943</v>
      </c>
      <c r="E17" s="328">
        <f>Streaming!E68</f>
        <v>2245.9047187499996</v>
      </c>
      <c r="F17" s="328">
        <f>Streaming!F68</f>
        <v>1225.0389374999997</v>
      </c>
      <c r="G17" s="328">
        <f>Streaming!G68</f>
        <v>918.77920312499975</v>
      </c>
      <c r="H17" s="328">
        <f>Streaming!H68</f>
        <v>3617.6931123046866</v>
      </c>
      <c r="I17" s="328">
        <f>Streaming!I68</f>
        <v>3746.8964377441384</v>
      </c>
      <c r="J17" s="328">
        <f>Streaming!J68</f>
        <v>4118.3559983825671</v>
      </c>
      <c r="K17" s="328">
        <f>Streaming!K68</f>
        <v>1453.5374111938472</v>
      </c>
      <c r="L17" s="328">
        <f>Streaming!L68</f>
        <v>2888.9056047477711</v>
      </c>
      <c r="M17" s="328">
        <f>Streaming!M68</f>
        <v>1676.110327282905</v>
      </c>
      <c r="N17" s="328">
        <f>Streaming!N68</f>
        <v>2759.4499290633185</v>
      </c>
      <c r="O17" s="328">
        <f>Streaming!O68</f>
        <v>1529.1951690225892</v>
      </c>
      <c r="P17" s="328">
        <f>Streaming!P68</f>
        <v>758.84873049241276</v>
      </c>
      <c r="Q17" s="328">
        <f>Streaming!Q68</f>
        <v>995.98895877129178</v>
      </c>
      <c r="R17" s="328">
        <f>Streaming!R68</f>
        <v>630.57742519611008</v>
      </c>
      <c r="S17" s="328">
        <f>Streaming!S68</f>
        <v>829.45184391180624</v>
      </c>
      <c r="T17" s="328">
        <f>Streaming!T68</f>
        <v>493.85126232906885</v>
      </c>
      <c r="U17" s="328">
        <f>Streaming!U68</f>
        <v>278.30292131251394</v>
      </c>
      <c r="V17" s="328">
        <f>Streaming!V68</f>
        <v>534.09604751886866</v>
      </c>
      <c r="W17" s="328">
        <f>Streaming!W68</f>
        <v>214.09884663471891</v>
      </c>
      <c r="X17" s="328">
        <f>Streaming!X68</f>
        <v>245.17771146879102</v>
      </c>
    </row>
    <row r="18" spans="3:24" x14ac:dyDescent="0.25">
      <c r="C18" s="13" t="s">
        <v>942</v>
      </c>
      <c r="E18" s="328">
        <f t="shared" ref="E18:X18" si="7">E17</f>
        <v>2245.9047187499996</v>
      </c>
      <c r="F18" s="328">
        <f t="shared" si="7"/>
        <v>1225.0389374999997</v>
      </c>
      <c r="G18" s="328">
        <f t="shared" si="7"/>
        <v>918.77920312499975</v>
      </c>
      <c r="H18" s="328">
        <f t="shared" si="7"/>
        <v>3617.6931123046866</v>
      </c>
      <c r="I18" s="328">
        <f t="shared" si="7"/>
        <v>3746.8964377441384</v>
      </c>
      <c r="J18" s="328">
        <f t="shared" si="7"/>
        <v>4118.3559983825671</v>
      </c>
      <c r="K18" s="328">
        <f t="shared" si="7"/>
        <v>1453.5374111938472</v>
      </c>
      <c r="L18" s="328">
        <f t="shared" si="7"/>
        <v>2888.9056047477711</v>
      </c>
      <c r="M18" s="328">
        <f t="shared" si="7"/>
        <v>1676.110327282905</v>
      </c>
      <c r="N18" s="328">
        <f t="shared" si="7"/>
        <v>2759.4499290633185</v>
      </c>
      <c r="O18" s="328">
        <f t="shared" si="7"/>
        <v>1529.1951690225892</v>
      </c>
      <c r="P18" s="328">
        <f t="shared" si="7"/>
        <v>758.84873049241276</v>
      </c>
      <c r="Q18" s="328">
        <f t="shared" si="7"/>
        <v>995.98895877129178</v>
      </c>
      <c r="R18" s="328">
        <f t="shared" si="7"/>
        <v>630.57742519611008</v>
      </c>
      <c r="S18" s="328">
        <f t="shared" si="7"/>
        <v>829.45184391180624</v>
      </c>
      <c r="T18" s="328">
        <f t="shared" si="7"/>
        <v>493.85126232906885</v>
      </c>
      <c r="U18" s="328">
        <f t="shared" si="7"/>
        <v>278.30292131251394</v>
      </c>
      <c r="V18" s="328">
        <f t="shared" si="7"/>
        <v>534.09604751886866</v>
      </c>
      <c r="W18" s="328">
        <f t="shared" si="7"/>
        <v>214.09884663471891</v>
      </c>
      <c r="X18" s="328">
        <f t="shared" si="7"/>
        <v>245.17771146879102</v>
      </c>
    </row>
    <row r="19" spans="3:24" x14ac:dyDescent="0.25">
      <c r="C19" s="13" t="s">
        <v>944</v>
      </c>
      <c r="E19" s="328">
        <f>Assumptions!$F$312</f>
        <v>5</v>
      </c>
      <c r="F19" s="328">
        <f>Assumptions!$F$312</f>
        <v>5</v>
      </c>
      <c r="G19" s="328">
        <f>Assumptions!$F$312</f>
        <v>5</v>
      </c>
      <c r="H19" s="328">
        <f>Assumptions!$F$312</f>
        <v>5</v>
      </c>
      <c r="I19" s="328">
        <f>Assumptions!$F$312</f>
        <v>5</v>
      </c>
      <c r="J19" s="328">
        <f>Assumptions!$F$312</f>
        <v>5</v>
      </c>
      <c r="K19" s="328">
        <f>Assumptions!$F$312</f>
        <v>5</v>
      </c>
      <c r="L19" s="328">
        <f>Assumptions!$F$312</f>
        <v>5</v>
      </c>
      <c r="M19" s="328">
        <f>Assumptions!$F$312</f>
        <v>5</v>
      </c>
      <c r="N19" s="328">
        <f>Assumptions!$F$312</f>
        <v>5</v>
      </c>
      <c r="O19" s="328">
        <f>Assumptions!$F$312</f>
        <v>5</v>
      </c>
      <c r="P19" s="328">
        <f>Assumptions!$F$312</f>
        <v>5</v>
      </c>
      <c r="Q19" s="328">
        <f>Assumptions!$F$312</f>
        <v>5</v>
      </c>
      <c r="R19" s="328">
        <f>Assumptions!$F$312</f>
        <v>5</v>
      </c>
      <c r="S19" s="328">
        <f>Assumptions!$F$312</f>
        <v>5</v>
      </c>
      <c r="T19" s="328">
        <f>Assumptions!$F$312</f>
        <v>5</v>
      </c>
      <c r="U19" s="328">
        <f>Assumptions!$F$312</f>
        <v>5</v>
      </c>
      <c r="V19" s="328">
        <f>Assumptions!$F$312</f>
        <v>5</v>
      </c>
      <c r="W19" s="328">
        <f>Assumptions!$F$312</f>
        <v>5</v>
      </c>
      <c r="X19" s="328">
        <f>Assumptions!$F$312</f>
        <v>5</v>
      </c>
    </row>
    <row r="20" spans="3:24" x14ac:dyDescent="0.25">
      <c r="C20" s="13" t="s">
        <v>933</v>
      </c>
      <c r="E20" s="328">
        <f>Assumptions!$J$312</f>
        <v>0</v>
      </c>
      <c r="F20" s="328">
        <f>Assumptions!$J$312</f>
        <v>0</v>
      </c>
      <c r="G20" s="328">
        <f>Assumptions!$J$312</f>
        <v>0</v>
      </c>
      <c r="H20" s="328">
        <f>Assumptions!$J$312</f>
        <v>0</v>
      </c>
      <c r="I20" s="328">
        <f>Assumptions!$J$312</f>
        <v>0</v>
      </c>
      <c r="J20" s="328">
        <f>Assumptions!$J$312</f>
        <v>0</v>
      </c>
      <c r="K20" s="328">
        <f>Assumptions!$J$312</f>
        <v>0</v>
      </c>
      <c r="L20" s="328">
        <f>Assumptions!$J$312</f>
        <v>0</v>
      </c>
      <c r="M20" s="328">
        <f>Assumptions!$J$312</f>
        <v>0</v>
      </c>
      <c r="N20" s="328">
        <f>Assumptions!$J$312</f>
        <v>0</v>
      </c>
      <c r="O20" s="328">
        <f>Assumptions!$J$312</f>
        <v>0</v>
      </c>
      <c r="P20" s="328">
        <f>Assumptions!$J$312</f>
        <v>0</v>
      </c>
      <c r="Q20" s="328">
        <f>Assumptions!$J$312</f>
        <v>0</v>
      </c>
      <c r="R20" s="328">
        <f>Assumptions!$J$312</f>
        <v>0</v>
      </c>
      <c r="S20" s="328">
        <f>Assumptions!$J$312</f>
        <v>0</v>
      </c>
      <c r="T20" s="328">
        <f>Assumptions!$J$312</f>
        <v>0</v>
      </c>
      <c r="U20" s="328">
        <f>Assumptions!$J$312</f>
        <v>0</v>
      </c>
      <c r="V20" s="328">
        <f>Assumptions!$J$312</f>
        <v>0</v>
      </c>
      <c r="W20" s="328">
        <f>Assumptions!$J$312</f>
        <v>0</v>
      </c>
      <c r="X20" s="328">
        <f>Assumptions!$J$312</f>
        <v>0</v>
      </c>
    </row>
    <row r="21" spans="3:24" s="1" customFormat="1" x14ac:dyDescent="0.25">
      <c r="C21" s="1" t="s">
        <v>975</v>
      </c>
      <c r="D21" s="146"/>
      <c r="E21" s="147">
        <f>SLN(E18,E20,E19)</f>
        <v>449.18094374999993</v>
      </c>
      <c r="F21" s="147">
        <f>SLN(F18,F20,F19)+E22</f>
        <v>694.18873124999982</v>
      </c>
      <c r="G21" s="147">
        <f>SLN(G18,G20,G19)+SUM(E22:F22)</f>
        <v>877.94457187499984</v>
      </c>
      <c r="H21" s="147">
        <f>SLN(H18,H20,H19)+SUM(E22:G22)</f>
        <v>1601.4831943359372</v>
      </c>
      <c r="I21" s="147">
        <f>SLN(I18,I20,I19)+SUM(E22:H22)</f>
        <v>2350.8624818847647</v>
      </c>
      <c r="J21" s="147">
        <f>SLN(J18,J20,J19)+SUM(F22:I22)</f>
        <v>2725.3527378112785</v>
      </c>
      <c r="K21" s="147">
        <f t="shared" ref="K21:X21" si="8">SLN(K18,K20,K19)+SUM(G22:J22)</f>
        <v>2771.0524325500478</v>
      </c>
      <c r="L21" s="147">
        <f t="shared" si="8"/>
        <v>3165.0777128746022</v>
      </c>
      <c r="M21" s="147">
        <f t="shared" si="8"/>
        <v>2776.7611558702456</v>
      </c>
      <c r="N21" s="147">
        <f t="shared" si="8"/>
        <v>2579.2718541340819</v>
      </c>
      <c r="O21" s="147">
        <f t="shared" si="8"/>
        <v>2061.4396882620863</v>
      </c>
      <c r="P21" s="147">
        <f t="shared" si="8"/>
        <v>1922.5019521217994</v>
      </c>
      <c r="Q21" s="147">
        <f t="shared" si="8"/>
        <v>1543.9186229265033</v>
      </c>
      <c r="R21" s="147">
        <f t="shared" si="8"/>
        <v>1334.8120425091445</v>
      </c>
      <c r="S21" s="147">
        <f t="shared" si="8"/>
        <v>948.81242547884199</v>
      </c>
      <c r="T21" s="147">
        <f t="shared" si="8"/>
        <v>741.74364414013792</v>
      </c>
      <c r="U21" s="147">
        <f t="shared" si="8"/>
        <v>645.63448230415815</v>
      </c>
      <c r="V21" s="147">
        <f t="shared" si="8"/>
        <v>553.2559000536736</v>
      </c>
      <c r="W21" s="147">
        <f t="shared" si="8"/>
        <v>469.96018434139529</v>
      </c>
      <c r="X21" s="147">
        <f t="shared" si="8"/>
        <v>353.10535785279234</v>
      </c>
    </row>
    <row r="22" spans="3:24" s="1" customFormat="1" x14ac:dyDescent="0.25">
      <c r="C22" s="13" t="s">
        <v>950</v>
      </c>
      <c r="D22" s="146"/>
      <c r="E22" s="328">
        <f>SLN(E18,E20,E19)</f>
        <v>449.18094374999993</v>
      </c>
      <c r="F22" s="328">
        <f t="shared" ref="F22:X22" si="9">SLN(F18,F20,F19)</f>
        <v>245.00778749999995</v>
      </c>
      <c r="G22" s="328">
        <f t="shared" si="9"/>
        <v>183.75584062499996</v>
      </c>
      <c r="H22" s="328">
        <f t="shared" si="9"/>
        <v>723.53862246093729</v>
      </c>
      <c r="I22" s="328">
        <f t="shared" si="9"/>
        <v>749.37928754882773</v>
      </c>
      <c r="J22" s="328">
        <f t="shared" si="9"/>
        <v>823.67119967651342</v>
      </c>
      <c r="K22" s="328">
        <f t="shared" si="9"/>
        <v>290.70748223876944</v>
      </c>
      <c r="L22" s="328">
        <f t="shared" si="9"/>
        <v>577.78112094955418</v>
      </c>
      <c r="M22" s="328">
        <f t="shared" si="9"/>
        <v>335.22206545658099</v>
      </c>
      <c r="N22" s="328">
        <f t="shared" si="9"/>
        <v>551.88998581266367</v>
      </c>
      <c r="O22" s="328">
        <f t="shared" si="9"/>
        <v>305.83903380451784</v>
      </c>
      <c r="P22" s="328">
        <f t="shared" si="9"/>
        <v>151.76974609848256</v>
      </c>
      <c r="Q22" s="328">
        <f t="shared" si="9"/>
        <v>199.19779175425836</v>
      </c>
      <c r="R22" s="328">
        <f t="shared" si="9"/>
        <v>126.11548503922202</v>
      </c>
      <c r="S22" s="328">
        <f t="shared" si="9"/>
        <v>165.89036878236124</v>
      </c>
      <c r="T22" s="328">
        <f t="shared" si="9"/>
        <v>98.770252465813769</v>
      </c>
      <c r="U22" s="328">
        <f t="shared" si="9"/>
        <v>55.660584262502788</v>
      </c>
      <c r="V22" s="328">
        <f t="shared" si="9"/>
        <v>106.81920950377373</v>
      </c>
      <c r="W22" s="328">
        <f t="shared" si="9"/>
        <v>42.819769326943785</v>
      </c>
      <c r="X22" s="328">
        <f t="shared" si="9"/>
        <v>49.035542293758205</v>
      </c>
    </row>
    <row r="23" spans="3:24" x14ac:dyDescent="0.25">
      <c r="C23" s="13" t="s">
        <v>946</v>
      </c>
      <c r="E23" s="338">
        <f>E17-E21</f>
        <v>1796.7237749999997</v>
      </c>
      <c r="F23" s="338">
        <f t="shared" ref="F23:X23" si="10">F17+E23-F21</f>
        <v>2327.5739812499996</v>
      </c>
      <c r="G23" s="338">
        <f t="shared" si="10"/>
        <v>2368.4086124999994</v>
      </c>
      <c r="H23" s="338">
        <f t="shared" si="10"/>
        <v>4384.6185304687497</v>
      </c>
      <c r="I23" s="338">
        <f t="shared" si="10"/>
        <v>5780.6524863281238</v>
      </c>
      <c r="J23" s="338">
        <f t="shared" si="10"/>
        <v>7173.6557468994133</v>
      </c>
      <c r="K23" s="338">
        <f t="shared" si="10"/>
        <v>5856.1407255432132</v>
      </c>
      <c r="L23" s="338">
        <f t="shared" si="10"/>
        <v>5579.9686174163826</v>
      </c>
      <c r="M23" s="338">
        <f t="shared" si="10"/>
        <v>4479.317788829042</v>
      </c>
      <c r="N23" s="338">
        <f t="shared" si="10"/>
        <v>4659.4958637582786</v>
      </c>
      <c r="O23" s="338">
        <f t="shared" si="10"/>
        <v>4127.2513445187815</v>
      </c>
      <c r="P23" s="338">
        <f t="shared" si="10"/>
        <v>2963.5981228893952</v>
      </c>
      <c r="Q23" s="338">
        <f t="shared" si="10"/>
        <v>2415.6684587341838</v>
      </c>
      <c r="R23" s="338">
        <f t="shared" si="10"/>
        <v>1711.4338414211495</v>
      </c>
      <c r="S23" s="338">
        <f t="shared" si="10"/>
        <v>1592.0732598541138</v>
      </c>
      <c r="T23" s="338">
        <f t="shared" si="10"/>
        <v>1344.1808780430447</v>
      </c>
      <c r="U23" s="338">
        <f t="shared" si="10"/>
        <v>976.84931705140048</v>
      </c>
      <c r="V23" s="338">
        <f t="shared" si="10"/>
        <v>957.68946451659565</v>
      </c>
      <c r="W23" s="338">
        <f t="shared" si="10"/>
        <v>701.82812680991924</v>
      </c>
      <c r="X23" s="338">
        <f t="shared" si="10"/>
        <v>593.90048042591798</v>
      </c>
    </row>
    <row r="25" spans="3:24" x14ac:dyDescent="0.25">
      <c r="C25" s="532" t="s">
        <v>175</v>
      </c>
      <c r="E25" s="522"/>
      <c r="F25" s="522"/>
      <c r="G25" s="522"/>
      <c r="H25" s="522"/>
      <c r="I25" s="522"/>
      <c r="J25" s="522"/>
      <c r="K25" s="522"/>
      <c r="L25" s="522"/>
      <c r="M25" s="522"/>
      <c r="N25" s="522"/>
      <c r="O25" s="522"/>
      <c r="P25" s="522"/>
      <c r="Q25" s="522"/>
      <c r="R25" s="522"/>
      <c r="S25" s="522"/>
      <c r="T25" s="522"/>
      <c r="U25" s="522"/>
      <c r="V25" s="522"/>
      <c r="W25" s="522"/>
      <c r="X25" s="522"/>
    </row>
    <row r="26" spans="3:24" x14ac:dyDescent="0.25">
      <c r="C26" s="13" t="s">
        <v>943</v>
      </c>
      <c r="E26" s="328">
        <f>Storage!F46</f>
        <v>0</v>
      </c>
      <c r="F26" s="345">
        <f>Storage!G46</f>
        <v>24.37158203125</v>
      </c>
      <c r="G26" s="345">
        <f>Storage!H46</f>
        <v>72.651147460937494</v>
      </c>
      <c r="H26" s="345">
        <f>Storage!I46</f>
        <v>114.89606567382813</v>
      </c>
      <c r="I26" s="345">
        <f>Storage!J46</f>
        <v>152.48302850341798</v>
      </c>
      <c r="J26" s="345">
        <f>Storage!K46</f>
        <v>186.51149979553222</v>
      </c>
      <c r="K26" s="345">
        <f>Storage!L46</f>
        <v>217.85590823837282</v>
      </c>
      <c r="L26" s="345">
        <f>Storage!M46</f>
        <v>247.2084199732742</v>
      </c>
      <c r="M26" s="345">
        <f>Storage!N46</f>
        <v>275.11394271327936</v>
      </c>
      <c r="N26" s="345">
        <f>Storage!O46</f>
        <v>301.99872953344675</v>
      </c>
      <c r="O26" s="345">
        <f>Storage!P46</f>
        <v>328.19371483870265</v>
      </c>
      <c r="P26" s="345">
        <f>Storage!Q46</f>
        <v>353.95351927069169</v>
      </c>
      <c r="Q26" s="345">
        <f>Storage!R46</f>
        <v>379.47189781265075</v>
      </c>
      <c r="R26" s="345">
        <f>Storage!S46</f>
        <v>404.89427052249403</v>
      </c>
      <c r="S26" s="345">
        <f>Storage!T46</f>
        <v>430.32786352328719</v>
      </c>
      <c r="T26" s="345">
        <f>Storage!U46</f>
        <v>455.84989523239875</v>
      </c>
      <c r="U26" s="345">
        <f>Storage!V46</f>
        <v>481.51416608544042</v>
      </c>
      <c r="V26" s="345">
        <f>Storage!W46</f>
        <v>507.35634651640311</v>
      </c>
      <c r="W26" s="345">
        <f>Storage!X46</f>
        <v>533.39820544834208</v>
      </c>
      <c r="X26" s="345">
        <f>Storage!Y46</f>
        <v>559.65097816189279</v>
      </c>
    </row>
    <row r="27" spans="3:24" x14ac:dyDescent="0.25">
      <c r="C27" s="13" t="s">
        <v>942</v>
      </c>
      <c r="E27" s="328">
        <f>E26</f>
        <v>0</v>
      </c>
      <c r="F27" s="328">
        <f t="shared" ref="F27:X27" si="11">F26</f>
        <v>24.37158203125</v>
      </c>
      <c r="G27" s="328">
        <f t="shared" si="11"/>
        <v>72.651147460937494</v>
      </c>
      <c r="H27" s="328">
        <f t="shared" si="11"/>
        <v>114.89606567382813</v>
      </c>
      <c r="I27" s="328">
        <f t="shared" si="11"/>
        <v>152.48302850341798</v>
      </c>
      <c r="J27" s="328">
        <f t="shared" si="11"/>
        <v>186.51149979553222</v>
      </c>
      <c r="K27" s="328">
        <f t="shared" si="11"/>
        <v>217.85590823837282</v>
      </c>
      <c r="L27" s="328">
        <f t="shared" si="11"/>
        <v>247.2084199732742</v>
      </c>
      <c r="M27" s="328">
        <f t="shared" si="11"/>
        <v>275.11394271327936</v>
      </c>
      <c r="N27" s="328">
        <f t="shared" si="11"/>
        <v>301.99872953344675</v>
      </c>
      <c r="O27" s="328">
        <f t="shared" si="11"/>
        <v>328.19371483870265</v>
      </c>
      <c r="P27" s="328">
        <f t="shared" si="11"/>
        <v>353.95351927069169</v>
      </c>
      <c r="Q27" s="328">
        <f t="shared" si="11"/>
        <v>379.47189781265075</v>
      </c>
      <c r="R27" s="328">
        <f t="shared" si="11"/>
        <v>404.89427052249403</v>
      </c>
      <c r="S27" s="328">
        <f t="shared" si="11"/>
        <v>430.32786352328719</v>
      </c>
      <c r="T27" s="328">
        <f t="shared" si="11"/>
        <v>455.84989523239875</v>
      </c>
      <c r="U27" s="328">
        <f t="shared" si="11"/>
        <v>481.51416608544042</v>
      </c>
      <c r="V27" s="328">
        <f t="shared" si="11"/>
        <v>507.35634651640311</v>
      </c>
      <c r="W27" s="328">
        <f t="shared" si="11"/>
        <v>533.39820544834208</v>
      </c>
      <c r="X27" s="328">
        <f t="shared" si="11"/>
        <v>559.65097816189279</v>
      </c>
    </row>
    <row r="28" spans="3:24" x14ac:dyDescent="0.25">
      <c r="C28" s="13" t="s">
        <v>944</v>
      </c>
      <c r="E28" s="328">
        <f>Assumptions!$F$313</f>
        <v>2</v>
      </c>
      <c r="F28" s="328">
        <f>E28</f>
        <v>2</v>
      </c>
      <c r="G28" s="328">
        <f t="shared" ref="G28:X28" si="12">F28</f>
        <v>2</v>
      </c>
      <c r="H28" s="328">
        <f t="shared" si="12"/>
        <v>2</v>
      </c>
      <c r="I28" s="328">
        <f t="shared" si="12"/>
        <v>2</v>
      </c>
      <c r="J28" s="328">
        <f t="shared" si="12"/>
        <v>2</v>
      </c>
      <c r="K28" s="328">
        <f t="shared" si="12"/>
        <v>2</v>
      </c>
      <c r="L28" s="328">
        <f t="shared" si="12"/>
        <v>2</v>
      </c>
      <c r="M28" s="328">
        <f t="shared" si="12"/>
        <v>2</v>
      </c>
      <c r="N28" s="328">
        <f t="shared" si="12"/>
        <v>2</v>
      </c>
      <c r="O28" s="328">
        <f t="shared" si="12"/>
        <v>2</v>
      </c>
      <c r="P28" s="328">
        <f t="shared" si="12"/>
        <v>2</v>
      </c>
      <c r="Q28" s="328">
        <f t="shared" si="12"/>
        <v>2</v>
      </c>
      <c r="R28" s="328">
        <f t="shared" si="12"/>
        <v>2</v>
      </c>
      <c r="S28" s="328">
        <f t="shared" si="12"/>
        <v>2</v>
      </c>
      <c r="T28" s="328">
        <f t="shared" si="12"/>
        <v>2</v>
      </c>
      <c r="U28" s="328">
        <f t="shared" si="12"/>
        <v>2</v>
      </c>
      <c r="V28" s="328">
        <f t="shared" si="12"/>
        <v>2</v>
      </c>
      <c r="W28" s="328">
        <f t="shared" si="12"/>
        <v>2</v>
      </c>
      <c r="X28" s="328">
        <f t="shared" si="12"/>
        <v>2</v>
      </c>
    </row>
    <row r="29" spans="3:24" x14ac:dyDescent="0.25">
      <c r="C29" s="13" t="s">
        <v>933</v>
      </c>
      <c r="E29" s="328">
        <f>Assumptions!$J$313</f>
        <v>0</v>
      </c>
      <c r="F29" s="328">
        <f>Assumptions!$J$313</f>
        <v>0</v>
      </c>
      <c r="G29" s="328">
        <f>Assumptions!$J$313</f>
        <v>0</v>
      </c>
      <c r="H29" s="328">
        <f>Assumptions!$J$313</f>
        <v>0</v>
      </c>
      <c r="I29" s="328">
        <f>Assumptions!$J$313</f>
        <v>0</v>
      </c>
      <c r="J29" s="328">
        <f>Assumptions!$J$313</f>
        <v>0</v>
      </c>
      <c r="K29" s="328">
        <f>Assumptions!$J$313</f>
        <v>0</v>
      </c>
      <c r="L29" s="328">
        <f>Assumptions!$J$313</f>
        <v>0</v>
      </c>
      <c r="M29" s="328">
        <f>Assumptions!$J$313</f>
        <v>0</v>
      </c>
      <c r="N29" s="328">
        <f>Assumptions!$J$313</f>
        <v>0</v>
      </c>
      <c r="O29" s="328">
        <f>Assumptions!$J$313</f>
        <v>0</v>
      </c>
      <c r="P29" s="328">
        <f>Assumptions!$J$313</f>
        <v>0</v>
      </c>
      <c r="Q29" s="328">
        <f>Assumptions!$J$313</f>
        <v>0</v>
      </c>
      <c r="R29" s="328">
        <f>Assumptions!$J$313</f>
        <v>0</v>
      </c>
      <c r="S29" s="328">
        <f>Assumptions!$J$313</f>
        <v>0</v>
      </c>
      <c r="T29" s="328">
        <f>Assumptions!$J$313</f>
        <v>0</v>
      </c>
      <c r="U29" s="328">
        <f>Assumptions!$J$313</f>
        <v>0</v>
      </c>
      <c r="V29" s="328">
        <f>Assumptions!$J$313</f>
        <v>0</v>
      </c>
      <c r="W29" s="328">
        <f>Assumptions!$J$313</f>
        <v>0</v>
      </c>
      <c r="X29" s="328">
        <f>Assumptions!$J$313</f>
        <v>0</v>
      </c>
    </row>
    <row r="30" spans="3:24" x14ac:dyDescent="0.25">
      <c r="C30" s="1" t="s">
        <v>975</v>
      </c>
      <c r="E30" s="147">
        <f>SLN(E27,E29,E28)</f>
        <v>0</v>
      </c>
      <c r="F30" s="147">
        <f t="shared" ref="F30:X30" si="13">SLN(F27,F29,F28)+SLN(E31,E29,(E28-1))</f>
        <v>12.185791015625</v>
      </c>
      <c r="G30" s="147">
        <f t="shared" si="13"/>
        <v>48.511364746093747</v>
      </c>
      <c r="H30" s="147">
        <f t="shared" si="13"/>
        <v>93.773606567382814</v>
      </c>
      <c r="I30" s="147">
        <f t="shared" si="13"/>
        <v>133.68954708862304</v>
      </c>
      <c r="J30" s="147">
        <f t="shared" si="13"/>
        <v>169.49726414947509</v>
      </c>
      <c r="K30" s="147">
        <f t="shared" si="13"/>
        <v>202.18370401695253</v>
      </c>
      <c r="L30" s="147">
        <f t="shared" si="13"/>
        <v>232.53216410582351</v>
      </c>
      <c r="M30" s="147">
        <f t="shared" si="13"/>
        <v>261.16118134327678</v>
      </c>
      <c r="N30" s="147">
        <f t="shared" si="13"/>
        <v>288.55633612336305</v>
      </c>
      <c r="O30" s="147">
        <f t="shared" si="13"/>
        <v>315.09622218607467</v>
      </c>
      <c r="P30" s="147">
        <f t="shared" si="13"/>
        <v>341.07361705469719</v>
      </c>
      <c r="Q30" s="147">
        <f t="shared" si="13"/>
        <v>366.7127085416713</v>
      </c>
      <c r="R30" s="147">
        <f t="shared" si="13"/>
        <v>392.18308416757236</v>
      </c>
      <c r="S30" s="147">
        <f t="shared" si="13"/>
        <v>417.61106702289061</v>
      </c>
      <c r="T30" s="147">
        <f t="shared" si="13"/>
        <v>443.088879377843</v>
      </c>
      <c r="U30" s="147">
        <f t="shared" si="13"/>
        <v>468.68203065891953</v>
      </c>
      <c r="V30" s="147">
        <f t="shared" si="13"/>
        <v>494.43525630092188</v>
      </c>
      <c r="W30" s="147">
        <f t="shared" si="13"/>
        <v>520.37727598237257</v>
      </c>
      <c r="X30" s="147">
        <f t="shared" si="13"/>
        <v>546.52459180511755</v>
      </c>
    </row>
    <row r="31" spans="3:24" x14ac:dyDescent="0.25">
      <c r="C31" s="13" t="s">
        <v>946</v>
      </c>
      <c r="E31" s="338">
        <f>E26-E30</f>
        <v>0</v>
      </c>
      <c r="F31" s="338">
        <f t="shared" ref="F31:X31" si="14">F26+E31-F30</f>
        <v>12.185791015625</v>
      </c>
      <c r="G31" s="338">
        <f t="shared" si="14"/>
        <v>36.325573730468747</v>
      </c>
      <c r="H31" s="338">
        <f t="shared" si="14"/>
        <v>57.448032836914052</v>
      </c>
      <c r="I31" s="338">
        <f t="shared" si="14"/>
        <v>76.241514251708992</v>
      </c>
      <c r="J31" s="338">
        <f t="shared" si="14"/>
        <v>93.255749897766123</v>
      </c>
      <c r="K31" s="338">
        <f t="shared" si="14"/>
        <v>108.92795411918641</v>
      </c>
      <c r="L31" s="338">
        <f t="shared" si="14"/>
        <v>123.60420998663713</v>
      </c>
      <c r="M31" s="338">
        <f t="shared" si="14"/>
        <v>137.55697135663968</v>
      </c>
      <c r="N31" s="338">
        <f t="shared" si="14"/>
        <v>150.99936476672337</v>
      </c>
      <c r="O31" s="338">
        <f t="shared" si="14"/>
        <v>164.09685741935135</v>
      </c>
      <c r="P31" s="338">
        <f t="shared" si="14"/>
        <v>176.9767596353459</v>
      </c>
      <c r="Q31" s="338">
        <f t="shared" si="14"/>
        <v>189.73594890632535</v>
      </c>
      <c r="R31" s="338">
        <f t="shared" si="14"/>
        <v>202.44713526124701</v>
      </c>
      <c r="S31" s="338">
        <f t="shared" si="14"/>
        <v>215.1639317616436</v>
      </c>
      <c r="T31" s="338">
        <f t="shared" si="14"/>
        <v>227.92494761619935</v>
      </c>
      <c r="U31" s="338">
        <f t="shared" si="14"/>
        <v>240.7570830427203</v>
      </c>
      <c r="V31" s="338">
        <f t="shared" si="14"/>
        <v>253.67817325820158</v>
      </c>
      <c r="W31" s="338">
        <f t="shared" si="14"/>
        <v>266.6991027241711</v>
      </c>
      <c r="X31" s="338">
        <f t="shared" si="14"/>
        <v>279.82548908094634</v>
      </c>
    </row>
    <row r="33" spans="1:24" ht="13.8" thickBot="1" x14ac:dyDescent="0.3">
      <c r="B33" s="523" t="s">
        <v>947</v>
      </c>
      <c r="C33" s="47"/>
      <c r="D33" s="524"/>
      <c r="E33" s="525">
        <f>IF(Assumptions!$O$311=1,E12+E21+E30,E21+E30)</f>
        <v>449.18094374999993</v>
      </c>
      <c r="F33" s="525">
        <f>IF(Assumptions!$O$311=1,F12+F21+F30,F21+F30)</f>
        <v>706.37452226562482</v>
      </c>
      <c r="G33" s="525">
        <f>IF(Assumptions!$O$311=1,G12+G21+G30,G21+G30)</f>
        <v>926.45593662109354</v>
      </c>
      <c r="H33" s="525">
        <f>IF(Assumptions!$O$311=1,H12+H21+H30,H21+H30)</f>
        <v>1695.25680090332</v>
      </c>
      <c r="I33" s="525">
        <f>IF(Assumptions!$O$311=1,I12+I21+I30,I21+I30)</f>
        <v>2484.5520289733877</v>
      </c>
      <c r="J33" s="525">
        <f>IF(Assumptions!$O$311=1,J12+J21+J30,J21+J30)</f>
        <v>2894.8500019607536</v>
      </c>
      <c r="K33" s="525">
        <f>IF(Assumptions!$O$311=1,K12+K21+K30,K21+K30)</f>
        <v>2973.2361365670004</v>
      </c>
      <c r="L33" s="525">
        <f>IF(Assumptions!$O$311=1,L12+L21+L30,L21+L30)</f>
        <v>3397.6098769804257</v>
      </c>
      <c r="M33" s="525">
        <f>IF(Assumptions!$O$311=1,M12+M21+M30,M21+M30)</f>
        <v>3037.9223372135225</v>
      </c>
      <c r="N33" s="525">
        <f>IF(Assumptions!$O$311=1,N12+N21+N30,N21+N30)</f>
        <v>2867.8281902574449</v>
      </c>
      <c r="O33" s="525">
        <f>IF(Assumptions!$O$311=1,O12+O21+O30,O21+O30)</f>
        <v>2376.5359104481608</v>
      </c>
      <c r="P33" s="525">
        <f>IF(Assumptions!$O$311=1,P12+P21+P30,P21+P30)</f>
        <v>2263.5755691764966</v>
      </c>
      <c r="Q33" s="525">
        <f>IF(Assumptions!$O$311=1,Q12+Q21+Q30,Q21+Q30)</f>
        <v>1910.6313314681747</v>
      </c>
      <c r="R33" s="525">
        <f>IF(Assumptions!$O$311=1,R12+R21+R30,R21+R30)</f>
        <v>1726.9951266767168</v>
      </c>
      <c r="S33" s="525">
        <f>IF(Assumptions!$O$311=1,S12+S21+S30,S21+S30)</f>
        <v>1366.4234925017327</v>
      </c>
      <c r="T33" s="525">
        <f>IF(Assumptions!$O$311=1,T12+T21+T30,T21+T30)</f>
        <v>1184.8325235179809</v>
      </c>
      <c r="U33" s="525">
        <f>IF(Assumptions!$O$311=1,U12+U21+U30,U21+U30)</f>
        <v>1114.3165129630777</v>
      </c>
      <c r="V33" s="525">
        <f>IF(Assumptions!$O$311=1,V12+V21+V30,V21+V30)</f>
        <v>1047.6911563545955</v>
      </c>
      <c r="W33" s="525">
        <f>IF(Assumptions!$O$311=1,W12+W21+W30,W21+W30)</f>
        <v>990.3374603237678</v>
      </c>
      <c r="X33" s="525">
        <f>IF(Assumptions!$O$311=1,X12+X21+X30,X21+X30)</f>
        <v>899.62994965790995</v>
      </c>
    </row>
    <row r="34" spans="1:24" ht="13.8" thickTop="1" x14ac:dyDescent="0.25"/>
    <row r="35" spans="1:24" ht="13.8" thickBot="1" x14ac:dyDescent="0.3">
      <c r="A35" s="18"/>
      <c r="B35" s="18"/>
      <c r="C35" s="18"/>
      <c r="D35" s="2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</sheetData>
  <customSheetViews>
    <customSheetView guid="{00A591F2-C6CE-11D4-B3FE-00409628F381}" scale="75" showPageBreaks="1" fitToPage="1" showRuler="0">
      <selection activeCell="E14" sqref="E14"/>
      <pageMargins left="0.75" right="0.75" top="1" bottom="1" header="0.5" footer="0.5"/>
      <pageSetup paperSize="5" scale="66" orientation="landscape" r:id="rId1"/>
      <headerFooter alignWithMargins="0"/>
    </customSheetView>
    <customSheetView guid="{39AEF1F3-C6CC-11D4-B3CC-0080C71F7D28}" scale="75" showRuler="0">
      <selection activeCell="E14" sqref="E14"/>
      <pageMargins left="0.75" right="0.75" top="1" bottom="1" header="0.5" footer="0.5"/>
      <pageSetup orientation="portrait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66"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70"/>
  <sheetViews>
    <sheetView zoomScale="75" zoomScaleNormal="66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44" sqref="F44"/>
    </sheetView>
  </sheetViews>
  <sheetFormatPr defaultColWidth="9.109375" defaultRowHeight="13.2" x14ac:dyDescent="0.25"/>
  <cols>
    <col min="1" max="1" width="3" style="13" customWidth="1"/>
    <col min="2" max="2" width="4.33203125" style="13" customWidth="1"/>
    <col min="3" max="3" width="39.5546875" style="13" customWidth="1"/>
    <col min="4" max="4" width="12.88671875" style="13" bestFit="1" customWidth="1"/>
    <col min="5" max="5" width="2.33203125" style="13" customWidth="1"/>
    <col min="6" max="6" width="14.109375" style="13" customWidth="1"/>
    <col min="7" max="14" width="12.6640625" style="13" customWidth="1"/>
    <col min="15" max="15" width="13.5546875" style="13" customWidth="1"/>
    <col min="16" max="24" width="15.6640625" style="13" customWidth="1"/>
    <col min="25" max="25" width="11.5546875" style="13" customWidth="1"/>
    <col min="26" max="26" width="12.88671875" style="38" customWidth="1"/>
    <col min="27" max="27" width="7.88671875" style="38" customWidth="1"/>
    <col min="28" max="28" width="17.44140625" style="13" customWidth="1"/>
    <col min="29" max="29" width="7.88671875" style="13" customWidth="1"/>
    <col min="30" max="16384" width="9.109375" style="13"/>
  </cols>
  <sheetData>
    <row r="1" spans="1:27" x14ac:dyDescent="0.25">
      <c r="A1" s="650" t="s">
        <v>952</v>
      </c>
      <c r="B1" s="651"/>
      <c r="C1" s="651"/>
      <c r="D1" s="33"/>
      <c r="E1" s="3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71"/>
      <c r="AA1" s="171"/>
    </row>
    <row r="2" spans="1:27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1"/>
      <c r="AA2" s="171"/>
    </row>
    <row r="3" spans="1:27" ht="13.8" thickBo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71"/>
      <c r="AA3" s="171"/>
    </row>
    <row r="4" spans="1:27" x14ac:dyDescent="0.25">
      <c r="A4" s="16" t="s">
        <v>958</v>
      </c>
      <c r="B4" s="15"/>
      <c r="C4" s="15"/>
      <c r="D4" s="15"/>
      <c r="E4" s="15"/>
      <c r="F4" s="37">
        <v>2001</v>
      </c>
      <c r="G4" s="37">
        <v>2002</v>
      </c>
      <c r="H4" s="37">
        <v>2003</v>
      </c>
      <c r="I4" s="37">
        <v>2004</v>
      </c>
      <c r="J4" s="37">
        <v>2005</v>
      </c>
      <c r="K4" s="37">
        <v>2006</v>
      </c>
      <c r="L4" s="37">
        <v>2007</v>
      </c>
      <c r="M4" s="37">
        <v>2008</v>
      </c>
      <c r="N4" s="37">
        <v>2009</v>
      </c>
      <c r="O4" s="37">
        <v>2010</v>
      </c>
      <c r="P4" s="37">
        <v>2011</v>
      </c>
      <c r="Q4" s="37">
        <v>2012</v>
      </c>
      <c r="R4" s="37">
        <v>2013</v>
      </c>
      <c r="S4" s="37">
        <v>2014</v>
      </c>
      <c r="T4" s="37">
        <v>2015</v>
      </c>
      <c r="U4" s="37">
        <v>2016</v>
      </c>
      <c r="V4" s="37">
        <v>2017</v>
      </c>
      <c r="W4" s="37">
        <v>2018</v>
      </c>
      <c r="X4" s="37">
        <v>2019</v>
      </c>
      <c r="Y4" s="37">
        <v>2020</v>
      </c>
      <c r="Z4" s="174"/>
      <c r="AA4" s="171"/>
    </row>
    <row r="5" spans="1:27" ht="13.8" thickBot="1" x14ac:dyDescent="0.3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71"/>
      <c r="AA5" s="171"/>
    </row>
    <row r="6" spans="1:27" x14ac:dyDescent="0.25">
      <c r="A6" s="15"/>
      <c r="B6" s="13" t="s">
        <v>286</v>
      </c>
      <c r="C6" s="15"/>
      <c r="D6" s="15"/>
      <c r="E6" s="15"/>
      <c r="F6" s="20">
        <f>'Project FCF'!F5</f>
        <v>9679.8918346216069</v>
      </c>
      <c r="G6" s="20">
        <f>'Project FCF'!G5</f>
        <v>44842.917049465184</v>
      </c>
      <c r="H6" s="20">
        <f>'Project FCF'!H5</f>
        <v>162753.03567903742</v>
      </c>
      <c r="I6" s="20">
        <f>'Project FCF'!I5</f>
        <v>527157.45529150765</v>
      </c>
      <c r="J6" s="20">
        <f>'Project FCF'!J5</f>
        <v>1031810.3824692816</v>
      </c>
      <c r="K6" s="20">
        <f>'Project FCF'!K5</f>
        <v>1641073.8851990085</v>
      </c>
      <c r="L6" s="20">
        <f>'Project FCF'!L5</f>
        <v>2400998.0565802758</v>
      </c>
      <c r="M6" s="20">
        <f>'Project FCF'!M5</f>
        <v>3190622.9249297455</v>
      </c>
      <c r="N6" s="20">
        <f>'Project FCF'!N5</f>
        <v>4001011.861038697</v>
      </c>
      <c r="O6" s="20">
        <f>'Project FCF'!O5</f>
        <v>4831291.1584845111</v>
      </c>
      <c r="P6" s="20">
        <f>'Project FCF'!P5</f>
        <v>5364969.5117721474</v>
      </c>
      <c r="Q6" s="20">
        <f>'Project FCF'!Q5</f>
        <v>5998221.9978256002</v>
      </c>
      <c r="R6" s="20">
        <f>'Project FCF'!R5</f>
        <v>6602547.2276779683</v>
      </c>
      <c r="S6" s="20">
        <f>'Project FCF'!S5</f>
        <v>7247440.9611745151</v>
      </c>
      <c r="T6" s="20">
        <f>'Project FCF'!T5</f>
        <v>7842598.0657263361</v>
      </c>
      <c r="U6" s="20">
        <f>'Project FCF'!U5</f>
        <v>8375473.9944316531</v>
      </c>
      <c r="V6" s="20">
        <f>'Project FCF'!V5</f>
        <v>8932090.9672121629</v>
      </c>
      <c r="W6" s="20">
        <f>'Project FCF'!W5</f>
        <v>9715408.4563397542</v>
      </c>
      <c r="X6" s="20">
        <f>'Project FCF'!X5</f>
        <v>10540932.898125341</v>
      </c>
      <c r="Y6" s="20">
        <f>'Project FCF'!Y5</f>
        <v>11410732.42162074</v>
      </c>
      <c r="Z6" s="171"/>
      <c r="AA6" s="171"/>
    </row>
    <row r="7" spans="1:27" x14ac:dyDescent="0.25">
      <c r="A7" s="15"/>
      <c r="B7" s="13" t="s">
        <v>275</v>
      </c>
      <c r="C7" s="15"/>
      <c r="D7" s="15"/>
      <c r="E7" s="15"/>
      <c r="F7" s="20">
        <f>'Project FCF'!F6</f>
        <v>464634.8080618371</v>
      </c>
      <c r="G7" s="20">
        <f>'Project FCF'!G6</f>
        <v>2354253.1450969223</v>
      </c>
      <c r="H7" s="20">
        <f>'Project FCF'!H6</f>
        <v>9276923.0337051321</v>
      </c>
      <c r="I7" s="20">
        <f>'Project FCF'!I6</f>
        <v>32420183.500427719</v>
      </c>
      <c r="J7" s="20">
        <f>'Project FCF'!J6</f>
        <v>68099485.242972583</v>
      </c>
      <c r="K7" s="20">
        <f>'Project FCF'!K6</f>
        <v>108310876.42313455</v>
      </c>
      <c r="L7" s="20">
        <f>'Project FCF'!L6</f>
        <v>158465871.7342982</v>
      </c>
      <c r="M7" s="20">
        <f>'Project FCF'!M6</f>
        <v>210581113.04536319</v>
      </c>
      <c r="N7" s="20">
        <f>'Project FCF'!N6</f>
        <v>264066782.828554</v>
      </c>
      <c r="O7" s="20">
        <f>'Project FCF'!O6</f>
        <v>318865216.45997775</v>
      </c>
      <c r="P7" s="20">
        <f>'Project FCF'!P6</f>
        <v>354087987.77696174</v>
      </c>
      <c r="Q7" s="20">
        <f>'Project FCF'!Q6</f>
        <v>395882651.8564896</v>
      </c>
      <c r="R7" s="20">
        <f>'Project FCF'!R6</f>
        <v>435768117.02674592</v>
      </c>
      <c r="S7" s="20">
        <f>'Project FCF'!S6</f>
        <v>478331103.437518</v>
      </c>
      <c r="T7" s="20">
        <f>'Project FCF'!T6</f>
        <v>517611472.33793819</v>
      </c>
      <c r="U7" s="20">
        <f>'Project FCF'!U6</f>
        <v>552781283.63248909</v>
      </c>
      <c r="V7" s="20">
        <f>'Project FCF'!V6</f>
        <v>589518003.83600271</v>
      </c>
      <c r="W7" s="20">
        <f>'Project FCF'!W6</f>
        <v>641216958.11842382</v>
      </c>
      <c r="X7" s="20">
        <f>'Project FCF'!X6</f>
        <v>695701571.27627254</v>
      </c>
      <c r="Y7" s="20">
        <f>'Project FCF'!Y6</f>
        <v>753108339.82696891</v>
      </c>
      <c r="Z7" s="171"/>
      <c r="AA7" s="171"/>
    </row>
    <row r="8" spans="1:27" x14ac:dyDescent="0.25">
      <c r="A8" s="15"/>
      <c r="B8" s="15"/>
      <c r="C8" s="15"/>
      <c r="D8" s="15"/>
      <c r="E8" s="15"/>
      <c r="F8" s="20"/>
      <c r="G8" s="20"/>
      <c r="H8" s="20"/>
      <c r="I8" s="20"/>
      <c r="J8" s="20"/>
      <c r="K8" s="20"/>
      <c r="L8" s="20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1"/>
    </row>
    <row r="9" spans="1:27" x14ac:dyDescent="0.25">
      <c r="A9" s="15"/>
      <c r="B9" s="1" t="s">
        <v>915</v>
      </c>
      <c r="C9" s="15"/>
      <c r="D9" s="15"/>
      <c r="E9" s="15"/>
      <c r="AA9" s="536"/>
    </row>
    <row r="10" spans="1:27" x14ac:dyDescent="0.25">
      <c r="A10" s="15"/>
      <c r="B10" s="15"/>
      <c r="C10" s="15" t="s">
        <v>427</v>
      </c>
      <c r="D10" s="15"/>
      <c r="E10" s="15"/>
      <c r="F10" s="20">
        <f>Assumptions!F97*F7/1000</f>
        <v>557.56176967420447</v>
      </c>
      <c r="G10" s="20">
        <f>Assumptions!G97*G7/1000</f>
        <v>2825.1037741163063</v>
      </c>
      <c r="H10" s="20">
        <f>Assumptions!H97*H7/1000</f>
        <v>11132.307640446159</v>
      </c>
      <c r="I10" s="20">
        <f>Assumptions!I97*I7/1000</f>
        <v>38904.220200513257</v>
      </c>
      <c r="J10" s="20">
        <f>Assumptions!J97*J7/1000</f>
        <v>81719.382291567104</v>
      </c>
      <c r="K10" s="20">
        <f>Assumptions!K97*K7/1000</f>
        <v>129973.05170776145</v>
      </c>
      <c r="L10" s="20">
        <f>Assumptions!L97*L7/1000</f>
        <v>190159.04608115784</v>
      </c>
      <c r="M10" s="20">
        <f>Assumptions!M97*M7/1000</f>
        <v>252697.33565443582</v>
      </c>
      <c r="N10" s="20">
        <f>Assumptions!N97*N7/1000</f>
        <v>316880.13939426484</v>
      </c>
      <c r="O10" s="20">
        <f>Assumptions!O97*O7/1000</f>
        <v>382638.25975197327</v>
      </c>
      <c r="P10" s="20">
        <f>Assumptions!P97*P7/1000</f>
        <v>424905.58533235407</v>
      </c>
      <c r="Q10" s="20">
        <f>Assumptions!Q97*Q7/1000</f>
        <v>475059.1822277875</v>
      </c>
      <c r="R10" s="20">
        <f>Assumptions!R97*R7/1000</f>
        <v>522921.74043209507</v>
      </c>
      <c r="S10" s="20">
        <f>Assumptions!S97*S7/1000</f>
        <v>573997.32412502158</v>
      </c>
      <c r="T10" s="20">
        <f>Assumptions!T97*T7/1000</f>
        <v>621133.76680552575</v>
      </c>
      <c r="U10" s="20">
        <f>Assumptions!U97*U7/1000</f>
        <v>663337.54035898682</v>
      </c>
      <c r="V10" s="20">
        <f>Assumptions!V97*V7/1000</f>
        <v>707421.60460320313</v>
      </c>
      <c r="W10" s="20">
        <f>Assumptions!W97*W7/1000</f>
        <v>769460.34974210861</v>
      </c>
      <c r="X10" s="20">
        <f>Assumptions!X97*X7/1000</f>
        <v>834841.88553152699</v>
      </c>
      <c r="Y10" s="20">
        <f>Assumptions!Y97*Y7/1000</f>
        <v>903730.00779236271</v>
      </c>
      <c r="Z10" s="205"/>
      <c r="AA10" s="205"/>
    </row>
    <row r="11" spans="1:27" x14ac:dyDescent="0.25">
      <c r="A11" s="15"/>
      <c r="B11" s="15"/>
      <c r="C11" s="15" t="s">
        <v>954</v>
      </c>
      <c r="D11" s="15"/>
      <c r="E11" s="15"/>
      <c r="F11" s="20">
        <f>'Project FCF'!F10*Assumptions!$F$56</f>
        <v>869.44788458571281</v>
      </c>
      <c r="G11" s="20">
        <f>'Project FCF'!G10*Assumptions!$F$56</f>
        <v>3158.3429247972504</v>
      </c>
      <c r="H11" s="20">
        <f>'Project FCF'!H10*Assumptions!$F$56</f>
        <v>10590.68685530818</v>
      </c>
      <c r="I11" s="20">
        <f>'Project FCF'!I10*Assumptions!$F$56</f>
        <v>0</v>
      </c>
      <c r="J11" s="20">
        <f>'Project FCF'!J10*Assumptions!$F$56</f>
        <v>0</v>
      </c>
      <c r="K11" s="20">
        <f>'Project FCF'!K10*Assumptions!$F$56</f>
        <v>0</v>
      </c>
      <c r="L11" s="20">
        <f>'Project FCF'!L10*Assumptions!$F$56</f>
        <v>0</v>
      </c>
      <c r="M11" s="20">
        <f>'Project FCF'!M10*Assumptions!$F$56</f>
        <v>0</v>
      </c>
      <c r="N11" s="20">
        <f>'Project FCF'!N10*Assumptions!$F$56</f>
        <v>0</v>
      </c>
      <c r="O11" s="20">
        <f>'Project FCF'!O10*Assumptions!$F$56</f>
        <v>0</v>
      </c>
      <c r="P11" s="20">
        <f>'Project FCF'!P10*Assumptions!$F$56</f>
        <v>0</v>
      </c>
      <c r="Q11" s="20">
        <f>'Project FCF'!Q10*Assumptions!$F$56</f>
        <v>0</v>
      </c>
      <c r="R11" s="20">
        <f>'Project FCF'!R10*Assumptions!$F$56</f>
        <v>0</v>
      </c>
      <c r="S11" s="20">
        <f>'Project FCF'!S10*Assumptions!$F$56</f>
        <v>0</v>
      </c>
      <c r="T11" s="20">
        <f>'Project FCF'!T10*Assumptions!$F$56</f>
        <v>0</v>
      </c>
      <c r="U11" s="20">
        <f>'Project FCF'!U10*Assumptions!$F$56</f>
        <v>0</v>
      </c>
      <c r="V11" s="20">
        <f>'Project FCF'!V10*Assumptions!$F$56</f>
        <v>0</v>
      </c>
      <c r="W11" s="20">
        <f>'Project FCF'!W10*Assumptions!$F$56</f>
        <v>0</v>
      </c>
      <c r="X11" s="20">
        <f>'Project FCF'!X10*Assumptions!$F$56</f>
        <v>0</v>
      </c>
      <c r="Y11" s="20">
        <f>'Project FCF'!Y10*Assumptions!$F$56</f>
        <v>0</v>
      </c>
      <c r="Z11" s="205"/>
      <c r="AA11" s="205"/>
    </row>
    <row r="12" spans="1:27" ht="15" x14ac:dyDescent="0.4">
      <c r="A12" s="15"/>
      <c r="B12" s="15"/>
      <c r="C12" s="15" t="s">
        <v>385</v>
      </c>
      <c r="D12" s="15"/>
      <c r="E12" s="15"/>
      <c r="F12" s="21">
        <f>F6*Assumptions!F95*Assumptions!$E$122*12/1000</f>
        <v>145.19837751932411</v>
      </c>
      <c r="G12" s="21">
        <f>G6*Assumptions!G95*Assumptions!$E$122*12/1000</f>
        <v>672.64375574197777</v>
      </c>
      <c r="H12" s="21">
        <f>H6*Assumptions!H95*Assumptions!$E$122*12/1000</f>
        <v>2441.2955351855617</v>
      </c>
      <c r="I12" s="21">
        <f>I6*Assumptions!I95*Assumptions!$E$122*12/1000</f>
        <v>7907.3618293726149</v>
      </c>
      <c r="J12" s="21">
        <f>J6*Assumptions!J95*Assumptions!$E$122*12/1000</f>
        <v>15477.155737039224</v>
      </c>
      <c r="K12" s="21">
        <f>K6*Assumptions!K95*Assumptions!$E$122*12/1000</f>
        <v>24616.108277985124</v>
      </c>
      <c r="L12" s="21">
        <f>L6*Assumptions!L95*Assumptions!$E$122*12/1000</f>
        <v>36014.970848704135</v>
      </c>
      <c r="M12" s="21">
        <f>M6*Assumptions!M95*Assumptions!$E$122*12/1000</f>
        <v>47859.343873946185</v>
      </c>
      <c r="N12" s="21">
        <f>N6*Assumptions!N95*Assumptions!$E$122*12/1000</f>
        <v>60015.177915580454</v>
      </c>
      <c r="O12" s="21">
        <f>O6*Assumptions!O95*Assumptions!$E$122*12/1000</f>
        <v>72469.367377267656</v>
      </c>
      <c r="P12" s="21">
        <f>P6*Assumptions!P95*Assumptions!$E$122*12/1000</f>
        <v>80474.542676582219</v>
      </c>
      <c r="Q12" s="21">
        <f>Q6*Assumptions!Q95*Assumptions!$E$122*12/1000</f>
        <v>89973.329967384008</v>
      </c>
      <c r="R12" s="21">
        <f>R6*Assumptions!R95*Assumptions!$E$122*12/1000</f>
        <v>99038.208415169516</v>
      </c>
      <c r="S12" s="21">
        <f>S6*Assumptions!S95*Assumptions!$E$122*12/1000</f>
        <v>108711.61441761772</v>
      </c>
      <c r="T12" s="21">
        <f>T6*Assumptions!T95*Assumptions!$E$122*12/1000</f>
        <v>117638.97098589505</v>
      </c>
      <c r="U12" s="21">
        <f>U6*Assumptions!U95*Assumptions!$E$122*12/1000</f>
        <v>125632.1099164748</v>
      </c>
      <c r="V12" s="21">
        <f>V6*Assumptions!V95*Assumptions!$E$122*12/1000</f>
        <v>133981.36450818245</v>
      </c>
      <c r="W12" s="21">
        <f>W6*Assumptions!W95*Assumptions!$E$122*12/1000</f>
        <v>145731.12684509633</v>
      </c>
      <c r="X12" s="21">
        <f>X6*Assumptions!X95*Assumptions!$E$122*12/1000</f>
        <v>158113.99347188015</v>
      </c>
      <c r="Y12" s="21">
        <f>Y6*Assumptions!Y95*Assumptions!$E$122*12/1000</f>
        <v>171160.98632431112</v>
      </c>
      <c r="Z12" s="537"/>
      <c r="AA12" s="205"/>
    </row>
    <row r="13" spans="1:27" s="1" customFormat="1" x14ac:dyDescent="0.25">
      <c r="A13" s="17"/>
      <c r="B13" s="15" t="s">
        <v>957</v>
      </c>
      <c r="C13" s="17"/>
      <c r="D13" s="17"/>
      <c r="E13" s="17"/>
      <c r="F13" s="22">
        <f>SUM(F10:F12)</f>
        <v>1572.2080317792413</v>
      </c>
      <c r="G13" s="22">
        <f t="shared" ref="G13:O13" si="0">SUM(G10:G12)</f>
        <v>6656.0904546555339</v>
      </c>
      <c r="H13" s="22">
        <f t="shared" si="0"/>
        <v>24164.290030939905</v>
      </c>
      <c r="I13" s="22">
        <f t="shared" si="0"/>
        <v>46811.582029885874</v>
      </c>
      <c r="J13" s="22">
        <f t="shared" si="0"/>
        <v>97196.53802860633</v>
      </c>
      <c r="K13" s="22">
        <f t="shared" si="0"/>
        <v>154589.15998574658</v>
      </c>
      <c r="L13" s="22">
        <f t="shared" si="0"/>
        <v>226174.01692986197</v>
      </c>
      <c r="M13" s="22">
        <f t="shared" si="0"/>
        <v>300556.67952838202</v>
      </c>
      <c r="N13" s="22">
        <f t="shared" si="0"/>
        <v>376895.3173098453</v>
      </c>
      <c r="O13" s="22">
        <f t="shared" si="0"/>
        <v>455107.62712924089</v>
      </c>
      <c r="P13" s="22">
        <f t="shared" ref="P13:Y13" si="1">SUM(P10:P12)</f>
        <v>505380.1280089363</v>
      </c>
      <c r="Q13" s="22">
        <f t="shared" si="1"/>
        <v>565032.51219517156</v>
      </c>
      <c r="R13" s="22">
        <f t="shared" si="1"/>
        <v>621959.94884726463</v>
      </c>
      <c r="S13" s="22">
        <f t="shared" si="1"/>
        <v>682708.93854263925</v>
      </c>
      <c r="T13" s="22">
        <f t="shared" si="1"/>
        <v>738772.73779142078</v>
      </c>
      <c r="U13" s="22">
        <f t="shared" si="1"/>
        <v>788969.65027546161</v>
      </c>
      <c r="V13" s="22">
        <f t="shared" si="1"/>
        <v>841402.96911138552</v>
      </c>
      <c r="W13" s="22">
        <f t="shared" si="1"/>
        <v>915191.47658720496</v>
      </c>
      <c r="X13" s="22">
        <f t="shared" si="1"/>
        <v>992955.8790034072</v>
      </c>
      <c r="Y13" s="22">
        <f t="shared" si="1"/>
        <v>1074890.9941166737</v>
      </c>
      <c r="Z13" s="538"/>
      <c r="AA13" s="205"/>
    </row>
    <row r="14" spans="1:27" x14ac:dyDescent="0.25">
      <c r="A14" s="15"/>
      <c r="B14" s="15"/>
      <c r="C14" s="15"/>
      <c r="D14" s="15"/>
      <c r="E14" s="15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5"/>
      <c r="AA14" s="205"/>
    </row>
    <row r="15" spans="1:27" x14ac:dyDescent="0.25">
      <c r="A15" s="15"/>
      <c r="B15" s="17" t="s">
        <v>917</v>
      </c>
      <c r="C15" s="15"/>
      <c r="D15" s="15"/>
      <c r="E15" s="1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5"/>
      <c r="AA15" s="205"/>
    </row>
    <row r="16" spans="1:27" x14ac:dyDescent="0.25">
      <c r="A16" s="15"/>
      <c r="B16" s="17"/>
      <c r="C16" s="13" t="s">
        <v>1074</v>
      </c>
      <c r="D16" s="15"/>
      <c r="E16" s="15"/>
      <c r="F16" s="20">
        <f>Encoding!E66</f>
        <v>1238.9525454545455</v>
      </c>
      <c r="G16" s="20">
        <f>Encoding!F66</f>
        <v>1055.1863181818183</v>
      </c>
      <c r="H16" s="20">
        <f>Encoding!G66</f>
        <v>1272.1321363636366</v>
      </c>
      <c r="I16" s="20">
        <f>Encoding!H66</f>
        <v>1093.7685000000001</v>
      </c>
      <c r="J16" s="20">
        <f>Encoding!I66</f>
        <v>1093.7685000000001</v>
      </c>
      <c r="K16" s="20">
        <f>Encoding!J66</f>
        <v>1093.7685000000001</v>
      </c>
      <c r="L16" s="20">
        <f>Encoding!K66</f>
        <v>1093.7685000000001</v>
      </c>
      <c r="M16" s="20">
        <f>Encoding!L66</f>
        <v>1093.7685000000001</v>
      </c>
      <c r="N16" s="20">
        <f>Encoding!M66</f>
        <v>1093.7685000000001</v>
      </c>
      <c r="O16" s="20">
        <f>Encoding!N66</f>
        <v>1093.7685000000001</v>
      </c>
      <c r="P16" s="20">
        <f>Encoding!O66</f>
        <v>1093.7685000000001</v>
      </c>
      <c r="Q16" s="20">
        <f>Encoding!P66</f>
        <v>1093.7685000000001</v>
      </c>
      <c r="R16" s="20">
        <f>Encoding!Q66</f>
        <v>1093.7685000000001</v>
      </c>
      <c r="S16" s="20">
        <f>Encoding!R66</f>
        <v>1093.7685000000001</v>
      </c>
      <c r="T16" s="20">
        <f>Encoding!S66</f>
        <v>1093.7685000000001</v>
      </c>
      <c r="U16" s="20">
        <f>Encoding!T66</f>
        <v>1093.7685000000001</v>
      </c>
      <c r="V16" s="20">
        <f>Encoding!U66</f>
        <v>1093.7685000000001</v>
      </c>
      <c r="W16" s="20">
        <f>Encoding!V66</f>
        <v>1093.7685000000001</v>
      </c>
      <c r="X16" s="20">
        <f>Encoding!W66</f>
        <v>1093.7685000000001</v>
      </c>
      <c r="Y16" s="20">
        <f>Encoding!X66</f>
        <v>1093.7685000000001</v>
      </c>
      <c r="Z16" s="205"/>
      <c r="AA16" s="205"/>
    </row>
    <row r="17" spans="1:57" x14ac:dyDescent="0.25">
      <c r="A17" s="15"/>
      <c r="B17" s="15"/>
      <c r="C17" s="15" t="s">
        <v>298</v>
      </c>
      <c r="D17" s="15"/>
      <c r="E17" s="15"/>
      <c r="F17" s="23">
        <f>'O&amp;M'!E9</f>
        <v>6375</v>
      </c>
      <c r="G17" s="23">
        <f>'O&amp;M'!F9</f>
        <v>7879.5000000000009</v>
      </c>
      <c r="H17" s="23">
        <f>'O&amp;M'!G9</f>
        <v>8521.679250000001</v>
      </c>
      <c r="I17" s="23">
        <f>'O&amp;M'!H9</f>
        <v>10449.201937500002</v>
      </c>
      <c r="J17" s="23">
        <f>'O&amp;M'!I9</f>
        <v>12484.706474925002</v>
      </c>
      <c r="K17" s="23">
        <f>'O&amp;M'!J9</f>
        <v>13893.899780485503</v>
      </c>
      <c r="L17" s="23">
        <f>'O&amp;M'!K9</f>
        <v>15132.821780060285</v>
      </c>
      <c r="M17" s="23">
        <f>'O&amp;M'!L9</f>
        <v>16182.680321260445</v>
      </c>
      <c r="N17" s="23">
        <f>'O&amp;M'!M9</f>
        <v>17023.489738727483</v>
      </c>
      <c r="O17" s="23">
        <f>'O&amp;M'!N9</f>
        <v>17634.009579452246</v>
      </c>
      <c r="P17" s="23">
        <f>'O&amp;M'!O9</f>
        <v>19533.824573766819</v>
      </c>
      <c r="Q17" s="23">
        <f>'O&amp;M'!P9</f>
        <v>21531.757859118759</v>
      </c>
      <c r="R17" s="23">
        <f>'O&amp;M'!Q9</f>
        <v>23631.986699475423</v>
      </c>
      <c r="S17" s="23">
        <f>'O&amp;M'!R9</f>
        <v>25838.850688180282</v>
      </c>
      <c r="T17" s="23">
        <f>'O&amp;M'!S9</f>
        <v>28156.857728177903</v>
      </c>
      <c r="U17" s="23">
        <f>'O&amp;M'!T9</f>
        <v>30590.690224956023</v>
      </c>
      <c r="V17" s="23">
        <f>'O&amp;M'!U9</f>
        <v>33145.211499585464</v>
      </c>
      <c r="W17" s="23">
        <f>'O&amp;M'!V9</f>
        <v>35825.472429490219</v>
      </c>
      <c r="X17" s="23">
        <f>'O&amp;M'!W9</f>
        <v>38636.718324839625</v>
      </c>
      <c r="Y17" s="23">
        <f>'O&amp;M'!X9</f>
        <v>41584.396048723458</v>
      </c>
      <c r="Z17" s="539"/>
      <c r="AA17" s="205"/>
    </row>
    <row r="18" spans="1:57" x14ac:dyDescent="0.25">
      <c r="A18" s="15"/>
      <c r="B18" s="15"/>
      <c r="C18" s="15" t="s">
        <v>250</v>
      </c>
      <c r="D18" s="15"/>
      <c r="E18" s="15"/>
      <c r="F18" s="23">
        <f>'LH Bandwidth'!E33</f>
        <v>9.4921875</v>
      </c>
      <c r="G18" s="23">
        <f>'LH Bandwidth'!F33</f>
        <v>10.650234375000002</v>
      </c>
      <c r="H18" s="23">
        <f>'LH Bandwidth'!G33</f>
        <v>13.076121093750004</v>
      </c>
      <c r="I18" s="23">
        <f>'LH Bandwidth'!H33</f>
        <v>14.534611523437501</v>
      </c>
      <c r="J18" s="23">
        <f>'LH Bandwidth'!I33</f>
        <v>15.261342099609378</v>
      </c>
      <c r="K18" s="23">
        <f>'LH Bandwidth'!J33</f>
        <v>15.443024743652346</v>
      </c>
      <c r="L18" s="23">
        <f>'LH Bandwidth'!K33</f>
        <v>15.226822397241213</v>
      </c>
      <c r="M18" s="23">
        <f>'LH Bandwidth'!L33</f>
        <v>14.72801269802124</v>
      </c>
      <c r="N18" s="23">
        <f>'LH Bandwidth'!M33</f>
        <v>14.036242404629334</v>
      </c>
      <c r="O18" s="23">
        <f>'LH Bandwidth'!N33</f>
        <v>13.220622913549523</v>
      </c>
      <c r="P18" s="23">
        <f>'LH Bandwidth'!O33</f>
        <v>12.333873815689493</v>
      </c>
      <c r="Q18" s="23">
        <f>'LH Bandwidth'!P33</f>
        <v>11.41568543163261</v>
      </c>
      <c r="R18" s="23">
        <f>'LH Bandwidth'!Q33</f>
        <v>10.495441401939777</v>
      </c>
      <c r="S18" s="23">
        <f>'LH Bandwidth'!R33</f>
        <v>9.5944176589430601</v>
      </c>
      <c r="T18" s="23">
        <f>'LH Bandwidth'!S33</f>
        <v>8.7275536073017133</v>
      </c>
      <c r="U18" s="23">
        <f>'LH Bandwidth'!T33</f>
        <v>7.9048743738265514</v>
      </c>
      <c r="V18" s="23">
        <f>'LH Bandwidth'!U33</f>
        <v>7.1326289542296486</v>
      </c>
      <c r="W18" s="23">
        <f>'LH Bandwidth'!V33</f>
        <v>6.4141974871007204</v>
      </c>
      <c r="X18" s="23">
        <f>'LH Bandwidth'!W33</f>
        <v>5.7508113086403032</v>
      </c>
      <c r="Y18" s="23">
        <f>'LH Bandwidth'!X33</f>
        <v>5.1421215402582456</v>
      </c>
      <c r="Z18" s="539"/>
      <c r="AA18" s="205"/>
      <c r="AB18" s="25"/>
    </row>
    <row r="19" spans="1:57" x14ac:dyDescent="0.25">
      <c r="A19" s="15"/>
      <c r="B19" s="15"/>
      <c r="C19" s="15" t="s">
        <v>428</v>
      </c>
      <c r="D19" s="15"/>
      <c r="E19" s="15"/>
      <c r="F19" s="23">
        <f>CRM!E19</f>
        <v>937.5</v>
      </c>
      <c r="G19" s="23">
        <f>CRM!F19</f>
        <v>1275</v>
      </c>
      <c r="H19" s="23">
        <f>CRM!G19</f>
        <v>1551.5182140742245</v>
      </c>
      <c r="I19" s="23">
        <f>CRM!H19</f>
        <v>3737.9447317490462</v>
      </c>
      <c r="J19" s="23">
        <f>CRM!I19</f>
        <v>6765.862294815689</v>
      </c>
      <c r="K19" s="23">
        <f>CRM!J19</f>
        <v>10233.943311194053</v>
      </c>
      <c r="L19" s="23">
        <f>CRM!K19</f>
        <v>14605.988339481655</v>
      </c>
      <c r="M19" s="23">
        <f>CRM!L19</f>
        <v>19343.737549578473</v>
      </c>
      <c r="N19" s="23">
        <f>CRM!M19</f>
        <v>18204.553374674138</v>
      </c>
      <c r="O19" s="23">
        <f>CRM!N19</f>
        <v>21940.810213180299</v>
      </c>
      <c r="P19" s="23">
        <f>CRM!O19</f>
        <v>24342.362802974665</v>
      </c>
      <c r="Q19" s="23">
        <f>CRM!P19</f>
        <v>27191.998990215201</v>
      </c>
      <c r="R19" s="23">
        <f>CRM!Q19</f>
        <v>29911.462524550858</v>
      </c>
      <c r="S19" s="23">
        <f>CRM!R19</f>
        <v>21942.322883523546</v>
      </c>
      <c r="T19" s="23">
        <f>CRM!S19</f>
        <v>23727.794197179006</v>
      </c>
      <c r="U19" s="23">
        <f>CRM!T19</f>
        <v>25326.42198329496</v>
      </c>
      <c r="V19" s="23">
        <f>CRM!U19</f>
        <v>26996.27290163649</v>
      </c>
      <c r="W19" s="23">
        <f>CRM!V19</f>
        <v>29146.225369019263</v>
      </c>
      <c r="X19" s="23">
        <f>CRM!W19</f>
        <v>31622.798694376022</v>
      </c>
      <c r="Y19" s="23">
        <f>CRM!X19</f>
        <v>34232.197264862218</v>
      </c>
      <c r="Z19" s="539"/>
      <c r="AA19" s="205"/>
    </row>
    <row r="20" spans="1:57" x14ac:dyDescent="0.25">
      <c r="A20" s="15"/>
      <c r="B20" s="15"/>
      <c r="C20" s="15" t="s">
        <v>219</v>
      </c>
      <c r="D20" s="15"/>
      <c r="E20" s="15"/>
      <c r="F20" s="23">
        <f>DRM!E23</f>
        <v>313.54822153782857</v>
      </c>
      <c r="G20" s="23">
        <f>DRM!F23</f>
        <v>338.98178555226912</v>
      </c>
      <c r="H20" s="23">
        <f>DRM!G23</f>
        <v>615.33476750550892</v>
      </c>
      <c r="I20" s="23">
        <f>DRM!H23</f>
        <v>1539.2137253370747</v>
      </c>
      <c r="J20" s="23">
        <f>DRM!I23</f>
        <v>2963.5314508994657</v>
      </c>
      <c r="K20" s="23">
        <f>DRM!J23</f>
        <v>4568.7701868115309</v>
      </c>
      <c r="L20" s="23">
        <f>DRM!K23</f>
        <v>6570.9575996331841</v>
      </c>
      <c r="M20" s="23">
        <f>DRM!L23</f>
        <v>8651.3980327708978</v>
      </c>
      <c r="N20" s="23">
        <f>DRM!M23</f>
        <v>10786.545970515877</v>
      </c>
      <c r="O20" s="23">
        <f>DRM!N23</f>
        <v>12974.099441082311</v>
      </c>
      <c r="P20" s="23">
        <f>DRM!O23</f>
        <v>14380.192472056315</v>
      </c>
      <c r="Q20" s="23">
        <f>DRM!P23</f>
        <v>16048.635462111066</v>
      </c>
      <c r="R20" s="23">
        <f>DRM!Q23</f>
        <v>17640.863231707699</v>
      </c>
      <c r="S20" s="23">
        <f>DRM!R23</f>
        <v>19339.977649225719</v>
      </c>
      <c r="T20" s="23">
        <f>DRM!S23</f>
        <v>20908.04997573049</v>
      </c>
      <c r="U20" s="23">
        <f>DRM!T23</f>
        <v>22312.028842608968</v>
      </c>
      <c r="V20" s="23">
        <f>DRM!U23</f>
        <v>23778.558713133229</v>
      </c>
      <c r="W20" s="23">
        <f>DRM!V23</f>
        <v>25842.38096808748</v>
      </c>
      <c r="X20" s="23">
        <f>DRM!W23</f>
        <v>28017.406725348803</v>
      </c>
      <c r="Y20" s="23">
        <f>DRM!X23</f>
        <v>30309.084925892603</v>
      </c>
      <c r="Z20" s="539"/>
      <c r="AA20" s="205"/>
    </row>
    <row r="21" spans="1:57" ht="15" x14ac:dyDescent="0.4">
      <c r="A21" s="15"/>
      <c r="B21" s="15"/>
      <c r="C21" s="15" t="s">
        <v>429</v>
      </c>
      <c r="D21" s="15"/>
      <c r="E21" s="15"/>
      <c r="F21" s="26">
        <f>Assumptions!F108*'EBS &amp; EOD FCF'!F7/1000</f>
        <v>92.926961612367421</v>
      </c>
      <c r="G21" s="26">
        <f>Assumptions!G108*'EBS &amp; EOD FCF'!G7/1000</f>
        <v>470.85062901938448</v>
      </c>
      <c r="H21" s="26">
        <f>Assumptions!H108*'EBS &amp; EOD FCF'!H7/1000</f>
        <v>1855.3846067410266</v>
      </c>
      <c r="I21" s="26">
        <f>Assumptions!I108*'EBS &amp; EOD FCF'!I7/1000</f>
        <v>6484.036700085544</v>
      </c>
      <c r="J21" s="26">
        <f>Assumptions!J108*'EBS &amp; EOD FCF'!J7/1000</f>
        <v>13619.897048594517</v>
      </c>
      <c r="K21" s="26">
        <f>Assumptions!K108*'EBS &amp; EOD FCF'!K7/1000</f>
        <v>21662.175284626912</v>
      </c>
      <c r="L21" s="26">
        <f>Assumptions!L108*'EBS &amp; EOD FCF'!L7/1000</f>
        <v>31693.17434685964</v>
      </c>
      <c r="M21" s="26">
        <f>Assumptions!M108*'EBS &amp; EOD FCF'!M7/1000</f>
        <v>42116.22260907264</v>
      </c>
      <c r="N21" s="26">
        <f>Assumptions!N108*'EBS &amp; EOD FCF'!N7/1000</f>
        <v>52813.356565710805</v>
      </c>
      <c r="O21" s="26">
        <f>Assumptions!O108*'EBS &amp; EOD FCF'!O7/1000</f>
        <v>63773.043291995557</v>
      </c>
      <c r="P21" s="26">
        <f>Assumptions!P108*'EBS &amp; EOD FCF'!P7/1000</f>
        <v>70817.597555392349</v>
      </c>
      <c r="Q21" s="26">
        <f>Assumptions!Q108*'EBS &amp; EOD FCF'!Q7/1000</f>
        <v>79176.530371297922</v>
      </c>
      <c r="R21" s="26">
        <f>Assumptions!R108*'EBS &amp; EOD FCF'!R7/1000</f>
        <v>87153.623405349193</v>
      </c>
      <c r="S21" s="26">
        <f>Assumptions!S108*'EBS &amp; EOD FCF'!S7/1000</f>
        <v>95666.220687503606</v>
      </c>
      <c r="T21" s="26">
        <f>Assumptions!T108*'EBS &amp; EOD FCF'!T7/1000</f>
        <v>103522.29446758765</v>
      </c>
      <c r="U21" s="26">
        <f>Assumptions!U108*'EBS &amp; EOD FCF'!U7/1000</f>
        <v>110556.25672649783</v>
      </c>
      <c r="V21" s="26">
        <f>Assumptions!V108*'EBS &amp; EOD FCF'!V7/1000</f>
        <v>117903.60076720055</v>
      </c>
      <c r="W21" s="26">
        <f>Assumptions!W108*'EBS &amp; EOD FCF'!W7/1000</f>
        <v>128243.39162368476</v>
      </c>
      <c r="X21" s="26">
        <f>Assumptions!X108*'EBS &amp; EOD FCF'!X7/1000</f>
        <v>139140.31425525452</v>
      </c>
      <c r="Y21" s="26">
        <f>Assumptions!Y108*'EBS &amp; EOD FCF'!Y7/1000</f>
        <v>150621.66796539378</v>
      </c>
      <c r="Z21" s="540"/>
      <c r="AA21" s="205"/>
    </row>
    <row r="22" spans="1:57" x14ac:dyDescent="0.25">
      <c r="A22" s="15"/>
      <c r="B22" s="15" t="s">
        <v>959</v>
      </c>
      <c r="C22" s="15"/>
      <c r="D22" s="15"/>
      <c r="E22" s="15"/>
      <c r="F22" s="28">
        <f>SUM(F16:F21)</f>
        <v>8967.4199161047418</v>
      </c>
      <c r="G22" s="28">
        <f t="shared" ref="G22:Y22" si="2">SUM(G16:G21)</f>
        <v>11030.168967128471</v>
      </c>
      <c r="H22" s="28">
        <f t="shared" si="2"/>
        <v>13829.125095778149</v>
      </c>
      <c r="I22" s="28">
        <f t="shared" si="2"/>
        <v>23318.700206195103</v>
      </c>
      <c r="J22" s="28">
        <f t="shared" si="2"/>
        <v>36943.02711133429</v>
      </c>
      <c r="K22" s="28">
        <f t="shared" si="2"/>
        <v>51468.000087861656</v>
      </c>
      <c r="L22" s="28">
        <f t="shared" si="2"/>
        <v>69111.937388432008</v>
      </c>
      <c r="M22" s="28">
        <f t="shared" si="2"/>
        <v>87402.535025380479</v>
      </c>
      <c r="N22" s="28">
        <f t="shared" si="2"/>
        <v>99935.750392032933</v>
      </c>
      <c r="O22" s="28">
        <f t="shared" si="2"/>
        <v>117428.95164862396</v>
      </c>
      <c r="P22" s="28">
        <f t="shared" si="2"/>
        <v>130180.07977800583</v>
      </c>
      <c r="Q22" s="28">
        <f t="shared" si="2"/>
        <v>145054.10686817457</v>
      </c>
      <c r="R22" s="28">
        <f t="shared" si="2"/>
        <v>159442.19980248512</v>
      </c>
      <c r="S22" s="28">
        <f t="shared" si="2"/>
        <v>163890.73482609208</v>
      </c>
      <c r="T22" s="28">
        <f t="shared" si="2"/>
        <v>177417.49242228235</v>
      </c>
      <c r="U22" s="28">
        <f t="shared" si="2"/>
        <v>189887.07115173159</v>
      </c>
      <c r="V22" s="28">
        <f t="shared" si="2"/>
        <v>202924.54501050996</v>
      </c>
      <c r="W22" s="28">
        <f t="shared" si="2"/>
        <v>220157.65308776882</v>
      </c>
      <c r="X22" s="28">
        <f t="shared" si="2"/>
        <v>238516.75731112761</v>
      </c>
      <c r="Y22" s="28">
        <f t="shared" si="2"/>
        <v>257846.25682641231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</row>
    <row r="23" spans="1:57" x14ac:dyDescent="0.25">
      <c r="A23" s="15"/>
      <c r="B23" s="15"/>
      <c r="C23" s="15"/>
      <c r="D23" s="15"/>
      <c r="E23" s="15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541"/>
      <c r="AA23" s="205"/>
    </row>
    <row r="24" spans="1:57" x14ac:dyDescent="0.25">
      <c r="A24" s="15"/>
      <c r="B24" s="1" t="s">
        <v>919</v>
      </c>
      <c r="C24" s="15"/>
      <c r="D24" s="15"/>
      <c r="E24" s="15"/>
      <c r="F24" s="28">
        <f t="shared" ref="F24:Y24" si="3">F13-F22</f>
        <v>-7395.2118843255003</v>
      </c>
      <c r="G24" s="28">
        <f t="shared" si="3"/>
        <v>-4374.0785124729373</v>
      </c>
      <c r="H24" s="28">
        <f t="shared" si="3"/>
        <v>10335.164935161756</v>
      </c>
      <c r="I24" s="28">
        <f t="shared" si="3"/>
        <v>23492.881823690772</v>
      </c>
      <c r="J24" s="28">
        <f t="shared" si="3"/>
        <v>60253.51091727204</v>
      </c>
      <c r="K24" s="28">
        <f t="shared" si="3"/>
        <v>103121.15989788492</v>
      </c>
      <c r="L24" s="28">
        <f t="shared" si="3"/>
        <v>157062.07954142996</v>
      </c>
      <c r="M24" s="28">
        <f t="shared" si="3"/>
        <v>213154.14450300153</v>
      </c>
      <c r="N24" s="28">
        <f t="shared" si="3"/>
        <v>276959.56691781234</v>
      </c>
      <c r="O24" s="28">
        <f t="shared" si="3"/>
        <v>337678.67548061692</v>
      </c>
      <c r="P24" s="28">
        <f t="shared" si="3"/>
        <v>375200.04823093046</v>
      </c>
      <c r="Q24" s="28">
        <f t="shared" si="3"/>
        <v>419978.40532699699</v>
      </c>
      <c r="R24" s="28">
        <f t="shared" si="3"/>
        <v>462517.74904477951</v>
      </c>
      <c r="S24" s="28">
        <f t="shared" si="3"/>
        <v>518818.20371654717</v>
      </c>
      <c r="T24" s="28">
        <f t="shared" si="3"/>
        <v>561355.24536913843</v>
      </c>
      <c r="U24" s="28">
        <f t="shared" si="3"/>
        <v>599082.57912373007</v>
      </c>
      <c r="V24" s="28">
        <f t="shared" si="3"/>
        <v>638478.42410087562</v>
      </c>
      <c r="W24" s="28">
        <f t="shared" si="3"/>
        <v>695033.82349943614</v>
      </c>
      <c r="X24" s="28">
        <f t="shared" si="3"/>
        <v>754439.12169227959</v>
      </c>
      <c r="Y24" s="28">
        <f t="shared" si="3"/>
        <v>817044.73729026143</v>
      </c>
      <c r="Z24" s="541"/>
      <c r="AA24" s="205"/>
    </row>
    <row r="25" spans="1:57" x14ac:dyDescent="0.25">
      <c r="A25" s="15"/>
      <c r="B25" s="13" t="s">
        <v>918</v>
      </c>
      <c r="C25" s="15"/>
      <c r="D25" s="15"/>
      <c r="E25" s="15"/>
      <c r="F25" s="328">
        <f>Depreciation!E21+Depreciation!E30+(Assumptions!$O$311*Assumptions!$F$56*Depreciation!E12)</f>
        <v>449.18094374999993</v>
      </c>
      <c r="G25" s="328">
        <f>Depreciation!F21+Depreciation!F30+(Assumptions!$O$311*Assumptions!$F$56*Depreciation!F12)</f>
        <v>706.37452226562482</v>
      </c>
      <c r="H25" s="328">
        <f>Depreciation!G21+Depreciation!G30+(Assumptions!$O$311*Assumptions!$F$56*Depreciation!G12)</f>
        <v>926.45593662109354</v>
      </c>
      <c r="I25" s="328">
        <f>Depreciation!H21+Depreciation!H30+(Assumptions!$O$311*Assumptions!$F$56*Depreciation!H12)</f>
        <v>1695.25680090332</v>
      </c>
      <c r="J25" s="328">
        <f>Depreciation!I21+Depreciation!I30+(Assumptions!$O$311*Assumptions!$F$56*Depreciation!I12)</f>
        <v>2484.5520289733877</v>
      </c>
      <c r="K25" s="328">
        <f>Depreciation!J21+Depreciation!J30+(Assumptions!$O$311*Assumptions!$F$56*Depreciation!J12)</f>
        <v>2894.8500019607536</v>
      </c>
      <c r="L25" s="328">
        <f>Depreciation!K21+Depreciation!K30+(Assumptions!$O$311*Assumptions!$F$56*Depreciation!K12)</f>
        <v>2973.2361365670004</v>
      </c>
      <c r="M25" s="328">
        <f>Depreciation!L21+Depreciation!L30+(Assumptions!$O$311*Assumptions!$F$56*Depreciation!L12)</f>
        <v>3397.6098769804257</v>
      </c>
      <c r="N25" s="328">
        <f>Depreciation!M21+Depreciation!M30+(Assumptions!$O$311*Assumptions!$F$56*Depreciation!M12)</f>
        <v>3037.9223372135225</v>
      </c>
      <c r="O25" s="328">
        <f>Depreciation!N21+Depreciation!N30+(Assumptions!$O$311*Assumptions!$F$56*Depreciation!N12)</f>
        <v>2867.8281902574449</v>
      </c>
      <c r="P25" s="328">
        <f>Depreciation!O21+Depreciation!O30+(Assumptions!$O$311*Assumptions!$F$56*Depreciation!O12)</f>
        <v>2376.5359104481608</v>
      </c>
      <c r="Q25" s="328">
        <f>Depreciation!P21+Depreciation!P30+(Assumptions!$O$311*Assumptions!$F$56*Depreciation!P12)</f>
        <v>2263.5755691764966</v>
      </c>
      <c r="R25" s="328">
        <f>Depreciation!Q21+Depreciation!Q30+(Assumptions!$O$311*Assumptions!$F$56*Depreciation!Q12)</f>
        <v>1910.6313314681747</v>
      </c>
      <c r="S25" s="328">
        <f>Depreciation!R21+Depreciation!R30+(Assumptions!$O$311*Assumptions!$F$56*Depreciation!R12)</f>
        <v>1726.9951266767168</v>
      </c>
      <c r="T25" s="328">
        <f>Depreciation!S21+Depreciation!S30+(Assumptions!$O$311*Assumptions!$F$56*Depreciation!S12)</f>
        <v>1366.4234925017327</v>
      </c>
      <c r="U25" s="328">
        <f>Depreciation!T21+Depreciation!T30+(Assumptions!$O$311*Assumptions!$F$56*Depreciation!T12)</f>
        <v>1184.8325235179809</v>
      </c>
      <c r="V25" s="328">
        <f>Depreciation!U21+Depreciation!U30+(Assumptions!$O$311*Assumptions!$F$56*Depreciation!U12)</f>
        <v>1114.3165129630777</v>
      </c>
      <c r="W25" s="328">
        <f>Depreciation!V21+Depreciation!V30+(Assumptions!$O$311*Assumptions!$F$56*Depreciation!V12)</f>
        <v>1047.6911563545955</v>
      </c>
      <c r="X25" s="328">
        <f>Depreciation!W21+Depreciation!W30+(Assumptions!$O$311*Assumptions!$F$56*Depreciation!W12)</f>
        <v>990.3374603237678</v>
      </c>
      <c r="Y25" s="328">
        <f>Depreciation!X21+Depreciation!X30+(Assumptions!$O$311*Assumptions!$F$56*Depreciation!X12)</f>
        <v>899.62994965790995</v>
      </c>
      <c r="Z25" s="541"/>
      <c r="AA25" s="205"/>
    </row>
    <row r="26" spans="1:57" x14ac:dyDescent="0.25">
      <c r="A26" s="15"/>
      <c r="B26" s="1" t="s">
        <v>916</v>
      </c>
      <c r="C26" s="15"/>
      <c r="D26" s="15"/>
      <c r="E26" s="15"/>
      <c r="F26" s="28">
        <f>F24-F25</f>
        <v>-7844.3928280754999</v>
      </c>
      <c r="G26" s="28">
        <f t="shared" ref="G26:Y26" si="4">G24-G25</f>
        <v>-5080.4530347385626</v>
      </c>
      <c r="H26" s="28">
        <f t="shared" si="4"/>
        <v>9408.7089985406619</v>
      </c>
      <c r="I26" s="28">
        <f t="shared" si="4"/>
        <v>21797.625022787452</v>
      </c>
      <c r="J26" s="28">
        <f t="shared" si="4"/>
        <v>57768.95888829865</v>
      </c>
      <c r="K26" s="28">
        <f t="shared" si="4"/>
        <v>100226.30989592416</v>
      </c>
      <c r="L26" s="28">
        <f t="shared" si="4"/>
        <v>154088.84340486297</v>
      </c>
      <c r="M26" s="28">
        <f t="shared" si="4"/>
        <v>209756.53462602111</v>
      </c>
      <c r="N26" s="28">
        <f t="shared" si="4"/>
        <v>273921.6445805988</v>
      </c>
      <c r="O26" s="28">
        <f t="shared" si="4"/>
        <v>334810.8472903595</v>
      </c>
      <c r="P26" s="28">
        <f t="shared" si="4"/>
        <v>372823.51232048229</v>
      </c>
      <c r="Q26" s="28">
        <f t="shared" si="4"/>
        <v>417714.82975782047</v>
      </c>
      <c r="R26" s="28">
        <f t="shared" si="4"/>
        <v>460607.11771331134</v>
      </c>
      <c r="S26" s="28">
        <f t="shared" si="4"/>
        <v>517091.20858987042</v>
      </c>
      <c r="T26" s="28">
        <f t="shared" si="4"/>
        <v>559988.82187663671</v>
      </c>
      <c r="U26" s="28">
        <f t="shared" si="4"/>
        <v>597897.74660021206</v>
      </c>
      <c r="V26" s="28">
        <f t="shared" si="4"/>
        <v>637364.10758791259</v>
      </c>
      <c r="W26" s="28">
        <f t="shared" si="4"/>
        <v>693986.13234308152</v>
      </c>
      <c r="X26" s="28">
        <f t="shared" si="4"/>
        <v>753448.78423195577</v>
      </c>
      <c r="Y26" s="28">
        <f t="shared" si="4"/>
        <v>816145.10734060348</v>
      </c>
      <c r="Z26" s="541"/>
      <c r="AA26" s="205"/>
    </row>
    <row r="27" spans="1:57" x14ac:dyDescent="0.25">
      <c r="A27" s="15"/>
      <c r="B27" s="13" t="s">
        <v>920</v>
      </c>
      <c r="C27" s="15"/>
      <c r="D27" s="15"/>
      <c r="E27" s="15"/>
      <c r="F27" s="347">
        <f>'Project FCF'!F26</f>
        <v>0.39</v>
      </c>
      <c r="G27" s="347">
        <f>'Project FCF'!G26</f>
        <v>0.39</v>
      </c>
      <c r="H27" s="347">
        <f>'Project FCF'!H26</f>
        <v>0.39</v>
      </c>
      <c r="I27" s="347">
        <f>'Project FCF'!I26</f>
        <v>0.39</v>
      </c>
      <c r="J27" s="347">
        <f>'Project FCF'!J26</f>
        <v>0.39</v>
      </c>
      <c r="K27" s="347">
        <f>'Project FCF'!K26</f>
        <v>0.39</v>
      </c>
      <c r="L27" s="347">
        <f>'Project FCF'!L26</f>
        <v>0.39</v>
      </c>
      <c r="M27" s="347">
        <f>'Project FCF'!M26</f>
        <v>0.39</v>
      </c>
      <c r="N27" s="347">
        <f>'Project FCF'!N26</f>
        <v>0.39</v>
      </c>
      <c r="O27" s="347">
        <f>'Project FCF'!O26</f>
        <v>0.39</v>
      </c>
      <c r="P27" s="347">
        <f>'Project FCF'!P26</f>
        <v>0.39</v>
      </c>
      <c r="Q27" s="347">
        <f>'Project FCF'!Q26</f>
        <v>0.39</v>
      </c>
      <c r="R27" s="347">
        <f>'Project FCF'!R26</f>
        <v>0.39</v>
      </c>
      <c r="S27" s="347">
        <f>'Project FCF'!S26</f>
        <v>0.39</v>
      </c>
      <c r="T27" s="347">
        <f>'Project FCF'!T26</f>
        <v>0.39</v>
      </c>
      <c r="U27" s="347">
        <f>'Project FCF'!U26</f>
        <v>0.39</v>
      </c>
      <c r="V27" s="347">
        <f>'Project FCF'!V26</f>
        <v>0.39</v>
      </c>
      <c r="W27" s="347">
        <f>'Project FCF'!W26</f>
        <v>0.39</v>
      </c>
      <c r="X27" s="347">
        <f>'Project FCF'!X26</f>
        <v>0.39</v>
      </c>
      <c r="Y27" s="347">
        <f>'Project FCF'!Y26</f>
        <v>0.39</v>
      </c>
      <c r="Z27" s="541"/>
      <c r="AA27" s="205"/>
    </row>
    <row r="28" spans="1:57" x14ac:dyDescent="0.25">
      <c r="A28" s="15"/>
      <c r="B28" s="13" t="s">
        <v>936</v>
      </c>
      <c r="C28" s="15"/>
      <c r="D28" s="15"/>
      <c r="E28" s="15"/>
      <c r="F28" s="24">
        <f>IF(SUM($F$26:F26)&lt;0,0,IF(SUM(E$26:$F26)&lt;0,(F26+SUM(E$26:$F26))*F27,F26*F27))</f>
        <v>0</v>
      </c>
      <c r="G28" s="24">
        <f>IF(SUM($F$26:G26)&lt;0,0,IF(SUM(F$26:$F26)&lt;0,(G26+SUM(F$26:$F26))*G27,G26*G27))</f>
        <v>0</v>
      </c>
      <c r="H28" s="24">
        <f>IF(SUM($F$26:H26)&lt;0,0,IF(SUM($F$26:G26)&lt;0,(H26+SUM($F$26:G26))*H27,H26*H27))</f>
        <v>0</v>
      </c>
      <c r="I28" s="24">
        <f>IF(SUM($F$26:I26)&lt;0,0,IF(SUM($F$26:H26)&lt;0,(I26+SUM($F$26:H26))*I27,I26*I27))</f>
        <v>7129.7803818204811</v>
      </c>
      <c r="J28" s="24">
        <f>IF(SUM($F$26:J26)&lt;0,0,IF(SUM($F$26:I26)&lt;0,(J26+SUM($F$26:I26))*J27,J26*J27))</f>
        <v>22529.893966436473</v>
      </c>
      <c r="K28" s="24">
        <f>IF(SUM($F$26:K26)&lt;0,0,IF(SUM($F$26:J26)&lt;0,(K26+SUM($F$26:J26))*K27,K26*K27))</f>
        <v>39088.260859410424</v>
      </c>
      <c r="L28" s="24">
        <f>IF(SUM($F$26:L26)&lt;0,0,IF(SUM($F$26:K26)&lt;0,(L26+SUM($F$26:K26))*L27,L26*L27))</f>
        <v>60094.64892789656</v>
      </c>
      <c r="M28" s="24">
        <f>IF(SUM($F$26:M26)&lt;0,0,IF(SUM($F$26:L26)&lt;0,(M26+SUM($F$26:L26))*M27,M26*M27))</f>
        <v>81805.048504148232</v>
      </c>
      <c r="N28" s="24">
        <f>IF(SUM($F$26:N26)&lt;0,0,IF(SUM($F$26:M26)&lt;0,(N26+SUM($F$26:M26))*N27,N26*N27))</f>
        <v>106829.44138643354</v>
      </c>
      <c r="O28" s="24">
        <f>IF(SUM($F$26:O26)&lt;0,0,IF(SUM($F$26:N26)&lt;0,(O26+SUM($F$26:N26))*O27,O26*O27))</f>
        <v>130576.2304432402</v>
      </c>
      <c r="P28" s="24">
        <f>IF(SUM($F$26:P26)&lt;0,0,IF(SUM($F$26:O26)&lt;0,(P26+SUM($F$26:O26))*P27,P26*P27))</f>
        <v>145401.16980498811</v>
      </c>
      <c r="Q28" s="24">
        <f>IF(SUM($F$26:Q26)&lt;0,0,IF(SUM($F$26:P26)&lt;0,(Q26+SUM($F$26:P26))*Q27,Q26*Q27))</f>
        <v>162908.78360554998</v>
      </c>
      <c r="R28" s="24">
        <f>IF(SUM($F$26:R26)&lt;0,0,IF(SUM($F$26:Q26)&lt;0,(R26+SUM($F$26:Q26))*R27,R26*R27))</f>
        <v>179636.77590819143</v>
      </c>
      <c r="S28" s="24">
        <f>IF(SUM($F$26:S26)&lt;0,0,IF(SUM($F$26:R26)&lt;0,(S26+SUM($F$26:R26))*S27,S26*S27))</f>
        <v>201665.57135004946</v>
      </c>
      <c r="T28" s="24">
        <f>IF(SUM($F$26:T26)&lt;0,0,IF(SUM($F$26:S26)&lt;0,(T26+SUM($F$26:S26))*T27,T26*T27))</f>
        <v>218395.64053188832</v>
      </c>
      <c r="U28" s="24">
        <f>IF(SUM($F$26:U26)&lt;0,0,IF(SUM($F$26:T26)&lt;0,(U26+SUM($F$26:T26))*U27,U26*U27))</f>
        <v>233180.12117408271</v>
      </c>
      <c r="V28" s="24">
        <f>IF(SUM($F$26:V26)&lt;0,0,IF(SUM($F$26:U26)&lt;0,(V26+SUM($F$26:U26))*V27,V26*V27))</f>
        <v>248572.0019592859</v>
      </c>
      <c r="W28" s="24">
        <f>IF(SUM($F$26:W26)&lt;0,0,IF(SUM($F$26:V26)&lt;0,(W26+SUM($F$26:V26))*W27,W26*W27))</f>
        <v>270654.59161380178</v>
      </c>
      <c r="X28" s="24">
        <f>IF(SUM($F$26:X26)&lt;0,0,IF(SUM($F$26:W26)&lt;0,(X26+SUM($F$26:W26))*X27,X26*X27))</f>
        <v>293845.02585046279</v>
      </c>
      <c r="Y28" s="24">
        <f>IF(SUM($F$26:Y26)&lt;0,0,IF(SUM($F$26:X26)&lt;0,(Y26+SUM($F$26:X26))*Y27,Y26*Y27))</f>
        <v>318296.5918628354</v>
      </c>
      <c r="Z28" s="541"/>
      <c r="AA28" s="205"/>
    </row>
    <row r="29" spans="1:57" x14ac:dyDescent="0.25">
      <c r="A29" s="15"/>
      <c r="B29" s="1" t="s">
        <v>937</v>
      </c>
      <c r="C29" s="15"/>
      <c r="D29" s="15"/>
      <c r="E29" s="15"/>
      <c r="F29" s="28">
        <f>F26-F28</f>
        <v>-7844.3928280754999</v>
      </c>
      <c r="G29" s="28">
        <f t="shared" ref="G29:Y29" si="5">G26-G28</f>
        <v>-5080.4530347385626</v>
      </c>
      <c r="H29" s="28">
        <f t="shared" si="5"/>
        <v>9408.7089985406619</v>
      </c>
      <c r="I29" s="28">
        <f t="shared" si="5"/>
        <v>14667.84464096697</v>
      </c>
      <c r="J29" s="28">
        <f t="shared" si="5"/>
        <v>35239.064921862177</v>
      </c>
      <c r="K29" s="28">
        <f t="shared" si="5"/>
        <v>61138.049036513738</v>
      </c>
      <c r="L29" s="28">
        <f t="shared" si="5"/>
        <v>93994.194476966411</v>
      </c>
      <c r="M29" s="28">
        <f t="shared" si="5"/>
        <v>127951.48612187288</v>
      </c>
      <c r="N29" s="28">
        <f t="shared" si="5"/>
        <v>167092.20319416525</v>
      </c>
      <c r="O29" s="28">
        <f t="shared" si="5"/>
        <v>204234.61684711929</v>
      </c>
      <c r="P29" s="28">
        <f t="shared" si="5"/>
        <v>227422.34251549418</v>
      </c>
      <c r="Q29" s="28">
        <f t="shared" si="5"/>
        <v>254806.04615227049</v>
      </c>
      <c r="R29" s="28">
        <f t="shared" si="5"/>
        <v>280970.34180511988</v>
      </c>
      <c r="S29" s="28">
        <f t="shared" si="5"/>
        <v>315425.63723982096</v>
      </c>
      <c r="T29" s="28">
        <f t="shared" si="5"/>
        <v>341593.18134474836</v>
      </c>
      <c r="U29" s="28">
        <f t="shared" si="5"/>
        <v>364717.62542612932</v>
      </c>
      <c r="V29" s="28">
        <f t="shared" si="5"/>
        <v>388792.10562862665</v>
      </c>
      <c r="W29" s="28">
        <f t="shared" si="5"/>
        <v>423331.54072927975</v>
      </c>
      <c r="X29" s="28">
        <f t="shared" si="5"/>
        <v>459603.75838149298</v>
      </c>
      <c r="Y29" s="28">
        <f t="shared" si="5"/>
        <v>497848.51547776809</v>
      </c>
      <c r="Z29" s="541"/>
      <c r="AA29" s="205"/>
    </row>
    <row r="30" spans="1:57" x14ac:dyDescent="0.25">
      <c r="A30" s="15"/>
      <c r="B30" s="13" t="s">
        <v>923</v>
      </c>
      <c r="C30" s="15"/>
      <c r="D30" s="15"/>
      <c r="E30" s="15"/>
      <c r="F30" s="24">
        <f>F25</f>
        <v>449.18094374999993</v>
      </c>
      <c r="G30" s="24">
        <f t="shared" ref="G30:Y30" si="6">G25</f>
        <v>706.37452226562482</v>
      </c>
      <c r="H30" s="24">
        <f t="shared" si="6"/>
        <v>926.45593662109354</v>
      </c>
      <c r="I30" s="24">
        <f t="shared" si="6"/>
        <v>1695.25680090332</v>
      </c>
      <c r="J30" s="24">
        <f t="shared" si="6"/>
        <v>2484.5520289733877</v>
      </c>
      <c r="K30" s="24">
        <f t="shared" si="6"/>
        <v>2894.8500019607536</v>
      </c>
      <c r="L30" s="24">
        <f t="shared" si="6"/>
        <v>2973.2361365670004</v>
      </c>
      <c r="M30" s="24">
        <f t="shared" si="6"/>
        <v>3397.6098769804257</v>
      </c>
      <c r="N30" s="24">
        <f t="shared" si="6"/>
        <v>3037.9223372135225</v>
      </c>
      <c r="O30" s="24">
        <f t="shared" si="6"/>
        <v>2867.8281902574449</v>
      </c>
      <c r="P30" s="24">
        <f t="shared" si="6"/>
        <v>2376.5359104481608</v>
      </c>
      <c r="Q30" s="24">
        <f t="shared" si="6"/>
        <v>2263.5755691764966</v>
      </c>
      <c r="R30" s="24">
        <f t="shared" si="6"/>
        <v>1910.6313314681747</v>
      </c>
      <c r="S30" s="24">
        <f t="shared" si="6"/>
        <v>1726.9951266767168</v>
      </c>
      <c r="T30" s="24">
        <f t="shared" si="6"/>
        <v>1366.4234925017327</v>
      </c>
      <c r="U30" s="24">
        <f t="shared" si="6"/>
        <v>1184.8325235179809</v>
      </c>
      <c r="V30" s="24">
        <f t="shared" si="6"/>
        <v>1114.3165129630777</v>
      </c>
      <c r="W30" s="24">
        <f t="shared" si="6"/>
        <v>1047.6911563545955</v>
      </c>
      <c r="X30" s="24">
        <f t="shared" si="6"/>
        <v>990.3374603237678</v>
      </c>
      <c r="Y30" s="24">
        <f t="shared" si="6"/>
        <v>899.62994965790995</v>
      </c>
      <c r="Z30" s="541"/>
      <c r="AA30" s="205"/>
    </row>
    <row r="31" spans="1:57" x14ac:dyDescent="0.25">
      <c r="A31" s="15"/>
      <c r="B31" s="1" t="s">
        <v>939</v>
      </c>
      <c r="C31" s="15"/>
      <c r="D31" s="15"/>
      <c r="E31" s="15"/>
      <c r="F31" s="28">
        <f>F29+F30</f>
        <v>-7395.2118843255003</v>
      </c>
      <c r="G31" s="28">
        <f t="shared" ref="G31:Y31" si="7">G29+G30</f>
        <v>-4374.0785124729373</v>
      </c>
      <c r="H31" s="28">
        <f t="shared" si="7"/>
        <v>10335.164935161756</v>
      </c>
      <c r="I31" s="28">
        <f t="shared" si="7"/>
        <v>16363.101441870291</v>
      </c>
      <c r="J31" s="28">
        <f t="shared" si="7"/>
        <v>37723.616950835567</v>
      </c>
      <c r="K31" s="28">
        <f t="shared" si="7"/>
        <v>64032.89903847449</v>
      </c>
      <c r="L31" s="28">
        <f t="shared" si="7"/>
        <v>96967.430613533419</v>
      </c>
      <c r="M31" s="28">
        <f t="shared" si="7"/>
        <v>131349.0959988533</v>
      </c>
      <c r="N31" s="28">
        <f t="shared" si="7"/>
        <v>170130.12553137878</v>
      </c>
      <c r="O31" s="28">
        <f t="shared" si="7"/>
        <v>207102.44503737675</v>
      </c>
      <c r="P31" s="28">
        <f t="shared" si="7"/>
        <v>229798.87842594233</v>
      </c>
      <c r="Q31" s="28">
        <f t="shared" si="7"/>
        <v>257069.62172144698</v>
      </c>
      <c r="R31" s="28">
        <f t="shared" si="7"/>
        <v>282880.97313658806</v>
      </c>
      <c r="S31" s="28">
        <f t="shared" si="7"/>
        <v>317152.63236649771</v>
      </c>
      <c r="T31" s="28">
        <f t="shared" si="7"/>
        <v>342959.60483725008</v>
      </c>
      <c r="U31" s="28">
        <f t="shared" si="7"/>
        <v>365902.45794964733</v>
      </c>
      <c r="V31" s="28">
        <f t="shared" si="7"/>
        <v>389906.42214158975</v>
      </c>
      <c r="W31" s="28">
        <f t="shared" si="7"/>
        <v>424379.23188563436</v>
      </c>
      <c r="X31" s="28">
        <f t="shared" si="7"/>
        <v>460594.09584181674</v>
      </c>
      <c r="Y31" s="28">
        <f t="shared" si="7"/>
        <v>498748.14542742597</v>
      </c>
      <c r="Z31" s="541"/>
      <c r="AA31" s="205"/>
    </row>
    <row r="32" spans="1:57" x14ac:dyDescent="0.25">
      <c r="A32" s="15"/>
      <c r="B32" s="13" t="s">
        <v>924</v>
      </c>
      <c r="C32" s="15"/>
      <c r="D32" s="15"/>
      <c r="E32" s="15"/>
      <c r="F32" s="4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541"/>
      <c r="AA32" s="205"/>
    </row>
    <row r="33" spans="1:27" x14ac:dyDescent="0.25">
      <c r="A33" s="15"/>
      <c r="C33" s="45" t="s">
        <v>295</v>
      </c>
      <c r="D33" s="15"/>
      <c r="E33" s="15"/>
      <c r="F33" s="50">
        <f>'Project FCF'!F32*Assumptions!$F$56</f>
        <v>2342.5338239784287</v>
      </c>
      <c r="G33" s="50">
        <f>'Project FCF'!G32*Assumptions!$F$56</f>
        <v>6841.8456311781883</v>
      </c>
      <c r="H33" s="50">
        <f>'Project FCF'!H32*Assumptions!$F$56</f>
        <v>18174.518297913975</v>
      </c>
      <c r="I33" s="50">
        <f>'Project FCF'!I32*Assumptions!$F$56</f>
        <v>0</v>
      </c>
      <c r="J33" s="50">
        <f>'Project FCF'!J32*Assumptions!$F$56</f>
        <v>0</v>
      </c>
      <c r="K33" s="50">
        <f>'Project FCF'!K32*Assumptions!$F$56</f>
        <v>0</v>
      </c>
      <c r="L33" s="50">
        <f>'Project FCF'!L32*Assumptions!$F$56</f>
        <v>0</v>
      </c>
      <c r="M33" s="50">
        <f>'Project FCF'!M32*Assumptions!$F$56</f>
        <v>0</v>
      </c>
      <c r="N33" s="50">
        <f>'Project FCF'!N32*Assumptions!$F$56</f>
        <v>0</v>
      </c>
      <c r="O33" s="50">
        <f>'Project FCF'!O32*Assumptions!$F$56</f>
        <v>0</v>
      </c>
      <c r="P33" s="50">
        <f>'Project FCF'!P32*Assumptions!$F$56</f>
        <v>0</v>
      </c>
      <c r="Q33" s="50">
        <f>'Project FCF'!Q32*Assumptions!$F$56</f>
        <v>0</v>
      </c>
      <c r="R33" s="50">
        <f>'Project FCF'!R32*Assumptions!$F$56</f>
        <v>0</v>
      </c>
      <c r="S33" s="50">
        <f>'Project FCF'!S32*Assumptions!$F$56</f>
        <v>0</v>
      </c>
      <c r="T33" s="50">
        <f>'Project FCF'!T32*Assumptions!$F$56</f>
        <v>0</v>
      </c>
      <c r="U33" s="50">
        <f>'Project FCF'!U32*Assumptions!$F$56</f>
        <v>0</v>
      </c>
      <c r="V33" s="50">
        <f>'Project FCF'!V32*Assumptions!$F$56</f>
        <v>0</v>
      </c>
      <c r="W33" s="50">
        <f>'Project FCF'!W32*Assumptions!$F$56</f>
        <v>0</v>
      </c>
      <c r="X33" s="50">
        <f>'Project FCF'!X32*Assumptions!$F$56</f>
        <v>0</v>
      </c>
      <c r="Y33" s="50">
        <f>'Project FCF'!Y32*Assumptions!$F$56</f>
        <v>0</v>
      </c>
      <c r="Z33" s="541"/>
      <c r="AA33" s="205"/>
    </row>
    <row r="34" spans="1:27" x14ac:dyDescent="0.25">
      <c r="A34" s="15"/>
      <c r="C34" s="45" t="s">
        <v>940</v>
      </c>
      <c r="D34" s="15"/>
      <c r="E34" s="15"/>
      <c r="F34" s="50">
        <f>'Project FCF'!F33</f>
        <v>2245.9047187499996</v>
      </c>
      <c r="G34" s="50">
        <f>'Project FCF'!G33</f>
        <v>1225.0389374999997</v>
      </c>
      <c r="H34" s="50">
        <f>'Project FCF'!H33</f>
        <v>918.77920312499975</v>
      </c>
      <c r="I34" s="50">
        <f>'Project FCF'!I33</f>
        <v>3617.6931123046866</v>
      </c>
      <c r="J34" s="50">
        <f>'Project FCF'!J33</f>
        <v>3746.8964377441384</v>
      </c>
      <c r="K34" s="50">
        <f>'Project FCF'!K33</f>
        <v>4118.3559983825671</v>
      </c>
      <c r="L34" s="50">
        <f>'Project FCF'!L33</f>
        <v>1453.5374111938472</v>
      </c>
      <c r="M34" s="50">
        <f>'Project FCF'!M33</f>
        <v>2888.9056047477711</v>
      </c>
      <c r="N34" s="50">
        <f>'Project FCF'!N33</f>
        <v>1676.110327282905</v>
      </c>
      <c r="O34" s="50">
        <f>'Project FCF'!O33</f>
        <v>2759.4499290633185</v>
      </c>
      <c r="P34" s="50">
        <f>'Project FCF'!P33</f>
        <v>1529.1951690225892</v>
      </c>
      <c r="Q34" s="50">
        <f>'Project FCF'!Q33</f>
        <v>758.84873049241276</v>
      </c>
      <c r="R34" s="50">
        <f>'Project FCF'!R33</f>
        <v>995.98895877129178</v>
      </c>
      <c r="S34" s="50">
        <f>'Project FCF'!S33</f>
        <v>630.57742519611008</v>
      </c>
      <c r="T34" s="50">
        <f>'Project FCF'!T33</f>
        <v>829.45184391180624</v>
      </c>
      <c r="U34" s="50">
        <f>'Project FCF'!U33</f>
        <v>493.85126232906885</v>
      </c>
      <c r="V34" s="50">
        <f>'Project FCF'!V33</f>
        <v>278.30292131251394</v>
      </c>
      <c r="W34" s="50">
        <f>'Project FCF'!W33</f>
        <v>534.09604751886866</v>
      </c>
      <c r="X34" s="50">
        <f>'Project FCF'!X33</f>
        <v>214.09884663471891</v>
      </c>
      <c r="Y34" s="50">
        <f>'Project FCF'!Y33</f>
        <v>245.17771146879102</v>
      </c>
      <c r="Z34" s="541"/>
      <c r="AA34" s="205"/>
    </row>
    <row r="35" spans="1:27" x14ac:dyDescent="0.25">
      <c r="A35" s="15"/>
      <c r="C35" s="45" t="s">
        <v>175</v>
      </c>
      <c r="D35" s="15"/>
      <c r="E35" s="15"/>
      <c r="F35" s="50">
        <f>'Project FCF'!F34</f>
        <v>0</v>
      </c>
      <c r="G35" s="50">
        <f>'Project FCF'!G34</f>
        <v>24.37158203125</v>
      </c>
      <c r="H35" s="50">
        <f>'Project FCF'!H34</f>
        <v>72.651147460937494</v>
      </c>
      <c r="I35" s="50">
        <f>'Project FCF'!I34</f>
        <v>114.89606567382813</v>
      </c>
      <c r="J35" s="50">
        <f>'Project FCF'!J34</f>
        <v>152.48302850341798</v>
      </c>
      <c r="K35" s="50">
        <f>'Project FCF'!K34</f>
        <v>186.51149979553222</v>
      </c>
      <c r="L35" s="50">
        <f>'Project FCF'!L34</f>
        <v>217.85590823837282</v>
      </c>
      <c r="M35" s="50">
        <f>'Project FCF'!M34</f>
        <v>247.2084199732742</v>
      </c>
      <c r="N35" s="50">
        <f>'Project FCF'!N34</f>
        <v>275.11394271327936</v>
      </c>
      <c r="O35" s="50">
        <f>'Project FCF'!O34</f>
        <v>301.99872953344675</v>
      </c>
      <c r="P35" s="50">
        <f>'Project FCF'!P34</f>
        <v>328.19371483870265</v>
      </c>
      <c r="Q35" s="50">
        <f>'Project FCF'!Q34</f>
        <v>353.95351927069169</v>
      </c>
      <c r="R35" s="50">
        <f>'Project FCF'!R34</f>
        <v>379.47189781265075</v>
      </c>
      <c r="S35" s="50">
        <f>'Project FCF'!S34</f>
        <v>404.89427052249403</v>
      </c>
      <c r="T35" s="50">
        <f>'Project FCF'!T34</f>
        <v>430.32786352328719</v>
      </c>
      <c r="U35" s="50">
        <f>'Project FCF'!U34</f>
        <v>455.84989523239875</v>
      </c>
      <c r="V35" s="50">
        <f>'Project FCF'!V34</f>
        <v>481.51416608544042</v>
      </c>
      <c r="W35" s="50">
        <f>'Project FCF'!W34</f>
        <v>507.35634651640311</v>
      </c>
      <c r="X35" s="50">
        <f>'Project FCF'!X34</f>
        <v>533.39820544834208</v>
      </c>
      <c r="Y35" s="50">
        <f>'Project FCF'!Y34</f>
        <v>559.65097816189279</v>
      </c>
      <c r="Z35" s="541"/>
      <c r="AA35" s="205"/>
    </row>
    <row r="36" spans="1:27" x14ac:dyDescent="0.25">
      <c r="A36" s="15"/>
      <c r="C36" s="45" t="s">
        <v>926</v>
      </c>
      <c r="D36" s="15"/>
      <c r="E36" s="15"/>
      <c r="F36" s="348">
        <f>'Project FCF'!F35</f>
        <v>0</v>
      </c>
      <c r="G36" s="348">
        <f>'Project FCF'!G35</f>
        <v>0</v>
      </c>
      <c r="H36" s="348">
        <f>'Project FCF'!H35</f>
        <v>0</v>
      </c>
      <c r="I36" s="348">
        <f>'Project FCF'!I35</f>
        <v>0</v>
      </c>
      <c r="J36" s="348">
        <f>'Project FCF'!J35</f>
        <v>0</v>
      </c>
      <c r="K36" s="348">
        <f>'Project FCF'!K35</f>
        <v>0</v>
      </c>
      <c r="L36" s="348">
        <f>'Project FCF'!L35</f>
        <v>0</v>
      </c>
      <c r="M36" s="348">
        <f>'Project FCF'!M35</f>
        <v>0</v>
      </c>
      <c r="N36" s="348">
        <f>'Project FCF'!N35</f>
        <v>0</v>
      </c>
      <c r="O36" s="348">
        <f>'Project FCF'!O35</f>
        <v>0</v>
      </c>
      <c r="P36" s="348">
        <f>'Project FCF'!P35</f>
        <v>0</v>
      </c>
      <c r="Q36" s="348">
        <f>'Project FCF'!Q35</f>
        <v>0</v>
      </c>
      <c r="R36" s="348">
        <f>'Project FCF'!R35</f>
        <v>0</v>
      </c>
      <c r="S36" s="348">
        <f>'Project FCF'!S35</f>
        <v>0</v>
      </c>
      <c r="T36" s="348">
        <f>'Project FCF'!T35</f>
        <v>0</v>
      </c>
      <c r="U36" s="348">
        <f>'Project FCF'!U35</f>
        <v>0</v>
      </c>
      <c r="V36" s="348">
        <f>'Project FCF'!V35</f>
        <v>0</v>
      </c>
      <c r="W36" s="348">
        <f>'Project FCF'!W35</f>
        <v>0</v>
      </c>
      <c r="X36" s="348">
        <f>'Project FCF'!X35</f>
        <v>0</v>
      </c>
      <c r="Y36" s="348">
        <f>'Project FCF'!Y35</f>
        <v>0</v>
      </c>
      <c r="Z36" s="541"/>
      <c r="AA36" s="205"/>
    </row>
    <row r="37" spans="1:27" x14ac:dyDescent="0.25">
      <c r="A37" s="15"/>
      <c r="B37" s="13" t="s">
        <v>1086</v>
      </c>
      <c r="C37" s="45"/>
      <c r="D37" s="15"/>
      <c r="E37" s="15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41"/>
      <c r="AA37" s="205"/>
    </row>
    <row r="38" spans="1:27" x14ac:dyDescent="0.25">
      <c r="A38" s="15"/>
      <c r="C38" s="45" t="s">
        <v>1084</v>
      </c>
      <c r="D38" s="15"/>
      <c r="E38" s="15"/>
      <c r="F38" s="50">
        <f>'Project FCF'!F37*Assumptions!$F$56</f>
        <v>579.63192305714188</v>
      </c>
      <c r="G38" s="50">
        <f>'Project FCF'!G37*Assumptions!$F$56</f>
        <v>1815.7459883362628</v>
      </c>
      <c r="H38" s="50">
        <f>'Project FCF'!H37*Assumptions!$F$56</f>
        <v>5717.8609670777987</v>
      </c>
      <c r="I38" s="50">
        <f>'Project FCF'!I37*Assumptions!$F$56</f>
        <v>-4583.0099267018104</v>
      </c>
      <c r="J38" s="50">
        <f>'Project FCF'!J37*Assumptions!$F$56</f>
        <v>-3530.2289517693935</v>
      </c>
      <c r="K38" s="50">
        <f>'Project FCF'!K37*Assumptions!$F$56</f>
        <v>0</v>
      </c>
      <c r="L38" s="50">
        <f>'Project FCF'!L37*Assumptions!$F$56</f>
        <v>0</v>
      </c>
      <c r="M38" s="50">
        <f>'Project FCF'!M37*Assumptions!$F$56</f>
        <v>0</v>
      </c>
      <c r="N38" s="50">
        <f>'Project FCF'!N37*Assumptions!$F$56</f>
        <v>0</v>
      </c>
      <c r="O38" s="50">
        <f>'Project FCF'!O37*Assumptions!$F$56</f>
        <v>0</v>
      </c>
      <c r="P38" s="50">
        <f>'Project FCF'!P37*Assumptions!$F$56</f>
        <v>0</v>
      </c>
      <c r="Q38" s="50">
        <f>'Project FCF'!Q37*Assumptions!$F$56</f>
        <v>0</v>
      </c>
      <c r="R38" s="50">
        <f>'Project FCF'!R37*Assumptions!$F$56</f>
        <v>0</v>
      </c>
      <c r="S38" s="50">
        <f>'Project FCF'!S37*Assumptions!$F$56</f>
        <v>0</v>
      </c>
      <c r="T38" s="50">
        <f>'Project FCF'!T37*Assumptions!$F$56</f>
        <v>0</v>
      </c>
      <c r="U38" s="50">
        <f>'Project FCF'!U37*Assumptions!$F$56</f>
        <v>0</v>
      </c>
      <c r="V38" s="50">
        <f>'Project FCF'!V37*Assumptions!$F$56</f>
        <v>0</v>
      </c>
      <c r="W38" s="50">
        <f>'Project FCF'!W37*Assumptions!$F$56</f>
        <v>0</v>
      </c>
      <c r="X38" s="50">
        <f>'Project FCF'!X37*Assumptions!$F$56</f>
        <v>0</v>
      </c>
      <c r="Y38" s="50">
        <f>'Project FCF'!Y37*Assumptions!$F$56</f>
        <v>0</v>
      </c>
      <c r="Z38" s="541"/>
      <c r="AA38" s="205"/>
    </row>
    <row r="39" spans="1:27" x14ac:dyDescent="0.25">
      <c r="A39" s="15"/>
      <c r="C39" s="45" t="s">
        <v>1085</v>
      </c>
      <c r="D39" s="15"/>
      <c r="E39" s="15"/>
      <c r="F39" s="50">
        <f>Encoding!E69</f>
        <v>935.24945454545468</v>
      </c>
      <c r="G39" s="50">
        <f>Encoding!F69</f>
        <v>2312.2176818181824</v>
      </c>
      <c r="H39" s="50">
        <f>Encoding!G69</f>
        <v>-78.930136363636393</v>
      </c>
      <c r="I39" s="50">
        <f>Encoding!H69</f>
        <v>99.43349999999964</v>
      </c>
      <c r="J39" s="50">
        <f>Encoding!I69</f>
        <v>99.433500000000095</v>
      </c>
      <c r="K39" s="50">
        <f>Encoding!J69</f>
        <v>99.433500000000095</v>
      </c>
      <c r="L39" s="50">
        <f>Encoding!K69</f>
        <v>99.433500000000095</v>
      </c>
      <c r="M39" s="50">
        <f>Encoding!L69</f>
        <v>99.433500000000095</v>
      </c>
      <c r="N39" s="50">
        <f>Encoding!M69</f>
        <v>99.433500000000095</v>
      </c>
      <c r="O39" s="50">
        <f>Encoding!N69</f>
        <v>99.433500000000095</v>
      </c>
      <c r="P39" s="50">
        <f>Encoding!O69</f>
        <v>99.433500000000095</v>
      </c>
      <c r="Q39" s="50">
        <f>Encoding!P69</f>
        <v>99.433500000000095</v>
      </c>
      <c r="R39" s="50">
        <f>Encoding!Q69</f>
        <v>99.433500000000095</v>
      </c>
      <c r="S39" s="50">
        <f>Encoding!R69</f>
        <v>99.433500000000095</v>
      </c>
      <c r="T39" s="50">
        <f>Encoding!S69</f>
        <v>99.433500000000095</v>
      </c>
      <c r="U39" s="50">
        <f>Encoding!T69</f>
        <v>99.433500000000095</v>
      </c>
      <c r="V39" s="50">
        <f>Encoding!U69</f>
        <v>99.433500000000095</v>
      </c>
      <c r="W39" s="50">
        <f>Encoding!V69</f>
        <v>99.433500000000095</v>
      </c>
      <c r="X39" s="50">
        <f>Encoding!W69</f>
        <v>99.433500000000095</v>
      </c>
      <c r="Y39" s="50">
        <f>Encoding!X69</f>
        <v>99.433500000000095</v>
      </c>
      <c r="Z39" s="541"/>
      <c r="AA39" s="205"/>
    </row>
    <row r="40" spans="1:27" x14ac:dyDescent="0.25">
      <c r="A40" s="15"/>
      <c r="C40" s="45" t="s">
        <v>926</v>
      </c>
      <c r="D40" s="15"/>
      <c r="E40" s="15"/>
      <c r="F40" s="348">
        <v>0</v>
      </c>
      <c r="G40" s="348">
        <v>0</v>
      </c>
      <c r="H40" s="348">
        <v>0</v>
      </c>
      <c r="I40" s="348">
        <v>0</v>
      </c>
      <c r="J40" s="348">
        <v>0</v>
      </c>
      <c r="K40" s="348">
        <v>0</v>
      </c>
      <c r="L40" s="348">
        <v>0</v>
      </c>
      <c r="M40" s="348">
        <v>0</v>
      </c>
      <c r="N40" s="348">
        <v>0</v>
      </c>
      <c r="O40" s="348">
        <v>0</v>
      </c>
      <c r="P40" s="348">
        <v>0</v>
      </c>
      <c r="Q40" s="348">
        <v>0</v>
      </c>
      <c r="R40" s="348">
        <v>0</v>
      </c>
      <c r="S40" s="348">
        <v>0</v>
      </c>
      <c r="T40" s="348">
        <v>0</v>
      </c>
      <c r="U40" s="348">
        <v>0</v>
      </c>
      <c r="V40" s="348">
        <v>0</v>
      </c>
      <c r="W40" s="348">
        <v>0</v>
      </c>
      <c r="X40" s="348">
        <v>0</v>
      </c>
      <c r="Y40" s="348">
        <v>0</v>
      </c>
      <c r="Z40" s="541"/>
      <c r="AA40" s="205"/>
    </row>
    <row r="41" spans="1:27" ht="15.6" thickBot="1" x14ac:dyDescent="0.45">
      <c r="A41" s="15"/>
      <c r="B41" s="1" t="s">
        <v>938</v>
      </c>
      <c r="C41" s="15"/>
      <c r="D41" s="15"/>
      <c r="E41" s="15"/>
      <c r="F41" s="29">
        <f>F31-SUM(F33:F36)-SUM(F38:F40)</f>
        <v>-13498.531804656526</v>
      </c>
      <c r="G41" s="29">
        <f t="shared" ref="G41:Y41" si="8">G31-SUM(G33:G36)-SUM(G38:G40)</f>
        <v>-16593.298333336821</v>
      </c>
      <c r="H41" s="29">
        <f t="shared" si="8"/>
        <v>-14469.714544052316</v>
      </c>
      <c r="I41" s="29">
        <f t="shared" si="8"/>
        <v>17114.088690593588</v>
      </c>
      <c r="J41" s="29">
        <f t="shared" si="8"/>
        <v>37255.032936357406</v>
      </c>
      <c r="K41" s="29">
        <f t="shared" si="8"/>
        <v>59628.598040296391</v>
      </c>
      <c r="L41" s="29">
        <f t="shared" si="8"/>
        <v>95196.603794101204</v>
      </c>
      <c r="M41" s="29">
        <f t="shared" si="8"/>
        <v>128113.54847413226</v>
      </c>
      <c r="N41" s="29">
        <f t="shared" si="8"/>
        <v>168079.46776138258</v>
      </c>
      <c r="O41" s="29">
        <f t="shared" si="8"/>
        <v>203941.56287877998</v>
      </c>
      <c r="P41" s="29">
        <f t="shared" si="8"/>
        <v>227842.05604208101</v>
      </c>
      <c r="Q41" s="29">
        <f t="shared" si="8"/>
        <v>255857.38597168386</v>
      </c>
      <c r="R41" s="29">
        <f t="shared" si="8"/>
        <v>281406.07878000411</v>
      </c>
      <c r="S41" s="29">
        <f t="shared" si="8"/>
        <v>316017.72717077914</v>
      </c>
      <c r="T41" s="29">
        <f t="shared" si="8"/>
        <v>341600.39162981499</v>
      </c>
      <c r="U41" s="29">
        <f t="shared" si="8"/>
        <v>364853.3232920859</v>
      </c>
      <c r="V41" s="29">
        <f t="shared" si="8"/>
        <v>389047.17155419179</v>
      </c>
      <c r="W41" s="29">
        <f t="shared" si="8"/>
        <v>423238.34599159908</v>
      </c>
      <c r="X41" s="29">
        <f t="shared" si="8"/>
        <v>459747.16528973368</v>
      </c>
      <c r="Y41" s="29">
        <f t="shared" si="8"/>
        <v>497843.88323779532</v>
      </c>
      <c r="Z41" s="541"/>
      <c r="AA41" s="205"/>
    </row>
    <row r="42" spans="1:27" ht="13.8" thickTop="1" x14ac:dyDescent="0.25">
      <c r="A42" s="15"/>
      <c r="B42" s="15"/>
      <c r="C42" s="15"/>
      <c r="D42" s="15"/>
      <c r="E42" s="15"/>
      <c r="F42" s="24">
        <f>SUM($F$41:F41)</f>
        <v>-13498.531804656526</v>
      </c>
      <c r="G42" s="24">
        <f>SUM($F$41:G41)</f>
        <v>-30091.830137993347</v>
      </c>
      <c r="H42" s="24">
        <f>SUM($F$41:H41)</f>
        <v>-44561.544682045664</v>
      </c>
      <c r="I42" s="24">
        <f>SUM($F$41:I41)</f>
        <v>-27447.455991452076</v>
      </c>
      <c r="J42" s="24">
        <f>SUM($F$41:J41)</f>
        <v>9807.5769449053296</v>
      </c>
      <c r="K42" s="24">
        <f>SUM($F$41:K41)</f>
        <v>69436.174985201724</v>
      </c>
      <c r="L42" s="24">
        <f>SUM($F$41:L41)</f>
        <v>164632.77877930293</v>
      </c>
      <c r="M42" s="24">
        <f>SUM($F$41:M41)</f>
        <v>292746.32725343516</v>
      </c>
      <c r="N42" s="24">
        <f>SUM($F$41:N41)</f>
        <v>460825.79501481773</v>
      </c>
      <c r="O42" s="24">
        <f>SUM($F$41:O41)</f>
        <v>664767.35789359768</v>
      </c>
      <c r="P42" s="24">
        <f>SUM($F$41:P41)</f>
        <v>892609.41393567866</v>
      </c>
      <c r="Q42" s="24">
        <f>SUM($F$41:Q41)</f>
        <v>1148466.7999073626</v>
      </c>
      <c r="R42" s="24">
        <f>SUM($F$41:R41)</f>
        <v>1429872.8786873666</v>
      </c>
      <c r="S42" s="24">
        <f>SUM($F$41:S41)</f>
        <v>1745890.6058581457</v>
      </c>
      <c r="T42" s="24">
        <f>SUM($F$41:T41)</f>
        <v>2087490.9974879608</v>
      </c>
      <c r="U42" s="24">
        <f>SUM($F$41:U41)</f>
        <v>2452344.3207800467</v>
      </c>
      <c r="V42" s="24">
        <f>SUM($F$41:V41)</f>
        <v>2841391.4923342387</v>
      </c>
      <c r="W42" s="24">
        <f>SUM($F$41:W41)</f>
        <v>3264629.8383258376</v>
      </c>
      <c r="X42" s="24">
        <f>SUM($F$41:X41)</f>
        <v>3724377.0036155712</v>
      </c>
      <c r="Y42" s="24">
        <f>SUM($F$41:Y41)</f>
        <v>4222220.8868533662</v>
      </c>
      <c r="Z42" s="205"/>
      <c r="AA42" s="205"/>
    </row>
    <row r="43" spans="1:27" ht="13.8" thickBot="1" x14ac:dyDescent="0.3">
      <c r="A43" s="15"/>
      <c r="B43" s="15"/>
      <c r="C43" s="15"/>
      <c r="D43" s="15"/>
      <c r="E43" s="15"/>
      <c r="F43" s="24">
        <f>NPV(Assumptions!$F$325,$F$41:F41)</f>
        <v>-10974.416101346769</v>
      </c>
      <c r="G43" s="24">
        <f>NPV(Assumptions!$F$325,$F$41:G41)</f>
        <v>-21942.291263840536</v>
      </c>
      <c r="H43" s="24">
        <f>NPV(Assumptions!$F$325,$F$41:H41)</f>
        <v>-29718.083163021038</v>
      </c>
      <c r="I43" s="24">
        <f>NPV(Assumptions!$F$325,$F$41:I41)</f>
        <v>-22240.980691761655</v>
      </c>
      <c r="J43" s="24">
        <f>NPV(Assumptions!$F$325,$F$41:J41)</f>
        <v>-9007.9477234001643</v>
      </c>
      <c r="K43" s="24">
        <f>NPV(Assumptions!$F$325,$F$41:K41)</f>
        <v>8211.6868130763378</v>
      </c>
      <c r="L43" s="24">
        <f>NPV(Assumptions!$F$325,$F$41:L41)</f>
        <v>30562.106102548878</v>
      </c>
      <c r="M43" s="24">
        <f>NPV(Assumptions!$F$325,$F$41:M41)</f>
        <v>55016.34603020404</v>
      </c>
      <c r="N43" s="24">
        <f>NPV(Assumptions!$F$325,$F$41:N41)</f>
        <v>81100.013877690639</v>
      </c>
      <c r="O43" s="24">
        <f>NPV(Assumptions!$F$325,$F$41:O41)</f>
        <v>106830.89324619509</v>
      </c>
      <c r="P43" s="24">
        <f>NPV(Assumptions!$F$325,$F$41:P41)</f>
        <v>130201.91314613141</v>
      </c>
      <c r="Q43" s="24">
        <f>NPV(Assumptions!$F$325,$F$41:Q41)</f>
        <v>151539.07350851456</v>
      </c>
      <c r="R43" s="24">
        <f>NPV(Assumptions!$F$325,$F$41:R41)</f>
        <v>170618.57511393403</v>
      </c>
      <c r="S43" s="24">
        <f>NPV(Assumptions!$F$325,$F$41:S41)</f>
        <v>188038.24357703992</v>
      </c>
      <c r="T43" s="24">
        <f>NPV(Assumptions!$F$325,$F$41:T41)</f>
        <v>203347.06257760187</v>
      </c>
      <c r="U43" s="24">
        <f>NPV(Assumptions!$F$325,$F$41:U41)</f>
        <v>216640.47636573546</v>
      </c>
      <c r="V43" s="24">
        <f>NPV(Assumptions!$F$325,$F$41:V41)</f>
        <v>228164.7979260789</v>
      </c>
      <c r="W43" s="24">
        <f>NPV(Assumptions!$F$325,$F$41:W41)</f>
        <v>238357.58618864187</v>
      </c>
      <c r="X43" s="24">
        <f>NPV(Assumptions!$F$325,$F$41:X41)</f>
        <v>247359.23245775208</v>
      </c>
      <c r="Y43" s="24">
        <f>NPV(Assumptions!$F$325,$F$41:Y41)</f>
        <v>255284.08056036039</v>
      </c>
      <c r="Z43" s="205"/>
      <c r="AA43" s="205"/>
    </row>
    <row r="44" spans="1:27" ht="13.8" thickBot="1" x14ac:dyDescent="0.3">
      <c r="A44" s="15"/>
      <c r="B44" s="15"/>
      <c r="C44" s="13" t="s">
        <v>965</v>
      </c>
      <c r="D44" s="542">
        <f>NPV(Assumptions!$F$325,F$41:$Y41)</f>
        <v>255284.08056036039</v>
      </c>
      <c r="E44" s="534"/>
      <c r="F44" s="633">
        <f>IRR(F41:Y41)</f>
        <v>0.68099563740223301</v>
      </c>
      <c r="Z44" s="539"/>
      <c r="AA44" s="539"/>
    </row>
    <row r="45" spans="1:27" ht="13.8" thickBot="1" x14ac:dyDescent="0.3">
      <c r="A45" s="15"/>
      <c r="B45" s="15"/>
      <c r="C45" s="13" t="s">
        <v>966</v>
      </c>
      <c r="D45" s="544">
        <f>NPV(Assumptions!$F$325,F$41:$H41)</f>
        <v>-29718.083163021038</v>
      </c>
      <c r="E45" s="534"/>
      <c r="F45" s="633" t="e">
        <f>IRR(F41:H41)</f>
        <v>#NUM!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539"/>
      <c r="AA45" s="539"/>
    </row>
    <row r="46" spans="1:27" ht="13.8" thickBot="1" x14ac:dyDescent="0.3">
      <c r="A46" s="15"/>
      <c r="B46" s="15"/>
      <c r="C46" s="13" t="s">
        <v>967</v>
      </c>
      <c r="D46" s="544">
        <f>NPV(Assumptions!$F$325,F$41:$J41)</f>
        <v>-9007.9477234001643</v>
      </c>
      <c r="E46" s="534"/>
      <c r="F46" s="633">
        <f>IRR(F41:J41)</f>
        <v>7.7090429398773433E-2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539"/>
      <c r="AA46" s="539"/>
    </row>
    <row r="47" spans="1:27" ht="13.8" thickBot="1" x14ac:dyDescent="0.3">
      <c r="A47" s="15"/>
      <c r="B47" s="15"/>
      <c r="C47" s="13" t="s">
        <v>968</v>
      </c>
      <c r="D47" s="544">
        <f>NPV(Assumptions!$F$325,F$41:$O41)</f>
        <v>106830.89324619509</v>
      </c>
      <c r="E47" s="534"/>
      <c r="F47" s="633">
        <f>IRR(F41:O41)</f>
        <v>0.63489994639473935</v>
      </c>
      <c r="G47" s="178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539"/>
      <c r="AA47" s="539"/>
    </row>
    <row r="48" spans="1:27" ht="20.25" customHeight="1" thickBot="1" x14ac:dyDescent="0.3">
      <c r="A48" s="15"/>
      <c r="B48" s="15"/>
      <c r="C48" s="15"/>
      <c r="D48" s="545"/>
      <c r="E48" s="534"/>
      <c r="F48" s="554" t="str">
        <f>IF(Assumptions!$O$311=0,"Cash flow does not include STB depreciation!","")</f>
        <v>Cash flow does not include STB depreciation!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539"/>
      <c r="AA48" s="539"/>
    </row>
    <row r="49" spans="1:27" s="1" customFormat="1" ht="14.25" customHeight="1" thickBot="1" x14ac:dyDescent="0.3">
      <c r="A49" s="17"/>
      <c r="B49" s="17"/>
      <c r="C49" s="17" t="s">
        <v>969</v>
      </c>
      <c r="D49" s="547">
        <f>MAX(F49:Y49)</f>
        <v>2006</v>
      </c>
      <c r="E49" s="535"/>
      <c r="F49" s="548" t="str">
        <f>IF(AND(E44&lt;0,F43&gt;0),F4,"")</f>
        <v/>
      </c>
      <c r="G49" s="549" t="str">
        <f t="shared" ref="G49:Y49" si="9">IF(AND(F43&lt;0,G43&gt;0),G4,"")</f>
        <v/>
      </c>
      <c r="H49" s="549" t="str">
        <f t="shared" si="9"/>
        <v/>
      </c>
      <c r="I49" s="549" t="str">
        <f t="shared" si="9"/>
        <v/>
      </c>
      <c r="J49" s="549" t="str">
        <f t="shared" si="9"/>
        <v/>
      </c>
      <c r="K49" s="549">
        <f t="shared" si="9"/>
        <v>2006</v>
      </c>
      <c r="L49" s="549" t="str">
        <f t="shared" si="9"/>
        <v/>
      </c>
      <c r="M49" s="549" t="str">
        <f t="shared" si="9"/>
        <v/>
      </c>
      <c r="N49" s="549" t="str">
        <f t="shared" si="9"/>
        <v/>
      </c>
      <c r="O49" s="549" t="str">
        <f t="shared" si="9"/>
        <v/>
      </c>
      <c r="P49" s="549" t="str">
        <f t="shared" si="9"/>
        <v/>
      </c>
      <c r="Q49" s="549" t="str">
        <f t="shared" si="9"/>
        <v/>
      </c>
      <c r="R49" s="549" t="str">
        <f t="shared" si="9"/>
        <v/>
      </c>
      <c r="S49" s="549" t="str">
        <f t="shared" si="9"/>
        <v/>
      </c>
      <c r="T49" s="549" t="str">
        <f t="shared" si="9"/>
        <v/>
      </c>
      <c r="U49" s="549" t="str">
        <f t="shared" si="9"/>
        <v/>
      </c>
      <c r="V49" s="549" t="str">
        <f t="shared" si="9"/>
        <v/>
      </c>
      <c r="W49" s="549" t="str">
        <f t="shared" si="9"/>
        <v/>
      </c>
      <c r="X49" s="549" t="str">
        <f t="shared" si="9"/>
        <v/>
      </c>
      <c r="Y49" s="550" t="str">
        <f t="shared" si="9"/>
        <v/>
      </c>
      <c r="Z49" s="546"/>
      <c r="AA49" s="546"/>
    </row>
    <row r="50" spans="1:27" ht="13.8" thickBot="1" x14ac:dyDescent="0.3">
      <c r="A50" s="15"/>
      <c r="B50" s="15"/>
      <c r="C50" s="17" t="s">
        <v>970</v>
      </c>
      <c r="D50" s="547">
        <f>MAX(F50:Y50)</f>
        <v>2005</v>
      </c>
      <c r="E50" s="15"/>
      <c r="F50" s="548" t="str">
        <f t="shared" ref="F50:Y50" si="10">IF(AND(E42&lt;0,F42&gt;0),F4,"")</f>
        <v/>
      </c>
      <c r="G50" s="549" t="str">
        <f t="shared" si="10"/>
        <v/>
      </c>
      <c r="H50" s="549" t="str">
        <f t="shared" si="10"/>
        <v/>
      </c>
      <c r="I50" s="549" t="str">
        <f t="shared" si="10"/>
        <v/>
      </c>
      <c r="J50" s="549">
        <f t="shared" si="10"/>
        <v>2005</v>
      </c>
      <c r="K50" s="549" t="str">
        <f t="shared" si="10"/>
        <v/>
      </c>
      <c r="L50" s="549" t="str">
        <f t="shared" si="10"/>
        <v/>
      </c>
      <c r="M50" s="549" t="str">
        <f t="shared" si="10"/>
        <v/>
      </c>
      <c r="N50" s="549" t="str">
        <f t="shared" si="10"/>
        <v/>
      </c>
      <c r="O50" s="549" t="str">
        <f t="shared" si="10"/>
        <v/>
      </c>
      <c r="P50" s="549" t="str">
        <f t="shared" si="10"/>
        <v/>
      </c>
      <c r="Q50" s="549" t="str">
        <f t="shared" si="10"/>
        <v/>
      </c>
      <c r="R50" s="549" t="str">
        <f t="shared" si="10"/>
        <v/>
      </c>
      <c r="S50" s="549" t="str">
        <f t="shared" si="10"/>
        <v/>
      </c>
      <c r="T50" s="549" t="str">
        <f t="shared" si="10"/>
        <v/>
      </c>
      <c r="U50" s="549" t="str">
        <f t="shared" si="10"/>
        <v/>
      </c>
      <c r="V50" s="549" t="str">
        <f t="shared" si="10"/>
        <v/>
      </c>
      <c r="W50" s="549" t="str">
        <f t="shared" si="10"/>
        <v/>
      </c>
      <c r="X50" s="549" t="str">
        <f t="shared" si="10"/>
        <v/>
      </c>
      <c r="Y50" s="550" t="str">
        <f t="shared" si="10"/>
        <v/>
      </c>
      <c r="Z50" s="171"/>
      <c r="AA50" s="171"/>
    </row>
    <row r="51" spans="1:27" s="15" customFormat="1" x14ac:dyDescent="0.25">
      <c r="F51" s="23"/>
      <c r="G51" s="23"/>
      <c r="H51" s="23"/>
      <c r="I51" s="23"/>
      <c r="J51" s="23"/>
      <c r="K51" s="23"/>
      <c r="L51" s="23"/>
      <c r="M51" s="23"/>
      <c r="Z51" s="171"/>
      <c r="AA51" s="171"/>
    </row>
    <row r="52" spans="1:27" ht="13.8" thickBot="1" x14ac:dyDescent="0.3">
      <c r="A52" s="18"/>
      <c r="B52" s="18"/>
      <c r="C52" s="18"/>
      <c r="D52" s="18"/>
      <c r="E52" s="18"/>
      <c r="F52" s="35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7" ht="9.75" customHeight="1" x14ac:dyDescent="0.25"/>
    <row r="54" spans="1:27" hidden="1" x14ac:dyDescent="0.25">
      <c r="C54" s="619" t="s">
        <v>1090</v>
      </c>
      <c r="D54" s="620" t="s">
        <v>1091</v>
      </c>
      <c r="E54" s="620"/>
      <c r="F54" s="621">
        <v>11437</v>
      </c>
    </row>
    <row r="55" spans="1:27" hidden="1" x14ac:dyDescent="0.25">
      <c r="C55" s="622" t="s">
        <v>1092</v>
      </c>
      <c r="D55" s="623" t="s">
        <v>1091</v>
      </c>
      <c r="E55" s="623"/>
      <c r="F55" s="624">
        <v>1944.5352303331601</v>
      </c>
    </row>
    <row r="56" spans="1:27" hidden="1" x14ac:dyDescent="0.25">
      <c r="C56" s="622" t="s">
        <v>1093</v>
      </c>
      <c r="D56" s="623" t="s">
        <v>1091</v>
      </c>
      <c r="E56" s="623"/>
      <c r="F56" s="625">
        <v>456.38834567877348</v>
      </c>
    </row>
    <row r="57" spans="1:27" hidden="1" x14ac:dyDescent="0.25">
      <c r="C57" s="622" t="s">
        <v>1094</v>
      </c>
      <c r="D57" s="623" t="s">
        <v>1091</v>
      </c>
      <c r="E57" s="623"/>
      <c r="F57" s="625">
        <v>-1006.8295500998793</v>
      </c>
    </row>
    <row r="58" spans="1:27" hidden="1" x14ac:dyDescent="0.25">
      <c r="C58" s="622" t="s">
        <v>1095</v>
      </c>
      <c r="D58" s="623" t="s">
        <v>1091</v>
      </c>
      <c r="E58" s="623"/>
      <c r="F58" s="625">
        <v>-1214.8103848115134</v>
      </c>
    </row>
    <row r="59" spans="1:27" hidden="1" x14ac:dyDescent="0.25">
      <c r="C59" s="622" t="s">
        <v>1099</v>
      </c>
      <c r="D59" s="623" t="s">
        <v>1091</v>
      </c>
      <c r="E59" s="623"/>
      <c r="F59" s="626">
        <v>-41755.526709471626</v>
      </c>
    </row>
    <row r="60" spans="1:27" hidden="1" x14ac:dyDescent="0.25">
      <c r="C60" s="622" t="s">
        <v>1103</v>
      </c>
      <c r="D60" s="623" t="s">
        <v>1091</v>
      </c>
      <c r="E60" s="623"/>
      <c r="F60" s="625">
        <v>-1509.8625000000175</v>
      </c>
    </row>
    <row r="61" spans="1:27" hidden="1" x14ac:dyDescent="0.25">
      <c r="C61" s="622"/>
      <c r="D61" s="623"/>
      <c r="E61" s="623"/>
      <c r="F61" s="632"/>
    </row>
    <row r="62" spans="1:27" hidden="1" x14ac:dyDescent="0.25">
      <c r="C62" s="622"/>
      <c r="D62" s="623"/>
      <c r="E62" s="623"/>
      <c r="F62" s="627">
        <f>SUM(F54:F60)</f>
        <v>-31649.105568371102</v>
      </c>
    </row>
    <row r="63" spans="1:27" hidden="1" x14ac:dyDescent="0.25">
      <c r="C63" s="622" t="s">
        <v>1104</v>
      </c>
      <c r="D63" s="623"/>
      <c r="E63" s="623"/>
      <c r="F63" s="628">
        <v>170246.95325733713</v>
      </c>
    </row>
    <row r="64" spans="1:27" ht="13.8" hidden="1" thickBot="1" x14ac:dyDescent="0.3">
      <c r="C64" s="629" t="s">
        <v>1105</v>
      </c>
      <c r="D64" s="630"/>
      <c r="E64" s="630"/>
      <c r="F64" s="631">
        <f>F62/F63</f>
        <v>-0.18590115689490097</v>
      </c>
    </row>
    <row r="67" spans="6:15" s="171" customFormat="1" x14ac:dyDescent="0.25">
      <c r="F67" s="634"/>
      <c r="G67" s="634"/>
      <c r="H67" s="634"/>
      <c r="I67" s="634"/>
      <c r="J67" s="634"/>
      <c r="K67" s="634"/>
      <c r="L67" s="634"/>
      <c r="M67" s="634"/>
      <c r="N67" s="634"/>
      <c r="O67" s="634"/>
    </row>
    <row r="68" spans="6:15" s="171" customFormat="1" x14ac:dyDescent="0.25">
      <c r="F68" s="205"/>
      <c r="G68" s="205"/>
      <c r="H68" s="205"/>
      <c r="I68" s="205"/>
      <c r="J68" s="205"/>
      <c r="K68" s="205"/>
      <c r="L68" s="205"/>
      <c r="M68" s="205"/>
      <c r="N68" s="205"/>
      <c r="O68" s="205"/>
    </row>
    <row r="69" spans="6:15" s="171" customFormat="1" x14ac:dyDescent="0.25">
      <c r="G69" s="195"/>
      <c r="H69" s="195"/>
      <c r="I69" s="195"/>
      <c r="J69" s="195"/>
      <c r="K69" s="195"/>
      <c r="L69" s="195"/>
      <c r="M69" s="195"/>
      <c r="N69" s="195"/>
      <c r="O69" s="195"/>
    </row>
    <row r="70" spans="6:15" s="171" customFormat="1" x14ac:dyDescent="0.25">
      <c r="F70" s="545"/>
    </row>
  </sheetData>
  <customSheetViews>
    <customSheetView guid="{00A591F2-C6CE-11D4-B3FE-00409628F381}" scale="75" showPageBreaks="1" fitToPage="1" hiddenRows="1" showRuler="0">
      <pane xSplit="4" ySplit="5" topLeftCell="E29" activePane="bottomRight" state="frozen"/>
      <selection pane="bottomRight" activeCell="K39" sqref="K39"/>
      <pageMargins left="0.75" right="0.75" top="1" bottom="1" header="0.5" footer="0.5"/>
      <pageSetup paperSize="5" scale="47" orientation="landscape" r:id="rId1"/>
      <headerFooter alignWithMargins="0"/>
    </customSheetView>
    <customSheetView guid="{39AEF1F3-C6CC-11D4-B3CC-0080C71F7D28}" scale="75" fitToPage="1" hiddenRows="1" showRuler="0">
      <pane xSplit="4" ySplit="5" topLeftCell="E6" activePane="bottomRight" state="frozen"/>
      <selection pane="bottomRight" activeCell="F11" sqref="F11"/>
      <pageMargins left="0.75" right="0.75" top="1" bottom="1" header="0.5" footer="0.5"/>
      <pageSetup paperSize="5" scale="47" orientation="landscape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47"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69"/>
  <sheetViews>
    <sheetView zoomScale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2" sqref="F32"/>
    </sheetView>
  </sheetViews>
  <sheetFormatPr defaultColWidth="9.109375" defaultRowHeight="13.2" x14ac:dyDescent="0.25"/>
  <cols>
    <col min="1" max="1" width="3.5546875" style="13" customWidth="1"/>
    <col min="2" max="2" width="3.44140625" style="13" customWidth="1"/>
    <col min="3" max="3" width="39.5546875" style="13" customWidth="1"/>
    <col min="4" max="4" width="12.88671875" style="13" customWidth="1"/>
    <col min="5" max="5" width="2.88671875" style="13" customWidth="1"/>
    <col min="6" max="6" width="13.109375" style="13" customWidth="1"/>
    <col min="7" max="10" width="10.6640625" style="13" customWidth="1"/>
    <col min="11" max="16" width="11.33203125" style="13" bestFit="1" customWidth="1"/>
    <col min="17" max="17" width="12" style="13" bestFit="1" customWidth="1"/>
    <col min="18" max="18" width="11.5546875" style="13" bestFit="1" customWidth="1"/>
    <col min="19" max="19" width="12" style="13" bestFit="1" customWidth="1"/>
    <col min="20" max="21" width="11.5546875" style="13" bestFit="1" customWidth="1"/>
    <col min="22" max="22" width="12" style="13" bestFit="1" customWidth="1"/>
    <col min="23" max="25" width="12.33203125" style="13" bestFit="1" customWidth="1"/>
    <col min="26" max="26" width="3.44140625" style="13" customWidth="1"/>
    <col min="27" max="16384" width="9.109375" style="13"/>
  </cols>
  <sheetData>
    <row r="1" spans="1:28" x14ac:dyDescent="0.25">
      <c r="A1" s="648" t="s">
        <v>951</v>
      </c>
      <c r="B1" s="649"/>
      <c r="C1" s="649"/>
      <c r="D1" s="649"/>
    </row>
    <row r="2" spans="1:28" ht="13.8" thickBot="1" x14ac:dyDescent="0.3">
      <c r="A2" s="18"/>
      <c r="B2" s="18"/>
      <c r="C2" s="18"/>
      <c r="D2" s="18"/>
      <c r="E2" s="18"/>
      <c r="F2" s="18"/>
      <c r="G2" s="18"/>
      <c r="H2" s="18"/>
      <c r="I2" s="18"/>
      <c r="J2" s="211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8" x14ac:dyDescent="0.25">
      <c r="A3" s="16" t="s">
        <v>953</v>
      </c>
      <c r="F3" s="12">
        <f>Assumptions!F6</f>
        <v>2001</v>
      </c>
      <c r="G3" s="12">
        <f>Assumptions!G6</f>
        <v>2002</v>
      </c>
      <c r="H3" s="12">
        <f>Assumptions!H6</f>
        <v>2003</v>
      </c>
      <c r="I3" s="12">
        <f>Assumptions!I6</f>
        <v>2004</v>
      </c>
      <c r="J3" s="12">
        <f>Assumptions!J6</f>
        <v>2005</v>
      </c>
      <c r="K3" s="12">
        <f>Assumptions!K6</f>
        <v>2006</v>
      </c>
      <c r="L3" s="12">
        <f>Assumptions!L6</f>
        <v>2007</v>
      </c>
      <c r="M3" s="12">
        <f>Assumptions!M6</f>
        <v>2008</v>
      </c>
      <c r="N3" s="12">
        <f>Assumptions!N6</f>
        <v>2009</v>
      </c>
      <c r="O3" s="12">
        <f>Assumptions!O6</f>
        <v>2010</v>
      </c>
      <c r="P3" s="12">
        <f>Assumptions!P6</f>
        <v>2011</v>
      </c>
      <c r="Q3" s="12">
        <f>Assumptions!Q6</f>
        <v>2012</v>
      </c>
      <c r="R3" s="12">
        <f>Assumptions!R6</f>
        <v>2013</v>
      </c>
      <c r="S3" s="12">
        <f>Assumptions!S6</f>
        <v>2014</v>
      </c>
      <c r="T3" s="12">
        <f>Assumptions!T6</f>
        <v>2015</v>
      </c>
      <c r="U3" s="12">
        <f>Assumptions!U6</f>
        <v>2016</v>
      </c>
      <c r="V3" s="12">
        <f>Assumptions!V6</f>
        <v>2017</v>
      </c>
      <c r="W3" s="12">
        <f>Assumptions!W6</f>
        <v>2018</v>
      </c>
      <c r="X3" s="12">
        <f>Assumptions!X6</f>
        <v>2019</v>
      </c>
      <c r="Y3" s="12">
        <f>Assumptions!Y6</f>
        <v>2020</v>
      </c>
    </row>
    <row r="4" spans="1:28" ht="13.8" thickBot="1" x14ac:dyDescent="0.3">
      <c r="A4" s="18"/>
      <c r="B4" s="18"/>
      <c r="C4" s="18"/>
      <c r="D4" s="18"/>
      <c r="E4" s="18"/>
      <c r="F4" s="18"/>
      <c r="G4" s="18"/>
      <c r="H4" s="18"/>
      <c r="I4" s="18"/>
      <c r="J4" s="211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8" x14ac:dyDescent="0.25">
      <c r="A5" s="39"/>
      <c r="B5" s="13" t="s">
        <v>286</v>
      </c>
      <c r="F5" s="40">
        <f>Assumptions!F28</f>
        <v>9679.8918346216069</v>
      </c>
      <c r="G5" s="40">
        <f>Assumptions!G28</f>
        <v>44842.917049465184</v>
      </c>
      <c r="H5" s="40">
        <f>Assumptions!H28</f>
        <v>162753.03567903742</v>
      </c>
      <c r="I5" s="40">
        <f>Assumptions!I28</f>
        <v>527157.45529150765</v>
      </c>
      <c r="J5" s="41">
        <f>Assumptions!J28</f>
        <v>1031810.3824692816</v>
      </c>
      <c r="K5" s="40">
        <f>Assumptions!K28</f>
        <v>1641073.8851990085</v>
      </c>
      <c r="L5" s="40">
        <f>Assumptions!L28</f>
        <v>2400998.0565802758</v>
      </c>
      <c r="M5" s="40">
        <f>Assumptions!M28</f>
        <v>3190622.9249297455</v>
      </c>
      <c r="N5" s="40">
        <f>Assumptions!N28</f>
        <v>4001011.861038697</v>
      </c>
      <c r="O5" s="40">
        <f>Assumptions!O28</f>
        <v>4831291.1584845111</v>
      </c>
      <c r="P5" s="40">
        <f>Assumptions!P28</f>
        <v>5364969.5117721474</v>
      </c>
      <c r="Q5" s="40">
        <f>Assumptions!Q28</f>
        <v>5998221.9978256002</v>
      </c>
      <c r="R5" s="40">
        <f>Assumptions!R28</f>
        <v>6602547.2276779683</v>
      </c>
      <c r="S5" s="40">
        <f>Assumptions!S28</f>
        <v>7247440.9611745151</v>
      </c>
      <c r="T5" s="40">
        <f>Assumptions!T28</f>
        <v>7842598.0657263361</v>
      </c>
      <c r="U5" s="40">
        <f>Assumptions!U28</f>
        <v>8375473.9944316531</v>
      </c>
      <c r="V5" s="40">
        <f>Assumptions!V28</f>
        <v>8932090.9672121629</v>
      </c>
      <c r="W5" s="40">
        <f>Assumptions!W28</f>
        <v>9715408.4563397542</v>
      </c>
      <c r="X5" s="40">
        <f>Assumptions!X28</f>
        <v>10540932.898125341</v>
      </c>
      <c r="Y5" s="40">
        <f>Assumptions!Y28</f>
        <v>11410732.42162074</v>
      </c>
    </row>
    <row r="6" spans="1:28" x14ac:dyDescent="0.25">
      <c r="B6" s="13" t="s">
        <v>275</v>
      </c>
      <c r="F6" s="40">
        <f>Assumptions!F34</f>
        <v>464634.8080618371</v>
      </c>
      <c r="G6" s="40">
        <f>Assumptions!G34</f>
        <v>2354253.1450969223</v>
      </c>
      <c r="H6" s="40">
        <f>Assumptions!H34</f>
        <v>9276923.0337051321</v>
      </c>
      <c r="I6" s="40">
        <f>Assumptions!I34</f>
        <v>32420183.500427719</v>
      </c>
      <c r="J6" s="41">
        <f>Assumptions!J34</f>
        <v>68099485.242972583</v>
      </c>
      <c r="K6" s="40">
        <f>Assumptions!K34</f>
        <v>108310876.42313455</v>
      </c>
      <c r="L6" s="40">
        <f>Assumptions!L34</f>
        <v>158465871.7342982</v>
      </c>
      <c r="M6" s="40">
        <f>Assumptions!M34</f>
        <v>210581113.04536319</v>
      </c>
      <c r="N6" s="40">
        <f>Assumptions!N34</f>
        <v>264066782.828554</v>
      </c>
      <c r="O6" s="40">
        <f>Assumptions!O34</f>
        <v>318865216.45997775</v>
      </c>
      <c r="P6" s="40">
        <f>Assumptions!P34</f>
        <v>354087987.77696174</v>
      </c>
      <c r="Q6" s="40">
        <f>Assumptions!Q34</f>
        <v>395882651.8564896</v>
      </c>
      <c r="R6" s="40">
        <f>Assumptions!R34</f>
        <v>435768117.02674592</v>
      </c>
      <c r="S6" s="40">
        <f>Assumptions!S34</f>
        <v>478331103.437518</v>
      </c>
      <c r="T6" s="40">
        <f>Assumptions!T34</f>
        <v>517611472.33793819</v>
      </c>
      <c r="U6" s="40">
        <f>Assumptions!U34</f>
        <v>552781283.63248909</v>
      </c>
      <c r="V6" s="40">
        <f>Assumptions!V34</f>
        <v>589518003.83600271</v>
      </c>
      <c r="W6" s="40">
        <f>Assumptions!W34</f>
        <v>641216958.11842382</v>
      </c>
      <c r="X6" s="40">
        <f>Assumptions!X34</f>
        <v>695701571.27627254</v>
      </c>
      <c r="Y6" s="40">
        <f>Assumptions!Y34</f>
        <v>753108339.82696891</v>
      </c>
    </row>
    <row r="7" spans="1:28" x14ac:dyDescent="0.25">
      <c r="B7" s="1" t="s">
        <v>915</v>
      </c>
      <c r="J7" s="38"/>
    </row>
    <row r="8" spans="1:28" x14ac:dyDescent="0.25">
      <c r="C8" s="13" t="s">
        <v>287</v>
      </c>
      <c r="F8" s="40">
        <f>F6*Assumptions!F88/1000</f>
        <v>2318.5276922285675</v>
      </c>
      <c r="G8" s="40">
        <f>G6*Assumptions!G88/1000</f>
        <v>11747.723194033642</v>
      </c>
      <c r="H8" s="40">
        <f>H6*Assumptions!H88/1000</f>
        <v>46291.845938188613</v>
      </c>
      <c r="I8" s="40">
        <f>I6*Assumptions!I88/1000</f>
        <v>161776.71566713433</v>
      </c>
      <c r="J8" s="40">
        <f>J6*Assumptions!J88/1000</f>
        <v>339816.43136243318</v>
      </c>
      <c r="K8" s="40">
        <f>K6*Assumptions!K88/1000</f>
        <v>540471.27335144137</v>
      </c>
      <c r="L8" s="40">
        <f>L6*Assumptions!L88/1000</f>
        <v>790744.69995414803</v>
      </c>
      <c r="M8" s="40">
        <f>M6*Assumptions!M88/1000</f>
        <v>1050799.7540963623</v>
      </c>
      <c r="N8" s="40">
        <f>N6*Assumptions!N88/1000</f>
        <v>1317693.2463144846</v>
      </c>
      <c r="O8" s="40">
        <f>O6*Assumptions!O88/1000</f>
        <v>1591137.430135289</v>
      </c>
      <c r="P8" s="40">
        <f>P6*Assumptions!P88/1000</f>
        <v>1766899.0590070391</v>
      </c>
      <c r="Q8" s="40">
        <f>Q6*Assumptions!Q88/1000</f>
        <v>1975454.4327638831</v>
      </c>
      <c r="R8" s="40">
        <f>R6*Assumptions!R88/1000</f>
        <v>2174482.9039634624</v>
      </c>
      <c r="S8" s="40">
        <f>S6*Assumptions!S88/1000</f>
        <v>2386872.2061532149</v>
      </c>
      <c r="T8" s="40">
        <f>T6*Assumptions!T88/1000</f>
        <v>2582881.2469663112</v>
      </c>
      <c r="U8" s="40">
        <f>U6*Assumptions!U88/1000</f>
        <v>2758378.6053261207</v>
      </c>
      <c r="V8" s="40">
        <f>V6*Assumptions!V88/1000</f>
        <v>2941694.8391416534</v>
      </c>
      <c r="W8" s="40">
        <f>W6*Assumptions!W88/1000</f>
        <v>3199672.6210109349</v>
      </c>
      <c r="X8" s="40">
        <f>X6*Assumptions!X88/1000</f>
        <v>3471550.8406686001</v>
      </c>
      <c r="Y8" s="40">
        <f>Y6*Assumptions!Y88/1000</f>
        <v>3758010.6157365753</v>
      </c>
      <c r="Z8" s="40"/>
      <c r="AA8" s="40"/>
      <c r="AB8" s="40"/>
    </row>
    <row r="9" spans="1:28" x14ac:dyDescent="0.25">
      <c r="C9" s="13" t="s">
        <v>288</v>
      </c>
      <c r="F9" s="40">
        <f>Assumptions!F95*12*F5/1000</f>
        <v>290.39675503864822</v>
      </c>
      <c r="G9" s="40">
        <f>Assumptions!G95*12*G5/1000</f>
        <v>1345.2875114839555</v>
      </c>
      <c r="H9" s="40">
        <f>Assumptions!H95*12*H5/1000</f>
        <v>4882.5910703711234</v>
      </c>
      <c r="I9" s="40">
        <f>Assumptions!I95*12*I5/1000</f>
        <v>15814.72365874523</v>
      </c>
      <c r="J9" s="40">
        <f>Assumptions!J95*12*J5/1000</f>
        <v>30954.311474078448</v>
      </c>
      <c r="K9" s="40">
        <f>Assumptions!K95*12*K5/1000</f>
        <v>49232.216555970248</v>
      </c>
      <c r="L9" s="40">
        <f>Assumptions!L95*12*L5/1000</f>
        <v>72029.941697408271</v>
      </c>
      <c r="M9" s="40">
        <f>Assumptions!M95*12*M5/1000</f>
        <v>95718.687747892371</v>
      </c>
      <c r="N9" s="40">
        <f>Assumptions!N95*12*N5/1000</f>
        <v>120030.35583116091</v>
      </c>
      <c r="O9" s="40">
        <f>Assumptions!O95*12*O5/1000</f>
        <v>144938.73475453531</v>
      </c>
      <c r="P9" s="40">
        <f>Assumptions!P95*12*P5/1000</f>
        <v>160949.08535316444</v>
      </c>
      <c r="Q9" s="40">
        <f>Assumptions!Q95*12*Q5/1000</f>
        <v>179946.65993476802</v>
      </c>
      <c r="R9" s="40">
        <f>Assumptions!R95*12*R5/1000</f>
        <v>198076.41683033903</v>
      </c>
      <c r="S9" s="40">
        <f>Assumptions!S95*12*S5/1000</f>
        <v>217423.22883523544</v>
      </c>
      <c r="T9" s="40">
        <f>Assumptions!T95*12*T5/1000</f>
        <v>235277.94197179007</v>
      </c>
      <c r="U9" s="40">
        <f>Assumptions!U95*12*U5/1000</f>
        <v>251264.21983294957</v>
      </c>
      <c r="V9" s="40">
        <f>Assumptions!V95*12*V5/1000</f>
        <v>267962.7290163649</v>
      </c>
      <c r="W9" s="40">
        <f>Assumptions!W95*12*W5/1000</f>
        <v>291462.25369019265</v>
      </c>
      <c r="X9" s="40">
        <f>Assumptions!X95*12*X5/1000</f>
        <v>316227.98694376019</v>
      </c>
      <c r="Y9" s="40">
        <f>Assumptions!Y95*12*Y5/1000</f>
        <v>342321.97264862224</v>
      </c>
      <c r="Z9" s="40"/>
      <c r="AA9" s="40"/>
      <c r="AB9" s="40"/>
    </row>
    <row r="10" spans="1:28" x14ac:dyDescent="0.25">
      <c r="C10" s="13" t="s">
        <v>289</v>
      </c>
      <c r="F10" s="2">
        <f>STB!E94</f>
        <v>1738.8957691714256</v>
      </c>
      <c r="G10" s="2">
        <f>STB!F94</f>
        <v>6316.6858495945007</v>
      </c>
      <c r="H10" s="2">
        <f>STB!G94</f>
        <v>21181.373710616361</v>
      </c>
      <c r="I10" s="2">
        <f>STB!H94</f>
        <v>0</v>
      </c>
      <c r="J10" s="2">
        <f>STB!I94</f>
        <v>0</v>
      </c>
      <c r="K10" s="2">
        <f>STB!J94</f>
        <v>0</v>
      </c>
      <c r="L10" s="2">
        <f>STB!K94</f>
        <v>0</v>
      </c>
      <c r="M10" s="2">
        <f>STB!L94</f>
        <v>0</v>
      </c>
      <c r="N10" s="2">
        <f>STB!M94</f>
        <v>0</v>
      </c>
      <c r="O10" s="2">
        <f>STB!N94</f>
        <v>0</v>
      </c>
      <c r="P10" s="2">
        <f>STB!O94</f>
        <v>0</v>
      </c>
      <c r="Q10" s="2">
        <f>STB!P94</f>
        <v>0</v>
      </c>
      <c r="R10" s="2">
        <f>STB!Q94</f>
        <v>0</v>
      </c>
      <c r="S10" s="2">
        <f>STB!R94</f>
        <v>0</v>
      </c>
      <c r="T10" s="2">
        <f>STB!S94</f>
        <v>0</v>
      </c>
      <c r="U10" s="2">
        <f>STB!T94</f>
        <v>0</v>
      </c>
      <c r="V10" s="2">
        <f>STB!U94</f>
        <v>0</v>
      </c>
      <c r="W10" s="2">
        <f>STB!V94</f>
        <v>0</v>
      </c>
      <c r="X10" s="2">
        <f>STB!W94</f>
        <v>0</v>
      </c>
      <c r="Y10" s="2">
        <f>STB!X94</f>
        <v>0</v>
      </c>
      <c r="Z10" s="40"/>
      <c r="AA10" s="40"/>
      <c r="AB10" s="40"/>
    </row>
    <row r="11" spans="1:28" x14ac:dyDescent="0.25">
      <c r="B11" s="13" t="s">
        <v>955</v>
      </c>
      <c r="F11" s="3">
        <f t="shared" ref="F11:Y11" si="0">SUM(F8:F10)</f>
        <v>4347.8202164386412</v>
      </c>
      <c r="G11" s="3">
        <f t="shared" si="0"/>
        <v>19409.696555112099</v>
      </c>
      <c r="H11" s="3">
        <f t="shared" si="0"/>
        <v>72355.810719176094</v>
      </c>
      <c r="I11" s="3">
        <f t="shared" si="0"/>
        <v>177591.43932587956</v>
      </c>
      <c r="J11" s="346">
        <f t="shared" si="0"/>
        <v>370770.74283651164</v>
      </c>
      <c r="K11" s="3">
        <f t="shared" si="0"/>
        <v>589703.48990741163</v>
      </c>
      <c r="L11" s="3">
        <f t="shared" si="0"/>
        <v>862774.64165155636</v>
      </c>
      <c r="M11" s="3">
        <f t="shared" si="0"/>
        <v>1146518.4418442547</v>
      </c>
      <c r="N11" s="3">
        <f t="shared" si="0"/>
        <v>1437723.6021456455</v>
      </c>
      <c r="O11" s="3">
        <f t="shared" si="0"/>
        <v>1736076.1648898243</v>
      </c>
      <c r="P11" s="3">
        <f t="shared" si="0"/>
        <v>1927848.1443602035</v>
      </c>
      <c r="Q11" s="3">
        <f t="shared" si="0"/>
        <v>2155401.0926986514</v>
      </c>
      <c r="R11" s="3">
        <f t="shared" si="0"/>
        <v>2372559.3207938015</v>
      </c>
      <c r="S11" s="3">
        <f t="shared" si="0"/>
        <v>2604295.4349884503</v>
      </c>
      <c r="T11" s="3">
        <f t="shared" si="0"/>
        <v>2818159.1889381013</v>
      </c>
      <c r="U11" s="3">
        <f t="shared" si="0"/>
        <v>3009642.8251590701</v>
      </c>
      <c r="V11" s="3">
        <f t="shared" si="0"/>
        <v>3209657.5681580184</v>
      </c>
      <c r="W11" s="3">
        <f t="shared" si="0"/>
        <v>3491134.8747011274</v>
      </c>
      <c r="X11" s="3">
        <f t="shared" si="0"/>
        <v>3787778.82761236</v>
      </c>
      <c r="Y11" s="3">
        <f t="shared" si="0"/>
        <v>4100332.5883851973</v>
      </c>
      <c r="Z11" s="40"/>
      <c r="AA11" s="40"/>
      <c r="AB11" s="40"/>
    </row>
    <row r="12" spans="1:28" x14ac:dyDescent="0.25">
      <c r="B12" s="1" t="s">
        <v>917</v>
      </c>
      <c r="F12" s="42"/>
      <c r="G12" s="42"/>
      <c r="H12" s="42"/>
      <c r="I12" s="42"/>
      <c r="J12" s="43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0"/>
      <c r="AA12" s="40"/>
      <c r="AB12" s="40"/>
    </row>
    <row r="13" spans="1:28" x14ac:dyDescent="0.25">
      <c r="B13" s="1"/>
      <c r="C13" s="13" t="s">
        <v>1074</v>
      </c>
      <c r="F13" s="23">
        <f>Encoding!E66</f>
        <v>1238.9525454545455</v>
      </c>
      <c r="G13" s="23">
        <f>Encoding!F66</f>
        <v>1055.1863181818183</v>
      </c>
      <c r="H13" s="23">
        <f>Encoding!G66</f>
        <v>1272.1321363636366</v>
      </c>
      <c r="I13" s="23">
        <f>Encoding!H66</f>
        <v>1093.7685000000001</v>
      </c>
      <c r="J13" s="23">
        <f>Encoding!I66</f>
        <v>1093.7685000000001</v>
      </c>
      <c r="K13" s="23">
        <f>Encoding!J66</f>
        <v>1093.7685000000001</v>
      </c>
      <c r="L13" s="23">
        <f>Encoding!K66</f>
        <v>1093.7685000000001</v>
      </c>
      <c r="M13" s="23">
        <f>Encoding!L66</f>
        <v>1093.7685000000001</v>
      </c>
      <c r="N13" s="23">
        <f>Encoding!M66</f>
        <v>1093.7685000000001</v>
      </c>
      <c r="O13" s="23">
        <f>Encoding!N66</f>
        <v>1093.7685000000001</v>
      </c>
      <c r="P13" s="23">
        <f>Encoding!O66</f>
        <v>1093.7685000000001</v>
      </c>
      <c r="Q13" s="23">
        <f>Encoding!P66</f>
        <v>1093.7685000000001</v>
      </c>
      <c r="R13" s="23">
        <f>Encoding!Q66</f>
        <v>1093.7685000000001</v>
      </c>
      <c r="S13" s="23">
        <f>Encoding!R66</f>
        <v>1093.7685000000001</v>
      </c>
      <c r="T13" s="23">
        <f>Encoding!S66</f>
        <v>1093.7685000000001</v>
      </c>
      <c r="U13" s="23">
        <f>Encoding!T66</f>
        <v>1093.7685000000001</v>
      </c>
      <c r="V13" s="23">
        <f>Encoding!U66</f>
        <v>1093.7685000000001</v>
      </c>
      <c r="W13" s="23">
        <f>Encoding!V66</f>
        <v>1093.7685000000001</v>
      </c>
      <c r="X13" s="23">
        <f>Encoding!W66</f>
        <v>1093.7685000000001</v>
      </c>
      <c r="Y13" s="23">
        <f>Encoding!X66</f>
        <v>1093.7685000000001</v>
      </c>
      <c r="Z13" s="40"/>
      <c r="AA13" s="40"/>
      <c r="AB13" s="40"/>
    </row>
    <row r="14" spans="1:28" x14ac:dyDescent="0.25">
      <c r="C14" s="13" t="s">
        <v>172</v>
      </c>
      <c r="F14" s="23">
        <f>DRM!E41</f>
        <v>627.09644307565713</v>
      </c>
      <c r="G14" s="23">
        <f>DRM!F41</f>
        <v>677.96357110453823</v>
      </c>
      <c r="H14" s="23">
        <f>DRM!G41</f>
        <v>1230.6695350110178</v>
      </c>
      <c r="I14" s="23">
        <f>DRM!H41</f>
        <v>3078.4274506741494</v>
      </c>
      <c r="J14" s="23">
        <f>DRM!I41</f>
        <v>5927.0629017989313</v>
      </c>
      <c r="K14" s="23">
        <f>DRM!J41</f>
        <v>9137.5403736230619</v>
      </c>
      <c r="L14" s="23">
        <f>DRM!K41</f>
        <v>13141.915199266368</v>
      </c>
      <c r="M14" s="23">
        <f>DRM!L41</f>
        <v>17302.796065541796</v>
      </c>
      <c r="N14" s="23">
        <f>DRM!M41</f>
        <v>21573.091941031755</v>
      </c>
      <c r="O14" s="23">
        <f>DRM!N41</f>
        <v>25948.198882164623</v>
      </c>
      <c r="P14" s="23">
        <f>DRM!O41</f>
        <v>28760.384944112629</v>
      </c>
      <c r="Q14" s="23">
        <f>DRM!P41</f>
        <v>32097.270924222132</v>
      </c>
      <c r="R14" s="23">
        <f>DRM!Q41</f>
        <v>35281.726463415398</v>
      </c>
      <c r="S14" s="23">
        <f>DRM!R41</f>
        <v>38679.955298451438</v>
      </c>
      <c r="T14" s="23">
        <f>DRM!S41</f>
        <v>41816.099951460979</v>
      </c>
      <c r="U14" s="23">
        <f>DRM!T41</f>
        <v>44624.057685217937</v>
      </c>
      <c r="V14" s="23">
        <f>DRM!U41</f>
        <v>47557.117426266457</v>
      </c>
      <c r="W14" s="23">
        <f>DRM!V41</f>
        <v>51684.76193617496</v>
      </c>
      <c r="X14" s="23">
        <f>DRM!W41</f>
        <v>56034.813450697606</v>
      </c>
      <c r="Y14" s="23">
        <f>DRM!X41</f>
        <v>60618.169851785206</v>
      </c>
      <c r="Z14" s="40"/>
      <c r="AA14" s="40"/>
      <c r="AB14" s="40"/>
    </row>
    <row r="15" spans="1:28" x14ac:dyDescent="0.25">
      <c r="C15" s="13" t="s">
        <v>435</v>
      </c>
      <c r="F15" s="23">
        <f>(Assumptions!F107+Assumptions!F108)*'Project FCF'!F6/1000</f>
        <v>185.85392322473484</v>
      </c>
      <c r="G15" s="23">
        <f>(Assumptions!G107+Assumptions!G108)*'Project FCF'!G6/1000</f>
        <v>941.70125803876897</v>
      </c>
      <c r="H15" s="23">
        <f>(Assumptions!H107+Assumptions!H108)*'Project FCF'!H6/1000</f>
        <v>3710.7692134820531</v>
      </c>
      <c r="I15" s="23">
        <f>(Assumptions!I107+Assumptions!I108)*'Project FCF'!I6/1000</f>
        <v>12968.073400171088</v>
      </c>
      <c r="J15" s="23">
        <f>(Assumptions!J107+Assumptions!J108)*'Project FCF'!J6/1000</f>
        <v>27239.794097189035</v>
      </c>
      <c r="K15" s="23">
        <f>(Assumptions!K107+Assumptions!K108)*'Project FCF'!K6/1000</f>
        <v>43324.350569253824</v>
      </c>
      <c r="L15" s="23">
        <f>(Assumptions!L107+Assumptions!L108)*'Project FCF'!L6/1000</f>
        <v>63386.348693719279</v>
      </c>
      <c r="M15" s="23">
        <f>(Assumptions!M107+Assumptions!M108)*'Project FCF'!M6/1000</f>
        <v>84232.44521814528</v>
      </c>
      <c r="N15" s="23">
        <f>(Assumptions!N107+Assumptions!N108)*'Project FCF'!N6/1000</f>
        <v>105626.71313142161</v>
      </c>
      <c r="O15" s="23">
        <f>(Assumptions!O107+Assumptions!O108)*'Project FCF'!O6/1000</f>
        <v>127546.08658399111</v>
      </c>
      <c r="P15" s="23">
        <f>(Assumptions!P107+Assumptions!P108)*'Project FCF'!P6/1000</f>
        <v>141635.1951107847</v>
      </c>
      <c r="Q15" s="23">
        <f>(Assumptions!Q107+Assumptions!Q108)*'Project FCF'!Q6/1000</f>
        <v>158353.06074259584</v>
      </c>
      <c r="R15" s="23">
        <f>(Assumptions!R107+Assumptions!R108)*'Project FCF'!R6/1000</f>
        <v>174307.24681069839</v>
      </c>
      <c r="S15" s="23">
        <f>(Assumptions!S107+Assumptions!S108)*'Project FCF'!S6/1000</f>
        <v>191332.44137500721</v>
      </c>
      <c r="T15" s="23">
        <f>(Assumptions!T107+Assumptions!T108)*'Project FCF'!T6/1000</f>
        <v>207044.5889351753</v>
      </c>
      <c r="U15" s="23">
        <f>(Assumptions!U107+Assumptions!U108)*'Project FCF'!U6/1000</f>
        <v>221112.51345299566</v>
      </c>
      <c r="V15" s="23">
        <f>(Assumptions!V107+Assumptions!V108)*'Project FCF'!V6/1000</f>
        <v>235807.2015344011</v>
      </c>
      <c r="W15" s="23">
        <f>(Assumptions!W107+Assumptions!W108)*'Project FCF'!W6/1000</f>
        <v>256486.78324736952</v>
      </c>
      <c r="X15" s="23">
        <f>(Assumptions!X107+Assumptions!X108)*'Project FCF'!X6/1000</f>
        <v>278280.62851050904</v>
      </c>
      <c r="Y15" s="23">
        <f>(Assumptions!Y107+Assumptions!Y108)*'Project FCF'!Y6/1000</f>
        <v>301243.33593078755</v>
      </c>
      <c r="Z15" s="40"/>
      <c r="AA15" s="40"/>
      <c r="AB15" s="40"/>
    </row>
    <row r="16" spans="1:28" x14ac:dyDescent="0.25">
      <c r="C16" s="13" t="s">
        <v>313</v>
      </c>
      <c r="F16" s="23">
        <f>'LH Bandwidth'!E33</f>
        <v>9.4921875</v>
      </c>
      <c r="G16" s="23">
        <f>'LH Bandwidth'!F33</f>
        <v>10.650234375000002</v>
      </c>
      <c r="H16" s="23">
        <f>'LH Bandwidth'!G33</f>
        <v>13.076121093750004</v>
      </c>
      <c r="I16" s="23">
        <f>'LH Bandwidth'!H33</f>
        <v>14.534611523437501</v>
      </c>
      <c r="J16" s="23">
        <f>'LH Bandwidth'!I33</f>
        <v>15.261342099609378</v>
      </c>
      <c r="K16" s="23">
        <f>'LH Bandwidth'!J33</f>
        <v>15.443024743652346</v>
      </c>
      <c r="L16" s="23">
        <f>'LH Bandwidth'!K33</f>
        <v>15.226822397241213</v>
      </c>
      <c r="M16" s="23">
        <f>'LH Bandwidth'!L33</f>
        <v>14.72801269802124</v>
      </c>
      <c r="N16" s="23">
        <f>'LH Bandwidth'!M33</f>
        <v>14.036242404629334</v>
      </c>
      <c r="O16" s="23">
        <f>'LH Bandwidth'!N33</f>
        <v>13.220622913549523</v>
      </c>
      <c r="P16" s="23">
        <f>'LH Bandwidth'!O33</f>
        <v>12.333873815689493</v>
      </c>
      <c r="Q16" s="23">
        <f>'LH Bandwidth'!P33</f>
        <v>11.41568543163261</v>
      </c>
      <c r="R16" s="23">
        <f>'LH Bandwidth'!Q33</f>
        <v>10.495441401939777</v>
      </c>
      <c r="S16" s="23">
        <f>'LH Bandwidth'!R33</f>
        <v>9.5944176589430601</v>
      </c>
      <c r="T16" s="23">
        <f>'LH Bandwidth'!S33</f>
        <v>8.7275536073017133</v>
      </c>
      <c r="U16" s="23">
        <f>'LH Bandwidth'!T33</f>
        <v>7.9048743738265514</v>
      </c>
      <c r="V16" s="23">
        <f>'LH Bandwidth'!U33</f>
        <v>7.1326289542296486</v>
      </c>
      <c r="W16" s="23">
        <f>'LH Bandwidth'!V33</f>
        <v>6.4141974871007204</v>
      </c>
      <c r="X16" s="23">
        <f>'LH Bandwidth'!W33</f>
        <v>5.7508113086403032</v>
      </c>
      <c r="Y16" s="23">
        <f>'LH Bandwidth'!X33</f>
        <v>5.1421215402582456</v>
      </c>
      <c r="Z16" s="40"/>
      <c r="AA16" s="40"/>
      <c r="AB16" s="40"/>
    </row>
    <row r="17" spans="2:28" x14ac:dyDescent="0.25">
      <c r="C17" s="13" t="s">
        <v>270</v>
      </c>
      <c r="F17" s="23">
        <f>Marketing!E13</f>
        <v>20000</v>
      </c>
      <c r="G17" s="23">
        <f>Marketing!F13</f>
        <v>36000</v>
      </c>
      <c r="H17" s="23">
        <f>Marketing!G13</f>
        <v>46800</v>
      </c>
      <c r="I17" s="23">
        <f>Marketing!H13</f>
        <v>61200</v>
      </c>
      <c r="J17" s="23">
        <f>Marketing!I13</f>
        <v>67200</v>
      </c>
      <c r="K17" s="23">
        <f>Marketing!J13</f>
        <v>80000</v>
      </c>
      <c r="L17" s="23">
        <f>Marketing!K13</f>
        <v>81200</v>
      </c>
      <c r="M17" s="23">
        <f>Marketing!L13</f>
        <v>92400</v>
      </c>
      <c r="N17" s="23">
        <f>Marketing!M13</f>
        <v>88800</v>
      </c>
      <c r="O17" s="23">
        <f>Marketing!N13</f>
        <v>98400</v>
      </c>
      <c r="P17" s="23">
        <f>Marketing!O13</f>
        <v>108000</v>
      </c>
      <c r="Q17" s="23">
        <f>Marketing!P13</f>
        <v>117600</v>
      </c>
      <c r="R17" s="23">
        <f>Marketing!Q13</f>
        <v>127200</v>
      </c>
      <c r="S17" s="23">
        <f>Marketing!R13</f>
        <v>136800</v>
      </c>
      <c r="T17" s="23">
        <f>Marketing!S13</f>
        <v>146400</v>
      </c>
      <c r="U17" s="23">
        <f>Marketing!T13</f>
        <v>156000</v>
      </c>
      <c r="V17" s="23">
        <f>Marketing!U13</f>
        <v>165600</v>
      </c>
      <c r="W17" s="23">
        <f>Marketing!V13</f>
        <v>175200</v>
      </c>
      <c r="X17" s="23">
        <f>Marketing!W13</f>
        <v>184800</v>
      </c>
      <c r="Y17" s="23">
        <f>Marketing!X13</f>
        <v>194400</v>
      </c>
      <c r="Z17" s="40"/>
      <c r="AA17" s="40"/>
      <c r="AB17" s="40"/>
    </row>
    <row r="18" spans="2:28" x14ac:dyDescent="0.25">
      <c r="C18" s="13" t="s">
        <v>1115</v>
      </c>
      <c r="F18" s="23">
        <f>CRM!E16</f>
        <v>1875</v>
      </c>
      <c r="G18" s="23">
        <f>CRM!F16</f>
        <v>2550</v>
      </c>
      <c r="H18" s="23">
        <f>CRM!G16</f>
        <v>3103.036428148449</v>
      </c>
      <c r="I18" s="23">
        <f>CRM!H16</f>
        <v>7475.8894634980925</v>
      </c>
      <c r="J18" s="23">
        <f>CRM!I16</f>
        <v>13531.724589631378</v>
      </c>
      <c r="K18" s="23">
        <f>CRM!J16</f>
        <v>20467.886622388105</v>
      </c>
      <c r="L18" s="23">
        <f>CRM!K16</f>
        <v>29211.97667896331</v>
      </c>
      <c r="M18" s="23">
        <f>CRM!L16</f>
        <v>38687.475099156945</v>
      </c>
      <c r="N18" s="23">
        <f>CRM!M16</f>
        <v>36409.106749348277</v>
      </c>
      <c r="O18" s="23">
        <f>CRM!N16</f>
        <v>43881.620426360598</v>
      </c>
      <c r="P18" s="23">
        <f>CRM!O16</f>
        <v>48684.72560594933</v>
      </c>
      <c r="Q18" s="23">
        <f>CRM!P16</f>
        <v>54383.997980430402</v>
      </c>
      <c r="R18" s="23">
        <f>CRM!Q16</f>
        <v>59822.925049101716</v>
      </c>
      <c r="S18" s="23">
        <f>CRM!R16</f>
        <v>43884.645767047092</v>
      </c>
      <c r="T18" s="23">
        <f>CRM!S16</f>
        <v>47455.588394358012</v>
      </c>
      <c r="U18" s="23">
        <f>CRM!T16</f>
        <v>50652.84396658992</v>
      </c>
      <c r="V18" s="23">
        <f>CRM!U16</f>
        <v>53992.54580327298</v>
      </c>
      <c r="W18" s="23">
        <f>CRM!V16</f>
        <v>58292.450738038526</v>
      </c>
      <c r="X18" s="23">
        <f>CRM!W16</f>
        <v>63245.597388752045</v>
      </c>
      <c r="Y18" s="23">
        <f>CRM!X16</f>
        <v>68464.394529724435</v>
      </c>
      <c r="Z18" s="40"/>
      <c r="AA18" s="40"/>
      <c r="AB18" s="40"/>
    </row>
    <row r="19" spans="2:28" x14ac:dyDescent="0.25">
      <c r="C19" s="13" t="s">
        <v>296</v>
      </c>
      <c r="F19" s="23">
        <f>Royalties!E9</f>
        <v>1159.2638461142838</v>
      </c>
      <c r="G19" s="23">
        <f>Royalties!F9</f>
        <v>5873.8615970168212</v>
      </c>
      <c r="H19" s="23">
        <f>Royalties!G9</f>
        <v>23145.922969094307</v>
      </c>
      <c r="I19" s="23">
        <f>Royalties!H9</f>
        <v>80888.357833567163</v>
      </c>
      <c r="J19" s="23">
        <f>Royalties!I9</f>
        <v>169908.21568121659</v>
      </c>
      <c r="K19" s="23">
        <f>Royalties!J9</f>
        <v>270235.63667572069</v>
      </c>
      <c r="L19" s="23">
        <f>Royalties!K9</f>
        <v>395372.34997707402</v>
      </c>
      <c r="M19" s="23">
        <f>Royalties!L9</f>
        <v>525399.87704818114</v>
      </c>
      <c r="N19" s="23">
        <f>Royalties!M9</f>
        <v>658846.62315724231</v>
      </c>
      <c r="O19" s="23">
        <f>Royalties!N9</f>
        <v>795568.71506764449</v>
      </c>
      <c r="P19" s="23">
        <f>Royalties!O9</f>
        <v>883449.52950351953</v>
      </c>
      <c r="Q19" s="23">
        <f>Royalties!P9</f>
        <v>987727.21638194157</v>
      </c>
      <c r="R19" s="23">
        <f>Royalties!Q9</f>
        <v>1087241.4519817312</v>
      </c>
      <c r="S19" s="23">
        <f>Royalties!R9</f>
        <v>1193436.1030766075</v>
      </c>
      <c r="T19" s="23">
        <f>Royalties!S9</f>
        <v>1291440.6234831556</v>
      </c>
      <c r="U19" s="23">
        <f>Royalties!T9</f>
        <v>1379189.3026630604</v>
      </c>
      <c r="V19" s="23">
        <f>Royalties!U9</f>
        <v>1470847.4195708267</v>
      </c>
      <c r="W19" s="23">
        <f>Royalties!V9</f>
        <v>1599836.3105054675</v>
      </c>
      <c r="X19" s="23">
        <f>Royalties!W9</f>
        <v>1735775.4203343</v>
      </c>
      <c r="Y19" s="23">
        <f>Royalties!X9</f>
        <v>1879005.3078682877</v>
      </c>
      <c r="Z19" s="40"/>
      <c r="AA19" s="40"/>
      <c r="AB19" s="40"/>
    </row>
    <row r="20" spans="2:28" x14ac:dyDescent="0.25">
      <c r="C20" s="13" t="s">
        <v>298</v>
      </c>
      <c r="F20" s="32">
        <f>'O&amp;M'!E9</f>
        <v>6375</v>
      </c>
      <c r="G20" s="32">
        <f>'O&amp;M'!F9</f>
        <v>7879.5000000000009</v>
      </c>
      <c r="H20" s="32">
        <f>'O&amp;M'!G9</f>
        <v>8521.679250000001</v>
      </c>
      <c r="I20" s="32">
        <f>'O&amp;M'!H9</f>
        <v>10449.201937500002</v>
      </c>
      <c r="J20" s="32">
        <f>'O&amp;M'!I9</f>
        <v>12484.706474925002</v>
      </c>
      <c r="K20" s="32">
        <f>'O&amp;M'!J9</f>
        <v>13893.899780485503</v>
      </c>
      <c r="L20" s="32">
        <f>'O&amp;M'!K9</f>
        <v>15132.821780060285</v>
      </c>
      <c r="M20" s="32">
        <f>'O&amp;M'!L9</f>
        <v>16182.680321260445</v>
      </c>
      <c r="N20" s="32">
        <f>'O&amp;M'!M9</f>
        <v>17023.489738727483</v>
      </c>
      <c r="O20" s="32">
        <f>'O&amp;M'!N9</f>
        <v>17634.009579452246</v>
      </c>
      <c r="P20" s="32">
        <f>'O&amp;M'!O9</f>
        <v>19533.824573766819</v>
      </c>
      <c r="Q20" s="32">
        <f>'O&amp;M'!P9</f>
        <v>21531.757859118759</v>
      </c>
      <c r="R20" s="32">
        <f>'O&amp;M'!Q9</f>
        <v>23631.986699475423</v>
      </c>
      <c r="S20" s="32">
        <f>'O&amp;M'!R9</f>
        <v>25838.850688180282</v>
      </c>
      <c r="T20" s="32">
        <f>'O&amp;M'!S9</f>
        <v>28156.857728177903</v>
      </c>
      <c r="U20" s="32">
        <f>'O&amp;M'!T9</f>
        <v>30590.690224956023</v>
      </c>
      <c r="V20" s="32">
        <f>'O&amp;M'!U9</f>
        <v>33145.211499585464</v>
      </c>
      <c r="W20" s="32">
        <f>'O&amp;M'!V9</f>
        <v>35825.472429490219</v>
      </c>
      <c r="X20" s="32">
        <f>'O&amp;M'!W9</f>
        <v>38636.718324839625</v>
      </c>
      <c r="Y20" s="32">
        <f>'O&amp;M'!X9</f>
        <v>41584.396048723458</v>
      </c>
      <c r="Z20" s="40"/>
      <c r="AA20" s="40"/>
      <c r="AB20" s="40"/>
    </row>
    <row r="21" spans="2:28" x14ac:dyDescent="0.25">
      <c r="B21" s="13" t="s">
        <v>956</v>
      </c>
      <c r="F21" s="28">
        <f>SUM(F13:F20)</f>
        <v>31470.658945369221</v>
      </c>
      <c r="G21" s="28">
        <f t="shared" ref="G21:Y21" si="1">SUM(G13:G20)</f>
        <v>54988.862978716948</v>
      </c>
      <c r="H21" s="28">
        <f t="shared" si="1"/>
        <v>87797.285653193219</v>
      </c>
      <c r="I21" s="28">
        <f t="shared" si="1"/>
        <v>177168.25319693395</v>
      </c>
      <c r="J21" s="28">
        <f t="shared" si="1"/>
        <v>297400.53358686052</v>
      </c>
      <c r="K21" s="28">
        <f t="shared" si="1"/>
        <v>438168.52554621483</v>
      </c>
      <c r="L21" s="28">
        <f t="shared" si="1"/>
        <v>598554.40765148052</v>
      </c>
      <c r="M21" s="28">
        <f t="shared" si="1"/>
        <v>775313.77026498364</v>
      </c>
      <c r="N21" s="28">
        <f t="shared" si="1"/>
        <v>929386.82946017606</v>
      </c>
      <c r="O21" s="28">
        <f t="shared" si="1"/>
        <v>1110085.6196625265</v>
      </c>
      <c r="P21" s="28">
        <f t="shared" si="1"/>
        <v>1231169.7621119488</v>
      </c>
      <c r="Q21" s="28">
        <f t="shared" si="1"/>
        <v>1372798.4880737402</v>
      </c>
      <c r="R21" s="28">
        <f t="shared" si="1"/>
        <v>1508589.6009458241</v>
      </c>
      <c r="S21" s="28">
        <f t="shared" si="1"/>
        <v>1631075.3591229522</v>
      </c>
      <c r="T21" s="28">
        <f t="shared" si="1"/>
        <v>1763416.2545459352</v>
      </c>
      <c r="U21" s="28">
        <f t="shared" si="1"/>
        <v>1883271.0813671937</v>
      </c>
      <c r="V21" s="28">
        <f t="shared" si="1"/>
        <v>2008050.3969633069</v>
      </c>
      <c r="W21" s="28">
        <f t="shared" si="1"/>
        <v>2178425.9615540276</v>
      </c>
      <c r="X21" s="28">
        <f t="shared" si="1"/>
        <v>2357872.6973204068</v>
      </c>
      <c r="Y21" s="28">
        <f t="shared" si="1"/>
        <v>2546414.5148508484</v>
      </c>
      <c r="Z21" s="40"/>
      <c r="AA21" s="40"/>
      <c r="AB21" s="40"/>
    </row>
    <row r="22" spans="2:28" x14ac:dyDescent="0.25">
      <c r="F22" s="3"/>
      <c r="G22" s="3"/>
      <c r="H22" s="3"/>
      <c r="I22" s="3"/>
      <c r="J22" s="34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0"/>
      <c r="AA22" s="40"/>
      <c r="AB22" s="40"/>
    </row>
    <row r="23" spans="2:28" x14ac:dyDescent="0.25">
      <c r="B23" s="1" t="s">
        <v>919</v>
      </c>
      <c r="F23" s="28">
        <f>F11-F21</f>
        <v>-27122.838728930579</v>
      </c>
      <c r="G23" s="28">
        <f t="shared" ref="G23:Y23" si="2">G11-G21</f>
        <v>-35579.166423604853</v>
      </c>
      <c r="H23" s="28">
        <f t="shared" si="2"/>
        <v>-15441.474934017126</v>
      </c>
      <c r="I23" s="28">
        <f t="shared" si="2"/>
        <v>423.18612894561375</v>
      </c>
      <c r="J23" s="28">
        <f t="shared" si="2"/>
        <v>73370.209249651118</v>
      </c>
      <c r="K23" s="28">
        <f t="shared" si="2"/>
        <v>151534.96436119679</v>
      </c>
      <c r="L23" s="28">
        <f t="shared" si="2"/>
        <v>264220.23400007584</v>
      </c>
      <c r="M23" s="28">
        <f t="shared" si="2"/>
        <v>371204.67157927109</v>
      </c>
      <c r="N23" s="28">
        <f t="shared" si="2"/>
        <v>508336.77268546948</v>
      </c>
      <c r="O23" s="28">
        <f t="shared" si="2"/>
        <v>625990.54522729781</v>
      </c>
      <c r="P23" s="28">
        <f t="shared" si="2"/>
        <v>696678.38224825473</v>
      </c>
      <c r="Q23" s="28">
        <f t="shared" si="2"/>
        <v>782602.60462491121</v>
      </c>
      <c r="R23" s="28">
        <f t="shared" si="2"/>
        <v>863969.71984797739</v>
      </c>
      <c r="S23" s="28">
        <f t="shared" si="2"/>
        <v>973220.07586549805</v>
      </c>
      <c r="T23" s="28">
        <f t="shared" si="2"/>
        <v>1054742.9343921661</v>
      </c>
      <c r="U23" s="28">
        <f t="shared" si="2"/>
        <v>1126371.7437918764</v>
      </c>
      <c r="V23" s="28">
        <f t="shared" si="2"/>
        <v>1201607.1711947115</v>
      </c>
      <c r="W23" s="28">
        <f t="shared" si="2"/>
        <v>1312708.9131470998</v>
      </c>
      <c r="X23" s="28">
        <f t="shared" si="2"/>
        <v>1429906.1302919532</v>
      </c>
      <c r="Y23" s="28">
        <f t="shared" si="2"/>
        <v>1553918.073534349</v>
      </c>
      <c r="Z23" s="40"/>
      <c r="AA23" s="40"/>
      <c r="AB23" s="40"/>
    </row>
    <row r="24" spans="2:28" x14ac:dyDescent="0.25">
      <c r="B24" s="13" t="s">
        <v>918</v>
      </c>
      <c r="F24" s="40">
        <f>Depreciation!E33</f>
        <v>449.18094374999993</v>
      </c>
      <c r="G24" s="40">
        <f>Depreciation!F33</f>
        <v>706.37452226562482</v>
      </c>
      <c r="H24" s="40">
        <f>Depreciation!G33</f>
        <v>926.45593662109354</v>
      </c>
      <c r="I24" s="40">
        <f>Depreciation!H33</f>
        <v>1695.25680090332</v>
      </c>
      <c r="J24" s="40">
        <f>Depreciation!I33</f>
        <v>2484.5520289733877</v>
      </c>
      <c r="K24" s="40">
        <f>Depreciation!J33</f>
        <v>2894.8500019607536</v>
      </c>
      <c r="L24" s="40">
        <f>Depreciation!K33</f>
        <v>2973.2361365670004</v>
      </c>
      <c r="M24" s="40">
        <f>Depreciation!L33</f>
        <v>3397.6098769804257</v>
      </c>
      <c r="N24" s="40">
        <f>Depreciation!M33</f>
        <v>3037.9223372135225</v>
      </c>
      <c r="O24" s="40">
        <f>Depreciation!N33</f>
        <v>2867.8281902574449</v>
      </c>
      <c r="P24" s="40">
        <f>Depreciation!O33</f>
        <v>2376.5359104481608</v>
      </c>
      <c r="Q24" s="40">
        <f>Depreciation!P33</f>
        <v>2263.5755691764966</v>
      </c>
      <c r="R24" s="40">
        <f>Depreciation!Q33</f>
        <v>1910.6313314681747</v>
      </c>
      <c r="S24" s="40">
        <f>Depreciation!R33</f>
        <v>1726.9951266767168</v>
      </c>
      <c r="T24" s="40">
        <f>Depreciation!S33</f>
        <v>1366.4234925017327</v>
      </c>
      <c r="U24" s="40">
        <f>Depreciation!T33</f>
        <v>1184.8325235179809</v>
      </c>
      <c r="V24" s="40">
        <f>Depreciation!U33</f>
        <v>1114.3165129630777</v>
      </c>
      <c r="W24" s="40">
        <f>Depreciation!V33</f>
        <v>1047.6911563545955</v>
      </c>
      <c r="X24" s="40">
        <f>Depreciation!W33</f>
        <v>990.3374603237678</v>
      </c>
      <c r="Y24" s="40">
        <f>Depreciation!X33</f>
        <v>899.62994965790995</v>
      </c>
      <c r="Z24" s="40"/>
      <c r="AA24" s="40"/>
      <c r="AB24" s="40"/>
    </row>
    <row r="25" spans="2:28" x14ac:dyDescent="0.25">
      <c r="B25" s="1" t="s">
        <v>916</v>
      </c>
      <c r="C25" s="45"/>
      <c r="F25" s="28">
        <f>F23-F24</f>
        <v>-27572.019672680581</v>
      </c>
      <c r="G25" s="28">
        <f t="shared" ref="G25:Y25" si="3">G23-G24</f>
        <v>-36285.540945870474</v>
      </c>
      <c r="H25" s="28">
        <f t="shared" si="3"/>
        <v>-16367.93087063822</v>
      </c>
      <c r="I25" s="28">
        <f t="shared" si="3"/>
        <v>-1272.0706719577063</v>
      </c>
      <c r="J25" s="28">
        <f t="shared" si="3"/>
        <v>70885.657220677735</v>
      </c>
      <c r="K25" s="28">
        <f t="shared" si="3"/>
        <v>148640.11435923603</v>
      </c>
      <c r="L25" s="28">
        <f t="shared" si="3"/>
        <v>261246.99786350885</v>
      </c>
      <c r="M25" s="28">
        <f t="shared" si="3"/>
        <v>367807.06170229067</v>
      </c>
      <c r="N25" s="28">
        <f t="shared" si="3"/>
        <v>505298.85034825595</v>
      </c>
      <c r="O25" s="28">
        <f t="shared" si="3"/>
        <v>623122.71703704039</v>
      </c>
      <c r="P25" s="28">
        <f t="shared" si="3"/>
        <v>694301.84633780655</v>
      </c>
      <c r="Q25" s="28">
        <f t="shared" si="3"/>
        <v>780339.02905573475</v>
      </c>
      <c r="R25" s="28">
        <f t="shared" si="3"/>
        <v>862059.08851650928</v>
      </c>
      <c r="S25" s="28">
        <f t="shared" si="3"/>
        <v>971493.0807388213</v>
      </c>
      <c r="T25" s="28">
        <f t="shared" si="3"/>
        <v>1053376.5108996644</v>
      </c>
      <c r="U25" s="28">
        <f t="shared" si="3"/>
        <v>1125186.9112683584</v>
      </c>
      <c r="V25" s="28">
        <f t="shared" si="3"/>
        <v>1200492.8546817484</v>
      </c>
      <c r="W25" s="28">
        <f t="shared" si="3"/>
        <v>1311661.2219907453</v>
      </c>
      <c r="X25" s="28">
        <f t="shared" si="3"/>
        <v>1428915.7928316295</v>
      </c>
      <c r="Y25" s="28">
        <f t="shared" si="3"/>
        <v>1553018.443584691</v>
      </c>
      <c r="Z25" s="40"/>
      <c r="AA25" s="40"/>
      <c r="AB25" s="40"/>
    </row>
    <row r="26" spans="2:28" x14ac:dyDescent="0.25">
      <c r="B26" s="13" t="s">
        <v>920</v>
      </c>
      <c r="C26" s="45"/>
      <c r="F26" s="347">
        <f>Assumptions!$F$324</f>
        <v>0.39</v>
      </c>
      <c r="G26" s="347">
        <f>F26</f>
        <v>0.39</v>
      </c>
      <c r="H26" s="347">
        <f t="shared" ref="H26:Y26" si="4">G26</f>
        <v>0.39</v>
      </c>
      <c r="I26" s="347">
        <f t="shared" si="4"/>
        <v>0.39</v>
      </c>
      <c r="J26" s="347">
        <f t="shared" si="4"/>
        <v>0.39</v>
      </c>
      <c r="K26" s="347">
        <f t="shared" si="4"/>
        <v>0.39</v>
      </c>
      <c r="L26" s="347">
        <f t="shared" si="4"/>
        <v>0.39</v>
      </c>
      <c r="M26" s="347">
        <f t="shared" si="4"/>
        <v>0.39</v>
      </c>
      <c r="N26" s="347">
        <f t="shared" si="4"/>
        <v>0.39</v>
      </c>
      <c r="O26" s="347">
        <f t="shared" si="4"/>
        <v>0.39</v>
      </c>
      <c r="P26" s="347">
        <f t="shared" si="4"/>
        <v>0.39</v>
      </c>
      <c r="Q26" s="347">
        <f t="shared" si="4"/>
        <v>0.39</v>
      </c>
      <c r="R26" s="347">
        <f t="shared" si="4"/>
        <v>0.39</v>
      </c>
      <c r="S26" s="347">
        <f t="shared" si="4"/>
        <v>0.39</v>
      </c>
      <c r="T26" s="347">
        <f t="shared" si="4"/>
        <v>0.39</v>
      </c>
      <c r="U26" s="347">
        <f t="shared" si="4"/>
        <v>0.39</v>
      </c>
      <c r="V26" s="347">
        <f t="shared" si="4"/>
        <v>0.39</v>
      </c>
      <c r="W26" s="347">
        <f t="shared" si="4"/>
        <v>0.39</v>
      </c>
      <c r="X26" s="347">
        <f t="shared" si="4"/>
        <v>0.39</v>
      </c>
      <c r="Y26" s="347">
        <f t="shared" si="4"/>
        <v>0.39</v>
      </c>
      <c r="Z26" s="40"/>
      <c r="AA26" s="40"/>
      <c r="AB26" s="40"/>
    </row>
    <row r="27" spans="2:28" x14ac:dyDescent="0.25">
      <c r="B27" s="13" t="s">
        <v>936</v>
      </c>
      <c r="C27" s="45"/>
      <c r="F27" s="24">
        <f>IF(SUM($F$25:F25)&lt;0,0,IF(SUM(E$25:$F25)&lt;0,(F25+SUM(E$25:$F25))*F26,F25*F26))</f>
        <v>0</v>
      </c>
      <c r="G27" s="24">
        <f>IF(SUM($F$25:G25)&lt;0,0,IF(SUM(F$25:$F25)&lt;0,(G25+SUM(F$25:$F25))*G26,G25*G26))</f>
        <v>0</v>
      </c>
      <c r="H27" s="24">
        <f>IF(SUM($F$25:H25)&lt;0,0,IF(SUM($F$25:G25)&lt;0,(H25+SUM($F$25:G25))*H26,H25*H26))</f>
        <v>0</v>
      </c>
      <c r="I27" s="24">
        <f>IF(SUM($F$25:I25)&lt;0,0,IF(SUM($F$25:H25)&lt;0,(I25+SUM($F$25:H25))*I26,I25*I26))</f>
        <v>0</v>
      </c>
      <c r="J27" s="24">
        <f>IF(SUM($F$25:J25)&lt;0,0,IF(SUM($F$25:I25)&lt;0,(J25+SUM($F$25:I25))*J26,J25*J26))</f>
        <v>0</v>
      </c>
      <c r="K27" s="24">
        <f>IF(SUM($F$25:K25)&lt;0,0,IF(SUM($F$25:J25)&lt;0,(K25+SUM($F$25:J25))*K26,K25*K26))</f>
        <v>53831.00167331905</v>
      </c>
      <c r="L27" s="24">
        <f>IF(SUM($F$25:L25)&lt;0,0,IF(SUM($F$25:K25)&lt;0,(L25+SUM($F$25:K25))*L26,L25*L26))</f>
        <v>101886.32916676845</v>
      </c>
      <c r="M27" s="24">
        <f>IF(SUM($F$25:M25)&lt;0,0,IF(SUM($F$25:L25)&lt;0,(M25+SUM($F$25:L25))*M26,M25*M26))</f>
        <v>143444.75406389337</v>
      </c>
      <c r="N27" s="24">
        <f>IF(SUM($F$25:N25)&lt;0,0,IF(SUM($F$25:M25)&lt;0,(N25+SUM($F$25:M25))*N26,N25*N26))</f>
        <v>197066.55163581984</v>
      </c>
      <c r="O27" s="24">
        <f>IF(SUM($F$25:O25)&lt;0,0,IF(SUM($F$25:N25)&lt;0,(O25+SUM($F$25:N25))*O26,O25*O26))</f>
        <v>243017.85964444577</v>
      </c>
      <c r="P27" s="24">
        <f>IF(SUM($F$25:P25)&lt;0,0,IF(SUM($F$25:O25)&lt;0,(P25+SUM($F$25:O25))*P26,P25*P26))</f>
        <v>270777.72007174458</v>
      </c>
      <c r="Q27" s="24">
        <f>IF(SUM($F$25:Q25)&lt;0,0,IF(SUM($F$25:P25)&lt;0,(Q25+SUM($F$25:P25))*Q26,Q25*Q26))</f>
        <v>304332.22133173654</v>
      </c>
      <c r="R27" s="24">
        <f>IF(SUM($F$25:R25)&lt;0,0,IF(SUM($F$25:Q25)&lt;0,(R25+SUM($F$25:Q25))*R26,R25*R26))</f>
        <v>336203.04452143866</v>
      </c>
      <c r="S27" s="24">
        <f>IF(SUM($F$25:S25)&lt;0,0,IF(SUM($F$25:R25)&lt;0,(S25+SUM($F$25:R25))*S26,S25*S26))</f>
        <v>378882.30148814031</v>
      </c>
      <c r="T27" s="24">
        <f>IF(SUM($F$25:T25)&lt;0,0,IF(SUM($F$25:S25)&lt;0,(T25+SUM($F$25:S25))*T26,T25*T26))</f>
        <v>410816.83925086912</v>
      </c>
      <c r="U27" s="24">
        <f>IF(SUM($F$25:U25)&lt;0,0,IF(SUM($F$25:T25)&lt;0,(U25+SUM($F$25:T25))*U26,U25*U26))</f>
        <v>438822.89539465978</v>
      </c>
      <c r="V27" s="24">
        <f>IF(SUM($F$25:V25)&lt;0,0,IF(SUM($F$25:U25)&lt;0,(V25+SUM($F$25:U25))*V26,V25*V26))</f>
        <v>468192.21332588192</v>
      </c>
      <c r="W27" s="24">
        <f>IF(SUM($F$25:W25)&lt;0,0,IF(SUM($F$25:V25)&lt;0,(W25+SUM($F$25:V25))*W26,W25*W26))</f>
        <v>511547.8765763907</v>
      </c>
      <c r="X27" s="24">
        <f>IF(SUM($F$25:X25)&lt;0,0,IF(SUM($F$25:W25)&lt;0,(X25+SUM($F$25:W25))*X26,X25*X26))</f>
        <v>557277.15920433553</v>
      </c>
      <c r="Y27" s="24">
        <f>IF(SUM($F$25:Y25)&lt;0,0,IF(SUM($F$25:X25)&lt;0,(Y25+SUM($F$25:X25))*Y26,Y25*Y26))</f>
        <v>605677.19299802952</v>
      </c>
      <c r="Z27" s="40"/>
      <c r="AA27" s="40"/>
      <c r="AB27" s="40"/>
    </row>
    <row r="28" spans="2:28" x14ac:dyDescent="0.25">
      <c r="B28" s="1" t="s">
        <v>937</v>
      </c>
      <c r="C28" s="45"/>
      <c r="F28" s="28">
        <f>F25-F27</f>
        <v>-27572.019672680581</v>
      </c>
      <c r="G28" s="28">
        <f t="shared" ref="G28:Y28" si="5">G25-G27</f>
        <v>-36285.540945870474</v>
      </c>
      <c r="H28" s="28">
        <f t="shared" si="5"/>
        <v>-16367.93087063822</v>
      </c>
      <c r="I28" s="28">
        <f t="shared" si="5"/>
        <v>-1272.0706719577063</v>
      </c>
      <c r="J28" s="28">
        <f t="shared" si="5"/>
        <v>70885.657220677735</v>
      </c>
      <c r="K28" s="28">
        <f t="shared" si="5"/>
        <v>94809.112685916974</v>
      </c>
      <c r="L28" s="28">
        <f t="shared" si="5"/>
        <v>159360.66869674041</v>
      </c>
      <c r="M28" s="28">
        <f t="shared" si="5"/>
        <v>224362.30763839729</v>
      </c>
      <c r="N28" s="28">
        <f t="shared" si="5"/>
        <v>308232.29871243611</v>
      </c>
      <c r="O28" s="28">
        <f t="shared" si="5"/>
        <v>380104.85739259463</v>
      </c>
      <c r="P28" s="28">
        <f t="shared" si="5"/>
        <v>423524.12626606197</v>
      </c>
      <c r="Q28" s="28">
        <f t="shared" si="5"/>
        <v>476006.80772399821</v>
      </c>
      <c r="R28" s="28">
        <f t="shared" si="5"/>
        <v>525856.04399507062</v>
      </c>
      <c r="S28" s="28">
        <f t="shared" si="5"/>
        <v>592610.77925068093</v>
      </c>
      <c r="T28" s="28">
        <f t="shared" si="5"/>
        <v>642559.67164879525</v>
      </c>
      <c r="U28" s="28">
        <f t="shared" si="5"/>
        <v>686364.01587369852</v>
      </c>
      <c r="V28" s="28">
        <f t="shared" si="5"/>
        <v>732300.64135586657</v>
      </c>
      <c r="W28" s="28">
        <f t="shared" si="5"/>
        <v>800113.34541435458</v>
      </c>
      <c r="X28" s="28">
        <f t="shared" si="5"/>
        <v>871638.63362729398</v>
      </c>
      <c r="Y28" s="28">
        <f t="shared" si="5"/>
        <v>947341.25058666151</v>
      </c>
      <c r="Z28" s="40"/>
      <c r="AA28" s="40"/>
      <c r="AB28" s="40"/>
    </row>
    <row r="29" spans="2:28" x14ac:dyDescent="0.25">
      <c r="B29" s="13" t="s">
        <v>923</v>
      </c>
      <c r="C29" s="45"/>
      <c r="F29" s="24">
        <f>F24</f>
        <v>449.18094374999993</v>
      </c>
      <c r="G29" s="24">
        <f t="shared" ref="G29:Y29" si="6">G24</f>
        <v>706.37452226562482</v>
      </c>
      <c r="H29" s="24">
        <f t="shared" si="6"/>
        <v>926.45593662109354</v>
      </c>
      <c r="I29" s="24">
        <f t="shared" si="6"/>
        <v>1695.25680090332</v>
      </c>
      <c r="J29" s="24">
        <f t="shared" si="6"/>
        <v>2484.5520289733877</v>
      </c>
      <c r="K29" s="24">
        <f t="shared" si="6"/>
        <v>2894.8500019607536</v>
      </c>
      <c r="L29" s="24">
        <f t="shared" si="6"/>
        <v>2973.2361365670004</v>
      </c>
      <c r="M29" s="24">
        <f t="shared" si="6"/>
        <v>3397.6098769804257</v>
      </c>
      <c r="N29" s="24">
        <f t="shared" si="6"/>
        <v>3037.9223372135225</v>
      </c>
      <c r="O29" s="24">
        <f t="shared" si="6"/>
        <v>2867.8281902574449</v>
      </c>
      <c r="P29" s="24">
        <f t="shared" si="6"/>
        <v>2376.5359104481608</v>
      </c>
      <c r="Q29" s="24">
        <f t="shared" si="6"/>
        <v>2263.5755691764966</v>
      </c>
      <c r="R29" s="24">
        <f t="shared" si="6"/>
        <v>1910.6313314681747</v>
      </c>
      <c r="S29" s="24">
        <f t="shared" si="6"/>
        <v>1726.9951266767168</v>
      </c>
      <c r="T29" s="24">
        <f t="shared" si="6"/>
        <v>1366.4234925017327</v>
      </c>
      <c r="U29" s="24">
        <f t="shared" si="6"/>
        <v>1184.8325235179809</v>
      </c>
      <c r="V29" s="24">
        <f t="shared" si="6"/>
        <v>1114.3165129630777</v>
      </c>
      <c r="W29" s="24">
        <f t="shared" si="6"/>
        <v>1047.6911563545955</v>
      </c>
      <c r="X29" s="24">
        <f t="shared" si="6"/>
        <v>990.3374603237678</v>
      </c>
      <c r="Y29" s="24">
        <f t="shared" si="6"/>
        <v>899.62994965790995</v>
      </c>
      <c r="Z29" s="40"/>
      <c r="AA29" s="40"/>
      <c r="AB29" s="40"/>
    </row>
    <row r="30" spans="2:28" s="1" customFormat="1" x14ac:dyDescent="0.25">
      <c r="B30" s="1" t="s">
        <v>939</v>
      </c>
      <c r="C30" s="44"/>
      <c r="F30" s="28">
        <f>F28+F29</f>
        <v>-27122.838728930579</v>
      </c>
      <c r="G30" s="28">
        <f t="shared" ref="G30:Y30" si="7">G28+G29</f>
        <v>-35579.166423604853</v>
      </c>
      <c r="H30" s="28">
        <f t="shared" si="7"/>
        <v>-15441.474934017126</v>
      </c>
      <c r="I30" s="28">
        <f t="shared" si="7"/>
        <v>423.18612894561375</v>
      </c>
      <c r="J30" s="28">
        <f t="shared" si="7"/>
        <v>73370.209249651118</v>
      </c>
      <c r="K30" s="28">
        <f t="shared" si="7"/>
        <v>97703.962687877734</v>
      </c>
      <c r="L30" s="28">
        <f t="shared" si="7"/>
        <v>162333.9048333074</v>
      </c>
      <c r="M30" s="28">
        <f t="shared" si="7"/>
        <v>227759.91751537772</v>
      </c>
      <c r="N30" s="28">
        <f t="shared" si="7"/>
        <v>311270.22104964964</v>
      </c>
      <c r="O30" s="28">
        <f t="shared" si="7"/>
        <v>382972.68558285205</v>
      </c>
      <c r="P30" s="28">
        <f t="shared" si="7"/>
        <v>425900.66217651014</v>
      </c>
      <c r="Q30" s="28">
        <f t="shared" si="7"/>
        <v>478270.38329317473</v>
      </c>
      <c r="R30" s="28">
        <f t="shared" si="7"/>
        <v>527766.67532653874</v>
      </c>
      <c r="S30" s="28">
        <f t="shared" si="7"/>
        <v>594337.77437735768</v>
      </c>
      <c r="T30" s="28">
        <f t="shared" si="7"/>
        <v>643926.09514129697</v>
      </c>
      <c r="U30" s="28">
        <f t="shared" si="7"/>
        <v>687548.84839721653</v>
      </c>
      <c r="V30" s="28">
        <f t="shared" si="7"/>
        <v>733414.9578688296</v>
      </c>
      <c r="W30" s="28">
        <f t="shared" si="7"/>
        <v>801161.0365707092</v>
      </c>
      <c r="X30" s="28">
        <f t="shared" si="7"/>
        <v>872628.9710876178</v>
      </c>
      <c r="Y30" s="28">
        <f t="shared" si="7"/>
        <v>948240.88053631946</v>
      </c>
      <c r="Z30" s="3"/>
      <c r="AA30" s="3"/>
      <c r="AB30" s="3"/>
    </row>
    <row r="31" spans="2:28" x14ac:dyDescent="0.25">
      <c r="B31" s="13" t="s">
        <v>924</v>
      </c>
      <c r="C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0"/>
      <c r="AA31" s="40"/>
      <c r="AB31" s="40"/>
    </row>
    <row r="32" spans="2:28" x14ac:dyDescent="0.25">
      <c r="C32" s="45" t="s">
        <v>930</v>
      </c>
      <c r="F32" s="50">
        <f>-STB!E29</f>
        <v>4685.0676479568574</v>
      </c>
      <c r="G32" s="50">
        <f>-STB!F29</f>
        <v>13683.691262356377</v>
      </c>
      <c r="H32" s="50">
        <f>-STB!G29</f>
        <v>36349.036595827951</v>
      </c>
      <c r="I32" s="567">
        <f>-STB!H29</f>
        <v>0</v>
      </c>
      <c r="J32" s="50">
        <f>-STB!I29</f>
        <v>0</v>
      </c>
      <c r="K32" s="50">
        <f>-STB!J29</f>
        <v>0</v>
      </c>
      <c r="L32" s="50">
        <f>-STB!K29</f>
        <v>0</v>
      </c>
      <c r="M32" s="50">
        <f>-STB!L29</f>
        <v>0</v>
      </c>
      <c r="N32" s="50">
        <f>-STB!M29</f>
        <v>0</v>
      </c>
      <c r="O32" s="50">
        <f>-STB!N29</f>
        <v>0</v>
      </c>
      <c r="P32" s="50">
        <f>-STB!O29</f>
        <v>0</v>
      </c>
      <c r="Q32" s="50">
        <f>-STB!P29</f>
        <v>0</v>
      </c>
      <c r="R32" s="50">
        <f>-STB!Q29</f>
        <v>0</v>
      </c>
      <c r="S32" s="50">
        <f>-STB!R29</f>
        <v>0</v>
      </c>
      <c r="T32" s="50">
        <f>-STB!S29</f>
        <v>0</v>
      </c>
      <c r="U32" s="50">
        <f>-STB!T29</f>
        <v>0</v>
      </c>
      <c r="V32" s="50">
        <f>-STB!U29</f>
        <v>0</v>
      </c>
      <c r="W32" s="50">
        <f>-STB!V29</f>
        <v>0</v>
      </c>
      <c r="X32" s="50">
        <f>-STB!W29</f>
        <v>0</v>
      </c>
      <c r="Y32" s="50">
        <f>-STB!X29</f>
        <v>0</v>
      </c>
      <c r="Z32" s="40"/>
      <c r="AA32" s="40"/>
      <c r="AB32" s="40"/>
    </row>
    <row r="33" spans="2:28" x14ac:dyDescent="0.25">
      <c r="C33" s="45" t="s">
        <v>940</v>
      </c>
      <c r="F33" s="50">
        <f>Streaming!E68</f>
        <v>2245.9047187499996</v>
      </c>
      <c r="G33" s="50">
        <f>Streaming!F68</f>
        <v>1225.0389374999997</v>
      </c>
      <c r="H33" s="50">
        <f>Streaming!G68</f>
        <v>918.77920312499975</v>
      </c>
      <c r="I33" s="50">
        <f>Streaming!H68</f>
        <v>3617.6931123046866</v>
      </c>
      <c r="J33" s="50">
        <f>Streaming!I68</f>
        <v>3746.8964377441384</v>
      </c>
      <c r="K33" s="50">
        <f>Streaming!J68</f>
        <v>4118.3559983825671</v>
      </c>
      <c r="L33" s="50">
        <f>Streaming!K68</f>
        <v>1453.5374111938472</v>
      </c>
      <c r="M33" s="50">
        <f>Streaming!L68</f>
        <v>2888.9056047477711</v>
      </c>
      <c r="N33" s="50">
        <f>Streaming!M68</f>
        <v>1676.110327282905</v>
      </c>
      <c r="O33" s="50">
        <f>Streaming!N68</f>
        <v>2759.4499290633185</v>
      </c>
      <c r="P33" s="50">
        <f>Streaming!O68</f>
        <v>1529.1951690225892</v>
      </c>
      <c r="Q33" s="50">
        <f>Streaming!P68</f>
        <v>758.84873049241276</v>
      </c>
      <c r="R33" s="50">
        <f>Streaming!Q68</f>
        <v>995.98895877129178</v>
      </c>
      <c r="S33" s="50">
        <f>Streaming!R68</f>
        <v>630.57742519611008</v>
      </c>
      <c r="T33" s="50">
        <f>Streaming!S68</f>
        <v>829.45184391180624</v>
      </c>
      <c r="U33" s="50">
        <f>Streaming!T68</f>
        <v>493.85126232906885</v>
      </c>
      <c r="V33" s="50">
        <f>Streaming!U68</f>
        <v>278.30292131251394</v>
      </c>
      <c r="W33" s="50">
        <f>Streaming!V68</f>
        <v>534.09604751886866</v>
      </c>
      <c r="X33" s="50">
        <f>Streaming!W68</f>
        <v>214.09884663471891</v>
      </c>
      <c r="Y33" s="50">
        <f>Streaming!X68</f>
        <v>245.17771146879102</v>
      </c>
      <c r="Z33" s="40"/>
      <c r="AA33" s="40"/>
      <c r="AB33" s="40"/>
    </row>
    <row r="34" spans="2:28" x14ac:dyDescent="0.25">
      <c r="C34" s="45" t="s">
        <v>175</v>
      </c>
      <c r="F34" s="50">
        <f>Storage!F46</f>
        <v>0</v>
      </c>
      <c r="G34" s="50">
        <f>Storage!G46</f>
        <v>24.37158203125</v>
      </c>
      <c r="H34" s="50">
        <f>Storage!H46</f>
        <v>72.651147460937494</v>
      </c>
      <c r="I34" s="50">
        <f>Storage!I46</f>
        <v>114.89606567382813</v>
      </c>
      <c r="J34" s="50">
        <f>Storage!J46</f>
        <v>152.48302850341798</v>
      </c>
      <c r="K34" s="50">
        <f>Storage!K46</f>
        <v>186.51149979553222</v>
      </c>
      <c r="L34" s="50">
        <f>Storage!L46</f>
        <v>217.85590823837282</v>
      </c>
      <c r="M34" s="50">
        <f>Storage!M46</f>
        <v>247.2084199732742</v>
      </c>
      <c r="N34" s="50">
        <f>Storage!N46</f>
        <v>275.11394271327936</v>
      </c>
      <c r="O34" s="50">
        <f>Storage!O46</f>
        <v>301.99872953344675</v>
      </c>
      <c r="P34" s="50">
        <f>Storage!P46</f>
        <v>328.19371483870265</v>
      </c>
      <c r="Q34" s="50">
        <f>Storage!Q46</f>
        <v>353.95351927069169</v>
      </c>
      <c r="R34" s="50">
        <f>Storage!R46</f>
        <v>379.47189781265075</v>
      </c>
      <c r="S34" s="50">
        <f>Storage!S46</f>
        <v>404.89427052249403</v>
      </c>
      <c r="T34" s="50">
        <f>Storage!T46</f>
        <v>430.32786352328719</v>
      </c>
      <c r="U34" s="50">
        <f>Storage!U46</f>
        <v>455.84989523239875</v>
      </c>
      <c r="V34" s="50">
        <f>Storage!V46</f>
        <v>481.51416608544042</v>
      </c>
      <c r="W34" s="50">
        <f>Storage!W46</f>
        <v>507.35634651640311</v>
      </c>
      <c r="X34" s="50">
        <f>Storage!X46</f>
        <v>533.39820544834208</v>
      </c>
      <c r="Y34" s="50">
        <f>Storage!Y46</f>
        <v>559.65097816189279</v>
      </c>
      <c r="Z34" s="40"/>
      <c r="AA34" s="40"/>
      <c r="AB34" s="40"/>
    </row>
    <row r="35" spans="2:28" x14ac:dyDescent="0.25">
      <c r="C35" s="45" t="s">
        <v>926</v>
      </c>
      <c r="F35" s="348">
        <v>0</v>
      </c>
      <c r="G35" s="348">
        <v>0</v>
      </c>
      <c r="H35" s="348">
        <v>0</v>
      </c>
      <c r="I35" s="348">
        <v>0</v>
      </c>
      <c r="J35" s="348">
        <v>0</v>
      </c>
      <c r="K35" s="348">
        <v>0</v>
      </c>
      <c r="L35" s="348">
        <v>0</v>
      </c>
      <c r="M35" s="348">
        <v>0</v>
      </c>
      <c r="N35" s="348">
        <v>0</v>
      </c>
      <c r="O35" s="348">
        <v>0</v>
      </c>
      <c r="P35" s="348">
        <v>0</v>
      </c>
      <c r="Q35" s="348">
        <v>0</v>
      </c>
      <c r="R35" s="348">
        <v>0</v>
      </c>
      <c r="S35" s="348">
        <v>0</v>
      </c>
      <c r="T35" s="348">
        <v>0</v>
      </c>
      <c r="U35" s="348">
        <v>0</v>
      </c>
      <c r="V35" s="348">
        <v>0</v>
      </c>
      <c r="W35" s="348">
        <v>0</v>
      </c>
      <c r="X35" s="348">
        <v>0</v>
      </c>
      <c r="Y35" s="348">
        <v>0</v>
      </c>
      <c r="Z35" s="40"/>
      <c r="AA35" s="40"/>
      <c r="AB35" s="40"/>
    </row>
    <row r="36" spans="2:28" x14ac:dyDescent="0.25">
      <c r="B36" s="13" t="s">
        <v>1086</v>
      </c>
      <c r="C36" s="45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40"/>
      <c r="AA36" s="40"/>
      <c r="AB36" s="40"/>
    </row>
    <row r="37" spans="2:28" x14ac:dyDescent="0.25">
      <c r="C37" s="45" t="s">
        <v>1084</v>
      </c>
      <c r="F37" s="50">
        <f>STB!E98</f>
        <v>1159.2638461142838</v>
      </c>
      <c r="G37" s="50">
        <f>STB!F98</f>
        <v>3631.4919766725257</v>
      </c>
      <c r="H37" s="50">
        <f>STB!G98</f>
        <v>11435.721934155597</v>
      </c>
      <c r="I37" s="50">
        <f>STB!H98</f>
        <v>-9166.0198534036208</v>
      </c>
      <c r="J37" s="50">
        <f>STB!I98</f>
        <v>-7060.4579035387869</v>
      </c>
      <c r="K37" s="50">
        <f>STB!J98</f>
        <v>0</v>
      </c>
      <c r="L37" s="50">
        <f>STB!K98</f>
        <v>0</v>
      </c>
      <c r="M37" s="50">
        <f>STB!L98</f>
        <v>0</v>
      </c>
      <c r="N37" s="50">
        <f>STB!M98</f>
        <v>0</v>
      </c>
      <c r="O37" s="50">
        <f>STB!N98</f>
        <v>0</v>
      </c>
      <c r="P37" s="50">
        <f>STB!O98</f>
        <v>0</v>
      </c>
      <c r="Q37" s="50">
        <f>STB!P98</f>
        <v>0</v>
      </c>
      <c r="R37" s="50">
        <f>STB!Q98</f>
        <v>0</v>
      </c>
      <c r="S37" s="50">
        <f>STB!R98</f>
        <v>0</v>
      </c>
      <c r="T37" s="50">
        <f>STB!S98</f>
        <v>0</v>
      </c>
      <c r="U37" s="50">
        <f>STB!T98</f>
        <v>0</v>
      </c>
      <c r="V37" s="50">
        <f>STB!U98</f>
        <v>0</v>
      </c>
      <c r="W37" s="50">
        <f>STB!V98</f>
        <v>0</v>
      </c>
      <c r="X37" s="50">
        <f>STB!W98</f>
        <v>0</v>
      </c>
      <c r="Y37" s="50">
        <f>STB!X98</f>
        <v>0</v>
      </c>
      <c r="Z37" s="40"/>
      <c r="AA37" s="40"/>
      <c r="AB37" s="40"/>
    </row>
    <row r="38" spans="2:28" x14ac:dyDescent="0.25">
      <c r="C38" s="45" t="s">
        <v>1085</v>
      </c>
      <c r="F38" s="50">
        <f>Encoding!E69</f>
        <v>935.24945454545468</v>
      </c>
      <c r="G38" s="50">
        <f>Encoding!F69</f>
        <v>2312.2176818181824</v>
      </c>
      <c r="H38" s="50">
        <f>Encoding!G69</f>
        <v>-78.930136363636393</v>
      </c>
      <c r="I38" s="50">
        <f>Encoding!H69</f>
        <v>99.43349999999964</v>
      </c>
      <c r="J38" s="50">
        <f>Encoding!I69</f>
        <v>99.433500000000095</v>
      </c>
      <c r="K38" s="50">
        <f>Encoding!J69</f>
        <v>99.433500000000095</v>
      </c>
      <c r="L38" s="50">
        <f>Encoding!K69</f>
        <v>99.433500000000095</v>
      </c>
      <c r="M38" s="50">
        <f>Encoding!L69</f>
        <v>99.433500000000095</v>
      </c>
      <c r="N38" s="50">
        <f>Encoding!M69</f>
        <v>99.433500000000095</v>
      </c>
      <c r="O38" s="50">
        <f>Encoding!N69</f>
        <v>99.433500000000095</v>
      </c>
      <c r="P38" s="50">
        <f>Encoding!O69</f>
        <v>99.433500000000095</v>
      </c>
      <c r="Q38" s="50">
        <f>Encoding!P69</f>
        <v>99.433500000000095</v>
      </c>
      <c r="R38" s="50">
        <f>Encoding!Q69</f>
        <v>99.433500000000095</v>
      </c>
      <c r="S38" s="50">
        <f>Encoding!R69</f>
        <v>99.433500000000095</v>
      </c>
      <c r="T38" s="50">
        <f>Encoding!S69</f>
        <v>99.433500000000095</v>
      </c>
      <c r="U38" s="50">
        <f>Encoding!T69</f>
        <v>99.433500000000095</v>
      </c>
      <c r="V38" s="50">
        <f>Encoding!U69</f>
        <v>99.433500000000095</v>
      </c>
      <c r="W38" s="50">
        <f>Encoding!V69</f>
        <v>99.433500000000095</v>
      </c>
      <c r="X38" s="50">
        <f>Encoding!W69</f>
        <v>99.433500000000095</v>
      </c>
      <c r="Y38" s="50">
        <f>Encoding!X69</f>
        <v>99.433500000000095</v>
      </c>
      <c r="Z38" s="40"/>
      <c r="AA38" s="40"/>
      <c r="AB38" s="40"/>
    </row>
    <row r="39" spans="2:28" x14ac:dyDescent="0.25">
      <c r="C39" s="45" t="s">
        <v>926</v>
      </c>
      <c r="F39" s="348">
        <v>0</v>
      </c>
      <c r="G39" s="348">
        <v>0</v>
      </c>
      <c r="H39" s="348">
        <v>0</v>
      </c>
      <c r="I39" s="348">
        <v>0</v>
      </c>
      <c r="J39" s="348">
        <v>0</v>
      </c>
      <c r="K39" s="348">
        <v>0</v>
      </c>
      <c r="L39" s="348">
        <v>0</v>
      </c>
      <c r="M39" s="348">
        <v>0</v>
      </c>
      <c r="N39" s="348">
        <v>0</v>
      </c>
      <c r="O39" s="348">
        <v>0</v>
      </c>
      <c r="P39" s="348">
        <v>0</v>
      </c>
      <c r="Q39" s="348">
        <v>0</v>
      </c>
      <c r="R39" s="348">
        <v>0</v>
      </c>
      <c r="S39" s="348">
        <v>0</v>
      </c>
      <c r="T39" s="348">
        <v>0</v>
      </c>
      <c r="U39" s="348">
        <v>0</v>
      </c>
      <c r="V39" s="348">
        <v>0</v>
      </c>
      <c r="W39" s="348">
        <v>0</v>
      </c>
      <c r="X39" s="348">
        <v>0</v>
      </c>
      <c r="Y39" s="348">
        <v>0</v>
      </c>
      <c r="Z39" s="40"/>
      <c r="AA39" s="40"/>
      <c r="AB39" s="40"/>
    </row>
    <row r="40" spans="2:28" ht="13.8" thickBot="1" x14ac:dyDescent="0.3">
      <c r="B40" s="1" t="s">
        <v>938</v>
      </c>
      <c r="C40" s="45"/>
      <c r="F40" s="48">
        <f>F30-SUM(F32:F35)-SUM(F37:F39)</f>
        <v>-36148.324396297176</v>
      </c>
      <c r="G40" s="48">
        <f t="shared" ref="G40:Y40" si="8">G30-SUM(G32:G35)-SUM(G37:G39)</f>
        <v>-56455.977863983193</v>
      </c>
      <c r="H40" s="48">
        <f t="shared" si="8"/>
        <v>-64138.733678222969</v>
      </c>
      <c r="I40" s="48">
        <f t="shared" si="8"/>
        <v>5757.1833043707211</v>
      </c>
      <c r="J40" s="48">
        <f t="shared" si="8"/>
        <v>76431.85418694235</v>
      </c>
      <c r="K40" s="48">
        <f t="shared" si="8"/>
        <v>93299.661689699642</v>
      </c>
      <c r="L40" s="48">
        <f t="shared" si="8"/>
        <v>160563.07801387517</v>
      </c>
      <c r="M40" s="48">
        <f t="shared" si="8"/>
        <v>224524.36999065665</v>
      </c>
      <c r="N40" s="48">
        <f t="shared" si="8"/>
        <v>309219.56327965349</v>
      </c>
      <c r="O40" s="48">
        <f t="shared" si="8"/>
        <v>379811.80342425528</v>
      </c>
      <c r="P40" s="48">
        <f t="shared" si="8"/>
        <v>423943.83979264885</v>
      </c>
      <c r="Q40" s="48">
        <f t="shared" si="8"/>
        <v>477058.14754341164</v>
      </c>
      <c r="R40" s="48">
        <f t="shared" si="8"/>
        <v>526291.78096995479</v>
      </c>
      <c r="S40" s="48">
        <f t="shared" si="8"/>
        <v>593202.86918163905</v>
      </c>
      <c r="T40" s="48">
        <f t="shared" si="8"/>
        <v>642566.88193386188</v>
      </c>
      <c r="U40" s="48">
        <f t="shared" si="8"/>
        <v>686499.71373965498</v>
      </c>
      <c r="V40" s="48">
        <f t="shared" si="8"/>
        <v>732555.70728143165</v>
      </c>
      <c r="W40" s="48">
        <f t="shared" si="8"/>
        <v>800020.15067667386</v>
      </c>
      <c r="X40" s="48">
        <f t="shared" si="8"/>
        <v>871782.04053553473</v>
      </c>
      <c r="Y40" s="48">
        <f t="shared" si="8"/>
        <v>947336.61834668869</v>
      </c>
      <c r="Z40" s="40"/>
      <c r="AA40" s="40"/>
      <c r="AB40" s="40"/>
    </row>
    <row r="41" spans="2:28" ht="14.4" thickTop="1" thickBot="1" x14ac:dyDescent="0.3">
      <c r="C41" s="49"/>
      <c r="F41" s="24">
        <f>SUM($F$40:F40)</f>
        <v>-36148.324396297176</v>
      </c>
      <c r="G41" s="24">
        <f>SUM($F$40:G40)</f>
        <v>-92604.302260280369</v>
      </c>
      <c r="H41" s="24">
        <f>SUM($F$40:H40)</f>
        <v>-156743.03593850334</v>
      </c>
      <c r="I41" s="24">
        <f>SUM($F$40:I40)</f>
        <v>-150985.85263413261</v>
      </c>
      <c r="J41" s="24">
        <f>SUM($F$40:J40)</f>
        <v>-74553.998447190257</v>
      </c>
      <c r="K41" s="24">
        <f>SUM($F$40:K40)</f>
        <v>18745.663242509385</v>
      </c>
      <c r="L41" s="24">
        <f>SUM($F$40:L40)</f>
        <v>179308.74125638456</v>
      </c>
      <c r="M41" s="24">
        <f>SUM($F$40:M40)</f>
        <v>403833.1112470412</v>
      </c>
      <c r="N41" s="24">
        <f>SUM($F$40:N40)</f>
        <v>713052.6745266947</v>
      </c>
      <c r="O41" s="24">
        <f>SUM($F$40:O40)</f>
        <v>1092864.4779509499</v>
      </c>
      <c r="P41" s="24">
        <f>SUM($F$40:P40)</f>
        <v>1516808.3177435987</v>
      </c>
      <c r="Q41" s="24">
        <f>SUM($F$40:Q40)</f>
        <v>1993866.4652870104</v>
      </c>
      <c r="R41" s="24">
        <f>SUM($F$40:R40)</f>
        <v>2520158.2462569652</v>
      </c>
      <c r="S41" s="24">
        <f>SUM($F$40:S40)</f>
        <v>3113361.1154386043</v>
      </c>
      <c r="T41" s="24">
        <f>SUM($F$40:T40)</f>
        <v>3755927.9973724661</v>
      </c>
      <c r="U41" s="24">
        <f>SUM($F$40:U40)</f>
        <v>4442427.7111121211</v>
      </c>
      <c r="V41" s="24">
        <f>SUM($F$40:V40)</f>
        <v>5174983.4183935523</v>
      </c>
      <c r="W41" s="24">
        <f>SUM($F$40:W40)</f>
        <v>5975003.5690702265</v>
      </c>
      <c r="X41" s="24">
        <f>SUM($F$40:X40)</f>
        <v>6846785.6096057612</v>
      </c>
      <c r="Y41" s="24">
        <f>SUM($F$40:Y40)</f>
        <v>7794122.2279524496</v>
      </c>
      <c r="Z41" s="40"/>
      <c r="AA41" s="40"/>
      <c r="AB41" s="40"/>
    </row>
    <row r="42" spans="2:28" ht="13.8" thickBot="1" x14ac:dyDescent="0.3">
      <c r="C42" s="13" t="s">
        <v>961</v>
      </c>
      <c r="D42" s="349">
        <f>NPV(Assumptions!$F$325,$F$40:$Y$40)</f>
        <v>410472.83132412279</v>
      </c>
      <c r="E42" s="1"/>
      <c r="F42" s="24">
        <f>NPV(Assumptions!$F$325,$F40:F$40)</f>
        <v>-29388.881623005833</v>
      </c>
      <c r="G42" s="24">
        <f>NPV(Assumptions!$F$325,$F40:G$40)</f>
        <v>-66705.279180004451</v>
      </c>
      <c r="H42" s="24">
        <f>NPV(Assumptions!$F$325,$F40:H$40)</f>
        <v>-101172.40320242141</v>
      </c>
      <c r="I42" s="24">
        <f>NPV(Assumptions!$F$325,$F40:I$40)</f>
        <v>-98657.104240796689</v>
      </c>
      <c r="J42" s="24">
        <f>NPV(Assumptions!$F$325,$F40:J$40)</f>
        <v>-71508.416759655025</v>
      </c>
      <c r="K42" s="24">
        <f>NPV(Assumptions!$F$325,$F40:K$40)</f>
        <v>-44565.202773845544</v>
      </c>
      <c r="L42" s="24">
        <f>NPV(Assumptions!$F$325,$F40:L$40)</f>
        <v>-6867.9323567178199</v>
      </c>
      <c r="M42" s="24">
        <f>NPV(Assumptions!$F$325,$F40:M$40)</f>
        <v>35989.149339569376</v>
      </c>
      <c r="N42" s="24">
        <f>NPV(Assumptions!$F$325,$F40:N$40)</f>
        <v>83975.85757916118</v>
      </c>
      <c r="O42" s="24">
        <f>NPV(Assumptions!$F$325,$F40:O$40)</f>
        <v>131895.91643667081</v>
      </c>
      <c r="P42" s="24">
        <f>NPV(Assumptions!$F$325,$F40:P$40)</f>
        <v>175382.18094974852</v>
      </c>
      <c r="Q42" s="24">
        <f>NPV(Assumptions!$F$325,$F40:Q$40)</f>
        <v>215166.32146872397</v>
      </c>
      <c r="R42" s="24">
        <f>NPV(Assumptions!$F$325,$F40:R$40)</f>
        <v>250849.22115400556</v>
      </c>
      <c r="S42" s="24">
        <f>NPV(Assumptions!$F$325,$F40:S$40)</f>
        <v>283548.01120296714</v>
      </c>
      <c r="T42" s="24">
        <f>NPV(Assumptions!$F$325,$F40:T$40)</f>
        <v>312344.64121954225</v>
      </c>
      <c r="U42" s="24">
        <f>NPV(Assumptions!$F$325,$F40:U$40)</f>
        <v>337357.22621625528</v>
      </c>
      <c r="V42" s="24">
        <f>NPV(Assumptions!$F$325,$F40:V$40)</f>
        <v>359056.92781760753</v>
      </c>
      <c r="W42" s="24">
        <f>NPV(Assumptions!$F$325,$F40:W$40)</f>
        <v>378323.69813475857</v>
      </c>
      <c r="X42" s="24">
        <f>NPV(Assumptions!$F$325,$F40:X$40)</f>
        <v>395392.80512472452</v>
      </c>
      <c r="Y42" s="24">
        <f>NPV(Assumptions!$F$325,$F40:Y$40)</f>
        <v>410472.83132412279</v>
      </c>
      <c r="Z42" s="40"/>
      <c r="AA42" s="40"/>
      <c r="AB42" s="40"/>
    </row>
    <row r="43" spans="2:28" ht="13.8" thickBot="1" x14ac:dyDescent="0.3">
      <c r="C43" s="13" t="s">
        <v>962</v>
      </c>
      <c r="D43" s="543">
        <f>NPV(Assumptions!$F$325,$F$40:$H$40)</f>
        <v>-101172.40320242141</v>
      </c>
      <c r="E43" s="1"/>
      <c r="G43" s="42"/>
      <c r="H43" s="40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0"/>
      <c r="AA43" s="40"/>
      <c r="AB43" s="40"/>
    </row>
    <row r="44" spans="2:28" ht="13.8" thickBot="1" x14ac:dyDescent="0.3">
      <c r="C44" s="13" t="s">
        <v>963</v>
      </c>
      <c r="D44" s="543">
        <f>NPV(Assumptions!$F$325,$F$40:$J$40)</f>
        <v>-71508.416759655025</v>
      </c>
      <c r="E44" s="1"/>
      <c r="G44" s="42"/>
      <c r="H44" s="40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0"/>
      <c r="AA44" s="40"/>
      <c r="AB44" s="40"/>
    </row>
    <row r="45" spans="2:28" ht="13.8" thickBot="1" x14ac:dyDescent="0.3">
      <c r="C45" s="13" t="s">
        <v>964</v>
      </c>
      <c r="D45" s="543">
        <f>NPV(Assumptions!$F$325,$F$40:$O$40)</f>
        <v>131895.91643667081</v>
      </c>
      <c r="E45" s="1"/>
      <c r="G45" s="42"/>
      <c r="H45" s="40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0"/>
      <c r="AA45" s="40"/>
      <c r="AB45" s="40"/>
    </row>
    <row r="46" spans="2:28" ht="20.25" customHeight="1" thickBot="1" x14ac:dyDescent="0.3">
      <c r="F46" s="554" t="str">
        <f>IF(Assumptions!$O$311=0,"Cash flow does not include STB depreciation!","")</f>
        <v>Cash flow does not include STB depreciation!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0"/>
      <c r="AA46" s="40"/>
      <c r="AB46" s="40"/>
    </row>
    <row r="47" spans="2:28" ht="13.8" thickBot="1" x14ac:dyDescent="0.3">
      <c r="C47" s="17" t="s">
        <v>969</v>
      </c>
      <c r="D47" s="547">
        <f>MAX(F47:Y47)</f>
        <v>2008</v>
      </c>
      <c r="E47" s="535"/>
      <c r="F47" s="551" t="str">
        <f t="shared" ref="F47:Y47" si="9">IF(AND(E42&lt;0,F42&gt;0),F3,"")</f>
        <v/>
      </c>
      <c r="G47" s="552" t="str">
        <f t="shared" si="9"/>
        <v/>
      </c>
      <c r="H47" s="552" t="str">
        <f t="shared" si="9"/>
        <v/>
      </c>
      <c r="I47" s="552" t="str">
        <f t="shared" si="9"/>
        <v/>
      </c>
      <c r="J47" s="552" t="str">
        <f t="shared" si="9"/>
        <v/>
      </c>
      <c r="K47" s="552" t="str">
        <f t="shared" si="9"/>
        <v/>
      </c>
      <c r="L47" s="552" t="str">
        <f t="shared" si="9"/>
        <v/>
      </c>
      <c r="M47" s="552">
        <f t="shared" si="9"/>
        <v>2008</v>
      </c>
      <c r="N47" s="552" t="str">
        <f t="shared" si="9"/>
        <v/>
      </c>
      <c r="O47" s="552" t="str">
        <f t="shared" si="9"/>
        <v/>
      </c>
      <c r="P47" s="552" t="str">
        <f t="shared" si="9"/>
        <v/>
      </c>
      <c r="Q47" s="552" t="str">
        <f t="shared" si="9"/>
        <v/>
      </c>
      <c r="R47" s="552" t="str">
        <f t="shared" si="9"/>
        <v/>
      </c>
      <c r="S47" s="552" t="str">
        <f t="shared" si="9"/>
        <v/>
      </c>
      <c r="T47" s="552" t="str">
        <f t="shared" si="9"/>
        <v/>
      </c>
      <c r="U47" s="552" t="str">
        <f t="shared" si="9"/>
        <v/>
      </c>
      <c r="V47" s="552" t="str">
        <f t="shared" si="9"/>
        <v/>
      </c>
      <c r="W47" s="552" t="str">
        <f t="shared" si="9"/>
        <v/>
      </c>
      <c r="X47" s="552" t="str">
        <f t="shared" si="9"/>
        <v/>
      </c>
      <c r="Y47" s="553" t="str">
        <f t="shared" si="9"/>
        <v/>
      </c>
      <c r="Z47" s="40"/>
      <c r="AA47" s="40"/>
      <c r="AB47" s="40"/>
    </row>
    <row r="48" spans="2:28" ht="13.8" thickBot="1" x14ac:dyDescent="0.3">
      <c r="C48" s="17" t="s">
        <v>970</v>
      </c>
      <c r="D48" s="547">
        <f>MAX(F48:Y48)</f>
        <v>2006</v>
      </c>
      <c r="E48" s="535"/>
      <c r="F48" s="548" t="str">
        <f t="shared" ref="F48:Y48" si="10">IF(AND(E41&lt;0,F41&gt;0),F3,"")</f>
        <v/>
      </c>
      <c r="G48" s="549" t="str">
        <f t="shared" si="10"/>
        <v/>
      </c>
      <c r="H48" s="549" t="str">
        <f t="shared" si="10"/>
        <v/>
      </c>
      <c r="I48" s="549" t="str">
        <f t="shared" si="10"/>
        <v/>
      </c>
      <c r="J48" s="549" t="str">
        <f t="shared" si="10"/>
        <v/>
      </c>
      <c r="K48" s="549">
        <f t="shared" si="10"/>
        <v>2006</v>
      </c>
      <c r="L48" s="549" t="str">
        <f t="shared" si="10"/>
        <v/>
      </c>
      <c r="M48" s="549" t="str">
        <f t="shared" si="10"/>
        <v/>
      </c>
      <c r="N48" s="549" t="str">
        <f t="shared" si="10"/>
        <v/>
      </c>
      <c r="O48" s="549" t="str">
        <f t="shared" si="10"/>
        <v/>
      </c>
      <c r="P48" s="549" t="str">
        <f t="shared" si="10"/>
        <v/>
      </c>
      <c r="Q48" s="549" t="str">
        <f t="shared" si="10"/>
        <v/>
      </c>
      <c r="R48" s="549" t="str">
        <f t="shared" si="10"/>
        <v/>
      </c>
      <c r="S48" s="549" t="str">
        <f t="shared" si="10"/>
        <v/>
      </c>
      <c r="T48" s="549" t="str">
        <f t="shared" si="10"/>
        <v/>
      </c>
      <c r="U48" s="549" t="str">
        <f t="shared" si="10"/>
        <v/>
      </c>
      <c r="V48" s="549" t="str">
        <f t="shared" si="10"/>
        <v/>
      </c>
      <c r="W48" s="549" t="str">
        <f t="shared" si="10"/>
        <v/>
      </c>
      <c r="X48" s="549" t="str">
        <f t="shared" si="10"/>
        <v/>
      </c>
      <c r="Y48" s="550" t="str">
        <f t="shared" si="10"/>
        <v/>
      </c>
      <c r="Z48" s="40"/>
      <c r="AA48" s="40"/>
      <c r="AB48" s="40"/>
    </row>
    <row r="49" spans="1:28" ht="12.75" customHeight="1" thickBot="1" x14ac:dyDescent="0.3">
      <c r="A49" s="18"/>
      <c r="B49" s="18"/>
      <c r="C49" s="18"/>
      <c r="D49" s="18"/>
      <c r="E49" s="18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40"/>
      <c r="AA49" s="40"/>
      <c r="AB49" s="40"/>
    </row>
    <row r="50" spans="1:28" hidden="1" x14ac:dyDescent="0.25">
      <c r="A50" s="350"/>
      <c r="B50" s="351" t="s">
        <v>897</v>
      </c>
      <c r="C50" s="350"/>
      <c r="D50" s="350"/>
      <c r="E50" s="350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40"/>
      <c r="AA50" s="40"/>
      <c r="AB50" s="40"/>
    </row>
    <row r="51" spans="1:28" hidden="1" x14ac:dyDescent="0.25">
      <c r="A51" s="350"/>
      <c r="B51" s="350"/>
      <c r="C51" s="350" t="s">
        <v>898</v>
      </c>
      <c r="D51" s="350"/>
      <c r="E51" s="350"/>
      <c r="F51" s="352">
        <f t="shared" ref="F51:Y51" si="11">F11*F5*12/F6</f>
        <v>1086.9550541096603</v>
      </c>
      <c r="G51" s="352">
        <f t="shared" si="11"/>
        <v>4436.5020697399086</v>
      </c>
      <c r="H51" s="352">
        <f t="shared" si="11"/>
        <v>15232.802256668654</v>
      </c>
      <c r="I51" s="352">
        <f t="shared" si="11"/>
        <v>34651.988161147237</v>
      </c>
      <c r="J51" s="352">
        <f t="shared" si="11"/>
        <v>67412.862333911209</v>
      </c>
      <c r="K51" s="352">
        <f t="shared" si="11"/>
        <v>107218.81634680211</v>
      </c>
      <c r="L51" s="352">
        <f t="shared" si="11"/>
        <v>156868.11666391933</v>
      </c>
      <c r="M51" s="352">
        <f t="shared" si="11"/>
        <v>208457.89851713725</v>
      </c>
      <c r="N51" s="352">
        <f t="shared" si="11"/>
        <v>261404.2912992083</v>
      </c>
      <c r="O51" s="352">
        <f t="shared" si="11"/>
        <v>315650.21179814986</v>
      </c>
      <c r="P51" s="352">
        <f t="shared" si="11"/>
        <v>350517.84442912793</v>
      </c>
      <c r="Q51" s="352">
        <f t="shared" si="11"/>
        <v>391891.10776339116</v>
      </c>
      <c r="R51" s="352">
        <f t="shared" si="11"/>
        <v>431374.42196250928</v>
      </c>
      <c r="S51" s="352">
        <f t="shared" si="11"/>
        <v>473508.26090699102</v>
      </c>
      <c r="T51" s="352">
        <f t="shared" si="11"/>
        <v>512392.57980692748</v>
      </c>
      <c r="U51" s="352">
        <f t="shared" si="11"/>
        <v>547207.78639255825</v>
      </c>
      <c r="V51" s="352">
        <f t="shared" si="11"/>
        <v>583574.10330145794</v>
      </c>
      <c r="W51" s="352">
        <f t="shared" si="11"/>
        <v>634751.79540020484</v>
      </c>
      <c r="X51" s="352">
        <f t="shared" si="11"/>
        <v>688687.0595658836</v>
      </c>
      <c r="Y51" s="352">
        <f t="shared" si="11"/>
        <v>745515.01607003564</v>
      </c>
      <c r="Z51" s="40"/>
      <c r="AA51" s="40"/>
      <c r="AB51" s="40"/>
    </row>
    <row r="52" spans="1:28" hidden="1" x14ac:dyDescent="0.25">
      <c r="A52" s="350"/>
      <c r="B52" s="350"/>
      <c r="C52" s="350" t="s">
        <v>899</v>
      </c>
      <c r="D52" s="350"/>
      <c r="E52" s="350"/>
      <c r="F52" s="352">
        <f t="shared" ref="F52:Y52" si="12">F21*F5*12/F6</f>
        <v>7867.6647363423062</v>
      </c>
      <c r="G52" s="352">
        <f t="shared" si="12"/>
        <v>12568.882966563875</v>
      </c>
      <c r="H52" s="352">
        <f t="shared" si="12"/>
        <v>18483.639084882783</v>
      </c>
      <c r="I52" s="352">
        <f t="shared" si="12"/>
        <v>34569.415257938337</v>
      </c>
      <c r="J52" s="352">
        <f t="shared" si="12"/>
        <v>54072.824288520096</v>
      </c>
      <c r="K52" s="352">
        <f t="shared" si="12"/>
        <v>79667.004644766334</v>
      </c>
      <c r="L52" s="352">
        <f t="shared" si="12"/>
        <v>108828.07411845101</v>
      </c>
      <c r="M52" s="352">
        <f t="shared" si="12"/>
        <v>140966.14004817884</v>
      </c>
      <c r="N52" s="352">
        <f t="shared" si="12"/>
        <v>168979.42353821383</v>
      </c>
      <c r="O52" s="352">
        <f t="shared" si="12"/>
        <v>201833.74902955029</v>
      </c>
      <c r="P52" s="352">
        <f t="shared" si="12"/>
        <v>223849.04765671794</v>
      </c>
      <c r="Q52" s="352">
        <f t="shared" si="12"/>
        <v>249599.7251043164</v>
      </c>
      <c r="R52" s="352">
        <f t="shared" si="12"/>
        <v>274289.0183537862</v>
      </c>
      <c r="S52" s="352">
        <f t="shared" si="12"/>
        <v>296559.15620417311</v>
      </c>
      <c r="T52" s="352">
        <f t="shared" si="12"/>
        <v>320621.13719017006</v>
      </c>
      <c r="U52" s="352">
        <f t="shared" si="12"/>
        <v>342412.92388494435</v>
      </c>
      <c r="V52" s="352">
        <f t="shared" si="12"/>
        <v>365100.07217514672</v>
      </c>
      <c r="W52" s="352">
        <f t="shared" si="12"/>
        <v>396077.44755527767</v>
      </c>
      <c r="X52" s="352">
        <f t="shared" si="12"/>
        <v>428704.12678552844</v>
      </c>
      <c r="Y52" s="352">
        <f t="shared" si="12"/>
        <v>462984.45724560879</v>
      </c>
      <c r="Z52" s="40"/>
      <c r="AA52" s="40"/>
      <c r="AB52" s="40"/>
    </row>
    <row r="53" spans="1:28" ht="16.5" hidden="1" customHeight="1" thickBot="1" x14ac:dyDescent="0.3">
      <c r="A53" s="350"/>
      <c r="B53" s="350"/>
      <c r="C53" s="350" t="s">
        <v>900</v>
      </c>
      <c r="D53" s="350"/>
      <c r="E53" s="350"/>
      <c r="F53" s="353">
        <f>F51-F52</f>
        <v>-6780.7096822326457</v>
      </c>
      <c r="G53" s="353">
        <f t="shared" ref="G53:Y53" si="13">G51-G52</f>
        <v>-8132.3808968239664</v>
      </c>
      <c r="H53" s="353">
        <f t="shared" si="13"/>
        <v>-3250.8368282141291</v>
      </c>
      <c r="I53" s="353">
        <f t="shared" si="13"/>
        <v>82.572903208900243</v>
      </c>
      <c r="J53" s="353">
        <f t="shared" si="13"/>
        <v>13340.038045391113</v>
      </c>
      <c r="K53" s="353">
        <f t="shared" si="13"/>
        <v>27551.811702035775</v>
      </c>
      <c r="L53" s="353">
        <f t="shared" si="13"/>
        <v>48040.042545468314</v>
      </c>
      <c r="M53" s="353">
        <f t="shared" si="13"/>
        <v>67491.758468958404</v>
      </c>
      <c r="N53" s="353">
        <f t="shared" si="13"/>
        <v>92424.867760994472</v>
      </c>
      <c r="O53" s="353">
        <f t="shared" si="13"/>
        <v>113816.46276859957</v>
      </c>
      <c r="P53" s="353">
        <f t="shared" si="13"/>
        <v>126668.79677240999</v>
      </c>
      <c r="Q53" s="353">
        <f t="shared" si="13"/>
        <v>142291.38265907476</v>
      </c>
      <c r="R53" s="353">
        <f t="shared" si="13"/>
        <v>157085.40360872308</v>
      </c>
      <c r="S53" s="353">
        <f t="shared" si="13"/>
        <v>176949.10470281792</v>
      </c>
      <c r="T53" s="353">
        <f t="shared" si="13"/>
        <v>191771.44261675741</v>
      </c>
      <c r="U53" s="353">
        <f t="shared" si="13"/>
        <v>204794.8625076139</v>
      </c>
      <c r="V53" s="353">
        <f t="shared" si="13"/>
        <v>218474.03112631122</v>
      </c>
      <c r="W53" s="353">
        <f t="shared" si="13"/>
        <v>238674.34784492716</v>
      </c>
      <c r="X53" s="353">
        <f t="shared" si="13"/>
        <v>259982.93278035516</v>
      </c>
      <c r="Y53" s="353">
        <f t="shared" si="13"/>
        <v>282530.55882442684</v>
      </c>
      <c r="Z53" s="40"/>
      <c r="AA53" s="40"/>
      <c r="AB53" s="40"/>
    </row>
    <row r="54" spans="1:28" ht="14.4" hidden="1" thickTop="1" thickBot="1" x14ac:dyDescent="0.3">
      <c r="A54" s="354"/>
      <c r="B54" s="354"/>
      <c r="C54" s="354"/>
      <c r="D54" s="354"/>
      <c r="E54" s="354"/>
      <c r="F54" s="355">
        <f>F53/F51</f>
        <v>-6.238261330673712</v>
      </c>
      <c r="G54" s="355">
        <f t="shared" ref="G54:Y54" si="14">G53/G51</f>
        <v>-1.833061445478088</v>
      </c>
      <c r="H54" s="355">
        <f t="shared" si="14"/>
        <v>-0.21341029532441871</v>
      </c>
      <c r="I54" s="355">
        <f t="shared" si="14"/>
        <v>2.3829196415772547E-3</v>
      </c>
      <c r="J54" s="355">
        <f t="shared" si="14"/>
        <v>0.19788564946723189</v>
      </c>
      <c r="K54" s="355">
        <f t="shared" si="14"/>
        <v>0.25696806438264258</v>
      </c>
      <c r="L54" s="355">
        <f t="shared" si="14"/>
        <v>0.30624478426289303</v>
      </c>
      <c r="M54" s="355">
        <f t="shared" si="14"/>
        <v>0.32376685627678403</v>
      </c>
      <c r="N54" s="355">
        <f t="shared" si="14"/>
        <v>0.35357058333523383</v>
      </c>
      <c r="O54" s="355">
        <f t="shared" si="14"/>
        <v>0.36057781213016338</v>
      </c>
      <c r="P54" s="355">
        <f t="shared" si="14"/>
        <v>0.36137617181433246</v>
      </c>
      <c r="Q54" s="355">
        <f t="shared" si="14"/>
        <v>0.36308908224828834</v>
      </c>
      <c r="R54" s="355">
        <f t="shared" si="14"/>
        <v>0.3641509454688423</v>
      </c>
      <c r="S54" s="355">
        <f t="shared" si="14"/>
        <v>0.37369803087252829</v>
      </c>
      <c r="T54" s="355">
        <f t="shared" si="14"/>
        <v>0.37426662714166942</v>
      </c>
      <c r="U54" s="355">
        <f t="shared" si="14"/>
        <v>0.37425429169733576</v>
      </c>
      <c r="V54" s="355">
        <f t="shared" si="14"/>
        <v>0.37437238885402302</v>
      </c>
      <c r="W54" s="355">
        <f t="shared" si="14"/>
        <v>0.376012087834183</v>
      </c>
      <c r="X54" s="355">
        <f t="shared" si="14"/>
        <v>0.37750518057394072</v>
      </c>
      <c r="Y54" s="355">
        <f t="shared" si="14"/>
        <v>0.37897366616943523</v>
      </c>
      <c r="Z54" s="40"/>
      <c r="AA54" s="40"/>
      <c r="AB54" s="40"/>
    </row>
    <row r="55" spans="1:28" x14ac:dyDescent="0.25"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0"/>
      <c r="AA55" s="40"/>
      <c r="AB55" s="40"/>
    </row>
    <row r="56" spans="1:28" x14ac:dyDescent="0.25"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0"/>
      <c r="AA56" s="40"/>
      <c r="AB56" s="40"/>
    </row>
    <row r="57" spans="1:28" x14ac:dyDescent="0.25"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0"/>
      <c r="AA57" s="40"/>
      <c r="AB57" s="40"/>
    </row>
    <row r="58" spans="1:28" x14ac:dyDescent="0.25"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0"/>
      <c r="AA58" s="40"/>
      <c r="AB58" s="40"/>
    </row>
    <row r="59" spans="1:28" x14ac:dyDescent="0.25"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0"/>
      <c r="AA59" s="40"/>
      <c r="AB59" s="40"/>
    </row>
    <row r="60" spans="1:28" x14ac:dyDescent="0.25"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0"/>
      <c r="AA60" s="40"/>
      <c r="AB60" s="40"/>
    </row>
    <row r="61" spans="1:28" x14ac:dyDescent="0.25"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0"/>
      <c r="AA61" s="40"/>
      <c r="AB61" s="40"/>
    </row>
    <row r="62" spans="1:28" x14ac:dyDescent="0.25"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0"/>
      <c r="AA62" s="40"/>
      <c r="AB62" s="40"/>
    </row>
    <row r="63" spans="1:28" x14ac:dyDescent="0.25"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0"/>
      <c r="AA63" s="40"/>
      <c r="AB63" s="40"/>
    </row>
    <row r="64" spans="1:28" x14ac:dyDescent="0.25"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0"/>
      <c r="AA64" s="40"/>
      <c r="AB64" s="40"/>
    </row>
    <row r="65" spans="6:28" x14ac:dyDescent="0.25"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0"/>
      <c r="AA65" s="40"/>
      <c r="AB65" s="40"/>
    </row>
    <row r="66" spans="6:28" x14ac:dyDescent="0.25"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0"/>
      <c r="AA66" s="40"/>
      <c r="AB66" s="40"/>
    </row>
    <row r="67" spans="6:28" x14ac:dyDescent="0.25"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0"/>
      <c r="AA67" s="40"/>
      <c r="AB67" s="40"/>
    </row>
    <row r="68" spans="6:28" x14ac:dyDescent="0.25"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0"/>
      <c r="AA68" s="40"/>
      <c r="AB68" s="40"/>
    </row>
    <row r="69" spans="6:28" x14ac:dyDescent="0.25"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0"/>
      <c r="AA69" s="40"/>
      <c r="AB69" s="40"/>
    </row>
  </sheetData>
  <customSheetViews>
    <customSheetView guid="{00A591F2-C6CE-11D4-B3FE-00409628F381}" scale="75" showPageBreaks="1" fitToPage="1" hiddenRows="1" showRuler="0">
      <pane xSplit="4" ySplit="4" topLeftCell="E5" activePane="bottomRight" state="frozen"/>
      <selection pane="bottomRight" activeCell="F32" sqref="F32"/>
      <pageMargins left="0.75" right="0.75" top="1" bottom="1" header="0.5" footer="0.5"/>
      <pageSetup paperSize="5" scale="55" orientation="landscape" r:id="rId1"/>
      <headerFooter alignWithMargins="0"/>
    </customSheetView>
    <customSheetView guid="{39AEF1F3-C6CC-11D4-B3CC-0080C71F7D28}" scale="75" fitToPage="1" hiddenRows="1" showRuler="0">
      <pane xSplit="4" ySplit="4" topLeftCell="E5" activePane="bottomRight" state="frozen"/>
      <selection pane="bottomRight" activeCell="F32" sqref="F32"/>
      <pageMargins left="0.75" right="0.75" top="1" bottom="1" header="0.5" footer="0.5"/>
      <pageSetup paperSize="5" scale="55" orientation="landscape" r:id="rId2"/>
      <headerFooter alignWithMargins="0"/>
    </customSheetView>
  </customSheetViews>
  <mergeCells count="1">
    <mergeCell ref="A1:D1"/>
  </mergeCells>
  <pageMargins left="0.75" right="0.75" top="1" bottom="1" header="0.5" footer="0.5"/>
  <pageSetup paperSize="5" scale="55" orientation="landscape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78" workbookViewId="0">
      <pane xSplit="4" ySplit="5" topLeftCell="E11" activePane="bottomRight" state="frozen"/>
      <selection pane="topRight" activeCell="E1" sqref="E1"/>
      <selection pane="bottomLeft" activeCell="A6" sqref="A6"/>
      <selection pane="bottomRight" activeCell="F33" sqref="F33"/>
    </sheetView>
  </sheetViews>
  <sheetFormatPr defaultRowHeight="13.2" x14ac:dyDescent="0.25"/>
  <cols>
    <col min="1" max="1" width="3.5546875" customWidth="1"/>
    <col min="2" max="2" width="4" customWidth="1"/>
    <col min="3" max="3" width="40.6640625" customWidth="1"/>
    <col min="4" max="4" width="11.44140625" bestFit="1" customWidth="1"/>
    <col min="5" max="5" width="2.33203125" customWidth="1"/>
    <col min="6" max="6" width="11.33203125" bestFit="1" customWidth="1"/>
    <col min="9" max="10" width="10.109375" bestFit="1" customWidth="1"/>
    <col min="11" max="15" width="11.109375" bestFit="1" customWidth="1"/>
    <col min="16" max="16" width="11.44140625" bestFit="1" customWidth="1"/>
    <col min="17" max="17" width="11.109375" bestFit="1" customWidth="1"/>
    <col min="18" max="19" width="11.44140625" bestFit="1" customWidth="1"/>
    <col min="20" max="23" width="11.88671875" bestFit="1" customWidth="1"/>
    <col min="24" max="24" width="11.44140625" bestFit="1" customWidth="1"/>
    <col min="25" max="25" width="11.88671875" bestFit="1" customWidth="1"/>
    <col min="26" max="30" width="9.33203125" customWidth="1"/>
  </cols>
  <sheetData>
    <row r="1" spans="1:27" s="13" customFormat="1" x14ac:dyDescent="0.25">
      <c r="A1" s="650" t="s">
        <v>972</v>
      </c>
      <c r="B1" s="651"/>
      <c r="C1" s="651"/>
      <c r="D1" s="33"/>
      <c r="E1" s="3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71"/>
      <c r="AA1" s="171"/>
    </row>
    <row r="2" spans="1:27" s="13" customForma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1"/>
      <c r="AA2" s="171"/>
    </row>
    <row r="3" spans="1:27" s="13" customFormat="1" ht="13.8" thickBo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71"/>
      <c r="AA3" s="171"/>
    </row>
    <row r="4" spans="1:27" s="13" customFormat="1" x14ac:dyDescent="0.25">
      <c r="A4" s="16" t="s">
        <v>971</v>
      </c>
      <c r="B4" s="15"/>
      <c r="C4" s="15"/>
      <c r="D4" s="15"/>
      <c r="E4" s="15"/>
      <c r="F4" s="37">
        <v>2001</v>
      </c>
      <c r="G4" s="37">
        <v>2002</v>
      </c>
      <c r="H4" s="37">
        <v>2003</v>
      </c>
      <c r="I4" s="37">
        <v>2004</v>
      </c>
      <c r="J4" s="37">
        <v>2005</v>
      </c>
      <c r="K4" s="37">
        <v>2006</v>
      </c>
      <c r="L4" s="37">
        <v>2007</v>
      </c>
      <c r="M4" s="37">
        <v>2008</v>
      </c>
      <c r="N4" s="37">
        <v>2009</v>
      </c>
      <c r="O4" s="37">
        <v>2010</v>
      </c>
      <c r="P4" s="37">
        <v>2011</v>
      </c>
      <c r="Q4" s="37">
        <v>2012</v>
      </c>
      <c r="R4" s="37">
        <v>2013</v>
      </c>
      <c r="S4" s="37">
        <v>2014</v>
      </c>
      <c r="T4" s="37">
        <v>2015</v>
      </c>
      <c r="U4" s="37">
        <v>2016</v>
      </c>
      <c r="V4" s="37">
        <v>2017</v>
      </c>
      <c r="W4" s="37">
        <v>2018</v>
      </c>
      <c r="X4" s="37">
        <v>2019</v>
      </c>
      <c r="Y4" s="37">
        <v>2020</v>
      </c>
      <c r="Z4" s="174"/>
      <c r="AA4" s="171"/>
    </row>
    <row r="5" spans="1:27" s="13" customFormat="1" ht="13.8" thickBot="1" x14ac:dyDescent="0.3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71"/>
      <c r="AA5" s="171"/>
    </row>
    <row r="6" spans="1:27" s="13" customFormat="1" x14ac:dyDescent="0.25">
      <c r="A6" s="15"/>
      <c r="B6" s="13" t="s">
        <v>286</v>
      </c>
      <c r="C6" s="15"/>
      <c r="D6" s="15"/>
      <c r="E6" s="15"/>
      <c r="F6" s="20">
        <f>'Project FCF'!F5</f>
        <v>9679.8918346216069</v>
      </c>
      <c r="G6" s="20">
        <f>'Project FCF'!G5</f>
        <v>44842.917049465184</v>
      </c>
      <c r="H6" s="20">
        <f>'Project FCF'!H5</f>
        <v>162753.03567903742</v>
      </c>
      <c r="I6" s="20">
        <f>'Project FCF'!I5</f>
        <v>527157.45529150765</v>
      </c>
      <c r="J6" s="20">
        <f>'Project FCF'!J5</f>
        <v>1031810.3824692816</v>
      </c>
      <c r="K6" s="20">
        <f>'Project FCF'!K5</f>
        <v>1641073.8851990085</v>
      </c>
      <c r="L6" s="20">
        <f>'Project FCF'!L5</f>
        <v>2400998.0565802758</v>
      </c>
      <c r="M6" s="20">
        <f>'Project FCF'!M5</f>
        <v>3190622.9249297455</v>
      </c>
      <c r="N6" s="20">
        <f>'Project FCF'!N5</f>
        <v>4001011.861038697</v>
      </c>
      <c r="O6" s="20">
        <f>'Project FCF'!O5</f>
        <v>4831291.1584845111</v>
      </c>
      <c r="P6" s="20">
        <f>'Project FCF'!P5</f>
        <v>5364969.5117721474</v>
      </c>
      <c r="Q6" s="20">
        <f>'Project FCF'!Q5</f>
        <v>5998221.9978256002</v>
      </c>
      <c r="R6" s="20">
        <f>'Project FCF'!R5</f>
        <v>6602547.2276779683</v>
      </c>
      <c r="S6" s="20">
        <f>'Project FCF'!S5</f>
        <v>7247440.9611745151</v>
      </c>
      <c r="T6" s="20">
        <f>'Project FCF'!T5</f>
        <v>7842598.0657263361</v>
      </c>
      <c r="U6" s="20">
        <f>'Project FCF'!U5</f>
        <v>8375473.9944316531</v>
      </c>
      <c r="V6" s="20">
        <f>'Project FCF'!V5</f>
        <v>8932090.9672121629</v>
      </c>
      <c r="W6" s="20">
        <f>'Project FCF'!W5</f>
        <v>9715408.4563397542</v>
      </c>
      <c r="X6" s="20">
        <f>'Project FCF'!X5</f>
        <v>10540932.898125341</v>
      </c>
      <c r="Y6" s="20">
        <f>'Project FCF'!Y5</f>
        <v>11410732.42162074</v>
      </c>
      <c r="Z6" s="171"/>
      <c r="AA6" s="171"/>
    </row>
    <row r="7" spans="1:27" s="13" customFormat="1" x14ac:dyDescent="0.25">
      <c r="A7" s="15"/>
      <c r="B7" s="13" t="s">
        <v>275</v>
      </c>
      <c r="C7" s="15"/>
      <c r="D7" s="15"/>
      <c r="E7" s="15"/>
      <c r="F7" s="20">
        <f>'Project FCF'!F6</f>
        <v>464634.8080618371</v>
      </c>
      <c r="G7" s="20">
        <f>'Project FCF'!G6</f>
        <v>2354253.1450969223</v>
      </c>
      <c r="H7" s="20">
        <f>'Project FCF'!H6</f>
        <v>9276923.0337051321</v>
      </c>
      <c r="I7" s="20">
        <f>'Project FCF'!I6</f>
        <v>32420183.500427719</v>
      </c>
      <c r="J7" s="20">
        <f>'Project FCF'!J6</f>
        <v>68099485.242972583</v>
      </c>
      <c r="K7" s="20">
        <f>'Project FCF'!K6</f>
        <v>108310876.42313455</v>
      </c>
      <c r="L7" s="20">
        <f>'Project FCF'!L6</f>
        <v>158465871.7342982</v>
      </c>
      <c r="M7" s="20">
        <f>'Project FCF'!M6</f>
        <v>210581113.04536319</v>
      </c>
      <c r="N7" s="20">
        <f>'Project FCF'!N6</f>
        <v>264066782.828554</v>
      </c>
      <c r="O7" s="20">
        <f>'Project FCF'!O6</f>
        <v>318865216.45997775</v>
      </c>
      <c r="P7" s="20">
        <f>'Project FCF'!P6</f>
        <v>354087987.77696174</v>
      </c>
      <c r="Q7" s="20">
        <f>'Project FCF'!Q6</f>
        <v>395882651.8564896</v>
      </c>
      <c r="R7" s="20">
        <f>'Project FCF'!R6</f>
        <v>435768117.02674592</v>
      </c>
      <c r="S7" s="20">
        <f>'Project FCF'!S6</f>
        <v>478331103.437518</v>
      </c>
      <c r="T7" s="20">
        <f>'Project FCF'!T6</f>
        <v>517611472.33793819</v>
      </c>
      <c r="U7" s="20">
        <f>'Project FCF'!U6</f>
        <v>552781283.63248909</v>
      </c>
      <c r="V7" s="20">
        <f>'Project FCF'!V6</f>
        <v>589518003.83600271</v>
      </c>
      <c r="W7" s="20">
        <f>'Project FCF'!W6</f>
        <v>641216958.11842382</v>
      </c>
      <c r="X7" s="20">
        <f>'Project FCF'!X6</f>
        <v>695701571.27627254</v>
      </c>
      <c r="Y7" s="20">
        <f>'Project FCF'!Y6</f>
        <v>753108339.82696891</v>
      </c>
      <c r="Z7" s="171"/>
      <c r="AA7" s="171"/>
    </row>
    <row r="8" spans="1:27" s="13" customFormat="1" x14ac:dyDescent="0.25">
      <c r="A8" s="15"/>
      <c r="B8" s="15"/>
      <c r="C8" s="15"/>
      <c r="D8" s="15"/>
      <c r="E8" s="15"/>
      <c r="F8" s="20"/>
      <c r="G8" s="20"/>
      <c r="H8" s="20"/>
      <c r="I8" s="20"/>
      <c r="J8" s="20"/>
      <c r="K8" s="20"/>
      <c r="L8" s="20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1"/>
    </row>
    <row r="9" spans="1:27" s="13" customFormat="1" x14ac:dyDescent="0.25">
      <c r="A9" s="15"/>
      <c r="B9" s="1" t="s">
        <v>915</v>
      </c>
      <c r="C9" s="15"/>
      <c r="D9" s="15"/>
      <c r="E9" s="15"/>
      <c r="Z9" s="38"/>
      <c r="AA9" s="536"/>
    </row>
    <row r="10" spans="1:27" s="13" customFormat="1" x14ac:dyDescent="0.25">
      <c r="A10" s="15"/>
      <c r="B10" s="15"/>
      <c r="C10" s="15" t="s">
        <v>427</v>
      </c>
      <c r="D10" s="15"/>
      <c r="E10" s="15"/>
      <c r="F10" s="20">
        <f>Assumptions!F88*F7/1000</f>
        <v>2318.5276922285675</v>
      </c>
      <c r="G10" s="20">
        <f>Assumptions!G88*G7/1000</f>
        <v>11747.723194033642</v>
      </c>
      <c r="H10" s="20">
        <f>Assumptions!H88*H7/1000</f>
        <v>46291.845938188613</v>
      </c>
      <c r="I10" s="20">
        <f>Assumptions!I88*I7/1000</f>
        <v>161776.71566713433</v>
      </c>
      <c r="J10" s="20">
        <f>Assumptions!J88*J7/1000</f>
        <v>339816.43136243318</v>
      </c>
      <c r="K10" s="20">
        <f>Assumptions!K88*K7/1000</f>
        <v>540471.27335144137</v>
      </c>
      <c r="L10" s="20">
        <f>Assumptions!L88*L7/1000</f>
        <v>790744.69995414803</v>
      </c>
      <c r="M10" s="20">
        <f>Assumptions!M88*M7/1000</f>
        <v>1050799.7540963623</v>
      </c>
      <c r="N10" s="20">
        <f>Assumptions!N88*N7/1000</f>
        <v>1317693.2463144846</v>
      </c>
      <c r="O10" s="20">
        <f>Assumptions!O88*O7/1000</f>
        <v>1591137.430135289</v>
      </c>
      <c r="P10" s="20">
        <f>Assumptions!P88*P7/1000</f>
        <v>1766899.0590070391</v>
      </c>
      <c r="Q10" s="20">
        <f>Assumptions!Q88*Q7/1000</f>
        <v>1975454.4327638831</v>
      </c>
      <c r="R10" s="20">
        <f>Assumptions!R88*R7/1000</f>
        <v>2174482.9039634624</v>
      </c>
      <c r="S10" s="20">
        <f>Assumptions!S88*S7/1000</f>
        <v>2386872.2061532149</v>
      </c>
      <c r="T10" s="20">
        <f>Assumptions!T88*T7/1000</f>
        <v>2582881.2469663112</v>
      </c>
      <c r="U10" s="20">
        <f>Assumptions!U88*U7/1000</f>
        <v>2758378.6053261207</v>
      </c>
      <c r="V10" s="20">
        <f>Assumptions!V88*V7/1000</f>
        <v>2941694.8391416534</v>
      </c>
      <c r="W10" s="20">
        <f>Assumptions!W88*W7/1000</f>
        <v>3199672.6210109349</v>
      </c>
      <c r="X10" s="20">
        <f>Assumptions!X88*X7/1000</f>
        <v>3471550.8406686001</v>
      </c>
      <c r="Y10" s="20">
        <f>Assumptions!Y88*Y7/1000</f>
        <v>3758010.6157365753</v>
      </c>
      <c r="Z10" s="205"/>
      <c r="AA10" s="205"/>
    </row>
    <row r="11" spans="1:27" s="13" customFormat="1" x14ac:dyDescent="0.25">
      <c r="A11" s="15"/>
      <c r="B11" s="15"/>
      <c r="C11" s="15" t="s">
        <v>954</v>
      </c>
      <c r="D11" s="15"/>
      <c r="E11" s="15"/>
      <c r="F11" s="20">
        <f>'Project FCF'!F10*Assumptions!$F$57</f>
        <v>869.44788458571281</v>
      </c>
      <c r="G11" s="20">
        <f>'Project FCF'!G10*Assumptions!$F$57</f>
        <v>3158.3429247972504</v>
      </c>
      <c r="H11" s="20">
        <f>'Project FCF'!H10*Assumptions!$F$57</f>
        <v>10590.68685530818</v>
      </c>
      <c r="I11" s="20">
        <f>'Project FCF'!I10*Assumptions!$F$57</f>
        <v>0</v>
      </c>
      <c r="J11" s="20">
        <f>'Project FCF'!J10*Assumptions!$F$57</f>
        <v>0</v>
      </c>
      <c r="K11" s="20">
        <f>'Project FCF'!K10*Assumptions!$F$57</f>
        <v>0</v>
      </c>
      <c r="L11" s="20">
        <f>'Project FCF'!L10*Assumptions!$F$57</f>
        <v>0</v>
      </c>
      <c r="M11" s="20">
        <f>'Project FCF'!M10*Assumptions!$F$57</f>
        <v>0</v>
      </c>
      <c r="N11" s="20">
        <f>'Project FCF'!N10*Assumptions!$F$57</f>
        <v>0</v>
      </c>
      <c r="O11" s="20">
        <f>'Project FCF'!O10*Assumptions!$F$57</f>
        <v>0</v>
      </c>
      <c r="P11" s="20">
        <f>'Project FCF'!P10*Assumptions!$F$57</f>
        <v>0</v>
      </c>
      <c r="Q11" s="20">
        <f>'Project FCF'!Q10*Assumptions!$F$57</f>
        <v>0</v>
      </c>
      <c r="R11" s="20">
        <f>'Project FCF'!R10*Assumptions!$F$57</f>
        <v>0</v>
      </c>
      <c r="S11" s="20">
        <f>'Project FCF'!S10*Assumptions!$F$57</f>
        <v>0</v>
      </c>
      <c r="T11" s="20">
        <f>'Project FCF'!T10*Assumptions!$F$57</f>
        <v>0</v>
      </c>
      <c r="U11" s="20">
        <f>'Project FCF'!U10*Assumptions!$F$57</f>
        <v>0</v>
      </c>
      <c r="V11" s="20">
        <f>'Project FCF'!V10*Assumptions!$F$57</f>
        <v>0</v>
      </c>
      <c r="W11" s="20">
        <f>'Project FCF'!W10*Assumptions!$F$57</f>
        <v>0</v>
      </c>
      <c r="X11" s="20">
        <f>'Project FCF'!X10*Assumptions!$F$57</f>
        <v>0</v>
      </c>
      <c r="Y11" s="20">
        <f>'Project FCF'!Y10*Assumptions!$F$57</f>
        <v>0</v>
      </c>
      <c r="Z11" s="205"/>
      <c r="AA11" s="205"/>
    </row>
    <row r="12" spans="1:27" s="13" customFormat="1" ht="15" x14ac:dyDescent="0.4">
      <c r="A12" s="15"/>
      <c r="B12" s="15"/>
      <c r="C12" s="15" t="s">
        <v>385</v>
      </c>
      <c r="D12" s="15"/>
      <c r="E12" s="15"/>
      <c r="F12" s="21">
        <f>F6*Assumptions!F95*Assumptions!$E$123*12/1000</f>
        <v>145.19837751932411</v>
      </c>
      <c r="G12" s="21">
        <f>G6*Assumptions!G95*Assumptions!$E$123*12/1000</f>
        <v>672.64375574197777</v>
      </c>
      <c r="H12" s="21">
        <f>H6*Assumptions!H95*Assumptions!$E$123*12/1000</f>
        <v>2441.2955351855617</v>
      </c>
      <c r="I12" s="21">
        <f>I6*Assumptions!I95*Assumptions!$E$123*12/1000</f>
        <v>7907.3618293726149</v>
      </c>
      <c r="J12" s="21">
        <f>J6*Assumptions!J95*Assumptions!$E$123*12/1000</f>
        <v>15477.155737039224</v>
      </c>
      <c r="K12" s="21">
        <f>K6*Assumptions!K95*Assumptions!$E$123*12/1000</f>
        <v>24616.108277985124</v>
      </c>
      <c r="L12" s="21">
        <f>L6*Assumptions!L95*Assumptions!$E$123*12/1000</f>
        <v>36014.970848704135</v>
      </c>
      <c r="M12" s="21">
        <f>M6*Assumptions!M95*Assumptions!$E$123*12/1000</f>
        <v>47859.343873946185</v>
      </c>
      <c r="N12" s="21">
        <f>N6*Assumptions!N95*Assumptions!$E$123*12/1000</f>
        <v>60015.177915580454</v>
      </c>
      <c r="O12" s="21">
        <f>O6*Assumptions!O95*Assumptions!$E$123*12/1000</f>
        <v>72469.367377267656</v>
      </c>
      <c r="P12" s="21">
        <f>P6*Assumptions!P95*Assumptions!$E$123*12/1000</f>
        <v>80474.542676582219</v>
      </c>
      <c r="Q12" s="21">
        <f>Q6*Assumptions!Q95*Assumptions!$E$123*12/1000</f>
        <v>89973.329967384008</v>
      </c>
      <c r="R12" s="21">
        <f>R6*Assumptions!R95*Assumptions!$E$123*12/1000</f>
        <v>99038.208415169516</v>
      </c>
      <c r="S12" s="21">
        <f>S6*Assumptions!S95*Assumptions!$E$123*12/1000</f>
        <v>108711.61441761772</v>
      </c>
      <c r="T12" s="21">
        <f>T6*Assumptions!T95*Assumptions!$E$123*12/1000</f>
        <v>117638.97098589505</v>
      </c>
      <c r="U12" s="21">
        <f>U6*Assumptions!U95*Assumptions!$E$123*12/1000</f>
        <v>125632.1099164748</v>
      </c>
      <c r="V12" s="21">
        <f>V6*Assumptions!V95*Assumptions!$E$123*12/1000</f>
        <v>133981.36450818245</v>
      </c>
      <c r="W12" s="21">
        <f>W6*Assumptions!W95*Assumptions!$E$123*12/1000</f>
        <v>145731.12684509633</v>
      </c>
      <c r="X12" s="21">
        <f>X6*Assumptions!X95*Assumptions!$E$123*12/1000</f>
        <v>158113.99347188015</v>
      </c>
      <c r="Y12" s="21">
        <f>Y6*Assumptions!Y95*Assumptions!$E$123*12/1000</f>
        <v>171160.98632431112</v>
      </c>
      <c r="Z12" s="537"/>
      <c r="AA12" s="205"/>
    </row>
    <row r="13" spans="1:27" s="1" customFormat="1" x14ac:dyDescent="0.25">
      <c r="A13" s="17"/>
      <c r="B13" s="15" t="s">
        <v>957</v>
      </c>
      <c r="C13" s="17"/>
      <c r="D13" s="17"/>
      <c r="E13" s="17"/>
      <c r="F13" s="22">
        <f>SUM(F10:F12)</f>
        <v>3333.1739543336043</v>
      </c>
      <c r="G13" s="22">
        <f t="shared" ref="G13:Y13" si="0">SUM(G10:G12)</f>
        <v>15578.709874572871</v>
      </c>
      <c r="H13" s="22">
        <f t="shared" si="0"/>
        <v>59323.828328682357</v>
      </c>
      <c r="I13" s="22">
        <f t="shared" si="0"/>
        <v>169684.07749650694</v>
      </c>
      <c r="J13" s="22">
        <f t="shared" si="0"/>
        <v>355293.58709947241</v>
      </c>
      <c r="K13" s="22">
        <f t="shared" si="0"/>
        <v>565087.3816294265</v>
      </c>
      <c r="L13" s="22">
        <f t="shared" si="0"/>
        <v>826759.67080285214</v>
      </c>
      <c r="M13" s="22">
        <f t="shared" si="0"/>
        <v>1098659.0979703085</v>
      </c>
      <c r="N13" s="22">
        <f t="shared" si="0"/>
        <v>1377708.4242300652</v>
      </c>
      <c r="O13" s="22">
        <f t="shared" si="0"/>
        <v>1663606.7975125567</v>
      </c>
      <c r="P13" s="22">
        <f t="shared" si="0"/>
        <v>1847373.6016836213</v>
      </c>
      <c r="Q13" s="22">
        <f t="shared" si="0"/>
        <v>2065427.7627312671</v>
      </c>
      <c r="R13" s="22">
        <f t="shared" si="0"/>
        <v>2273521.1123786322</v>
      </c>
      <c r="S13" s="22">
        <f t="shared" si="0"/>
        <v>2495583.8205708326</v>
      </c>
      <c r="T13" s="22">
        <f t="shared" si="0"/>
        <v>2700520.2179522063</v>
      </c>
      <c r="U13" s="22">
        <f t="shared" si="0"/>
        <v>2884010.7152425954</v>
      </c>
      <c r="V13" s="22">
        <f t="shared" si="0"/>
        <v>3075676.2036498357</v>
      </c>
      <c r="W13" s="22">
        <f t="shared" si="0"/>
        <v>3345403.7478560312</v>
      </c>
      <c r="X13" s="22">
        <f t="shared" si="0"/>
        <v>3629664.83414048</v>
      </c>
      <c r="Y13" s="22">
        <f t="shared" si="0"/>
        <v>3929171.6020608866</v>
      </c>
      <c r="Z13" s="538"/>
      <c r="AA13" s="205"/>
    </row>
    <row r="15" spans="1:27" x14ac:dyDescent="0.25">
      <c r="B15" s="17" t="s">
        <v>917</v>
      </c>
      <c r="C15" s="15"/>
    </row>
    <row r="16" spans="1:27" x14ac:dyDescent="0.25">
      <c r="B16" s="17"/>
      <c r="C16" s="15" t="s">
        <v>974</v>
      </c>
      <c r="F16" s="23">
        <f>F10*Assumptions!F90</f>
        <v>1159.2638461142838</v>
      </c>
      <c r="G16" s="23">
        <f>G10*Assumptions!G90</f>
        <v>5873.8615970168212</v>
      </c>
      <c r="H16" s="23">
        <f>H10*Assumptions!H90</f>
        <v>23145.922969094307</v>
      </c>
      <c r="I16" s="23">
        <f>I10*Assumptions!I90</f>
        <v>80888.357833567163</v>
      </c>
      <c r="J16" s="23">
        <f>J10*Assumptions!J90</f>
        <v>169908.21568121659</v>
      </c>
      <c r="K16" s="23">
        <f>K10*Assumptions!K90</f>
        <v>270235.63667572069</v>
      </c>
      <c r="L16" s="23">
        <f>L10*Assumptions!L90</f>
        <v>395372.34997707402</v>
      </c>
      <c r="M16" s="23">
        <f>M10*Assumptions!M90</f>
        <v>525399.87704818114</v>
      </c>
      <c r="N16" s="23">
        <f>N10*Assumptions!N90</f>
        <v>658846.62315724231</v>
      </c>
      <c r="O16" s="23">
        <f>O10*Assumptions!O90</f>
        <v>795568.71506764449</v>
      </c>
      <c r="P16" s="23">
        <f>P10*Assumptions!P90</f>
        <v>883449.52950351953</v>
      </c>
      <c r="Q16" s="23">
        <f>Q10*Assumptions!Q90</f>
        <v>987727.21638194157</v>
      </c>
      <c r="R16" s="23">
        <f>R10*Assumptions!R90</f>
        <v>1087241.4519817312</v>
      </c>
      <c r="S16" s="23">
        <f>S10*Assumptions!S90</f>
        <v>1193436.1030766075</v>
      </c>
      <c r="T16" s="23">
        <f>T10*Assumptions!T90</f>
        <v>1291440.6234831556</v>
      </c>
      <c r="U16" s="23">
        <f>U10*Assumptions!U90</f>
        <v>1379189.3026630604</v>
      </c>
      <c r="V16" s="23">
        <f>V10*Assumptions!V90</f>
        <v>1470847.4195708267</v>
      </c>
      <c r="W16" s="23">
        <f>W10*Assumptions!W90</f>
        <v>1599836.3105054675</v>
      </c>
      <c r="X16" s="23">
        <f>X10*Assumptions!X90</f>
        <v>1735775.4203343</v>
      </c>
      <c r="Y16" s="23">
        <f>Y10*Assumptions!Y90</f>
        <v>1879005.3078682877</v>
      </c>
    </row>
    <row r="17" spans="2:25" x14ac:dyDescent="0.25">
      <c r="B17" s="15"/>
      <c r="C17" t="s">
        <v>973</v>
      </c>
      <c r="F17" s="23">
        <f>'EBS &amp; EOD FCF'!F10</f>
        <v>557.56176967420447</v>
      </c>
      <c r="G17" s="23">
        <f>'EBS &amp; EOD FCF'!G10</f>
        <v>2825.1037741163063</v>
      </c>
      <c r="H17" s="23">
        <f>'EBS &amp; EOD FCF'!H10</f>
        <v>11132.307640446159</v>
      </c>
      <c r="I17" s="23">
        <f>'EBS &amp; EOD FCF'!I10</f>
        <v>38904.220200513257</v>
      </c>
      <c r="J17" s="23">
        <f>'EBS &amp; EOD FCF'!J10</f>
        <v>81719.382291567104</v>
      </c>
      <c r="K17" s="23">
        <f>'EBS &amp; EOD FCF'!K10</f>
        <v>129973.05170776145</v>
      </c>
      <c r="L17" s="23">
        <f>'EBS &amp; EOD FCF'!L10</f>
        <v>190159.04608115784</v>
      </c>
      <c r="M17" s="23">
        <f>'EBS &amp; EOD FCF'!M10</f>
        <v>252697.33565443582</v>
      </c>
      <c r="N17" s="23">
        <f>'EBS &amp; EOD FCF'!N10</f>
        <v>316880.13939426484</v>
      </c>
      <c r="O17" s="23">
        <f>'EBS &amp; EOD FCF'!O10</f>
        <v>382638.25975197327</v>
      </c>
      <c r="P17" s="23">
        <f>'EBS &amp; EOD FCF'!P10</f>
        <v>424905.58533235407</v>
      </c>
      <c r="Q17" s="23">
        <f>'EBS &amp; EOD FCF'!Q10</f>
        <v>475059.1822277875</v>
      </c>
      <c r="R17" s="23">
        <f>'EBS &amp; EOD FCF'!R10</f>
        <v>522921.74043209507</v>
      </c>
      <c r="S17" s="23">
        <f>'EBS &amp; EOD FCF'!S10</f>
        <v>573997.32412502158</v>
      </c>
      <c r="T17" s="23">
        <f>'EBS &amp; EOD FCF'!T10</f>
        <v>621133.76680552575</v>
      </c>
      <c r="U17" s="23">
        <f>'EBS &amp; EOD FCF'!U10</f>
        <v>663337.54035898682</v>
      </c>
      <c r="V17" s="23">
        <f>'EBS &amp; EOD FCF'!V10</f>
        <v>707421.60460320313</v>
      </c>
      <c r="W17" s="23">
        <f>'EBS &amp; EOD FCF'!W10</f>
        <v>769460.34974210861</v>
      </c>
      <c r="X17" s="23">
        <f>'EBS &amp; EOD FCF'!X10</f>
        <v>834841.88553152699</v>
      </c>
      <c r="Y17" s="23">
        <f>'EBS &amp; EOD FCF'!Y10</f>
        <v>903730.00779236271</v>
      </c>
    </row>
    <row r="18" spans="2:25" x14ac:dyDescent="0.25">
      <c r="B18" s="15"/>
      <c r="C18" s="15" t="s">
        <v>270</v>
      </c>
      <c r="F18" s="23">
        <f>Marketing!E13</f>
        <v>20000</v>
      </c>
      <c r="G18" s="23">
        <f>Marketing!F13</f>
        <v>36000</v>
      </c>
      <c r="H18" s="23">
        <f>Marketing!G13</f>
        <v>46800</v>
      </c>
      <c r="I18" s="23">
        <f>Marketing!H13</f>
        <v>61200</v>
      </c>
      <c r="J18" s="23">
        <f>Marketing!I13</f>
        <v>67200</v>
      </c>
      <c r="K18" s="23">
        <f>Marketing!J13</f>
        <v>80000</v>
      </c>
      <c r="L18" s="23">
        <f>Marketing!K13</f>
        <v>81200</v>
      </c>
      <c r="M18" s="23">
        <f>Marketing!L13</f>
        <v>92400</v>
      </c>
      <c r="N18" s="23">
        <f>Marketing!M13</f>
        <v>88800</v>
      </c>
      <c r="O18" s="23">
        <f>Marketing!N13</f>
        <v>98400</v>
      </c>
      <c r="P18" s="23">
        <f>Marketing!O13</f>
        <v>108000</v>
      </c>
      <c r="Q18" s="23">
        <f>Marketing!P13</f>
        <v>117600</v>
      </c>
      <c r="R18" s="23">
        <f>Marketing!Q13</f>
        <v>127200</v>
      </c>
      <c r="S18" s="23">
        <f>Marketing!R13</f>
        <v>136800</v>
      </c>
      <c r="T18" s="23">
        <f>Marketing!S13</f>
        <v>146400</v>
      </c>
      <c r="U18" s="23">
        <f>Marketing!T13</f>
        <v>156000</v>
      </c>
      <c r="V18" s="23">
        <f>Marketing!U13</f>
        <v>165600</v>
      </c>
      <c r="W18" s="23">
        <f>Marketing!V13</f>
        <v>175200</v>
      </c>
      <c r="X18" s="23">
        <f>Marketing!W13</f>
        <v>184800</v>
      </c>
      <c r="Y18" s="23">
        <f>Marketing!X13</f>
        <v>194400</v>
      </c>
    </row>
    <row r="19" spans="2:25" x14ac:dyDescent="0.25">
      <c r="B19" s="15"/>
      <c r="C19" s="15" t="s">
        <v>428</v>
      </c>
      <c r="F19" s="23">
        <f>CRM!E22</f>
        <v>937.5</v>
      </c>
      <c r="G19" s="23">
        <f>CRM!F22</f>
        <v>1275</v>
      </c>
      <c r="H19" s="23">
        <f>CRM!G22</f>
        <v>1551.5182140742245</v>
      </c>
      <c r="I19" s="23">
        <f>CRM!H22</f>
        <v>3737.9447317490462</v>
      </c>
      <c r="J19" s="23">
        <f>CRM!I22</f>
        <v>6765.862294815689</v>
      </c>
      <c r="K19" s="23">
        <f>CRM!J22</f>
        <v>10233.943311194053</v>
      </c>
      <c r="L19" s="23">
        <f>CRM!K22</f>
        <v>14605.988339481655</v>
      </c>
      <c r="M19" s="23">
        <f>CRM!L22</f>
        <v>19343.737549578473</v>
      </c>
      <c r="N19" s="23">
        <f>CRM!M22</f>
        <v>18204.553374674138</v>
      </c>
      <c r="O19" s="23">
        <f>CRM!N22</f>
        <v>21940.810213180299</v>
      </c>
      <c r="P19" s="23">
        <f>CRM!O22</f>
        <v>24342.362802974665</v>
      </c>
      <c r="Q19" s="23">
        <f>CRM!P22</f>
        <v>27191.998990215201</v>
      </c>
      <c r="R19" s="23">
        <f>CRM!Q22</f>
        <v>29911.462524550858</v>
      </c>
      <c r="S19" s="23">
        <f>CRM!R22</f>
        <v>21942.322883523546</v>
      </c>
      <c r="T19" s="23">
        <f>CRM!S22</f>
        <v>23727.794197179006</v>
      </c>
      <c r="U19" s="23">
        <f>CRM!T22</f>
        <v>25326.42198329496</v>
      </c>
      <c r="V19" s="23">
        <f>CRM!U22</f>
        <v>26996.27290163649</v>
      </c>
      <c r="W19" s="23">
        <f>CRM!V22</f>
        <v>29146.225369019263</v>
      </c>
      <c r="X19" s="23">
        <f>CRM!W22</f>
        <v>31622.798694376022</v>
      </c>
      <c r="Y19" s="23">
        <f>CRM!X22</f>
        <v>34232.197264862218</v>
      </c>
    </row>
    <row r="20" spans="2:25" x14ac:dyDescent="0.25">
      <c r="B20" s="15"/>
      <c r="C20" s="15" t="s">
        <v>429</v>
      </c>
      <c r="F20" s="23">
        <f>Assumptions!F107*F7/1000</f>
        <v>92.926961612367421</v>
      </c>
      <c r="G20" s="23">
        <f>Assumptions!G107*G7/1000</f>
        <v>470.85062901938448</v>
      </c>
      <c r="H20" s="23">
        <f>Assumptions!H107*H7/1000</f>
        <v>1855.3846067410266</v>
      </c>
      <c r="I20" s="23">
        <f>Assumptions!I107*I7/1000</f>
        <v>6484.036700085544</v>
      </c>
      <c r="J20" s="23">
        <f>Assumptions!J107*J7/1000</f>
        <v>13619.897048594517</v>
      </c>
      <c r="K20" s="23">
        <f>Assumptions!K107*K7/1000</f>
        <v>21662.175284626912</v>
      </c>
      <c r="L20" s="23">
        <f>Assumptions!L107*L7/1000</f>
        <v>31693.17434685964</v>
      </c>
      <c r="M20" s="23">
        <f>Assumptions!M107*M7/1000</f>
        <v>42116.22260907264</v>
      </c>
      <c r="N20" s="23">
        <f>Assumptions!N107*N7/1000</f>
        <v>52813.356565710805</v>
      </c>
      <c r="O20" s="23">
        <f>Assumptions!O107*O7/1000</f>
        <v>63773.043291995557</v>
      </c>
      <c r="P20" s="23">
        <f>Assumptions!P107*P7/1000</f>
        <v>70817.597555392349</v>
      </c>
      <c r="Q20" s="23">
        <f>Assumptions!Q107*Q7/1000</f>
        <v>79176.530371297922</v>
      </c>
      <c r="R20" s="23">
        <f>Assumptions!R107*R7/1000</f>
        <v>87153.623405349193</v>
      </c>
      <c r="S20" s="23">
        <f>Assumptions!S107*S7/1000</f>
        <v>95666.220687503606</v>
      </c>
      <c r="T20" s="23">
        <f>Assumptions!T107*T7/1000</f>
        <v>103522.29446758765</v>
      </c>
      <c r="U20" s="23">
        <f>Assumptions!U107*U7/1000</f>
        <v>110556.25672649783</v>
      </c>
      <c r="V20" s="23">
        <f>Assumptions!V107*V7/1000</f>
        <v>117903.60076720055</v>
      </c>
      <c r="W20" s="23">
        <f>Assumptions!W107*W7/1000</f>
        <v>128243.39162368476</v>
      </c>
      <c r="X20" s="23">
        <f>Assumptions!X107*X7/1000</f>
        <v>139140.31425525452</v>
      </c>
      <c r="Y20" s="23">
        <f>Assumptions!Y107*Y7/1000</f>
        <v>150621.66796539378</v>
      </c>
    </row>
    <row r="21" spans="2:25" x14ac:dyDescent="0.25">
      <c r="B21" s="15"/>
      <c r="C21" s="15" t="s">
        <v>219</v>
      </c>
      <c r="F21" s="2">
        <f>DRM!E38</f>
        <v>313.54822153782857</v>
      </c>
      <c r="G21" s="2">
        <f>DRM!F38</f>
        <v>338.98178555226912</v>
      </c>
      <c r="H21" s="2">
        <f>DRM!G38</f>
        <v>615.33476750550892</v>
      </c>
      <c r="I21" s="2">
        <f>DRM!H38</f>
        <v>1539.2137253370747</v>
      </c>
      <c r="J21" s="2">
        <f>DRM!I38</f>
        <v>2963.5314508994657</v>
      </c>
      <c r="K21" s="2">
        <f>DRM!J38</f>
        <v>4568.7701868115309</v>
      </c>
      <c r="L21" s="2">
        <f>DRM!K38</f>
        <v>6570.9575996331841</v>
      </c>
      <c r="M21" s="2">
        <f>DRM!L38</f>
        <v>8651.3980327708978</v>
      </c>
      <c r="N21" s="2">
        <f>DRM!M38</f>
        <v>10786.545970515877</v>
      </c>
      <c r="O21" s="2">
        <f>DRM!N38</f>
        <v>12974.099441082311</v>
      </c>
      <c r="P21" s="2">
        <f>DRM!O38</f>
        <v>14380.192472056315</v>
      </c>
      <c r="Q21" s="2">
        <f>DRM!P38</f>
        <v>16048.635462111066</v>
      </c>
      <c r="R21" s="2">
        <f>DRM!Q38</f>
        <v>17640.863231707699</v>
      </c>
      <c r="S21" s="2">
        <f>DRM!R38</f>
        <v>19339.977649225719</v>
      </c>
      <c r="T21" s="2">
        <f>DRM!S38</f>
        <v>20908.04997573049</v>
      </c>
      <c r="U21" s="2">
        <f>DRM!T38</f>
        <v>22312.028842608968</v>
      </c>
      <c r="V21" s="2">
        <f>DRM!U38</f>
        <v>23778.558713133229</v>
      </c>
      <c r="W21" s="2">
        <f>DRM!V38</f>
        <v>25842.38096808748</v>
      </c>
      <c r="X21" s="2">
        <f>DRM!W38</f>
        <v>28017.406725348803</v>
      </c>
      <c r="Y21" s="2">
        <f>DRM!X38</f>
        <v>30309.084925892603</v>
      </c>
    </row>
    <row r="22" spans="2:25" x14ac:dyDescent="0.25">
      <c r="B22" s="15" t="s">
        <v>959</v>
      </c>
      <c r="F22" s="28">
        <f>SUM(F16:F21)</f>
        <v>23060.800798938686</v>
      </c>
      <c r="G22" s="28">
        <f t="shared" ref="G22:Y22" si="1">SUM(G16:G21)</f>
        <v>46783.797785704781</v>
      </c>
      <c r="H22" s="28">
        <f t="shared" si="1"/>
        <v>85100.468197861221</v>
      </c>
      <c r="I22" s="28">
        <f t="shared" si="1"/>
        <v>192753.77319125208</v>
      </c>
      <c r="J22" s="28">
        <f t="shared" si="1"/>
        <v>342176.88876709348</v>
      </c>
      <c r="K22" s="28">
        <f t="shared" si="1"/>
        <v>516673.57716611464</v>
      </c>
      <c r="L22" s="28">
        <f t="shared" si="1"/>
        <v>719601.51634420629</v>
      </c>
      <c r="M22" s="28">
        <f t="shared" si="1"/>
        <v>940608.57089403889</v>
      </c>
      <c r="N22" s="28">
        <f t="shared" si="1"/>
        <v>1146331.2184624081</v>
      </c>
      <c r="O22" s="28">
        <f t="shared" si="1"/>
        <v>1375294.9277658758</v>
      </c>
      <c r="P22" s="28">
        <f t="shared" si="1"/>
        <v>1525895.267666297</v>
      </c>
      <c r="Q22" s="28">
        <f t="shared" si="1"/>
        <v>1702803.5634333531</v>
      </c>
      <c r="R22" s="28">
        <f t="shared" si="1"/>
        <v>1872069.141575434</v>
      </c>
      <c r="S22" s="28">
        <f t="shared" si="1"/>
        <v>2041181.948421882</v>
      </c>
      <c r="T22" s="28">
        <f t="shared" si="1"/>
        <v>2207132.5289291781</v>
      </c>
      <c r="U22" s="28">
        <f t="shared" si="1"/>
        <v>2356721.5505744489</v>
      </c>
      <c r="V22" s="28">
        <f t="shared" si="1"/>
        <v>2512547.4565560003</v>
      </c>
      <c r="W22" s="28">
        <f t="shared" si="1"/>
        <v>2727728.6582083674</v>
      </c>
      <c r="X22" s="28">
        <f t="shared" si="1"/>
        <v>2954197.8255408062</v>
      </c>
      <c r="Y22" s="28">
        <f t="shared" si="1"/>
        <v>3192298.2658167994</v>
      </c>
    </row>
    <row r="23" spans="2:25" x14ac:dyDescent="0.25">
      <c r="B23" s="15"/>
      <c r="C23" s="15"/>
    </row>
    <row r="24" spans="2:25" x14ac:dyDescent="0.25">
      <c r="B24" s="1" t="s">
        <v>919</v>
      </c>
      <c r="C24" s="15"/>
      <c r="F24" s="28">
        <f>F13-F22</f>
        <v>-19727.626844605082</v>
      </c>
      <c r="G24" s="28">
        <f t="shared" ref="G24:Y24" si="2">G13-G22</f>
        <v>-31205.087911131908</v>
      </c>
      <c r="H24" s="28">
        <f t="shared" si="2"/>
        <v>-25776.639869178864</v>
      </c>
      <c r="I24" s="28">
        <f t="shared" si="2"/>
        <v>-23069.69569474514</v>
      </c>
      <c r="J24" s="28">
        <f t="shared" si="2"/>
        <v>13116.698332378932</v>
      </c>
      <c r="K24" s="28">
        <f t="shared" si="2"/>
        <v>48413.804463311855</v>
      </c>
      <c r="L24" s="28">
        <f t="shared" si="2"/>
        <v>107158.15445864585</v>
      </c>
      <c r="M24" s="28">
        <f t="shared" si="2"/>
        <v>158050.52707626962</v>
      </c>
      <c r="N24" s="28">
        <f t="shared" si="2"/>
        <v>231377.20576765714</v>
      </c>
      <c r="O24" s="28">
        <f t="shared" si="2"/>
        <v>288311.86974668084</v>
      </c>
      <c r="P24" s="28">
        <f t="shared" si="2"/>
        <v>321478.33401732426</v>
      </c>
      <c r="Q24" s="28">
        <f t="shared" si="2"/>
        <v>362624.19929791405</v>
      </c>
      <c r="R24" s="28">
        <f t="shared" si="2"/>
        <v>401451.97080319817</v>
      </c>
      <c r="S24" s="28">
        <f t="shared" si="2"/>
        <v>454401.87214895058</v>
      </c>
      <c r="T24" s="28">
        <f t="shared" si="2"/>
        <v>493387.68902302813</v>
      </c>
      <c r="U24" s="28">
        <f t="shared" si="2"/>
        <v>527289.16466814652</v>
      </c>
      <c r="V24" s="28">
        <f t="shared" si="2"/>
        <v>563128.74709383538</v>
      </c>
      <c r="W24" s="28">
        <f t="shared" si="2"/>
        <v>617675.08964766376</v>
      </c>
      <c r="X24" s="28">
        <f t="shared" si="2"/>
        <v>675467.00859967386</v>
      </c>
      <c r="Y24" s="28">
        <f t="shared" si="2"/>
        <v>736873.3362440872</v>
      </c>
    </row>
    <row r="25" spans="2:25" x14ac:dyDescent="0.25">
      <c r="B25" s="13" t="s">
        <v>918</v>
      </c>
      <c r="C25" s="15"/>
      <c r="F25" s="328">
        <f>Depreciation!E12*Assumptions!$F$57*Assumptions!$O$311</f>
        <v>0</v>
      </c>
      <c r="G25" s="328">
        <f>Depreciation!F12*Assumptions!$F$57*Assumptions!$O$311</f>
        <v>0</v>
      </c>
      <c r="H25" s="328">
        <f>Depreciation!G12*Assumptions!$F$57*Assumptions!$O$311</f>
        <v>0</v>
      </c>
      <c r="I25" s="328">
        <f>Depreciation!H12*Assumptions!$F$57*Assumptions!$O$311</f>
        <v>0</v>
      </c>
      <c r="J25" s="328">
        <f>Depreciation!I12*Assumptions!$F$57*Assumptions!$O$311</f>
        <v>0</v>
      </c>
      <c r="K25" s="328">
        <f>Depreciation!J12*Assumptions!$F$57*Assumptions!$O$311</f>
        <v>0</v>
      </c>
      <c r="L25" s="328">
        <f>Depreciation!K12*Assumptions!$F$57*Assumptions!$O$311</f>
        <v>0</v>
      </c>
      <c r="M25" s="328">
        <f>Depreciation!L12*Assumptions!$F$57*Assumptions!$O$311</f>
        <v>0</v>
      </c>
      <c r="N25" s="328">
        <f>Depreciation!M12*Assumptions!$F$57*Assumptions!$O$311</f>
        <v>0</v>
      </c>
      <c r="O25" s="328">
        <f>Depreciation!N12*Assumptions!$F$57*Assumptions!$O$311</f>
        <v>0</v>
      </c>
      <c r="P25" s="328">
        <f>Depreciation!O12*Assumptions!$F$57*Assumptions!$O$311</f>
        <v>0</v>
      </c>
      <c r="Q25" s="328">
        <f>Depreciation!P12*Assumptions!$F$57*Assumptions!$O$311</f>
        <v>0</v>
      </c>
      <c r="R25" s="328">
        <f>Depreciation!Q12*Assumptions!$F$57*Assumptions!$O$311</f>
        <v>0</v>
      </c>
      <c r="S25" s="328">
        <f>Depreciation!R12*Assumptions!$F$57*Assumptions!$O$311</f>
        <v>0</v>
      </c>
      <c r="T25" s="328">
        <f>Depreciation!S12*Assumptions!$F$57*Assumptions!$O$311</f>
        <v>0</v>
      </c>
      <c r="U25" s="328">
        <f>Depreciation!T12*Assumptions!$F$57*Assumptions!$O$311</f>
        <v>0</v>
      </c>
      <c r="V25" s="328">
        <f>Depreciation!U12*Assumptions!$F$57*Assumptions!$O$311</f>
        <v>0</v>
      </c>
      <c r="W25" s="328">
        <f>Depreciation!V12*Assumptions!$F$57*Assumptions!$O$311</f>
        <v>0</v>
      </c>
      <c r="X25" s="328">
        <f>Depreciation!W12*Assumptions!$F$57*Assumptions!$O$311</f>
        <v>0</v>
      </c>
      <c r="Y25" s="328">
        <f>Depreciation!X12*Assumptions!$F$57*Assumptions!$O$311</f>
        <v>0</v>
      </c>
    </row>
    <row r="26" spans="2:25" x14ac:dyDescent="0.25">
      <c r="B26" s="1" t="s">
        <v>916</v>
      </c>
      <c r="C26" s="15"/>
      <c r="F26" s="28">
        <f>F24-F25</f>
        <v>-19727.626844605082</v>
      </c>
      <c r="G26" s="28">
        <f t="shared" ref="G26:M26" si="3">G24-G25</f>
        <v>-31205.087911131908</v>
      </c>
      <c r="H26" s="28">
        <f t="shared" si="3"/>
        <v>-25776.639869178864</v>
      </c>
      <c r="I26" s="28">
        <f t="shared" si="3"/>
        <v>-23069.69569474514</v>
      </c>
      <c r="J26" s="28">
        <f t="shared" si="3"/>
        <v>13116.698332378932</v>
      </c>
      <c r="K26" s="28">
        <f t="shared" si="3"/>
        <v>48413.804463311855</v>
      </c>
      <c r="L26" s="28">
        <f t="shared" si="3"/>
        <v>107158.15445864585</v>
      </c>
      <c r="M26" s="28">
        <f t="shared" si="3"/>
        <v>158050.52707626962</v>
      </c>
      <c r="N26" s="28">
        <f t="shared" ref="N26:Y26" si="4">N24-N25</f>
        <v>231377.20576765714</v>
      </c>
      <c r="O26" s="28">
        <f t="shared" si="4"/>
        <v>288311.86974668084</v>
      </c>
      <c r="P26" s="28">
        <f t="shared" si="4"/>
        <v>321478.33401732426</v>
      </c>
      <c r="Q26" s="28">
        <f t="shared" si="4"/>
        <v>362624.19929791405</v>
      </c>
      <c r="R26" s="28">
        <f t="shared" si="4"/>
        <v>401451.97080319817</v>
      </c>
      <c r="S26" s="28">
        <f t="shared" si="4"/>
        <v>454401.87214895058</v>
      </c>
      <c r="T26" s="28">
        <f t="shared" si="4"/>
        <v>493387.68902302813</v>
      </c>
      <c r="U26" s="28">
        <f t="shared" si="4"/>
        <v>527289.16466814652</v>
      </c>
      <c r="V26" s="28">
        <f t="shared" si="4"/>
        <v>563128.74709383538</v>
      </c>
      <c r="W26" s="28">
        <f t="shared" si="4"/>
        <v>617675.08964766376</v>
      </c>
      <c r="X26" s="28">
        <f t="shared" si="4"/>
        <v>675467.00859967386</v>
      </c>
      <c r="Y26" s="28">
        <f t="shared" si="4"/>
        <v>736873.3362440872</v>
      </c>
    </row>
    <row r="27" spans="2:25" x14ac:dyDescent="0.25">
      <c r="B27" s="13" t="s">
        <v>920</v>
      </c>
      <c r="C27" s="15"/>
      <c r="F27" s="347">
        <f>'EBS &amp; EOD FCF'!F27</f>
        <v>0.39</v>
      </c>
      <c r="G27" s="347">
        <f>'EBS &amp; EOD FCF'!G27</f>
        <v>0.39</v>
      </c>
      <c r="H27" s="347">
        <f>'EBS &amp; EOD FCF'!H27</f>
        <v>0.39</v>
      </c>
      <c r="I27" s="347">
        <f>'EBS &amp; EOD FCF'!I27</f>
        <v>0.39</v>
      </c>
      <c r="J27" s="347">
        <f>'EBS &amp; EOD FCF'!J27</f>
        <v>0.39</v>
      </c>
      <c r="K27" s="347">
        <f>'EBS &amp; EOD FCF'!K27</f>
        <v>0.39</v>
      </c>
      <c r="L27" s="347">
        <f>'EBS &amp; EOD FCF'!L27</f>
        <v>0.39</v>
      </c>
      <c r="M27" s="347">
        <f>'EBS &amp; EOD FCF'!M27</f>
        <v>0.39</v>
      </c>
      <c r="N27" s="347">
        <f>'EBS &amp; EOD FCF'!N27</f>
        <v>0.39</v>
      </c>
      <c r="O27" s="347">
        <f>'EBS &amp; EOD FCF'!O27</f>
        <v>0.39</v>
      </c>
      <c r="P27" s="347">
        <f>'EBS &amp; EOD FCF'!P27</f>
        <v>0.39</v>
      </c>
      <c r="Q27" s="347">
        <f>'EBS &amp; EOD FCF'!Q27</f>
        <v>0.39</v>
      </c>
      <c r="R27" s="347">
        <f>'EBS &amp; EOD FCF'!R27</f>
        <v>0.39</v>
      </c>
      <c r="S27" s="347">
        <f>'EBS &amp; EOD FCF'!S27</f>
        <v>0.39</v>
      </c>
      <c r="T27" s="347">
        <f>'EBS &amp; EOD FCF'!T27</f>
        <v>0.39</v>
      </c>
      <c r="U27" s="347">
        <f>'EBS &amp; EOD FCF'!U27</f>
        <v>0.39</v>
      </c>
      <c r="V27" s="347">
        <f>'EBS &amp; EOD FCF'!V27</f>
        <v>0.39</v>
      </c>
      <c r="W27" s="347">
        <f>'EBS &amp; EOD FCF'!W27</f>
        <v>0.39</v>
      </c>
      <c r="X27" s="347">
        <f>'EBS &amp; EOD FCF'!X27</f>
        <v>0.39</v>
      </c>
      <c r="Y27" s="347">
        <f>'EBS &amp; EOD FCF'!Y27</f>
        <v>0.39</v>
      </c>
    </row>
    <row r="28" spans="2:25" x14ac:dyDescent="0.25">
      <c r="B28" s="13" t="s">
        <v>936</v>
      </c>
      <c r="C28" s="15"/>
      <c r="F28" s="24">
        <f>IF(SUM($F$26:F26)&lt;0,0,IF(SUM(E$26:$F26)&lt;0,(F26+SUM(E$26:$F26))*F27,F26*F27))</f>
        <v>0</v>
      </c>
      <c r="G28" s="24">
        <f>IF(SUM($F$26:G26)&lt;0,0,IF(SUM(F$26:$F26)&lt;0,(G26+SUM(F$26:$F26))*G27,G26*G27))</f>
        <v>0</v>
      </c>
      <c r="H28" s="24">
        <f>IF(SUM($F$26:H26)&lt;0,0,IF(SUM($F$26:G26)&lt;0,(H26+SUM($F$26:G26))*H27,H26*H27))</f>
        <v>0</v>
      </c>
      <c r="I28" s="24">
        <f>IF(SUM($F$26:I26)&lt;0,0,IF(SUM($F$26:H26)&lt;0,(I26+SUM($F$26:H26))*I27,I26*I27))</f>
        <v>0</v>
      </c>
      <c r="J28" s="24">
        <f>IF(SUM($F$26:J26)&lt;0,0,IF(SUM($F$26:I26)&lt;0,(J26+SUM($F$26:I26))*J27,J26*J27))</f>
        <v>0</v>
      </c>
      <c r="K28" s="24">
        <f>IF(SUM($F$26:K26)&lt;0,0,IF(SUM($F$26:J26)&lt;0,(K26+SUM($F$26:J26))*K27,K26*K27))</f>
        <v>0</v>
      </c>
      <c r="L28" s="24">
        <f>IF(SUM($F$26:L26)&lt;0,0,IF(SUM($F$26:K26)&lt;0,(L26+SUM($F$26:K26))*L27,L26*L27))</f>
        <v>26874.746704523503</v>
      </c>
      <c r="M28" s="24">
        <f>IF(SUM($F$26:M26)&lt;0,0,IF(SUM($F$26:L26)&lt;0,(M26+SUM($F$26:L26))*M27,M26*M27))</f>
        <v>61639.705559745154</v>
      </c>
      <c r="N28" s="24">
        <f>IF(SUM($F$26:N26)&lt;0,0,IF(SUM($F$26:M26)&lt;0,(N26+SUM($F$26:M26))*N27,N26*N27))</f>
        <v>90237.110249386285</v>
      </c>
      <c r="O28" s="24">
        <f>IF(SUM($F$26:O26)&lt;0,0,IF(SUM($F$26:N26)&lt;0,(O26+SUM($F$26:N26))*O27,O26*O27))</f>
        <v>112441.62920120553</v>
      </c>
      <c r="P28" s="24">
        <f>IF(SUM($F$26:P26)&lt;0,0,IF(SUM($F$26:O26)&lt;0,(P26+SUM($F$26:O26))*P27,P26*P27))</f>
        <v>125376.55026675647</v>
      </c>
      <c r="Q28" s="24">
        <f>IF(SUM($F$26:Q26)&lt;0,0,IF(SUM($F$26:P26)&lt;0,(Q26+SUM($F$26:P26))*Q27,Q26*Q27))</f>
        <v>141423.43772618647</v>
      </c>
      <c r="R28" s="24">
        <f>IF(SUM($F$26:R26)&lt;0,0,IF(SUM($F$26:Q26)&lt;0,(R26+SUM($F$26:Q26))*R27,R26*R27))</f>
        <v>156566.26861324729</v>
      </c>
      <c r="S28" s="24">
        <f>IF(SUM($F$26:S26)&lt;0,0,IF(SUM($F$26:R26)&lt;0,(S26+SUM($F$26:R26))*S27,S26*S27))</f>
        <v>177216.73013809073</v>
      </c>
      <c r="T28" s="24">
        <f>IF(SUM($F$26:T26)&lt;0,0,IF(SUM($F$26:S26)&lt;0,(T26+SUM($F$26:S26))*T27,T26*T27))</f>
        <v>192421.19871898097</v>
      </c>
      <c r="U28" s="24">
        <f>IF(SUM($F$26:U26)&lt;0,0,IF(SUM($F$26:T26)&lt;0,(U26+SUM($F$26:T26))*U27,U26*U27))</f>
        <v>205642.77422057715</v>
      </c>
      <c r="V28" s="24">
        <f>IF(SUM($F$26:V26)&lt;0,0,IF(SUM($F$26:U26)&lt;0,(V26+SUM($F$26:U26))*V27,V26*V27))</f>
        <v>219620.21136659582</v>
      </c>
      <c r="W28" s="24">
        <f>IF(SUM($F$26:W26)&lt;0,0,IF(SUM($F$26:V26)&lt;0,(W26+SUM($F$26:V26))*W27,W26*W27))</f>
        <v>240893.28496258886</v>
      </c>
      <c r="X28" s="24">
        <f>IF(SUM($F$26:X26)&lt;0,0,IF(SUM($F$26:W26)&lt;0,(X26+SUM($F$26:W26))*X27,X26*X27))</f>
        <v>263432.13335387281</v>
      </c>
      <c r="Y28" s="24">
        <f>IF(SUM($F$26:Y26)&lt;0,0,IF(SUM($F$26:X26)&lt;0,(Y26+SUM($F$26:X26))*Y27,Y26*Y27))</f>
        <v>287380.60113519401</v>
      </c>
    </row>
    <row r="29" spans="2:25" x14ac:dyDescent="0.25">
      <c r="B29" s="1" t="s">
        <v>937</v>
      </c>
      <c r="C29" s="15"/>
      <c r="F29" s="28">
        <f>F26-F28</f>
        <v>-19727.626844605082</v>
      </c>
      <c r="G29" s="28">
        <f t="shared" ref="G29:M29" si="5">G26-G28</f>
        <v>-31205.087911131908</v>
      </c>
      <c r="H29" s="28">
        <f t="shared" si="5"/>
        <v>-25776.639869178864</v>
      </c>
      <c r="I29" s="28">
        <f t="shared" si="5"/>
        <v>-23069.69569474514</v>
      </c>
      <c r="J29" s="28">
        <f t="shared" si="5"/>
        <v>13116.698332378932</v>
      </c>
      <c r="K29" s="28">
        <f t="shared" si="5"/>
        <v>48413.804463311855</v>
      </c>
      <c r="L29" s="28">
        <f t="shared" si="5"/>
        <v>80283.407754122338</v>
      </c>
      <c r="M29" s="28">
        <f t="shared" si="5"/>
        <v>96410.821516524462</v>
      </c>
      <c r="N29" s="28">
        <f t="shared" ref="N29:Y29" si="6">N26-N28</f>
        <v>141140.09551827086</v>
      </c>
      <c r="O29" s="28">
        <f t="shared" si="6"/>
        <v>175870.2405454753</v>
      </c>
      <c r="P29" s="28">
        <f t="shared" si="6"/>
        <v>196101.78375056779</v>
      </c>
      <c r="Q29" s="28">
        <f t="shared" si="6"/>
        <v>221200.76157172758</v>
      </c>
      <c r="R29" s="28">
        <f t="shared" si="6"/>
        <v>244885.70218995088</v>
      </c>
      <c r="S29" s="28">
        <f t="shared" si="6"/>
        <v>277185.14201085985</v>
      </c>
      <c r="T29" s="28">
        <f t="shared" si="6"/>
        <v>300966.49030404713</v>
      </c>
      <c r="U29" s="28">
        <f t="shared" si="6"/>
        <v>321646.39044756937</v>
      </c>
      <c r="V29" s="28">
        <f t="shared" si="6"/>
        <v>343508.53572723956</v>
      </c>
      <c r="W29" s="28">
        <f t="shared" si="6"/>
        <v>376781.80468507489</v>
      </c>
      <c r="X29" s="28">
        <f t="shared" si="6"/>
        <v>412034.87524580106</v>
      </c>
      <c r="Y29" s="28">
        <f t="shared" si="6"/>
        <v>449492.73510889319</v>
      </c>
    </row>
    <row r="30" spans="2:25" x14ac:dyDescent="0.25">
      <c r="B30" s="13" t="s">
        <v>923</v>
      </c>
      <c r="C30" s="15"/>
      <c r="F30" s="24">
        <f>F25</f>
        <v>0</v>
      </c>
      <c r="G30" s="24">
        <f t="shared" ref="G30:M30" si="7">G25</f>
        <v>0</v>
      </c>
      <c r="H30" s="24">
        <f t="shared" si="7"/>
        <v>0</v>
      </c>
      <c r="I30" s="24">
        <f t="shared" si="7"/>
        <v>0</v>
      </c>
      <c r="J30" s="24">
        <f t="shared" si="7"/>
        <v>0</v>
      </c>
      <c r="K30" s="24">
        <f t="shared" si="7"/>
        <v>0</v>
      </c>
      <c r="L30" s="24">
        <f t="shared" si="7"/>
        <v>0</v>
      </c>
      <c r="M30" s="24">
        <f t="shared" si="7"/>
        <v>0</v>
      </c>
      <c r="N30" s="24">
        <f t="shared" ref="N30:Y30" si="8">N25</f>
        <v>0</v>
      </c>
      <c r="O30" s="24">
        <f t="shared" si="8"/>
        <v>0</v>
      </c>
      <c r="P30" s="24">
        <f t="shared" si="8"/>
        <v>0</v>
      </c>
      <c r="Q30" s="24">
        <f t="shared" si="8"/>
        <v>0</v>
      </c>
      <c r="R30" s="24">
        <f t="shared" si="8"/>
        <v>0</v>
      </c>
      <c r="S30" s="24">
        <f t="shared" si="8"/>
        <v>0</v>
      </c>
      <c r="T30" s="24">
        <f t="shared" si="8"/>
        <v>0</v>
      </c>
      <c r="U30" s="24">
        <f t="shared" si="8"/>
        <v>0</v>
      </c>
      <c r="V30" s="24">
        <f t="shared" si="8"/>
        <v>0</v>
      </c>
      <c r="W30" s="24">
        <f t="shared" si="8"/>
        <v>0</v>
      </c>
      <c r="X30" s="24">
        <f t="shared" si="8"/>
        <v>0</v>
      </c>
      <c r="Y30" s="24">
        <f t="shared" si="8"/>
        <v>0</v>
      </c>
    </row>
    <row r="31" spans="2:25" x14ac:dyDescent="0.25">
      <c r="B31" s="1" t="s">
        <v>939</v>
      </c>
      <c r="C31" s="15"/>
      <c r="F31" s="28">
        <f>F29+F30</f>
        <v>-19727.626844605082</v>
      </c>
      <c r="G31" s="28">
        <f t="shared" ref="G31:M31" si="9">G29+G30</f>
        <v>-31205.087911131908</v>
      </c>
      <c r="H31" s="28">
        <f t="shared" si="9"/>
        <v>-25776.639869178864</v>
      </c>
      <c r="I31" s="28">
        <f t="shared" si="9"/>
        <v>-23069.69569474514</v>
      </c>
      <c r="J31" s="28">
        <f t="shared" si="9"/>
        <v>13116.698332378932</v>
      </c>
      <c r="K31" s="28">
        <f t="shared" si="9"/>
        <v>48413.804463311855</v>
      </c>
      <c r="L31" s="28">
        <f t="shared" si="9"/>
        <v>80283.407754122338</v>
      </c>
      <c r="M31" s="28">
        <f t="shared" si="9"/>
        <v>96410.821516524462</v>
      </c>
      <c r="N31" s="28">
        <f t="shared" ref="N31:Y31" si="10">N29+N30</f>
        <v>141140.09551827086</v>
      </c>
      <c r="O31" s="28">
        <f t="shared" si="10"/>
        <v>175870.2405454753</v>
      </c>
      <c r="P31" s="28">
        <f t="shared" si="10"/>
        <v>196101.78375056779</v>
      </c>
      <c r="Q31" s="28">
        <f t="shared" si="10"/>
        <v>221200.76157172758</v>
      </c>
      <c r="R31" s="28">
        <f t="shared" si="10"/>
        <v>244885.70218995088</v>
      </c>
      <c r="S31" s="28">
        <f t="shared" si="10"/>
        <v>277185.14201085985</v>
      </c>
      <c r="T31" s="28">
        <f t="shared" si="10"/>
        <v>300966.49030404713</v>
      </c>
      <c r="U31" s="28">
        <f t="shared" si="10"/>
        <v>321646.39044756937</v>
      </c>
      <c r="V31" s="28">
        <f t="shared" si="10"/>
        <v>343508.53572723956</v>
      </c>
      <c r="W31" s="28">
        <f t="shared" si="10"/>
        <v>376781.80468507489</v>
      </c>
      <c r="X31" s="28">
        <f t="shared" si="10"/>
        <v>412034.87524580106</v>
      </c>
      <c r="Y31" s="28">
        <f t="shared" si="10"/>
        <v>449492.73510889319</v>
      </c>
    </row>
    <row r="32" spans="2:25" x14ac:dyDescent="0.25">
      <c r="B32" s="13" t="s">
        <v>924</v>
      </c>
      <c r="C32" s="1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1:25" x14ac:dyDescent="0.25">
      <c r="B33" s="13"/>
      <c r="C33" s="45" t="s">
        <v>930</v>
      </c>
      <c r="F33" s="50">
        <f>'Project FCF'!F32*Assumptions!$F$57</f>
        <v>2342.5338239784287</v>
      </c>
      <c r="G33" s="50">
        <f>'Project FCF'!G32*Assumptions!$F$57</f>
        <v>6841.8456311781883</v>
      </c>
      <c r="H33" s="50">
        <f>'Project FCF'!H32*Assumptions!$F$57</f>
        <v>18174.518297913975</v>
      </c>
      <c r="I33" s="50">
        <f>'Project FCF'!I32*Assumptions!$F$57</f>
        <v>0</v>
      </c>
      <c r="J33" s="50">
        <f>'Project FCF'!J32*Assumptions!$F$57</f>
        <v>0</v>
      </c>
      <c r="K33" s="50">
        <f>'Project FCF'!K32*Assumptions!$F$57</f>
        <v>0</v>
      </c>
      <c r="L33" s="50">
        <f>'Project FCF'!L32*Assumptions!$F$57</f>
        <v>0</v>
      </c>
      <c r="M33" s="50">
        <f>'Project FCF'!M32*Assumptions!$F$57</f>
        <v>0</v>
      </c>
      <c r="N33" s="50">
        <f>'Project FCF'!N32*Assumptions!$F$57</f>
        <v>0</v>
      </c>
      <c r="O33" s="50">
        <f>'Project FCF'!O32*Assumptions!$F$57</f>
        <v>0</v>
      </c>
      <c r="P33" s="50">
        <f>'Project FCF'!P32*Assumptions!$F$57</f>
        <v>0</v>
      </c>
      <c r="Q33" s="50">
        <f>'Project FCF'!Q32*Assumptions!$F$57</f>
        <v>0</v>
      </c>
      <c r="R33" s="50">
        <f>'Project FCF'!R32*Assumptions!$F$57</f>
        <v>0</v>
      </c>
      <c r="S33" s="50">
        <f>'Project FCF'!S32*Assumptions!$F$57</f>
        <v>0</v>
      </c>
      <c r="T33" s="50">
        <f>'Project FCF'!T32*Assumptions!$F$57</f>
        <v>0</v>
      </c>
      <c r="U33" s="50">
        <f>'Project FCF'!U32*Assumptions!$F$57</f>
        <v>0</v>
      </c>
      <c r="V33" s="50">
        <f>'Project FCF'!V32*Assumptions!$F$57</f>
        <v>0</v>
      </c>
      <c r="W33" s="50">
        <f>'Project FCF'!W32*Assumptions!$F$57</f>
        <v>0</v>
      </c>
      <c r="X33" s="50">
        <f>'Project FCF'!X32*Assumptions!$F$57</f>
        <v>0</v>
      </c>
      <c r="Y33" s="50">
        <f>'Project FCF'!Y32*Assumptions!$F$57</f>
        <v>0</v>
      </c>
    </row>
    <row r="34" spans="1:25" ht="15.6" thickBot="1" x14ac:dyDescent="0.45">
      <c r="B34" s="1" t="s">
        <v>938</v>
      </c>
      <c r="C34" s="15"/>
      <c r="F34" s="29">
        <f>F31-F33</f>
        <v>-22070.16066858351</v>
      </c>
      <c r="G34" s="29">
        <f t="shared" ref="G34:M34" si="11">G31-G33</f>
        <v>-38046.9335423101</v>
      </c>
      <c r="H34" s="29">
        <f t="shared" si="11"/>
        <v>-43951.158167092843</v>
      </c>
      <c r="I34" s="29">
        <f t="shared" si="11"/>
        <v>-23069.69569474514</v>
      </c>
      <c r="J34" s="29">
        <f t="shared" si="11"/>
        <v>13116.698332378932</v>
      </c>
      <c r="K34" s="29">
        <f t="shared" si="11"/>
        <v>48413.804463311855</v>
      </c>
      <c r="L34" s="29">
        <f t="shared" si="11"/>
        <v>80283.407754122338</v>
      </c>
      <c r="M34" s="29">
        <f t="shared" si="11"/>
        <v>96410.821516524462</v>
      </c>
      <c r="N34" s="29">
        <f t="shared" ref="N34:Y34" si="12">N31-N33</f>
        <v>141140.09551827086</v>
      </c>
      <c r="O34" s="29">
        <f t="shared" si="12"/>
        <v>175870.2405454753</v>
      </c>
      <c r="P34" s="29">
        <f t="shared" si="12"/>
        <v>196101.78375056779</v>
      </c>
      <c r="Q34" s="29">
        <f t="shared" si="12"/>
        <v>221200.76157172758</v>
      </c>
      <c r="R34" s="29">
        <f t="shared" si="12"/>
        <v>244885.70218995088</v>
      </c>
      <c r="S34" s="29">
        <f t="shared" si="12"/>
        <v>277185.14201085985</v>
      </c>
      <c r="T34" s="29">
        <f t="shared" si="12"/>
        <v>300966.49030404713</v>
      </c>
      <c r="U34" s="29">
        <f t="shared" si="12"/>
        <v>321646.39044756937</v>
      </c>
      <c r="V34" s="29">
        <f t="shared" si="12"/>
        <v>343508.53572723956</v>
      </c>
      <c r="W34" s="29">
        <f t="shared" si="12"/>
        <v>376781.80468507489</v>
      </c>
      <c r="X34" s="29">
        <f t="shared" si="12"/>
        <v>412034.87524580106</v>
      </c>
      <c r="Y34" s="29">
        <f t="shared" si="12"/>
        <v>449492.73510889319</v>
      </c>
    </row>
    <row r="35" spans="1:25" ht="14.4" thickTop="1" thickBot="1" x14ac:dyDescent="0.3">
      <c r="F35" s="556">
        <f>SUM($F$34:F34)</f>
        <v>-22070.16066858351</v>
      </c>
      <c r="G35" s="556">
        <f>SUM($F$34:G34)</f>
        <v>-60117.094210893614</v>
      </c>
      <c r="H35" s="556">
        <f>SUM($F$34:H34)</f>
        <v>-104068.25237798646</v>
      </c>
      <c r="I35" s="556">
        <f>SUM($F$34:I34)</f>
        <v>-127137.9480727316</v>
      </c>
      <c r="J35" s="556">
        <f>SUM($F$34:J34)</f>
        <v>-114021.24974035266</v>
      </c>
      <c r="K35" s="556">
        <f>SUM($F$34:K34)</f>
        <v>-65607.44527704081</v>
      </c>
      <c r="L35" s="556">
        <f>SUM($F$34:L34)</f>
        <v>14675.962477081528</v>
      </c>
      <c r="M35" s="556">
        <f>SUM($F$34:M34)</f>
        <v>111086.78399360599</v>
      </c>
      <c r="N35" s="556">
        <f>SUM($F$34:N34)</f>
        <v>252226.87951187685</v>
      </c>
      <c r="O35" s="556">
        <f>SUM($F$34:O34)</f>
        <v>428097.12005735212</v>
      </c>
      <c r="P35" s="556">
        <f>SUM($F$34:P34)</f>
        <v>624198.90380791994</v>
      </c>
      <c r="Q35" s="556">
        <f>SUM($F$34:Q34)</f>
        <v>845399.66537964751</v>
      </c>
      <c r="R35" s="556">
        <f>SUM($F$34:R34)</f>
        <v>1090285.3675695984</v>
      </c>
      <c r="S35" s="556">
        <f>SUM($F$34:S34)</f>
        <v>1367470.5095804583</v>
      </c>
      <c r="T35" s="556">
        <f>SUM($F$34:T34)</f>
        <v>1668436.9998845053</v>
      </c>
      <c r="U35" s="556">
        <f>SUM($F$34:U34)</f>
        <v>1990083.3903320746</v>
      </c>
      <c r="V35" s="556">
        <f>SUM($F$34:V34)</f>
        <v>2333591.926059314</v>
      </c>
      <c r="W35" s="556">
        <f>SUM($F$34:W34)</f>
        <v>2710373.7307443889</v>
      </c>
      <c r="X35" s="556">
        <f>SUM($F$34:X34)</f>
        <v>3122408.6059901901</v>
      </c>
      <c r="Y35" s="556">
        <f>SUM($F$34:Y34)</f>
        <v>3571901.3410990834</v>
      </c>
    </row>
    <row r="36" spans="1:25" ht="13.8" thickBot="1" x14ac:dyDescent="0.3">
      <c r="C36" s="13" t="s">
        <v>965</v>
      </c>
      <c r="D36" s="542">
        <f>NPV(Assumptions!$F$325,F34:$Y$34)</f>
        <v>153318.63578377772</v>
      </c>
      <c r="F36" s="555">
        <f>NPV(Assumptions!$F$325,$F$34:F34)</f>
        <v>-17943.220055758953</v>
      </c>
      <c r="G36" s="555">
        <f>NPV(Assumptions!$F$325,$F$34:G34)</f>
        <v>-43091.566636702904</v>
      </c>
      <c r="H36" s="555">
        <f>NPV(Assumptions!$F$325,$F$34:H34)</f>
        <v>-66710.212228834338</v>
      </c>
      <c r="I36" s="555">
        <f>NPV(Assumptions!$F$325,$F$34:I34)</f>
        <v>-76789.304479021681</v>
      </c>
      <c r="J36" s="555">
        <f>NPV(Assumptions!$F$325,$F$34:J34)</f>
        <v>-72130.237292987047</v>
      </c>
      <c r="K36" s="555">
        <f>NPV(Assumptions!$F$325,$F$34:K34)</f>
        <v>-58149.227395432841</v>
      </c>
      <c r="L36" s="555">
        <f>NPV(Assumptions!$F$325,$F$34:L34)</f>
        <v>-39300.153439251313</v>
      </c>
      <c r="M36" s="555">
        <f>NPV(Assumptions!$F$325,$F$34:M34)</f>
        <v>-20897.311670619263</v>
      </c>
      <c r="N36" s="555">
        <f>NPV(Assumptions!$F$325,$F$34:N34)</f>
        <v>1005.728721485946</v>
      </c>
      <c r="O36" s="555">
        <f>NPV(Assumptions!$F$325,$F$34:O34)</f>
        <v>23194.908210491129</v>
      </c>
      <c r="P36" s="555">
        <f>NPV(Assumptions!$F$325,$F$34:P34)</f>
        <v>43310.152823632503</v>
      </c>
      <c r="Q36" s="555">
        <f>NPV(Assumptions!$F$325,$F$34:Q34)</f>
        <v>61757.1329802248</v>
      </c>
      <c r="R36" s="555">
        <f>NPV(Assumptions!$F$325,$F$34:R34)</f>
        <v>78360.531060086912</v>
      </c>
      <c r="S36" s="555">
        <f>NPV(Assumptions!$F$325,$F$34:S34)</f>
        <v>93639.65264594258</v>
      </c>
      <c r="T36" s="555">
        <f>NPV(Assumptions!$F$325,$F$34:T34)</f>
        <v>107127.46366195577</v>
      </c>
      <c r="U36" s="555">
        <f>NPV(Assumptions!$F$325,$F$34:U34)</f>
        <v>118846.63487053518</v>
      </c>
      <c r="V36" s="555">
        <f>NPV(Assumptions!$F$325,$F$34:V34)</f>
        <v>129022.01491154396</v>
      </c>
      <c r="W36" s="555">
        <f>NPV(Assumptions!$F$325,$F$34:W34)</f>
        <v>138095.99696613208</v>
      </c>
      <c r="X36" s="555">
        <f>NPV(Assumptions!$F$325,$F$34:X34)</f>
        <v>146163.45768698773</v>
      </c>
      <c r="Y36" s="555">
        <f>NPV(Assumptions!$F$325,$F$34:Y34)</f>
        <v>153318.63578377772</v>
      </c>
    </row>
    <row r="37" spans="1:25" ht="13.8" thickBot="1" x14ac:dyDescent="0.3">
      <c r="C37" s="13" t="s">
        <v>966</v>
      </c>
      <c r="D37" s="544">
        <f>NPV(Assumptions!$F$325,F34:$H$34)</f>
        <v>-66710.212228834338</v>
      </c>
    </row>
    <row r="38" spans="1:25" ht="13.8" thickBot="1" x14ac:dyDescent="0.3">
      <c r="C38" s="13" t="s">
        <v>967</v>
      </c>
      <c r="D38" s="544">
        <f>NPV(Assumptions!$F$325,F34:$J$34)</f>
        <v>-72130.237292987047</v>
      </c>
    </row>
    <row r="39" spans="1:25" ht="13.8" thickBot="1" x14ac:dyDescent="0.3">
      <c r="C39" s="13" t="s">
        <v>968</v>
      </c>
      <c r="D39" s="544">
        <f>NPV(Assumptions!$F$325,F34:$O$34)</f>
        <v>23194.908210491129</v>
      </c>
    </row>
    <row r="40" spans="1:25" ht="13.8" thickBot="1" x14ac:dyDescent="0.3"/>
    <row r="41" spans="1:25" ht="13.8" thickBot="1" x14ac:dyDescent="0.3">
      <c r="C41" s="17" t="s">
        <v>969</v>
      </c>
      <c r="D41" s="547">
        <f>MAX(F41:Y41)</f>
        <v>2009</v>
      </c>
      <c r="E41" s="535"/>
      <c r="F41" s="548" t="str">
        <f>IF(AND(E36&lt;0,F36&gt;0),F4,"")</f>
        <v/>
      </c>
      <c r="G41" s="549" t="str">
        <f>IF(AND(F36&lt;0,G36&gt;0),G4,"")</f>
        <v/>
      </c>
      <c r="H41" s="549" t="str">
        <f t="shared" ref="H41:Y41" si="13">IF(AND(G36&lt;0,H36&gt;0),H4,"")</f>
        <v/>
      </c>
      <c r="I41" s="549" t="str">
        <f t="shared" si="13"/>
        <v/>
      </c>
      <c r="J41" s="549" t="str">
        <f t="shared" si="13"/>
        <v/>
      </c>
      <c r="K41" s="549" t="str">
        <f t="shared" si="13"/>
        <v/>
      </c>
      <c r="L41" s="549" t="str">
        <f t="shared" si="13"/>
        <v/>
      </c>
      <c r="M41" s="549" t="str">
        <f t="shared" si="13"/>
        <v/>
      </c>
      <c r="N41" s="549">
        <f t="shared" si="13"/>
        <v>2009</v>
      </c>
      <c r="O41" s="549" t="str">
        <f t="shared" si="13"/>
        <v/>
      </c>
      <c r="P41" s="549" t="str">
        <f t="shared" si="13"/>
        <v/>
      </c>
      <c r="Q41" s="549" t="str">
        <f t="shared" si="13"/>
        <v/>
      </c>
      <c r="R41" s="549" t="str">
        <f t="shared" si="13"/>
        <v/>
      </c>
      <c r="S41" s="549" t="str">
        <f t="shared" si="13"/>
        <v/>
      </c>
      <c r="T41" s="549" t="str">
        <f t="shared" si="13"/>
        <v/>
      </c>
      <c r="U41" s="549" t="str">
        <f t="shared" si="13"/>
        <v/>
      </c>
      <c r="V41" s="549" t="str">
        <f t="shared" si="13"/>
        <v/>
      </c>
      <c r="W41" s="549" t="str">
        <f t="shared" si="13"/>
        <v/>
      </c>
      <c r="X41" s="549" t="str">
        <f t="shared" si="13"/>
        <v/>
      </c>
      <c r="Y41" s="550" t="str">
        <f t="shared" si="13"/>
        <v/>
      </c>
    </row>
    <row r="42" spans="1:25" ht="13.8" thickBot="1" x14ac:dyDescent="0.3">
      <c r="C42" s="17" t="s">
        <v>970</v>
      </c>
      <c r="D42" s="547">
        <f>MAX(F42:Y42)</f>
        <v>2007</v>
      </c>
      <c r="E42" s="15"/>
      <c r="F42" s="560" t="str">
        <f>IF(AND(E35&lt;0,F35&gt;0),F4,"")</f>
        <v/>
      </c>
      <c r="G42" s="558" t="str">
        <f>IF(AND(F35&lt;0,G35&gt;0),G4,"")</f>
        <v/>
      </c>
      <c r="H42" s="558" t="str">
        <f t="shared" ref="H42:Y42" si="14">IF(AND(G35&lt;0,H35&gt;0),H4,"")</f>
        <v/>
      </c>
      <c r="I42" s="558" t="str">
        <f t="shared" si="14"/>
        <v/>
      </c>
      <c r="J42" s="558" t="str">
        <f t="shared" si="14"/>
        <v/>
      </c>
      <c r="K42" s="558" t="str">
        <f t="shared" si="14"/>
        <v/>
      </c>
      <c r="L42" s="558">
        <f t="shared" si="14"/>
        <v>2007</v>
      </c>
      <c r="M42" s="558" t="str">
        <f t="shared" si="14"/>
        <v/>
      </c>
      <c r="N42" s="558" t="str">
        <f t="shared" si="14"/>
        <v/>
      </c>
      <c r="O42" s="558" t="str">
        <f t="shared" si="14"/>
        <v/>
      </c>
      <c r="P42" s="558" t="str">
        <f t="shared" si="14"/>
        <v/>
      </c>
      <c r="Q42" s="558" t="str">
        <f t="shared" si="14"/>
        <v/>
      </c>
      <c r="R42" s="558" t="str">
        <f t="shared" si="14"/>
        <v/>
      </c>
      <c r="S42" s="558" t="str">
        <f t="shared" si="14"/>
        <v/>
      </c>
      <c r="T42" s="558" t="str">
        <f t="shared" si="14"/>
        <v/>
      </c>
      <c r="U42" s="558" t="str">
        <f t="shared" si="14"/>
        <v/>
      </c>
      <c r="V42" s="558" t="str">
        <f t="shared" si="14"/>
        <v/>
      </c>
      <c r="W42" s="558" t="str">
        <f t="shared" si="14"/>
        <v/>
      </c>
      <c r="X42" s="558" t="str">
        <f t="shared" si="14"/>
        <v/>
      </c>
      <c r="Y42" s="559" t="str">
        <f t="shared" si="14"/>
        <v/>
      </c>
    </row>
    <row r="43" spans="1:25" ht="13.8" thickBot="1" x14ac:dyDescent="0.3">
      <c r="A43" s="557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57"/>
      <c r="R43" s="557"/>
      <c r="S43" s="557"/>
      <c r="T43" s="557"/>
      <c r="U43" s="557"/>
      <c r="V43" s="557"/>
      <c r="W43" s="557"/>
      <c r="X43" s="557"/>
      <c r="Y43" s="557"/>
    </row>
  </sheetData>
  <customSheetViews>
    <customSheetView guid="{00A591F2-C6CE-11D4-B3FE-00409628F381}" scale="78" showPageBreaks="1" fitToPage="1" showRuler="0">
      <pane xSplit="4" ySplit="5" topLeftCell="E11" activePane="bottomRight" state="frozen"/>
      <selection pane="bottomRight" activeCell="F25" sqref="F25"/>
      <pageMargins left="0.75" right="0.75" top="1" bottom="1" header="0.5" footer="0.5"/>
      <pageSetup paperSize="5" scale="57" orientation="landscape" r:id="rId1"/>
      <headerFooter alignWithMargins="0"/>
    </customSheetView>
    <customSheetView guid="{39AEF1F3-C6CC-11D4-B3CC-0080C71F7D28}" scale="78" fitToPage="1" showRuler="0">
      <pane xSplit="4" ySplit="5" topLeftCell="E6" activePane="bottomRight" state="frozen"/>
      <selection pane="bottomRight" activeCell="F25" sqref="F25"/>
      <pageMargins left="0.75" right="0.75" top="1" bottom="1" header="0.5" footer="0.5"/>
      <pageSetup paperSize="5" scale="57" orientation="landscape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57"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97"/>
  <sheetViews>
    <sheetView zoomScale="75" zoomScaleNormal="75" workbookViewId="0">
      <pane xSplit="1" topLeftCell="B1" activePane="topRight" state="frozen"/>
      <selection activeCell="A43" sqref="A43"/>
      <selection pane="topRight"/>
    </sheetView>
  </sheetViews>
  <sheetFormatPr defaultColWidth="9.109375" defaultRowHeight="13.2" x14ac:dyDescent="0.25"/>
  <cols>
    <col min="1" max="1" width="53.44140625" style="51" customWidth="1"/>
    <col min="2" max="2" width="14.44140625" style="51" customWidth="1"/>
    <col min="3" max="5" width="9.109375" style="51"/>
    <col min="6" max="6" width="10.109375" style="51" customWidth="1"/>
    <col min="7" max="8" width="9.109375" style="51"/>
    <col min="9" max="9" width="10.6640625" style="51" customWidth="1"/>
    <col min="10" max="10" width="11" style="51" customWidth="1"/>
    <col min="11" max="11" width="11.44140625" style="51" customWidth="1"/>
    <col min="12" max="24" width="9.109375" style="51"/>
    <col min="25" max="25" width="40.109375" style="51" customWidth="1"/>
    <col min="26" max="26" width="16.6640625" style="51" customWidth="1"/>
    <col min="27" max="16384" width="9.109375" style="51"/>
  </cols>
  <sheetData>
    <row r="1" spans="1:23" ht="15.75" customHeight="1" x14ac:dyDescent="0.25">
      <c r="A1" s="140" t="s">
        <v>837</v>
      </c>
      <c r="E1" s="52"/>
    </row>
    <row r="2" spans="1:23" ht="48" customHeight="1" x14ac:dyDescent="0.25">
      <c r="B2" s="53" t="s">
        <v>317</v>
      </c>
      <c r="C2" s="53" t="s">
        <v>318</v>
      </c>
      <c r="D2" s="53" t="s">
        <v>319</v>
      </c>
      <c r="E2" s="53" t="s">
        <v>320</v>
      </c>
      <c r="F2" s="53" t="s">
        <v>321</v>
      </c>
      <c r="G2" s="53" t="s">
        <v>412</v>
      </c>
      <c r="H2" s="53" t="s">
        <v>310</v>
      </c>
      <c r="I2" s="54"/>
      <c r="J2" s="53" t="s">
        <v>322</v>
      </c>
      <c r="K2" s="53" t="s">
        <v>384</v>
      </c>
    </row>
    <row r="3" spans="1:23" x14ac:dyDescent="0.25">
      <c r="B3" s="130">
        <v>2</v>
      </c>
      <c r="C3" s="55" t="str">
        <f t="shared" ref="C3:H3" si="0">VLOOKUP($B$3,$B$7:$H$28,C4+1)</f>
        <v>M</v>
      </c>
      <c r="D3" s="55" t="str">
        <f t="shared" si="0"/>
        <v>M</v>
      </c>
      <c r="E3" s="55" t="str">
        <f t="shared" si="0"/>
        <v>M</v>
      </c>
      <c r="F3" s="55" t="str">
        <f t="shared" si="0"/>
        <v>M</v>
      </c>
      <c r="G3" s="55" t="str">
        <f t="shared" si="0"/>
        <v>M</v>
      </c>
      <c r="H3" s="55" t="str">
        <f t="shared" si="0"/>
        <v>M</v>
      </c>
      <c r="I3" s="54"/>
      <c r="J3" s="131">
        <f>'Project FCF'!$D$42/1000</f>
        <v>410.47283132412281</v>
      </c>
      <c r="K3" s="131">
        <f>'EBS &amp; EOD FCF'!$D$44/1000</f>
        <v>255.28408056036039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13.5" hidden="1" customHeight="1" x14ac:dyDescent="0.25">
      <c r="B4" s="54"/>
      <c r="C4" s="57">
        <v>1</v>
      </c>
      <c r="D4" s="57">
        <v>2</v>
      </c>
      <c r="E4" s="57">
        <v>3</v>
      </c>
      <c r="F4" s="57">
        <v>4</v>
      </c>
      <c r="G4" s="57">
        <v>5</v>
      </c>
      <c r="H4" s="57">
        <v>6</v>
      </c>
      <c r="I4" s="54"/>
      <c r="J4" s="132"/>
      <c r="K4" s="133"/>
    </row>
    <row r="5" spans="1:23" ht="13.5" customHeight="1" x14ac:dyDescent="0.25">
      <c r="B5" s="54"/>
      <c r="C5" s="53"/>
      <c r="D5" s="53"/>
      <c r="E5" s="53"/>
      <c r="F5" s="53"/>
      <c r="G5" s="53"/>
      <c r="H5" s="53"/>
      <c r="I5" s="54"/>
      <c r="J5" s="132"/>
      <c r="K5" s="133"/>
    </row>
    <row r="6" spans="1:23" ht="40.200000000000003" thickBot="1" x14ac:dyDescent="0.3">
      <c r="A6" s="134" t="s">
        <v>323</v>
      </c>
      <c r="B6" s="53" t="s">
        <v>324</v>
      </c>
      <c r="C6" s="53" t="str">
        <f t="shared" ref="C6:H6" si="1">C2</f>
        <v>DSL %</v>
      </c>
      <c r="D6" s="53" t="str">
        <f t="shared" si="1"/>
        <v>VoD %</v>
      </c>
      <c r="E6" s="53" t="str">
        <f t="shared" si="1"/>
        <v>Peak load</v>
      </c>
      <c r="F6" s="53" t="str">
        <f t="shared" si="1"/>
        <v>Local loop cost</v>
      </c>
      <c r="G6" s="53" t="str">
        <f t="shared" si="1"/>
        <v>O&amp;M/ Cust Svc. cost</v>
      </c>
      <c r="H6" s="53" t="str">
        <f t="shared" si="1"/>
        <v>Box subsidy</v>
      </c>
      <c r="I6" s="54"/>
      <c r="J6" s="132" t="s">
        <v>325</v>
      </c>
      <c r="K6" s="53" t="s">
        <v>384</v>
      </c>
    </row>
    <row r="7" spans="1:23" x14ac:dyDescent="0.25">
      <c r="A7" s="92" t="s">
        <v>326</v>
      </c>
      <c r="B7" s="58">
        <v>1</v>
      </c>
      <c r="C7" s="59" t="s">
        <v>355</v>
      </c>
      <c r="D7" s="59" t="s">
        <v>355</v>
      </c>
      <c r="E7" s="59" t="s">
        <v>355</v>
      </c>
      <c r="F7" s="59" t="s">
        <v>355</v>
      </c>
      <c r="G7" s="59" t="s">
        <v>355</v>
      </c>
      <c r="H7" s="60" t="s">
        <v>355</v>
      </c>
      <c r="J7" s="135">
        <v>433.55092887514212</v>
      </c>
      <c r="K7" s="135">
        <v>448.94193321299537</v>
      </c>
    </row>
    <row r="8" spans="1:23" x14ac:dyDescent="0.25">
      <c r="A8" s="93" t="s">
        <v>327</v>
      </c>
      <c r="B8" s="61">
        <f t="shared" ref="B8:B24" si="2">B7+1</f>
        <v>2</v>
      </c>
      <c r="C8" s="62" t="s">
        <v>328</v>
      </c>
      <c r="D8" s="62" t="s">
        <v>328</v>
      </c>
      <c r="E8" s="62" t="s">
        <v>328</v>
      </c>
      <c r="F8" s="62" t="s">
        <v>328</v>
      </c>
      <c r="G8" s="62" t="s">
        <v>328</v>
      </c>
      <c r="H8" s="63" t="s">
        <v>328</v>
      </c>
      <c r="J8" s="135">
        <v>1006.2695098287835</v>
      </c>
      <c r="K8" s="135">
        <v>753.928114593092</v>
      </c>
    </row>
    <row r="9" spans="1:23" ht="13.8" thickBot="1" x14ac:dyDescent="0.3">
      <c r="A9" s="136" t="s">
        <v>329</v>
      </c>
      <c r="B9" s="64">
        <f t="shared" si="2"/>
        <v>3</v>
      </c>
      <c r="C9" s="65" t="s">
        <v>356</v>
      </c>
      <c r="D9" s="65" t="s">
        <v>356</v>
      </c>
      <c r="E9" s="65" t="s">
        <v>356</v>
      </c>
      <c r="F9" s="65" t="s">
        <v>356</v>
      </c>
      <c r="G9" s="65" t="s">
        <v>356</v>
      </c>
      <c r="H9" s="66" t="s">
        <v>356</v>
      </c>
      <c r="J9" s="135">
        <v>1865.9865764150493</v>
      </c>
      <c r="K9" s="135">
        <v>1210.4055317442592</v>
      </c>
    </row>
    <row r="10" spans="1:23" x14ac:dyDescent="0.25">
      <c r="A10" s="92" t="s">
        <v>330</v>
      </c>
      <c r="B10" s="58">
        <f t="shared" si="2"/>
        <v>4</v>
      </c>
      <c r="C10" s="67" t="s">
        <v>355</v>
      </c>
      <c r="D10" s="67" t="s">
        <v>355</v>
      </c>
      <c r="E10" s="59" t="s">
        <v>328</v>
      </c>
      <c r="F10" s="59" t="s">
        <v>328</v>
      </c>
      <c r="G10" s="59" t="s">
        <v>328</v>
      </c>
      <c r="H10" s="60" t="s">
        <v>328</v>
      </c>
      <c r="J10" s="135">
        <v>559.78926292010988</v>
      </c>
      <c r="K10" s="135">
        <v>506.8893874794685</v>
      </c>
    </row>
    <row r="11" spans="1:23" ht="13.8" thickBot="1" x14ac:dyDescent="0.3">
      <c r="A11" s="136" t="s">
        <v>331</v>
      </c>
      <c r="B11" s="64">
        <f t="shared" si="2"/>
        <v>5</v>
      </c>
      <c r="C11" s="68" t="s">
        <v>356</v>
      </c>
      <c r="D11" s="68" t="s">
        <v>356</v>
      </c>
      <c r="E11" s="65" t="s">
        <v>328</v>
      </c>
      <c r="F11" s="65" t="s">
        <v>328</v>
      </c>
      <c r="G11" s="65" t="s">
        <v>328</v>
      </c>
      <c r="H11" s="66" t="s">
        <v>328</v>
      </c>
      <c r="J11" s="135">
        <v>1751.88571959355</v>
      </c>
      <c r="K11" s="135">
        <v>1169.1666281239659</v>
      </c>
    </row>
    <row r="12" spans="1:23" x14ac:dyDescent="0.25">
      <c r="A12" s="92" t="s">
        <v>332</v>
      </c>
      <c r="B12" s="58">
        <f t="shared" si="2"/>
        <v>6</v>
      </c>
      <c r="C12" s="59" t="s">
        <v>328</v>
      </c>
      <c r="D12" s="59" t="s">
        <v>328</v>
      </c>
      <c r="E12" s="67" t="s">
        <v>355</v>
      </c>
      <c r="F12" s="59" t="s">
        <v>328</v>
      </c>
      <c r="G12" s="59" t="s">
        <v>328</v>
      </c>
      <c r="H12" s="60" t="s">
        <v>328</v>
      </c>
      <c r="J12" s="135">
        <v>960.49200688512587</v>
      </c>
      <c r="K12" s="135">
        <v>739.66581499486506</v>
      </c>
    </row>
    <row r="13" spans="1:23" ht="13.8" thickBot="1" x14ac:dyDescent="0.3">
      <c r="A13" s="136" t="s">
        <v>333</v>
      </c>
      <c r="B13" s="64">
        <f t="shared" si="2"/>
        <v>7</v>
      </c>
      <c r="C13" s="65" t="s">
        <v>328</v>
      </c>
      <c r="D13" s="65" t="s">
        <v>328</v>
      </c>
      <c r="E13" s="68" t="s">
        <v>356</v>
      </c>
      <c r="F13" s="65" t="s">
        <v>328</v>
      </c>
      <c r="G13" s="65" t="s">
        <v>328</v>
      </c>
      <c r="H13" s="66" t="s">
        <v>328</v>
      </c>
      <c r="I13" s="69"/>
      <c r="J13" s="135">
        <v>1033.830948873212</v>
      </c>
      <c r="K13" s="135">
        <v>763.99572986928843</v>
      </c>
    </row>
    <row r="14" spans="1:23" x14ac:dyDescent="0.25">
      <c r="A14" s="92" t="s">
        <v>334</v>
      </c>
      <c r="B14" s="58">
        <f t="shared" si="2"/>
        <v>8</v>
      </c>
      <c r="C14" s="59" t="s">
        <v>328</v>
      </c>
      <c r="D14" s="59" t="s">
        <v>328</v>
      </c>
      <c r="E14" s="59" t="s">
        <v>328</v>
      </c>
      <c r="F14" s="67" t="s">
        <v>355</v>
      </c>
      <c r="G14" s="59" t="s">
        <v>328</v>
      </c>
      <c r="H14" s="60" t="s">
        <v>328</v>
      </c>
      <c r="I14" s="69"/>
      <c r="J14" s="135">
        <v>971.01808622806993</v>
      </c>
      <c r="K14" s="135">
        <v>753.928114593092</v>
      </c>
    </row>
    <row r="15" spans="1:23" ht="13.8" thickBot="1" x14ac:dyDescent="0.3">
      <c r="A15" s="136" t="s">
        <v>335</v>
      </c>
      <c r="B15" s="64">
        <f t="shared" si="2"/>
        <v>9</v>
      </c>
      <c r="C15" s="65" t="s">
        <v>328</v>
      </c>
      <c r="D15" s="65" t="s">
        <v>328</v>
      </c>
      <c r="E15" s="65" t="s">
        <v>328</v>
      </c>
      <c r="F15" s="68" t="s">
        <v>356</v>
      </c>
      <c r="G15" s="65" t="s">
        <v>328</v>
      </c>
      <c r="H15" s="66" t="s">
        <v>328</v>
      </c>
      <c r="I15" s="69"/>
      <c r="J15" s="135">
        <v>1041.5209334294971</v>
      </c>
      <c r="K15" s="135">
        <v>753.928114593092</v>
      </c>
    </row>
    <row r="16" spans="1:23" x14ac:dyDescent="0.25">
      <c r="A16" s="92" t="s">
        <v>336</v>
      </c>
      <c r="B16" s="58">
        <f t="shared" si="2"/>
        <v>10</v>
      </c>
      <c r="C16" s="59" t="s">
        <v>328</v>
      </c>
      <c r="D16" s="59" t="s">
        <v>328</v>
      </c>
      <c r="E16" s="59" t="s">
        <v>328</v>
      </c>
      <c r="F16" s="59" t="s">
        <v>328</v>
      </c>
      <c r="G16" s="67" t="s">
        <v>355</v>
      </c>
      <c r="H16" s="60" t="s">
        <v>328</v>
      </c>
      <c r="I16" s="69"/>
      <c r="J16" s="135">
        <v>970.5419002408355</v>
      </c>
      <c r="K16" s="135">
        <v>718.20050500514378</v>
      </c>
    </row>
    <row r="17" spans="1:26" ht="13.8" thickBot="1" x14ac:dyDescent="0.3">
      <c r="A17" s="136" t="s">
        <v>337</v>
      </c>
      <c r="B17" s="64">
        <f t="shared" si="2"/>
        <v>11</v>
      </c>
      <c r="C17" s="65" t="s">
        <v>328</v>
      </c>
      <c r="D17" s="65" t="s">
        <v>328</v>
      </c>
      <c r="E17" s="65" t="s">
        <v>328</v>
      </c>
      <c r="F17" s="65" t="s">
        <v>328</v>
      </c>
      <c r="G17" s="68" t="s">
        <v>356</v>
      </c>
      <c r="H17" s="66" t="s">
        <v>328</v>
      </c>
      <c r="I17" s="69"/>
      <c r="J17" s="135">
        <v>1027.9226065487519</v>
      </c>
      <c r="K17" s="135">
        <v>775.58121131306041</v>
      </c>
    </row>
    <row r="18" spans="1:26" x14ac:dyDescent="0.25">
      <c r="A18" s="92" t="s">
        <v>338</v>
      </c>
      <c r="B18" s="58">
        <f t="shared" si="2"/>
        <v>12</v>
      </c>
      <c r="C18" s="59" t="s">
        <v>328</v>
      </c>
      <c r="D18" s="59" t="s">
        <v>328</v>
      </c>
      <c r="E18" s="59" t="s">
        <v>328</v>
      </c>
      <c r="F18" s="59" t="s">
        <v>328</v>
      </c>
      <c r="G18" s="59" t="s">
        <v>328</v>
      </c>
      <c r="H18" s="70" t="s">
        <v>355</v>
      </c>
      <c r="I18" s="69"/>
      <c r="J18" s="135">
        <v>954.88771625399772</v>
      </c>
      <c r="K18" s="135">
        <v>728.23721780569895</v>
      </c>
    </row>
    <row r="19" spans="1:26" ht="13.8" thickBot="1" x14ac:dyDescent="0.3">
      <c r="A19" s="136" t="s">
        <v>339</v>
      </c>
      <c r="B19" s="64">
        <f t="shared" si="2"/>
        <v>13</v>
      </c>
      <c r="C19" s="65" t="s">
        <v>328</v>
      </c>
      <c r="D19" s="65" t="s">
        <v>328</v>
      </c>
      <c r="E19" s="65" t="s">
        <v>328</v>
      </c>
      <c r="F19" s="65" t="s">
        <v>328</v>
      </c>
      <c r="G19" s="65" t="s">
        <v>328</v>
      </c>
      <c r="H19" s="71" t="s">
        <v>356</v>
      </c>
      <c r="I19" s="69"/>
      <c r="J19" s="135">
        <v>1012.6588820884526</v>
      </c>
      <c r="K19" s="135">
        <v>757.1228007229264</v>
      </c>
    </row>
    <row r="20" spans="1:26" x14ac:dyDescent="0.25">
      <c r="A20" s="92" t="s">
        <v>340</v>
      </c>
      <c r="B20" s="58">
        <f t="shared" si="2"/>
        <v>14</v>
      </c>
      <c r="C20" s="67" t="s">
        <v>355</v>
      </c>
      <c r="D20" s="67" t="s">
        <v>355</v>
      </c>
      <c r="E20" s="67" t="s">
        <v>355</v>
      </c>
      <c r="F20" s="59" t="s">
        <v>328</v>
      </c>
      <c r="G20" s="59" t="s">
        <v>328</v>
      </c>
      <c r="H20" s="60" t="s">
        <v>328</v>
      </c>
      <c r="I20" s="69"/>
      <c r="J20" s="135">
        <v>527.22299429128884</v>
      </c>
      <c r="K20" s="135">
        <v>497.78562478744169</v>
      </c>
    </row>
    <row r="21" spans="1:26" x14ac:dyDescent="0.25">
      <c r="A21" s="93" t="s">
        <v>341</v>
      </c>
      <c r="B21" s="61">
        <f t="shared" si="2"/>
        <v>15</v>
      </c>
      <c r="C21" s="72" t="s">
        <v>355</v>
      </c>
      <c r="D21" s="72" t="s">
        <v>355</v>
      </c>
      <c r="E21" s="72" t="s">
        <v>356</v>
      </c>
      <c r="F21" s="62" t="s">
        <v>328</v>
      </c>
      <c r="G21" s="62" t="s">
        <v>328</v>
      </c>
      <c r="H21" s="63" t="s">
        <v>328</v>
      </c>
      <c r="I21" s="69"/>
      <c r="J21" s="135">
        <v>575.87779686787974</v>
      </c>
      <c r="K21" s="135">
        <v>513.40615623215115</v>
      </c>
    </row>
    <row r="22" spans="1:26" x14ac:dyDescent="0.25">
      <c r="A22" s="93" t="s">
        <v>342</v>
      </c>
      <c r="B22" s="61">
        <f t="shared" si="2"/>
        <v>16</v>
      </c>
      <c r="C22" s="72" t="s">
        <v>356</v>
      </c>
      <c r="D22" s="72" t="s">
        <v>356</v>
      </c>
      <c r="E22" s="72" t="s">
        <v>355</v>
      </c>
      <c r="F22" s="62" t="s">
        <v>328</v>
      </c>
      <c r="G22" s="62" t="s">
        <v>328</v>
      </c>
      <c r="H22" s="63" t="s">
        <v>328</v>
      </c>
      <c r="I22" s="69"/>
      <c r="J22" s="135">
        <v>1669.5097376767094</v>
      </c>
      <c r="K22" s="135">
        <v>1148.4803438830415</v>
      </c>
    </row>
    <row r="23" spans="1:26" ht="13.8" thickBot="1" x14ac:dyDescent="0.3">
      <c r="A23" s="136" t="s">
        <v>343</v>
      </c>
      <c r="B23" s="64">
        <f t="shared" si="2"/>
        <v>17</v>
      </c>
      <c r="C23" s="68" t="s">
        <v>356</v>
      </c>
      <c r="D23" s="68" t="s">
        <v>356</v>
      </c>
      <c r="E23" s="68" t="s">
        <v>356</v>
      </c>
      <c r="F23" s="65" t="s">
        <v>328</v>
      </c>
      <c r="G23" s="65" t="s">
        <v>328</v>
      </c>
      <c r="H23" s="66" t="s">
        <v>328</v>
      </c>
      <c r="I23" s="69"/>
      <c r="J23" s="135">
        <v>1791.9921052206314</v>
      </c>
      <c r="K23" s="135">
        <v>1183.7607379464243</v>
      </c>
    </row>
    <row r="24" spans="1:26" ht="13.8" thickBot="1" x14ac:dyDescent="0.3">
      <c r="A24" s="137" t="s">
        <v>344</v>
      </c>
      <c r="B24" s="73">
        <f t="shared" si="2"/>
        <v>18</v>
      </c>
      <c r="C24" s="74" t="s">
        <v>355</v>
      </c>
      <c r="D24" s="74" t="s">
        <v>355</v>
      </c>
      <c r="E24" s="75" t="s">
        <v>328</v>
      </c>
      <c r="F24" s="74" t="s">
        <v>355</v>
      </c>
      <c r="G24" s="75" t="s">
        <v>328</v>
      </c>
      <c r="H24" s="76" t="s">
        <v>355</v>
      </c>
      <c r="I24" s="69"/>
      <c r="J24" s="135">
        <v>507.97705296175491</v>
      </c>
      <c r="K24" s="135">
        <v>493.77330549297017</v>
      </c>
    </row>
    <row r="25" spans="1:26" x14ac:dyDescent="0.25">
      <c r="A25" s="77"/>
      <c r="G25" s="62"/>
      <c r="H25" s="62"/>
      <c r="I25" s="69"/>
      <c r="J25" s="78"/>
    </row>
    <row r="26" spans="1:26" ht="13.8" thickBot="1" x14ac:dyDescent="0.3">
      <c r="A26" s="77"/>
      <c r="G26" s="62"/>
      <c r="H26" s="62"/>
      <c r="I26" s="69"/>
      <c r="J26" s="78"/>
    </row>
    <row r="27" spans="1:26" x14ac:dyDescent="0.25">
      <c r="A27" s="79" t="s">
        <v>345</v>
      </c>
      <c r="B27" s="58"/>
      <c r="C27" s="58"/>
      <c r="D27" s="58"/>
      <c r="E27" s="58"/>
      <c r="F27" s="58"/>
      <c r="G27" s="58"/>
      <c r="H27" s="58"/>
      <c r="I27" s="80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81"/>
    </row>
    <row r="28" spans="1:26" x14ac:dyDescent="0.25">
      <c r="A28" s="82"/>
      <c r="B28" s="77">
        <v>2001</v>
      </c>
      <c r="C28" s="77">
        <v>2002</v>
      </c>
      <c r="D28" s="77">
        <v>2003</v>
      </c>
      <c r="E28" s="77">
        <v>2004</v>
      </c>
      <c r="F28" s="77">
        <v>2005</v>
      </c>
      <c r="G28" s="77">
        <v>2006</v>
      </c>
      <c r="H28" s="77">
        <v>2007</v>
      </c>
      <c r="I28" s="77">
        <v>2008</v>
      </c>
      <c r="J28" s="77">
        <v>2009</v>
      </c>
      <c r="K28" s="77">
        <v>2010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83"/>
    </row>
    <row r="29" spans="1:26" x14ac:dyDescent="0.25">
      <c r="A29" s="84" t="s">
        <v>299</v>
      </c>
      <c r="B29" s="85">
        <f>Assumptions!F16</f>
        <v>4.9021200000000001E-2</v>
      </c>
      <c r="C29" s="85">
        <f>Assumptions!G16</f>
        <v>8.5503599999999999E-2</v>
      </c>
      <c r="D29" s="85">
        <f>Assumptions!H16</f>
        <v>0.11999232000000003</v>
      </c>
      <c r="E29" s="85">
        <f>Assumptions!I16</f>
        <v>0.15261750000000002</v>
      </c>
      <c r="F29" s="85">
        <f>Assumptions!J16</f>
        <v>0.18463949999999996</v>
      </c>
      <c r="G29" s="85">
        <f>Assumptions!K16</f>
        <v>0.214092</v>
      </c>
      <c r="H29" s="85">
        <f>Assumptions!L16</f>
        <v>0.24346979999999999</v>
      </c>
      <c r="I29" s="85">
        <f>Assumptions!M16</f>
        <v>0.26935920000000002</v>
      </c>
      <c r="J29" s="85">
        <f>Assumptions!N16</f>
        <v>0.29099069999999999</v>
      </c>
      <c r="K29" s="85">
        <f>Assumptions!O16</f>
        <v>0.315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83"/>
    </row>
    <row r="30" spans="1:26" x14ac:dyDescent="0.25">
      <c r="A30" s="84" t="s">
        <v>301</v>
      </c>
      <c r="B30" s="85">
        <f>Assumptions!F18</f>
        <v>0.05</v>
      </c>
      <c r="C30" s="85">
        <f>Assumptions!G18</f>
        <v>0.08</v>
      </c>
      <c r="D30" s="85">
        <f>Assumptions!H18</f>
        <v>0.15</v>
      </c>
      <c r="E30" s="85">
        <f>Assumptions!I18</f>
        <v>0.3</v>
      </c>
      <c r="F30" s="85">
        <f>Assumptions!J18</f>
        <v>0.4</v>
      </c>
      <c r="G30" s="85">
        <f>Assumptions!K18</f>
        <v>0.5</v>
      </c>
      <c r="H30" s="85">
        <f>Assumptions!L18</f>
        <v>0.6</v>
      </c>
      <c r="I30" s="85">
        <f>Assumptions!M18</f>
        <v>0.68</v>
      </c>
      <c r="J30" s="85">
        <f>Assumptions!N18</f>
        <v>0.75</v>
      </c>
      <c r="K30" s="85">
        <f>Assumptions!O18</f>
        <v>0.8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83"/>
    </row>
    <row r="31" spans="1:26" x14ac:dyDescent="0.25">
      <c r="A31" s="84" t="s">
        <v>304</v>
      </c>
      <c r="B31" s="86">
        <f>Assumptions!F39</f>
        <v>0.5</v>
      </c>
      <c r="C31" s="86">
        <f>Assumptions!G39</f>
        <v>0.25</v>
      </c>
      <c r="D31" s="86">
        <f>Assumptions!H39</f>
        <v>0.1</v>
      </c>
      <c r="E31" s="86">
        <f>Assumptions!I39</f>
        <v>0.1</v>
      </c>
      <c r="F31" s="86">
        <f>Assumptions!J39</f>
        <v>0.1</v>
      </c>
      <c r="G31" s="86">
        <f>Assumptions!K39</f>
        <v>0.1</v>
      </c>
      <c r="H31" s="86">
        <f>Assumptions!L39</f>
        <v>0.1</v>
      </c>
      <c r="I31" s="86">
        <f>Assumptions!M39</f>
        <v>0.1</v>
      </c>
      <c r="J31" s="86">
        <f>Assumptions!N39</f>
        <v>0.1</v>
      </c>
      <c r="K31" s="86">
        <f>Assumptions!O39</f>
        <v>0.1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83"/>
    </row>
    <row r="32" spans="1:26" x14ac:dyDescent="0.25">
      <c r="A32" s="84" t="s">
        <v>305</v>
      </c>
      <c r="B32" s="87">
        <f>Assumptions!F226</f>
        <v>21120</v>
      </c>
      <c r="C32" s="87">
        <f>Assumptions!G226</f>
        <v>16896</v>
      </c>
      <c r="D32" s="87">
        <f>Assumptions!H226</f>
        <v>13516.800000000001</v>
      </c>
      <c r="E32" s="87">
        <f>Assumptions!I226</f>
        <v>10813.440000000002</v>
      </c>
      <c r="F32" s="87">
        <f>Assumptions!J226</f>
        <v>8650.7520000000022</v>
      </c>
      <c r="G32" s="87">
        <f>Assumptions!K226</f>
        <v>6920.6016000000018</v>
      </c>
      <c r="H32" s="87">
        <f>Assumptions!L226</f>
        <v>5536.4812800000018</v>
      </c>
      <c r="I32" s="87">
        <f>Assumptions!M226</f>
        <v>4429.1850240000012</v>
      </c>
      <c r="J32" s="87">
        <f>Assumptions!N226</f>
        <v>3543.3480192000006</v>
      </c>
      <c r="K32" s="87">
        <f>Assumptions!O226</f>
        <v>2834.6784153600011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83"/>
    </row>
    <row r="33" spans="1:26" x14ac:dyDescent="0.25">
      <c r="A33" s="84" t="s">
        <v>348</v>
      </c>
      <c r="B33" s="87">
        <f>Assumptions!F290</f>
        <v>50</v>
      </c>
      <c r="C33" s="87">
        <f>Assumptions!G290</f>
        <v>60</v>
      </c>
      <c r="D33" s="87">
        <f>Assumptions!H290</f>
        <v>63</v>
      </c>
      <c r="E33" s="87">
        <f>Assumptions!I290</f>
        <v>75</v>
      </c>
      <c r="F33" s="87">
        <f>Assumptions!J290</f>
        <v>87</v>
      </c>
      <c r="G33" s="87">
        <f>Assumptions!K290</f>
        <v>94</v>
      </c>
      <c r="H33" s="87">
        <f>Assumptions!L290</f>
        <v>99.4</v>
      </c>
      <c r="I33" s="87">
        <f>Assumptions!M290</f>
        <v>103.2</v>
      </c>
      <c r="J33" s="87">
        <f>Assumptions!N290</f>
        <v>105.4</v>
      </c>
      <c r="K33" s="87">
        <f>Assumptions!O290</f>
        <v>106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83"/>
    </row>
    <row r="34" spans="1:26" x14ac:dyDescent="0.25">
      <c r="A34" s="84" t="s">
        <v>310</v>
      </c>
      <c r="B34" s="88">
        <f>Assumptions!F67-Assumptions!F65</f>
        <v>-304.36</v>
      </c>
      <c r="C34" s="88">
        <f>Assumptions!G67-Assumptions!G65</f>
        <v>-209.50999999999996</v>
      </c>
      <c r="D34" s="88">
        <f>Assumptions!H67-Assumptions!H65</f>
        <v>-128.63749999999996</v>
      </c>
      <c r="E34" s="88">
        <f>Assumptions!I67-Assumptions!I65</f>
        <v>-36.755381249999999</v>
      </c>
      <c r="F34" s="88">
        <f>Assumptions!J67-Assumptions!J65</f>
        <v>0</v>
      </c>
      <c r="G34" s="88">
        <f>Assumptions!K67-Assumptions!K65</f>
        <v>0</v>
      </c>
      <c r="H34" s="88">
        <f>Assumptions!L67-Assumptions!L65</f>
        <v>0</v>
      </c>
      <c r="I34" s="88">
        <f>Assumptions!M67-Assumptions!M65</f>
        <v>0</v>
      </c>
      <c r="J34" s="88">
        <f>Assumptions!N67-Assumptions!N65</f>
        <v>0</v>
      </c>
      <c r="K34" s="88">
        <f>Assumptions!O67-Assumptions!O65</f>
        <v>0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61"/>
      <c r="W34" s="61"/>
      <c r="X34" s="61"/>
      <c r="Y34" s="61"/>
      <c r="Z34" s="83"/>
    </row>
    <row r="35" spans="1:26" ht="13.8" thickBot="1" x14ac:dyDescent="0.3">
      <c r="A35" s="90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5" t="s">
        <v>901</v>
      </c>
      <c r="Z35" s="91"/>
    </row>
    <row r="36" spans="1:26" x14ac:dyDescent="0.25">
      <c r="A36" s="92" t="s">
        <v>299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81"/>
    </row>
    <row r="37" spans="1:26" x14ac:dyDescent="0.25">
      <c r="A37" s="93"/>
      <c r="B37" s="77">
        <v>2001</v>
      </c>
      <c r="C37" s="77">
        <v>2002</v>
      </c>
      <c r="D37" s="77">
        <v>2003</v>
      </c>
      <c r="E37" s="77">
        <v>2004</v>
      </c>
      <c r="F37" s="77">
        <v>2005</v>
      </c>
      <c r="G37" s="77">
        <v>2006</v>
      </c>
      <c r="H37" s="77">
        <v>2007</v>
      </c>
      <c r="I37" s="77">
        <v>2008</v>
      </c>
      <c r="J37" s="77">
        <v>2009</v>
      </c>
      <c r="K37" s="77">
        <v>2010</v>
      </c>
      <c r="L37" s="77">
        <v>2011</v>
      </c>
      <c r="M37" s="77">
        <v>2012</v>
      </c>
      <c r="N37" s="77">
        <v>2013</v>
      </c>
      <c r="O37" s="77">
        <v>2014</v>
      </c>
      <c r="P37" s="77">
        <v>2015</v>
      </c>
      <c r="Q37" s="77">
        <v>2016</v>
      </c>
      <c r="R37" s="77">
        <v>2017</v>
      </c>
      <c r="S37" s="77">
        <v>2018</v>
      </c>
      <c r="T37" s="77">
        <v>2019</v>
      </c>
      <c r="U37" s="77">
        <v>2020</v>
      </c>
      <c r="V37" s="77"/>
      <c r="W37" s="77"/>
      <c r="X37" s="77"/>
      <c r="Y37" s="61"/>
      <c r="Z37" s="83"/>
    </row>
    <row r="38" spans="1:26" x14ac:dyDescent="0.25">
      <c r="A38" s="94" t="s">
        <v>346</v>
      </c>
      <c r="B38" s="95">
        <v>3.2000000000000001E-2</v>
      </c>
      <c r="C38" s="95">
        <v>5.7000000000000002E-2</v>
      </c>
      <c r="D38" s="95">
        <v>7.5999999999999998E-2</v>
      </c>
      <c r="E38" s="95">
        <v>9.9000000000000005E-2</v>
      </c>
      <c r="F38" s="95">
        <f>MIN(E38*$X$38,F39)</f>
        <v>0.12375</v>
      </c>
      <c r="G38" s="95">
        <f t="shared" ref="G38:U38" si="3">MIN(F38*$X$38,G39)</f>
        <v>0.15468750000000001</v>
      </c>
      <c r="H38" s="95">
        <f t="shared" si="3"/>
        <v>0.193359375</v>
      </c>
      <c r="I38" s="95">
        <f t="shared" si="3"/>
        <v>0.24169921875</v>
      </c>
      <c r="J38" s="95">
        <f t="shared" si="3"/>
        <v>0.29099069999999999</v>
      </c>
      <c r="K38" s="95">
        <f t="shared" si="3"/>
        <v>0.315</v>
      </c>
      <c r="L38" s="95">
        <f t="shared" si="3"/>
        <v>0.3276</v>
      </c>
      <c r="M38" s="95">
        <f t="shared" si="3"/>
        <v>0.34070400000000001</v>
      </c>
      <c r="N38" s="95">
        <f t="shared" si="3"/>
        <v>0.35433216000000001</v>
      </c>
      <c r="O38" s="95">
        <f t="shared" si="3"/>
        <v>0.36850544640000005</v>
      </c>
      <c r="P38" s="95">
        <f t="shared" si="3"/>
        <v>0.38324566425600004</v>
      </c>
      <c r="Q38" s="95">
        <f t="shared" si="3"/>
        <v>0.39857549082624005</v>
      </c>
      <c r="R38" s="95">
        <f t="shared" si="3"/>
        <v>0.41451851045928967</v>
      </c>
      <c r="S38" s="95">
        <f t="shared" si="3"/>
        <v>0.43109925087766127</v>
      </c>
      <c r="T38" s="95">
        <f t="shared" si="3"/>
        <v>0.44834322091276774</v>
      </c>
      <c r="U38" s="95">
        <f t="shared" si="3"/>
        <v>0.46627694974927847</v>
      </c>
      <c r="V38" s="96"/>
      <c r="W38" s="96"/>
      <c r="X38" s="96">
        <v>1.25</v>
      </c>
      <c r="Y38" s="61" t="s">
        <v>407</v>
      </c>
      <c r="Z38" s="83"/>
    </row>
    <row r="39" spans="1:26" x14ac:dyDescent="0.25">
      <c r="A39" s="94" t="s">
        <v>300</v>
      </c>
      <c r="B39" s="95">
        <v>4.9021200000000001E-2</v>
      </c>
      <c r="C39" s="95">
        <v>8.5503599999999999E-2</v>
      </c>
      <c r="D39" s="95">
        <v>0.11999232000000003</v>
      </c>
      <c r="E39" s="95">
        <v>0.15261750000000002</v>
      </c>
      <c r="F39" s="95">
        <v>0.18463949999999996</v>
      </c>
      <c r="G39" s="95">
        <v>0.214092</v>
      </c>
      <c r="H39" s="95">
        <v>0.24346979999999999</v>
      </c>
      <c r="I39" s="95">
        <v>0.26935920000000002</v>
      </c>
      <c r="J39" s="95">
        <v>0.29099069999999999</v>
      </c>
      <c r="K39" s="95">
        <v>0.315</v>
      </c>
      <c r="L39" s="95">
        <f>K39*1.04</f>
        <v>0.3276</v>
      </c>
      <c r="M39" s="95">
        <f t="shared" ref="M39:U39" si="4">L39*1.04</f>
        <v>0.34070400000000001</v>
      </c>
      <c r="N39" s="95">
        <f t="shared" si="4"/>
        <v>0.35433216000000001</v>
      </c>
      <c r="O39" s="95">
        <f t="shared" si="4"/>
        <v>0.36850544640000005</v>
      </c>
      <c r="P39" s="95">
        <f t="shared" si="4"/>
        <v>0.38324566425600004</v>
      </c>
      <c r="Q39" s="95">
        <f t="shared" si="4"/>
        <v>0.39857549082624005</v>
      </c>
      <c r="R39" s="95">
        <f t="shared" si="4"/>
        <v>0.41451851045928967</v>
      </c>
      <c r="S39" s="95">
        <f t="shared" si="4"/>
        <v>0.43109925087766127</v>
      </c>
      <c r="T39" s="95">
        <f t="shared" si="4"/>
        <v>0.44834322091276774</v>
      </c>
      <c r="U39" s="95">
        <f t="shared" si="4"/>
        <v>0.46627694974927847</v>
      </c>
      <c r="V39" s="97"/>
      <c r="W39" s="97"/>
      <c r="X39" s="97"/>
      <c r="Y39" s="61" t="s">
        <v>406</v>
      </c>
      <c r="Z39" s="83"/>
    </row>
    <row r="40" spans="1:26" x14ac:dyDescent="0.25">
      <c r="A40" s="94" t="s">
        <v>347</v>
      </c>
      <c r="B40" s="95">
        <f t="shared" ref="B40:K40" si="5">B39*$X$40</f>
        <v>6.1276499999999998E-2</v>
      </c>
      <c r="C40" s="95">
        <f t="shared" si="5"/>
        <v>0.1068795</v>
      </c>
      <c r="D40" s="95">
        <f t="shared" si="5"/>
        <v>0.14999040000000002</v>
      </c>
      <c r="E40" s="95">
        <f t="shared" si="5"/>
        <v>0.19077187500000004</v>
      </c>
      <c r="F40" s="95">
        <f t="shared" si="5"/>
        <v>0.23079937499999995</v>
      </c>
      <c r="G40" s="95">
        <f t="shared" si="5"/>
        <v>0.26761499999999999</v>
      </c>
      <c r="H40" s="95">
        <f t="shared" si="5"/>
        <v>0.30433725</v>
      </c>
      <c r="I40" s="95">
        <f t="shared" si="5"/>
        <v>0.33669900000000003</v>
      </c>
      <c r="J40" s="95">
        <f t="shared" si="5"/>
        <v>0.363738375</v>
      </c>
      <c r="K40" s="95">
        <f t="shared" si="5"/>
        <v>0.39374999999999999</v>
      </c>
      <c r="L40" s="95">
        <f t="shared" ref="L40:U40" si="6">L39*$X$40</f>
        <v>0.40949999999999998</v>
      </c>
      <c r="M40" s="95">
        <f t="shared" si="6"/>
        <v>0.42588000000000004</v>
      </c>
      <c r="N40" s="95">
        <f t="shared" si="6"/>
        <v>0.44291520000000001</v>
      </c>
      <c r="O40" s="95">
        <f t="shared" si="6"/>
        <v>0.46063180800000003</v>
      </c>
      <c r="P40" s="95">
        <f t="shared" si="6"/>
        <v>0.47905708032000005</v>
      </c>
      <c r="Q40" s="95">
        <f t="shared" si="6"/>
        <v>0.49821936353280005</v>
      </c>
      <c r="R40" s="95">
        <f t="shared" si="6"/>
        <v>0.51814813807411209</v>
      </c>
      <c r="S40" s="95">
        <f t="shared" si="6"/>
        <v>0.53887406359707657</v>
      </c>
      <c r="T40" s="95">
        <f t="shared" si="6"/>
        <v>0.56042902614095969</v>
      </c>
      <c r="U40" s="95">
        <f t="shared" si="6"/>
        <v>0.58284618718659809</v>
      </c>
      <c r="V40" s="98"/>
      <c r="W40" s="98"/>
      <c r="X40" s="98">
        <v>1.25</v>
      </c>
      <c r="Y40" s="61" t="str">
        <f>CONCATENATE(X40, "x of medium case")</f>
        <v>1.25x of medium case</v>
      </c>
      <c r="Z40" s="83"/>
    </row>
    <row r="41" spans="1:26" ht="13.8" thickBot="1" x14ac:dyDescent="0.3">
      <c r="A41" s="90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91"/>
    </row>
    <row r="42" spans="1:26" x14ac:dyDescent="0.25">
      <c r="A42" s="92" t="s">
        <v>301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81"/>
    </row>
    <row r="43" spans="1:26" x14ac:dyDescent="0.25">
      <c r="A43" s="93"/>
      <c r="B43" s="77">
        <v>2001</v>
      </c>
      <c r="C43" s="77">
        <v>2002</v>
      </c>
      <c r="D43" s="77">
        <v>2003</v>
      </c>
      <c r="E43" s="77">
        <v>2004</v>
      </c>
      <c r="F43" s="77">
        <v>2005</v>
      </c>
      <c r="G43" s="77">
        <v>2006</v>
      </c>
      <c r="H43" s="77">
        <v>2007</v>
      </c>
      <c r="I43" s="77">
        <v>2008</v>
      </c>
      <c r="J43" s="77">
        <v>2009</v>
      </c>
      <c r="K43" s="77">
        <v>2010</v>
      </c>
      <c r="L43" s="77">
        <v>2011</v>
      </c>
      <c r="M43" s="77">
        <v>2012</v>
      </c>
      <c r="N43" s="77">
        <v>2013</v>
      </c>
      <c r="O43" s="77">
        <v>2014</v>
      </c>
      <c r="P43" s="77">
        <v>2015</v>
      </c>
      <c r="Q43" s="77">
        <v>2016</v>
      </c>
      <c r="R43" s="77">
        <v>2017</v>
      </c>
      <c r="S43" s="77">
        <v>2018</v>
      </c>
      <c r="T43" s="77">
        <v>2019</v>
      </c>
      <c r="U43" s="77">
        <v>2020</v>
      </c>
      <c r="V43" s="61"/>
      <c r="W43" s="61"/>
      <c r="X43" s="77"/>
      <c r="Y43" s="61"/>
      <c r="Z43" s="83"/>
    </row>
    <row r="44" spans="1:26" x14ac:dyDescent="0.25">
      <c r="A44" s="94" t="s">
        <v>346</v>
      </c>
      <c r="B44" s="99">
        <f>B45*$X$44</f>
        <v>3.7500000000000006E-2</v>
      </c>
      <c r="C44" s="99">
        <f t="shared" ref="C44:U44" si="7">C45*$X$44</f>
        <v>0.06</v>
      </c>
      <c r="D44" s="99">
        <f t="shared" si="7"/>
        <v>0.11249999999999999</v>
      </c>
      <c r="E44" s="99">
        <f t="shared" si="7"/>
        <v>0.22499999999999998</v>
      </c>
      <c r="F44" s="99">
        <f t="shared" si="7"/>
        <v>0.30000000000000004</v>
      </c>
      <c r="G44" s="99">
        <f t="shared" si="7"/>
        <v>0.375</v>
      </c>
      <c r="H44" s="99">
        <f t="shared" si="7"/>
        <v>0.44999999999999996</v>
      </c>
      <c r="I44" s="99">
        <f t="shared" si="7"/>
        <v>0.51</v>
      </c>
      <c r="J44" s="99">
        <f t="shared" si="7"/>
        <v>0.5625</v>
      </c>
      <c r="K44" s="99">
        <f t="shared" si="7"/>
        <v>0.60000000000000009</v>
      </c>
      <c r="L44" s="99">
        <f t="shared" si="7"/>
        <v>0.61499999999999999</v>
      </c>
      <c r="M44" s="99">
        <f t="shared" si="7"/>
        <v>0.63749999999999996</v>
      </c>
      <c r="N44" s="99">
        <f t="shared" si="7"/>
        <v>0.65249999999999997</v>
      </c>
      <c r="O44" s="99">
        <f t="shared" si="7"/>
        <v>0.66749999999999998</v>
      </c>
      <c r="P44" s="99">
        <f t="shared" si="7"/>
        <v>0.67500000000000004</v>
      </c>
      <c r="Q44" s="99">
        <f t="shared" si="7"/>
        <v>0.67500000000000004</v>
      </c>
      <c r="R44" s="99">
        <f t="shared" si="7"/>
        <v>0.67500000000000004</v>
      </c>
      <c r="S44" s="99">
        <f t="shared" si="7"/>
        <v>0.67500000000000004</v>
      </c>
      <c r="T44" s="99">
        <f t="shared" si="7"/>
        <v>0.67500000000000004</v>
      </c>
      <c r="U44" s="99">
        <f t="shared" si="7"/>
        <v>0.67500000000000004</v>
      </c>
      <c r="V44" s="98"/>
      <c r="W44" s="98"/>
      <c r="X44" s="100">
        <v>0.75</v>
      </c>
      <c r="Y44" s="61" t="str">
        <f>CONCATENATE(L44, "x of medium case")</f>
        <v>0.615x of medium case</v>
      </c>
      <c r="Z44" s="83"/>
    </row>
    <row r="45" spans="1:26" x14ac:dyDescent="0.25">
      <c r="A45" s="94" t="s">
        <v>300</v>
      </c>
      <c r="B45" s="101">
        <v>0.05</v>
      </c>
      <c r="C45" s="101">
        <v>0.08</v>
      </c>
      <c r="D45" s="101">
        <v>0.15</v>
      </c>
      <c r="E45" s="101">
        <v>0.3</v>
      </c>
      <c r="F45" s="101">
        <v>0.4</v>
      </c>
      <c r="G45" s="101">
        <v>0.5</v>
      </c>
      <c r="H45" s="101">
        <v>0.6</v>
      </c>
      <c r="I45" s="101">
        <v>0.68</v>
      </c>
      <c r="J45" s="101">
        <v>0.75</v>
      </c>
      <c r="K45" s="101">
        <v>0.8</v>
      </c>
      <c r="L45" s="101">
        <v>0.82</v>
      </c>
      <c r="M45" s="101">
        <v>0.85</v>
      </c>
      <c r="N45" s="101">
        <v>0.87</v>
      </c>
      <c r="O45" s="101">
        <v>0.89</v>
      </c>
      <c r="P45" s="101">
        <v>0.9</v>
      </c>
      <c r="Q45" s="101">
        <v>0.9</v>
      </c>
      <c r="R45" s="101">
        <v>0.9</v>
      </c>
      <c r="S45" s="101">
        <v>0.9</v>
      </c>
      <c r="T45" s="101">
        <v>0.9</v>
      </c>
      <c r="U45" s="101">
        <v>0.9</v>
      </c>
      <c r="V45" s="61"/>
      <c r="W45" s="61"/>
      <c r="X45" s="96"/>
      <c r="Y45" s="61" t="s">
        <v>302</v>
      </c>
      <c r="Z45" s="83"/>
    </row>
    <row r="46" spans="1:26" x14ac:dyDescent="0.25">
      <c r="A46" s="94" t="s">
        <v>347</v>
      </c>
      <c r="B46" s="99">
        <f>B45*$X$46</f>
        <v>6.25E-2</v>
      </c>
      <c r="C46" s="99">
        <f t="shared" ref="C46:J46" si="8">C45*$X$46</f>
        <v>0.1</v>
      </c>
      <c r="D46" s="99">
        <f t="shared" si="8"/>
        <v>0.1875</v>
      </c>
      <c r="E46" s="99">
        <f t="shared" si="8"/>
        <v>0.375</v>
      </c>
      <c r="F46" s="99">
        <f t="shared" si="8"/>
        <v>0.5</v>
      </c>
      <c r="G46" s="99">
        <f t="shared" si="8"/>
        <v>0.625</v>
      </c>
      <c r="H46" s="99">
        <f t="shared" si="8"/>
        <v>0.75</v>
      </c>
      <c r="I46" s="99">
        <f t="shared" si="8"/>
        <v>0.85000000000000009</v>
      </c>
      <c r="J46" s="99">
        <f t="shared" si="8"/>
        <v>0.9375</v>
      </c>
      <c r="K46" s="99">
        <v>1</v>
      </c>
      <c r="L46" s="99">
        <v>1</v>
      </c>
      <c r="M46" s="99">
        <v>1</v>
      </c>
      <c r="N46" s="99">
        <v>1</v>
      </c>
      <c r="O46" s="99">
        <v>1</v>
      </c>
      <c r="P46" s="99">
        <v>1</v>
      </c>
      <c r="Q46" s="99">
        <v>1</v>
      </c>
      <c r="R46" s="99">
        <v>1</v>
      </c>
      <c r="S46" s="99">
        <v>1</v>
      </c>
      <c r="T46" s="99">
        <v>1</v>
      </c>
      <c r="U46" s="99">
        <v>1</v>
      </c>
      <c r="V46" s="98"/>
      <c r="W46" s="98"/>
      <c r="X46" s="100">
        <v>1.25</v>
      </c>
      <c r="Y46" s="61" t="str">
        <f>CONCATENATE(L46, "x of medium case")</f>
        <v>1x of medium case</v>
      </c>
      <c r="Z46" s="83"/>
    </row>
    <row r="47" spans="1:26" ht="13.8" thickBot="1" x14ac:dyDescent="0.3">
      <c r="A47" s="90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91"/>
    </row>
    <row r="48" spans="1:26" x14ac:dyDescent="0.25">
      <c r="A48" s="102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81"/>
    </row>
    <row r="49" spans="1:26" x14ac:dyDescent="0.25">
      <c r="A49" s="103" t="s">
        <v>303</v>
      </c>
      <c r="B49" s="104">
        <v>0.5</v>
      </c>
      <c r="C49" s="96">
        <v>0.55000000000000004</v>
      </c>
      <c r="D49" s="96">
        <v>0.6</v>
      </c>
      <c r="E49" s="96">
        <v>0.65</v>
      </c>
      <c r="F49" s="96">
        <v>0.7</v>
      </c>
      <c r="G49" s="96">
        <f>F49*(1+$X$49)</f>
        <v>0.7</v>
      </c>
      <c r="H49" s="96">
        <f>G49*(1+$X$49)</f>
        <v>0.7</v>
      </c>
      <c r="I49" s="96">
        <f>H49*(1+$X$49)</f>
        <v>0.7</v>
      </c>
      <c r="J49" s="96">
        <f>I49*(1+$X$49)</f>
        <v>0.7</v>
      </c>
      <c r="K49" s="96">
        <f>J49*(1+$X$49)</f>
        <v>0.7</v>
      </c>
      <c r="L49" s="96">
        <f t="shared" ref="L49:U49" si="9">K49*(1+$X$49)</f>
        <v>0.7</v>
      </c>
      <c r="M49" s="96">
        <f t="shared" si="9"/>
        <v>0.7</v>
      </c>
      <c r="N49" s="96">
        <f t="shared" si="9"/>
        <v>0.7</v>
      </c>
      <c r="O49" s="96">
        <f t="shared" si="9"/>
        <v>0.7</v>
      </c>
      <c r="P49" s="96">
        <f t="shared" si="9"/>
        <v>0.7</v>
      </c>
      <c r="Q49" s="96">
        <f t="shared" si="9"/>
        <v>0.7</v>
      </c>
      <c r="R49" s="96">
        <f t="shared" si="9"/>
        <v>0.7</v>
      </c>
      <c r="S49" s="96">
        <f t="shared" si="9"/>
        <v>0.7</v>
      </c>
      <c r="T49" s="96">
        <f t="shared" si="9"/>
        <v>0.7</v>
      </c>
      <c r="U49" s="96">
        <f t="shared" si="9"/>
        <v>0.7</v>
      </c>
      <c r="V49" s="96"/>
      <c r="W49" s="96"/>
      <c r="X49" s="105">
        <v>0</v>
      </c>
      <c r="Y49" s="61" t="s">
        <v>388</v>
      </c>
      <c r="Z49" s="83"/>
    </row>
    <row r="50" spans="1:26" x14ac:dyDescent="0.25">
      <c r="A50" s="103" t="s">
        <v>14</v>
      </c>
      <c r="B50" s="104">
        <v>0.5</v>
      </c>
      <c r="C50" s="96">
        <f>B50*(1+$X$50)</f>
        <v>0.5</v>
      </c>
      <c r="D50" s="96">
        <f t="shared" ref="D50:K50" si="10">C50*(1+$X$50)</f>
        <v>0.5</v>
      </c>
      <c r="E50" s="96">
        <f t="shared" si="10"/>
        <v>0.5</v>
      </c>
      <c r="F50" s="96">
        <f t="shared" si="10"/>
        <v>0.5</v>
      </c>
      <c r="G50" s="96">
        <f t="shared" si="10"/>
        <v>0.5</v>
      </c>
      <c r="H50" s="96">
        <f t="shared" si="10"/>
        <v>0.5</v>
      </c>
      <c r="I50" s="96">
        <f t="shared" si="10"/>
        <v>0.5</v>
      </c>
      <c r="J50" s="96">
        <f t="shared" si="10"/>
        <v>0.5</v>
      </c>
      <c r="K50" s="96">
        <f t="shared" si="10"/>
        <v>0.5</v>
      </c>
      <c r="L50" s="96">
        <f t="shared" ref="L50:U50" si="11">K50*(1+$X$50)</f>
        <v>0.5</v>
      </c>
      <c r="M50" s="96">
        <f t="shared" si="11"/>
        <v>0.5</v>
      </c>
      <c r="N50" s="96">
        <f t="shared" si="11"/>
        <v>0.5</v>
      </c>
      <c r="O50" s="96">
        <f t="shared" si="11"/>
        <v>0.5</v>
      </c>
      <c r="P50" s="96">
        <f t="shared" si="11"/>
        <v>0.5</v>
      </c>
      <c r="Q50" s="96">
        <f t="shared" si="11"/>
        <v>0.5</v>
      </c>
      <c r="R50" s="96">
        <f t="shared" si="11"/>
        <v>0.5</v>
      </c>
      <c r="S50" s="96">
        <f t="shared" si="11"/>
        <v>0.5</v>
      </c>
      <c r="T50" s="96">
        <f t="shared" si="11"/>
        <v>0.5</v>
      </c>
      <c r="U50" s="96">
        <f t="shared" si="11"/>
        <v>0.5</v>
      </c>
      <c r="V50" s="96"/>
      <c r="W50" s="96"/>
      <c r="X50" s="106">
        <v>0</v>
      </c>
      <c r="Y50" s="61" t="s">
        <v>388</v>
      </c>
      <c r="Z50" s="83"/>
    </row>
    <row r="51" spans="1:26" ht="13.8" thickBot="1" x14ac:dyDescent="0.3">
      <c r="A51" s="90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91"/>
    </row>
    <row r="52" spans="1:26" x14ac:dyDescent="0.25">
      <c r="A52" s="92" t="s">
        <v>357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81"/>
    </row>
    <row r="53" spans="1:26" x14ac:dyDescent="0.25">
      <c r="A53" s="84"/>
      <c r="B53" s="77">
        <v>2001</v>
      </c>
      <c r="C53" s="77">
        <v>2002</v>
      </c>
      <c r="D53" s="77">
        <v>2003</v>
      </c>
      <c r="E53" s="77">
        <v>2004</v>
      </c>
      <c r="F53" s="77">
        <v>2005</v>
      </c>
      <c r="G53" s="77">
        <v>2006</v>
      </c>
      <c r="H53" s="77">
        <v>2007</v>
      </c>
      <c r="I53" s="77">
        <v>2008</v>
      </c>
      <c r="J53" s="77">
        <v>2009</v>
      </c>
      <c r="K53" s="77">
        <v>2010</v>
      </c>
      <c r="L53" s="77">
        <v>2011</v>
      </c>
      <c r="M53" s="77">
        <v>2012</v>
      </c>
      <c r="N53" s="77">
        <v>2013</v>
      </c>
      <c r="O53" s="77">
        <v>2014</v>
      </c>
      <c r="P53" s="77">
        <v>2015</v>
      </c>
      <c r="Q53" s="77">
        <v>2016</v>
      </c>
      <c r="R53" s="77">
        <v>2017</v>
      </c>
      <c r="S53" s="77">
        <v>2018</v>
      </c>
      <c r="T53" s="77">
        <v>2019</v>
      </c>
      <c r="U53" s="77">
        <v>2020</v>
      </c>
      <c r="V53" s="77"/>
      <c r="W53" s="77"/>
      <c r="X53" s="77"/>
      <c r="Y53" s="61"/>
      <c r="Z53" s="83"/>
    </row>
    <row r="54" spans="1:26" x14ac:dyDescent="0.25">
      <c r="A54" s="94" t="s">
        <v>346</v>
      </c>
      <c r="B54" s="107">
        <f t="shared" ref="B54:K54" si="12">B38*B44*B$49*B$50</f>
        <v>3.0000000000000003E-4</v>
      </c>
      <c r="C54" s="107">
        <f t="shared" si="12"/>
        <v>9.4050000000000004E-4</v>
      </c>
      <c r="D54" s="107">
        <f t="shared" si="12"/>
        <v>2.5649999999999996E-3</v>
      </c>
      <c r="E54" s="107">
        <f t="shared" si="12"/>
        <v>7.2393750000000002E-3</v>
      </c>
      <c r="F54" s="107">
        <f t="shared" si="12"/>
        <v>1.2993750000000002E-2</v>
      </c>
      <c r="G54" s="107">
        <f t="shared" si="12"/>
        <v>2.0302734374999999E-2</v>
      </c>
      <c r="H54" s="107">
        <f t="shared" si="12"/>
        <v>3.0454101562499995E-2</v>
      </c>
      <c r="I54" s="107">
        <f t="shared" si="12"/>
        <v>4.3143310546875001E-2</v>
      </c>
      <c r="J54" s="107">
        <f t="shared" si="12"/>
        <v>5.7288794062499995E-2</v>
      </c>
      <c r="K54" s="107">
        <f t="shared" si="12"/>
        <v>6.615E-2</v>
      </c>
      <c r="L54" s="107">
        <f t="shared" ref="L54:U54" si="13">L38*L44*L$49*L$50</f>
        <v>7.0515899999999992E-2</v>
      </c>
      <c r="M54" s="107">
        <f t="shared" si="13"/>
        <v>7.6019579999999989E-2</v>
      </c>
      <c r="N54" s="107">
        <f t="shared" si="13"/>
        <v>8.0920607039999995E-2</v>
      </c>
      <c r="O54" s="107">
        <f t="shared" si="13"/>
        <v>8.6092084915199998E-2</v>
      </c>
      <c r="P54" s="107">
        <f t="shared" si="13"/>
        <v>9.0541788180480004E-2</v>
      </c>
      <c r="Q54" s="107">
        <f t="shared" si="13"/>
        <v>9.416345970769921E-2</v>
      </c>
      <c r="R54" s="107">
        <f t="shared" si="13"/>
        <v>9.7929998096007179E-2</v>
      </c>
      <c r="S54" s="107">
        <f t="shared" si="13"/>
        <v>0.10184719801984748</v>
      </c>
      <c r="T54" s="107">
        <f t="shared" si="13"/>
        <v>0.10592108594064138</v>
      </c>
      <c r="U54" s="107">
        <f t="shared" si="13"/>
        <v>0.11015792937826704</v>
      </c>
      <c r="V54" s="107"/>
      <c r="W54" s="107"/>
      <c r="X54" s="107"/>
      <c r="Y54" s="61"/>
      <c r="Z54" s="83"/>
    </row>
    <row r="55" spans="1:26" x14ac:dyDescent="0.25">
      <c r="A55" s="94" t="s">
        <v>300</v>
      </c>
      <c r="B55" s="107">
        <f t="shared" ref="B55:K55" si="14">B39*B45*B$49*B$50</f>
        <v>6.1276500000000003E-4</v>
      </c>
      <c r="C55" s="107">
        <f t="shared" si="14"/>
        <v>1.8810792000000002E-3</v>
      </c>
      <c r="D55" s="107">
        <f t="shared" si="14"/>
        <v>5.3996544000000013E-3</v>
      </c>
      <c r="E55" s="107">
        <f t="shared" si="14"/>
        <v>1.4880206250000003E-2</v>
      </c>
      <c r="F55" s="107">
        <f t="shared" si="14"/>
        <v>2.5849529999999992E-2</v>
      </c>
      <c r="G55" s="107">
        <f t="shared" si="14"/>
        <v>3.7466099999999995E-2</v>
      </c>
      <c r="H55" s="107">
        <f t="shared" si="14"/>
        <v>5.1128657999999993E-2</v>
      </c>
      <c r="I55" s="107">
        <f t="shared" si="14"/>
        <v>6.4107489600000012E-2</v>
      </c>
      <c r="J55" s="107">
        <f t="shared" si="14"/>
        <v>7.6385058749999984E-2</v>
      </c>
      <c r="K55" s="107">
        <f t="shared" si="14"/>
        <v>8.8200000000000001E-2</v>
      </c>
      <c r="L55" s="107">
        <f t="shared" ref="L55:U55" si="15">L39*L45*L$49*L$50</f>
        <v>9.4021199999999985E-2</v>
      </c>
      <c r="M55" s="107">
        <f t="shared" si="15"/>
        <v>0.10135943999999998</v>
      </c>
      <c r="N55" s="107">
        <f t="shared" si="15"/>
        <v>0.10789414272</v>
      </c>
      <c r="O55" s="107">
        <f t="shared" si="15"/>
        <v>0.1147894465536</v>
      </c>
      <c r="P55" s="107">
        <f t="shared" si="15"/>
        <v>0.12072238424064001</v>
      </c>
      <c r="Q55" s="107">
        <f t="shared" si="15"/>
        <v>0.1255512796102656</v>
      </c>
      <c r="R55" s="107">
        <f t="shared" si="15"/>
        <v>0.13057333079467623</v>
      </c>
      <c r="S55" s="107">
        <f t="shared" si="15"/>
        <v>0.1357962640264633</v>
      </c>
      <c r="T55" s="107">
        <f t="shared" si="15"/>
        <v>0.14122811458752182</v>
      </c>
      <c r="U55" s="107">
        <f t="shared" si="15"/>
        <v>0.14687723917102272</v>
      </c>
      <c r="V55" s="107"/>
      <c r="W55" s="107"/>
      <c r="X55" s="107"/>
      <c r="Y55" s="61"/>
      <c r="Z55" s="83"/>
    </row>
    <row r="56" spans="1:26" x14ac:dyDescent="0.25">
      <c r="A56" s="94" t="s">
        <v>347</v>
      </c>
      <c r="B56" s="107">
        <f t="shared" ref="B56:K56" si="16">B40*B46*B$49*B$50</f>
        <v>9.5744531249999996E-4</v>
      </c>
      <c r="C56" s="107">
        <f t="shared" si="16"/>
        <v>2.9391862500000006E-3</v>
      </c>
      <c r="D56" s="107">
        <f t="shared" si="16"/>
        <v>8.4369600000000003E-3</v>
      </c>
      <c r="E56" s="107">
        <f t="shared" si="16"/>
        <v>2.3250322265625005E-2</v>
      </c>
      <c r="F56" s="107">
        <f t="shared" si="16"/>
        <v>4.0389890624999987E-2</v>
      </c>
      <c r="G56" s="107">
        <f t="shared" si="16"/>
        <v>5.8540781249999993E-2</v>
      </c>
      <c r="H56" s="107">
        <f t="shared" si="16"/>
        <v>7.9888528124999997E-2</v>
      </c>
      <c r="I56" s="107">
        <f t="shared" si="16"/>
        <v>0.1001679525</v>
      </c>
      <c r="J56" s="107">
        <f t="shared" si="16"/>
        <v>0.119351654296875</v>
      </c>
      <c r="K56" s="107">
        <f t="shared" si="16"/>
        <v>0.13781249999999998</v>
      </c>
      <c r="L56" s="107">
        <f t="shared" ref="L56:U56" si="17">L40*L46*L$49*L$50</f>
        <v>0.14332499999999998</v>
      </c>
      <c r="M56" s="107">
        <f t="shared" si="17"/>
        <v>0.149058</v>
      </c>
      <c r="N56" s="107">
        <f t="shared" si="17"/>
        <v>0.15502031999999999</v>
      </c>
      <c r="O56" s="107">
        <f t="shared" si="17"/>
        <v>0.1612211328</v>
      </c>
      <c r="P56" s="107">
        <f t="shared" si="17"/>
        <v>0.16766997811200002</v>
      </c>
      <c r="Q56" s="107">
        <f t="shared" si="17"/>
        <v>0.17437677723648001</v>
      </c>
      <c r="R56" s="107">
        <f t="shared" si="17"/>
        <v>0.18135184832593923</v>
      </c>
      <c r="S56" s="107">
        <f t="shared" si="17"/>
        <v>0.18860592225897679</v>
      </c>
      <c r="T56" s="107">
        <f t="shared" si="17"/>
        <v>0.19615015914933587</v>
      </c>
      <c r="U56" s="107">
        <f t="shared" si="17"/>
        <v>0.20399616551530933</v>
      </c>
      <c r="V56" s="107"/>
      <c r="W56" s="107"/>
      <c r="X56" s="107"/>
      <c r="Y56" s="61"/>
      <c r="Z56" s="83"/>
    </row>
    <row r="57" spans="1:26" ht="13.8" thickBot="1" x14ac:dyDescent="0.3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64"/>
      <c r="Z57" s="91"/>
    </row>
    <row r="58" spans="1:26" x14ac:dyDescent="0.25">
      <c r="A58" s="92" t="s">
        <v>304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81"/>
    </row>
    <row r="59" spans="1:26" x14ac:dyDescent="0.25">
      <c r="A59" s="84"/>
      <c r="B59" s="77">
        <v>2001</v>
      </c>
      <c r="C59" s="77">
        <v>2002</v>
      </c>
      <c r="D59" s="77">
        <v>2003</v>
      </c>
      <c r="E59" s="77">
        <v>2004</v>
      </c>
      <c r="F59" s="77">
        <v>2005</v>
      </c>
      <c r="G59" s="77">
        <v>2006</v>
      </c>
      <c r="H59" s="77">
        <v>2007</v>
      </c>
      <c r="I59" s="77">
        <v>2008</v>
      </c>
      <c r="J59" s="77">
        <v>2009</v>
      </c>
      <c r="K59" s="77">
        <v>2010</v>
      </c>
      <c r="L59" s="77">
        <v>2011</v>
      </c>
      <c r="M59" s="77">
        <v>2012</v>
      </c>
      <c r="N59" s="77">
        <v>2013</v>
      </c>
      <c r="O59" s="77">
        <v>2014</v>
      </c>
      <c r="P59" s="77">
        <v>2015</v>
      </c>
      <c r="Q59" s="77">
        <v>2016</v>
      </c>
      <c r="R59" s="77">
        <v>2017</v>
      </c>
      <c r="S59" s="77">
        <v>2018</v>
      </c>
      <c r="T59" s="77">
        <v>2019</v>
      </c>
      <c r="U59" s="77">
        <v>2020</v>
      </c>
      <c r="V59" s="77"/>
      <c r="W59" s="77"/>
      <c r="X59" s="77"/>
      <c r="Y59" s="61"/>
      <c r="Z59" s="83"/>
    </row>
    <row r="60" spans="1:26" x14ac:dyDescent="0.25">
      <c r="A60" s="94" t="s">
        <v>346</v>
      </c>
      <c r="B60" s="98">
        <f t="shared" ref="B60:U60" si="18">$X$60*B61</f>
        <v>0.65</v>
      </c>
      <c r="C60" s="98">
        <f t="shared" si="18"/>
        <v>0.32500000000000001</v>
      </c>
      <c r="D60" s="98">
        <f t="shared" si="18"/>
        <v>0.13</v>
      </c>
      <c r="E60" s="98">
        <f t="shared" si="18"/>
        <v>0.13</v>
      </c>
      <c r="F60" s="98">
        <f t="shared" si="18"/>
        <v>0.13</v>
      </c>
      <c r="G60" s="98">
        <f t="shared" si="18"/>
        <v>0.13</v>
      </c>
      <c r="H60" s="98">
        <f t="shared" si="18"/>
        <v>0.13</v>
      </c>
      <c r="I60" s="98">
        <f t="shared" si="18"/>
        <v>0.13</v>
      </c>
      <c r="J60" s="98">
        <f t="shared" si="18"/>
        <v>0.13</v>
      </c>
      <c r="K60" s="98">
        <f t="shared" si="18"/>
        <v>0.13</v>
      </c>
      <c r="L60" s="98">
        <f t="shared" si="18"/>
        <v>0.13</v>
      </c>
      <c r="M60" s="98">
        <f t="shared" si="18"/>
        <v>0.13</v>
      </c>
      <c r="N60" s="98">
        <f t="shared" si="18"/>
        <v>0.13</v>
      </c>
      <c r="O60" s="98">
        <f t="shared" si="18"/>
        <v>0.13</v>
      </c>
      <c r="P60" s="98">
        <f t="shared" si="18"/>
        <v>0.13</v>
      </c>
      <c r="Q60" s="98">
        <f t="shared" si="18"/>
        <v>0.13</v>
      </c>
      <c r="R60" s="98">
        <f t="shared" si="18"/>
        <v>0.13</v>
      </c>
      <c r="S60" s="98">
        <f t="shared" si="18"/>
        <v>0.13</v>
      </c>
      <c r="T60" s="98">
        <f t="shared" si="18"/>
        <v>0.13</v>
      </c>
      <c r="U60" s="98">
        <f t="shared" si="18"/>
        <v>0.13</v>
      </c>
      <c r="V60" s="110"/>
      <c r="W60" s="110"/>
      <c r="X60" s="98">
        <v>1.3</v>
      </c>
      <c r="Y60" s="61" t="str">
        <f>CONCATENATE(X60,"x  of medium estimate")</f>
        <v>1.3x  of medium estimate</v>
      </c>
      <c r="Z60" s="83"/>
    </row>
    <row r="61" spans="1:26" x14ac:dyDescent="0.25">
      <c r="A61" s="94" t="s">
        <v>300</v>
      </c>
      <c r="B61" s="98">
        <v>0.5</v>
      </c>
      <c r="C61" s="98">
        <v>0.25</v>
      </c>
      <c r="D61" s="98">
        <v>0.1</v>
      </c>
      <c r="E61" s="98">
        <v>0.1</v>
      </c>
      <c r="F61" s="98">
        <v>0.1</v>
      </c>
      <c r="G61" s="98">
        <v>0.1</v>
      </c>
      <c r="H61" s="98">
        <v>0.1</v>
      </c>
      <c r="I61" s="98">
        <v>0.1</v>
      </c>
      <c r="J61" s="98">
        <v>0.1</v>
      </c>
      <c r="K61" s="98">
        <v>0.1</v>
      </c>
      <c r="L61" s="98">
        <v>0.1</v>
      </c>
      <c r="M61" s="98">
        <v>0.1</v>
      </c>
      <c r="N61" s="98">
        <v>0.1</v>
      </c>
      <c r="O61" s="98">
        <v>0.1</v>
      </c>
      <c r="P61" s="98">
        <v>0.1</v>
      </c>
      <c r="Q61" s="98">
        <v>0.1</v>
      </c>
      <c r="R61" s="98">
        <v>0.1</v>
      </c>
      <c r="S61" s="98">
        <v>0.1</v>
      </c>
      <c r="T61" s="98">
        <v>0.1</v>
      </c>
      <c r="U61" s="98">
        <v>0.1</v>
      </c>
      <c r="V61" s="110"/>
      <c r="W61" s="110"/>
      <c r="X61" s="110"/>
      <c r="Y61" s="61" t="s">
        <v>389</v>
      </c>
      <c r="Z61" s="83"/>
    </row>
    <row r="62" spans="1:26" x14ac:dyDescent="0.25">
      <c r="A62" s="94" t="s">
        <v>347</v>
      </c>
      <c r="B62" s="98">
        <f t="shared" ref="B62:K62" si="19">$X$62*B61</f>
        <v>0.4</v>
      </c>
      <c r="C62" s="98">
        <f t="shared" si="19"/>
        <v>0.2</v>
      </c>
      <c r="D62" s="98">
        <f t="shared" si="19"/>
        <v>8.0000000000000016E-2</v>
      </c>
      <c r="E62" s="98">
        <f t="shared" si="19"/>
        <v>8.0000000000000016E-2</v>
      </c>
      <c r="F62" s="98">
        <f t="shared" si="19"/>
        <v>8.0000000000000016E-2</v>
      </c>
      <c r="G62" s="98">
        <f t="shared" si="19"/>
        <v>8.0000000000000016E-2</v>
      </c>
      <c r="H62" s="98">
        <f t="shared" si="19"/>
        <v>8.0000000000000016E-2</v>
      </c>
      <c r="I62" s="98">
        <f t="shared" si="19"/>
        <v>8.0000000000000016E-2</v>
      </c>
      <c r="J62" s="98">
        <f t="shared" si="19"/>
        <v>8.0000000000000016E-2</v>
      </c>
      <c r="K62" s="98">
        <f t="shared" si="19"/>
        <v>8.0000000000000016E-2</v>
      </c>
      <c r="L62" s="98">
        <f t="shared" ref="L62:U62" si="20">$X$62*L61</f>
        <v>8.0000000000000016E-2</v>
      </c>
      <c r="M62" s="98">
        <f t="shared" si="20"/>
        <v>8.0000000000000016E-2</v>
      </c>
      <c r="N62" s="98">
        <f t="shared" si="20"/>
        <v>8.0000000000000016E-2</v>
      </c>
      <c r="O62" s="98">
        <f t="shared" si="20"/>
        <v>8.0000000000000016E-2</v>
      </c>
      <c r="P62" s="98">
        <f t="shared" si="20"/>
        <v>8.0000000000000016E-2</v>
      </c>
      <c r="Q62" s="98">
        <f t="shared" si="20"/>
        <v>8.0000000000000016E-2</v>
      </c>
      <c r="R62" s="98">
        <f t="shared" si="20"/>
        <v>8.0000000000000016E-2</v>
      </c>
      <c r="S62" s="98">
        <f t="shared" si="20"/>
        <v>8.0000000000000016E-2</v>
      </c>
      <c r="T62" s="98">
        <f t="shared" si="20"/>
        <v>8.0000000000000016E-2</v>
      </c>
      <c r="U62" s="98">
        <f t="shared" si="20"/>
        <v>8.0000000000000016E-2</v>
      </c>
      <c r="V62" s="110"/>
      <c r="W62" s="110"/>
      <c r="X62" s="98">
        <v>0.8</v>
      </c>
      <c r="Y62" s="61" t="str">
        <f>CONCATENATE(X62,"x  of medium estimate")</f>
        <v>0.8x  of medium estimate</v>
      </c>
      <c r="Z62" s="83"/>
    </row>
    <row r="63" spans="1:26" ht="13.8" thickBot="1" x14ac:dyDescent="0.3">
      <c r="A63" s="108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64"/>
      <c r="Z63" s="91"/>
    </row>
    <row r="64" spans="1:26" x14ac:dyDescent="0.25">
      <c r="A64" s="92" t="s">
        <v>359</v>
      </c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81"/>
    </row>
    <row r="65" spans="1:26" x14ac:dyDescent="0.25">
      <c r="A65" s="84"/>
      <c r="B65" s="77">
        <v>2001</v>
      </c>
      <c r="C65" s="77">
        <v>2002</v>
      </c>
      <c r="D65" s="77">
        <v>2003</v>
      </c>
      <c r="E65" s="77">
        <v>2004</v>
      </c>
      <c r="F65" s="77">
        <v>2005</v>
      </c>
      <c r="G65" s="77">
        <v>2006</v>
      </c>
      <c r="H65" s="77">
        <v>2007</v>
      </c>
      <c r="I65" s="77">
        <v>2008</v>
      </c>
      <c r="J65" s="77">
        <v>2009</v>
      </c>
      <c r="K65" s="77">
        <v>2010</v>
      </c>
      <c r="L65" s="77">
        <v>2011</v>
      </c>
      <c r="M65" s="77">
        <v>2012</v>
      </c>
      <c r="N65" s="77">
        <v>2013</v>
      </c>
      <c r="O65" s="77">
        <v>2014</v>
      </c>
      <c r="P65" s="77">
        <v>2015</v>
      </c>
      <c r="Q65" s="77">
        <v>2016</v>
      </c>
      <c r="R65" s="77">
        <v>2017</v>
      </c>
      <c r="S65" s="77">
        <v>2018</v>
      </c>
      <c r="T65" s="77">
        <v>2019</v>
      </c>
      <c r="U65" s="77">
        <v>2020</v>
      </c>
      <c r="V65" s="77"/>
      <c r="W65" s="77" t="s">
        <v>306</v>
      </c>
      <c r="X65" s="77" t="s">
        <v>307</v>
      </c>
      <c r="Y65" s="61"/>
      <c r="Z65" s="83" t="s">
        <v>390</v>
      </c>
    </row>
    <row r="66" spans="1:26" x14ac:dyDescent="0.25">
      <c r="A66" s="94" t="s">
        <v>346</v>
      </c>
      <c r="B66" s="113">
        <f>Assumptions!$F$220+(Scenario!X66)*$Z$66</f>
        <v>2220</v>
      </c>
      <c r="C66" s="113">
        <f t="shared" ref="C66:K66" si="21">B66*(1+$W66)</f>
        <v>1776</v>
      </c>
      <c r="D66" s="113">
        <f t="shared" si="21"/>
        <v>1420.8000000000002</v>
      </c>
      <c r="E66" s="113">
        <f t="shared" si="21"/>
        <v>1136.6400000000001</v>
      </c>
      <c r="F66" s="113">
        <f t="shared" si="21"/>
        <v>909.31200000000013</v>
      </c>
      <c r="G66" s="113">
        <f t="shared" si="21"/>
        <v>727.44960000000015</v>
      </c>
      <c r="H66" s="113">
        <f t="shared" si="21"/>
        <v>581.95968000000016</v>
      </c>
      <c r="I66" s="113">
        <f t="shared" si="21"/>
        <v>465.56774400000018</v>
      </c>
      <c r="J66" s="113">
        <f t="shared" si="21"/>
        <v>372.45419520000019</v>
      </c>
      <c r="K66" s="113">
        <f t="shared" si="21"/>
        <v>297.96335616000016</v>
      </c>
      <c r="L66" s="113">
        <f t="shared" ref="L66:U66" si="22">K66*(1+$W66)</f>
        <v>238.37068492800014</v>
      </c>
      <c r="M66" s="113">
        <f t="shared" si="22"/>
        <v>190.69654794240012</v>
      </c>
      <c r="N66" s="113">
        <f t="shared" si="22"/>
        <v>152.5572383539201</v>
      </c>
      <c r="O66" s="113">
        <f t="shared" si="22"/>
        <v>122.04579068313609</v>
      </c>
      <c r="P66" s="113">
        <f t="shared" si="22"/>
        <v>97.636632546508878</v>
      </c>
      <c r="Q66" s="113">
        <f t="shared" si="22"/>
        <v>78.109306037207105</v>
      </c>
      <c r="R66" s="113">
        <f t="shared" si="22"/>
        <v>62.487444829765685</v>
      </c>
      <c r="S66" s="113">
        <f t="shared" si="22"/>
        <v>49.989955863812554</v>
      </c>
      <c r="T66" s="113">
        <f t="shared" si="22"/>
        <v>39.991964691050043</v>
      </c>
      <c r="U66" s="113">
        <f t="shared" si="22"/>
        <v>31.993571752840037</v>
      </c>
      <c r="V66" s="114"/>
      <c r="W66" s="114">
        <v>-0.2</v>
      </c>
      <c r="X66" s="115">
        <f>X67</f>
        <v>5</v>
      </c>
      <c r="Y66" s="61" t="str">
        <f>CONCATENATE(X66," mile average distance between CO and POP")</f>
        <v>5 mile average distance between CO and POP</v>
      </c>
      <c r="Z66" s="116">
        <v>224</v>
      </c>
    </row>
    <row r="67" spans="1:26" x14ac:dyDescent="0.25">
      <c r="A67" s="94" t="s">
        <v>300</v>
      </c>
      <c r="B67" s="113">
        <f>Assumptions!$F$220+(Scenario!X67)*$Z$67</f>
        <v>1760</v>
      </c>
      <c r="C67" s="113">
        <f t="shared" ref="C67:K67" si="23">B67*(1+$W67)</f>
        <v>1408</v>
      </c>
      <c r="D67" s="113">
        <f t="shared" si="23"/>
        <v>1126.4000000000001</v>
      </c>
      <c r="E67" s="113">
        <f t="shared" si="23"/>
        <v>901.12000000000012</v>
      </c>
      <c r="F67" s="113">
        <f t="shared" si="23"/>
        <v>720.89600000000019</v>
      </c>
      <c r="G67" s="113">
        <f t="shared" si="23"/>
        <v>576.71680000000015</v>
      </c>
      <c r="H67" s="113">
        <f t="shared" si="23"/>
        <v>461.37344000000013</v>
      </c>
      <c r="I67" s="113">
        <f t="shared" si="23"/>
        <v>369.0987520000001</v>
      </c>
      <c r="J67" s="113">
        <f t="shared" si="23"/>
        <v>295.27900160000007</v>
      </c>
      <c r="K67" s="113">
        <f t="shared" si="23"/>
        <v>236.22320128000007</v>
      </c>
      <c r="L67" s="113">
        <f t="shared" ref="L67:U67" si="24">K67*(1+$W67)</f>
        <v>188.97856102400007</v>
      </c>
      <c r="M67" s="113">
        <f t="shared" si="24"/>
        <v>151.18284881920007</v>
      </c>
      <c r="N67" s="113">
        <f t="shared" si="24"/>
        <v>120.94627905536007</v>
      </c>
      <c r="O67" s="113">
        <f t="shared" si="24"/>
        <v>96.757023244288064</v>
      </c>
      <c r="P67" s="113">
        <f t="shared" si="24"/>
        <v>77.405618595430454</v>
      </c>
      <c r="Q67" s="113">
        <f t="shared" si="24"/>
        <v>61.924494876344369</v>
      </c>
      <c r="R67" s="113">
        <f t="shared" si="24"/>
        <v>49.539595901075501</v>
      </c>
      <c r="S67" s="113">
        <f t="shared" si="24"/>
        <v>39.631676720860405</v>
      </c>
      <c r="T67" s="113">
        <f t="shared" si="24"/>
        <v>31.705341376688324</v>
      </c>
      <c r="U67" s="113">
        <f t="shared" si="24"/>
        <v>25.364273101350662</v>
      </c>
      <c r="V67" s="114"/>
      <c r="W67" s="114">
        <v>-0.2</v>
      </c>
      <c r="X67" s="115">
        <f>Assumptions!F222</f>
        <v>5</v>
      </c>
      <c r="Y67" s="61" t="s">
        <v>912</v>
      </c>
      <c r="Z67" s="83">
        <f>Assumptions!F221</f>
        <v>132</v>
      </c>
    </row>
    <row r="68" spans="1:26" x14ac:dyDescent="0.25">
      <c r="A68" s="94" t="s">
        <v>347</v>
      </c>
      <c r="B68" s="113">
        <f>Assumptions!$F$220+(Scenario!X68)*$Z$68</f>
        <v>1300</v>
      </c>
      <c r="C68" s="113">
        <f t="shared" ref="C68:K68" si="25">B68*(1+$W68)</f>
        <v>1040</v>
      </c>
      <c r="D68" s="113">
        <f t="shared" si="25"/>
        <v>832</v>
      </c>
      <c r="E68" s="113">
        <f t="shared" si="25"/>
        <v>665.6</v>
      </c>
      <c r="F68" s="113">
        <f t="shared" si="25"/>
        <v>532.48</v>
      </c>
      <c r="G68" s="113">
        <f t="shared" si="25"/>
        <v>425.98400000000004</v>
      </c>
      <c r="H68" s="113">
        <f t="shared" si="25"/>
        <v>340.78720000000004</v>
      </c>
      <c r="I68" s="113">
        <f t="shared" si="25"/>
        <v>272.62976000000003</v>
      </c>
      <c r="J68" s="113">
        <f t="shared" si="25"/>
        <v>218.10380800000004</v>
      </c>
      <c r="K68" s="113">
        <f t="shared" si="25"/>
        <v>174.48304640000003</v>
      </c>
      <c r="L68" s="113">
        <f t="shared" ref="L68:U68" si="26">K68*(1+$W68)</f>
        <v>139.58643712000003</v>
      </c>
      <c r="M68" s="113">
        <f t="shared" si="26"/>
        <v>111.66914969600003</v>
      </c>
      <c r="N68" s="113">
        <f t="shared" si="26"/>
        <v>89.335319756800033</v>
      </c>
      <c r="O68" s="113">
        <f t="shared" si="26"/>
        <v>71.468255805440023</v>
      </c>
      <c r="P68" s="113">
        <f t="shared" si="26"/>
        <v>57.174604644352023</v>
      </c>
      <c r="Q68" s="113">
        <f t="shared" si="26"/>
        <v>45.739683715481618</v>
      </c>
      <c r="R68" s="113">
        <f t="shared" si="26"/>
        <v>36.591746972385295</v>
      </c>
      <c r="S68" s="113">
        <f t="shared" si="26"/>
        <v>29.273397577908238</v>
      </c>
      <c r="T68" s="113">
        <f t="shared" si="26"/>
        <v>23.41871806232659</v>
      </c>
      <c r="U68" s="113">
        <f t="shared" si="26"/>
        <v>18.734974449861273</v>
      </c>
      <c r="V68" s="114"/>
      <c r="W68" s="114">
        <v>-0.2</v>
      </c>
      <c r="X68" s="115">
        <f>X67</f>
        <v>5</v>
      </c>
      <c r="Y68" s="61" t="str">
        <f>CONCATENATE(X68," mile average distance between CO and POP")</f>
        <v>5 mile average distance between CO and POP</v>
      </c>
      <c r="Z68" s="116">
        <v>40</v>
      </c>
    </row>
    <row r="69" spans="1:26" ht="13.8" thickBot="1" x14ac:dyDescent="0.3">
      <c r="A69" s="90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91"/>
    </row>
    <row r="70" spans="1:26" x14ac:dyDescent="0.25">
      <c r="A70" s="92" t="s">
        <v>308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81"/>
    </row>
    <row r="71" spans="1:26" x14ac:dyDescent="0.25">
      <c r="A71" s="84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83"/>
    </row>
    <row r="72" spans="1:26" x14ac:dyDescent="0.25">
      <c r="A72" s="94" t="s">
        <v>346</v>
      </c>
      <c r="B72" s="117">
        <f t="shared" ref="B72:U72" si="27">B73*$X72</f>
        <v>66.5</v>
      </c>
      <c r="C72" s="117">
        <f t="shared" si="27"/>
        <v>79.800000000000011</v>
      </c>
      <c r="D72" s="117">
        <f t="shared" si="27"/>
        <v>83.79</v>
      </c>
      <c r="E72" s="117">
        <f t="shared" si="27"/>
        <v>99.75</v>
      </c>
      <c r="F72" s="117">
        <f t="shared" si="27"/>
        <v>115.71000000000001</v>
      </c>
      <c r="G72" s="117">
        <f t="shared" si="27"/>
        <v>125.02000000000001</v>
      </c>
      <c r="H72" s="117">
        <f t="shared" si="27"/>
        <v>132.20200000000003</v>
      </c>
      <c r="I72" s="117">
        <f t="shared" si="27"/>
        <v>137.256</v>
      </c>
      <c r="J72" s="117">
        <f t="shared" si="27"/>
        <v>140.18200000000002</v>
      </c>
      <c r="K72" s="117">
        <f t="shared" si="27"/>
        <v>140.98000000000002</v>
      </c>
      <c r="L72" s="117">
        <f t="shared" si="27"/>
        <v>151.62</v>
      </c>
      <c r="M72" s="117">
        <f t="shared" si="27"/>
        <v>162.26000000000002</v>
      </c>
      <c r="N72" s="117">
        <f t="shared" si="27"/>
        <v>172.9</v>
      </c>
      <c r="O72" s="117">
        <f t="shared" si="27"/>
        <v>183.54000000000002</v>
      </c>
      <c r="P72" s="117">
        <f t="shared" si="27"/>
        <v>194.18</v>
      </c>
      <c r="Q72" s="117">
        <f t="shared" si="27"/>
        <v>204.82000000000002</v>
      </c>
      <c r="R72" s="117">
        <f t="shared" si="27"/>
        <v>215.46</v>
      </c>
      <c r="S72" s="117">
        <f t="shared" si="27"/>
        <v>226.10000000000002</v>
      </c>
      <c r="T72" s="117">
        <f t="shared" si="27"/>
        <v>236.74</v>
      </c>
      <c r="U72" s="117">
        <f t="shared" si="27"/>
        <v>247.38000000000002</v>
      </c>
      <c r="V72" s="61"/>
      <c r="W72" s="61"/>
      <c r="X72" s="86">
        <v>1.33</v>
      </c>
      <c r="Y72" s="61" t="str">
        <f>CONCATENATE(X72,"x  of medium estimate")</f>
        <v>1.33x  of medium estimate</v>
      </c>
      <c r="Z72" s="83"/>
    </row>
    <row r="73" spans="1:26" x14ac:dyDescent="0.25">
      <c r="A73" s="94" t="s">
        <v>300</v>
      </c>
      <c r="B73" s="118">
        <f>Assumptions!F288</f>
        <v>50</v>
      </c>
      <c r="C73" s="118">
        <f>Assumptions!G288</f>
        <v>60</v>
      </c>
      <c r="D73" s="118">
        <f>Assumptions!H288</f>
        <v>63</v>
      </c>
      <c r="E73" s="118">
        <f>Assumptions!I288</f>
        <v>75</v>
      </c>
      <c r="F73" s="118">
        <f>Assumptions!J288</f>
        <v>87</v>
      </c>
      <c r="G73" s="118">
        <f>Assumptions!K288</f>
        <v>94</v>
      </c>
      <c r="H73" s="118">
        <f>Assumptions!L288</f>
        <v>99.4</v>
      </c>
      <c r="I73" s="118">
        <f>Assumptions!M288</f>
        <v>103.2</v>
      </c>
      <c r="J73" s="118">
        <f>Assumptions!N288</f>
        <v>105.4</v>
      </c>
      <c r="K73" s="118">
        <f>Assumptions!O288</f>
        <v>106</v>
      </c>
      <c r="L73" s="118">
        <f>Assumptions!P288</f>
        <v>114</v>
      </c>
      <c r="M73" s="118">
        <f>Assumptions!Q288</f>
        <v>122</v>
      </c>
      <c r="N73" s="118">
        <f>Assumptions!R288</f>
        <v>130</v>
      </c>
      <c r="O73" s="118">
        <f>Assumptions!S288</f>
        <v>138</v>
      </c>
      <c r="P73" s="118">
        <f>Assumptions!T288</f>
        <v>146</v>
      </c>
      <c r="Q73" s="118">
        <f>Assumptions!U288</f>
        <v>154</v>
      </c>
      <c r="R73" s="118">
        <f>Assumptions!V288</f>
        <v>162</v>
      </c>
      <c r="S73" s="118">
        <f>Assumptions!W288</f>
        <v>170</v>
      </c>
      <c r="T73" s="118">
        <f>Assumptions!X288</f>
        <v>178</v>
      </c>
      <c r="U73" s="118">
        <f>Assumptions!Y288</f>
        <v>186</v>
      </c>
      <c r="V73" s="110"/>
      <c r="W73" s="110"/>
      <c r="X73" s="110"/>
      <c r="Y73" s="61" t="s">
        <v>309</v>
      </c>
      <c r="Z73" s="83"/>
    </row>
    <row r="74" spans="1:26" x14ac:dyDescent="0.25">
      <c r="A74" s="94" t="s">
        <v>347</v>
      </c>
      <c r="B74" s="117">
        <f t="shared" ref="B74:K74" si="28">B73*$X74</f>
        <v>40</v>
      </c>
      <c r="C74" s="117">
        <f t="shared" si="28"/>
        <v>48</v>
      </c>
      <c r="D74" s="117">
        <f t="shared" si="28"/>
        <v>50.400000000000006</v>
      </c>
      <c r="E74" s="117">
        <f t="shared" si="28"/>
        <v>60</v>
      </c>
      <c r="F74" s="117">
        <f t="shared" si="28"/>
        <v>69.600000000000009</v>
      </c>
      <c r="G74" s="117">
        <f t="shared" si="28"/>
        <v>75.2</v>
      </c>
      <c r="H74" s="117">
        <f t="shared" si="28"/>
        <v>79.52000000000001</v>
      </c>
      <c r="I74" s="117">
        <f t="shared" si="28"/>
        <v>82.56</v>
      </c>
      <c r="J74" s="117">
        <f t="shared" si="28"/>
        <v>84.320000000000007</v>
      </c>
      <c r="K74" s="117">
        <f t="shared" si="28"/>
        <v>84.800000000000011</v>
      </c>
      <c r="L74" s="117">
        <f t="shared" ref="L74:U74" si="29">L73*$X74</f>
        <v>91.2</v>
      </c>
      <c r="M74" s="117">
        <f t="shared" si="29"/>
        <v>97.600000000000009</v>
      </c>
      <c r="N74" s="117">
        <f t="shared" si="29"/>
        <v>104</v>
      </c>
      <c r="O74" s="117">
        <f t="shared" si="29"/>
        <v>110.4</v>
      </c>
      <c r="P74" s="117">
        <f t="shared" si="29"/>
        <v>116.80000000000001</v>
      </c>
      <c r="Q74" s="117">
        <f t="shared" si="29"/>
        <v>123.2</v>
      </c>
      <c r="R74" s="117">
        <f t="shared" si="29"/>
        <v>129.6</v>
      </c>
      <c r="S74" s="117">
        <f t="shared" si="29"/>
        <v>136</v>
      </c>
      <c r="T74" s="117">
        <f t="shared" si="29"/>
        <v>142.4</v>
      </c>
      <c r="U74" s="117">
        <f t="shared" si="29"/>
        <v>148.80000000000001</v>
      </c>
      <c r="V74" s="110"/>
      <c r="W74" s="110"/>
      <c r="X74" s="110">
        <v>0.8</v>
      </c>
      <c r="Y74" s="61" t="str">
        <f>CONCATENATE(X74,"x  of medium estimate")</f>
        <v>0.8x  of medium estimate</v>
      </c>
      <c r="Z74" s="83"/>
    </row>
    <row r="75" spans="1:26" ht="13.8" thickBot="1" x14ac:dyDescent="0.3">
      <c r="A75" s="108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64"/>
      <c r="Z75" s="91"/>
    </row>
    <row r="76" spans="1:26" x14ac:dyDescent="0.25">
      <c r="A76" s="119" t="s">
        <v>354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58"/>
      <c r="Z76" s="81"/>
    </row>
    <row r="77" spans="1:26" x14ac:dyDescent="0.25">
      <c r="A77" s="84"/>
      <c r="B77" s="77">
        <v>2001</v>
      </c>
      <c r="C77" s="77">
        <v>2002</v>
      </c>
      <c r="D77" s="77">
        <v>2003</v>
      </c>
      <c r="E77" s="77">
        <v>2004</v>
      </c>
      <c r="F77" s="77">
        <v>2005</v>
      </c>
      <c r="G77" s="77">
        <v>2006</v>
      </c>
      <c r="H77" s="77">
        <v>2007</v>
      </c>
      <c r="I77" s="77">
        <v>2008</v>
      </c>
      <c r="J77" s="77">
        <v>2009</v>
      </c>
      <c r="K77" s="77">
        <v>2010</v>
      </c>
      <c r="L77" s="77">
        <v>2011</v>
      </c>
      <c r="M77" s="77">
        <v>2012</v>
      </c>
      <c r="N77" s="77">
        <v>2013</v>
      </c>
      <c r="O77" s="77">
        <v>2014</v>
      </c>
      <c r="P77" s="77">
        <v>2015</v>
      </c>
      <c r="Q77" s="77">
        <v>2016</v>
      </c>
      <c r="R77" s="77">
        <v>2017</v>
      </c>
      <c r="S77" s="77">
        <v>2018</v>
      </c>
      <c r="T77" s="77">
        <v>2019</v>
      </c>
      <c r="U77" s="77">
        <v>2020</v>
      </c>
      <c r="V77" s="61"/>
      <c r="W77" s="121" t="s">
        <v>311</v>
      </c>
      <c r="X77" s="121" t="s">
        <v>306</v>
      </c>
      <c r="Y77" s="61"/>
      <c r="Z77" s="83"/>
    </row>
    <row r="78" spans="1:26" x14ac:dyDescent="0.25">
      <c r="A78" s="94" t="s">
        <v>346</v>
      </c>
      <c r="B78" s="122">
        <f>W78</f>
        <v>399</v>
      </c>
      <c r="C78" s="122">
        <f>MAX(B78*(1+$X78),150)</f>
        <v>339.15</v>
      </c>
      <c r="D78" s="122">
        <f t="shared" ref="D78:U78" si="30">MAX(C78*(1+$X78),150)</f>
        <v>288.27749999999997</v>
      </c>
      <c r="E78" s="122">
        <f>E79</f>
        <v>245.03587499999998</v>
      </c>
      <c r="F78" s="122">
        <f t="shared" si="30"/>
        <v>208.28049374999998</v>
      </c>
      <c r="G78" s="122">
        <f t="shared" si="30"/>
        <v>177.03841968749998</v>
      </c>
      <c r="H78" s="122">
        <f t="shared" si="30"/>
        <v>150.48265673437498</v>
      </c>
      <c r="I78" s="122">
        <f t="shared" si="30"/>
        <v>150</v>
      </c>
      <c r="J78" s="122">
        <f t="shared" si="30"/>
        <v>150</v>
      </c>
      <c r="K78" s="122">
        <f t="shared" si="30"/>
        <v>150</v>
      </c>
      <c r="L78" s="122">
        <f t="shared" si="30"/>
        <v>150</v>
      </c>
      <c r="M78" s="122">
        <f t="shared" si="30"/>
        <v>150</v>
      </c>
      <c r="N78" s="122">
        <f t="shared" si="30"/>
        <v>150</v>
      </c>
      <c r="O78" s="122">
        <f t="shared" si="30"/>
        <v>150</v>
      </c>
      <c r="P78" s="122">
        <f t="shared" si="30"/>
        <v>150</v>
      </c>
      <c r="Q78" s="122">
        <f t="shared" si="30"/>
        <v>150</v>
      </c>
      <c r="R78" s="122">
        <f t="shared" si="30"/>
        <v>150</v>
      </c>
      <c r="S78" s="122">
        <f t="shared" si="30"/>
        <v>150</v>
      </c>
      <c r="T78" s="122">
        <f t="shared" si="30"/>
        <v>150</v>
      </c>
      <c r="U78" s="122">
        <f t="shared" si="30"/>
        <v>150</v>
      </c>
      <c r="V78" s="123"/>
      <c r="W78" s="72">
        <v>399</v>
      </c>
      <c r="X78" s="124">
        <v>-0.15</v>
      </c>
      <c r="Y78" s="61"/>
      <c r="Z78" s="83"/>
    </row>
    <row r="79" spans="1:26" x14ac:dyDescent="0.25">
      <c r="A79" s="94" t="s">
        <v>300</v>
      </c>
      <c r="B79" s="122">
        <f>W79</f>
        <v>399</v>
      </c>
      <c r="C79" s="122">
        <f>MAX(B79*(1+$X79),150)</f>
        <v>339.15</v>
      </c>
      <c r="D79" s="122">
        <f t="shared" ref="D79:U79" si="31">MAX(C79*(1+$X79),150)</f>
        <v>288.27749999999997</v>
      </c>
      <c r="E79" s="122">
        <f t="shared" si="31"/>
        <v>245.03587499999998</v>
      </c>
      <c r="F79" s="122">
        <f t="shared" si="31"/>
        <v>208.28049374999998</v>
      </c>
      <c r="G79" s="122">
        <f t="shared" si="31"/>
        <v>177.03841968749998</v>
      </c>
      <c r="H79" s="122">
        <f t="shared" si="31"/>
        <v>150.48265673437498</v>
      </c>
      <c r="I79" s="122">
        <f t="shared" si="31"/>
        <v>150</v>
      </c>
      <c r="J79" s="122">
        <f t="shared" si="31"/>
        <v>150</v>
      </c>
      <c r="K79" s="122">
        <f t="shared" si="31"/>
        <v>150</v>
      </c>
      <c r="L79" s="122">
        <f t="shared" si="31"/>
        <v>150</v>
      </c>
      <c r="M79" s="122">
        <f t="shared" si="31"/>
        <v>150</v>
      </c>
      <c r="N79" s="122">
        <f t="shared" si="31"/>
        <v>150</v>
      </c>
      <c r="O79" s="122">
        <f t="shared" si="31"/>
        <v>150</v>
      </c>
      <c r="P79" s="122">
        <f t="shared" si="31"/>
        <v>150</v>
      </c>
      <c r="Q79" s="122">
        <f t="shared" si="31"/>
        <v>150</v>
      </c>
      <c r="R79" s="122">
        <f t="shared" si="31"/>
        <v>150</v>
      </c>
      <c r="S79" s="122">
        <f t="shared" si="31"/>
        <v>150</v>
      </c>
      <c r="T79" s="122">
        <f t="shared" si="31"/>
        <v>150</v>
      </c>
      <c r="U79" s="122">
        <f t="shared" si="31"/>
        <v>150</v>
      </c>
      <c r="V79" s="123"/>
      <c r="W79" s="72">
        <v>399</v>
      </c>
      <c r="X79" s="124">
        <v>-0.15</v>
      </c>
      <c r="Y79" s="61"/>
      <c r="Z79" s="83"/>
    </row>
    <row r="80" spans="1:26" x14ac:dyDescent="0.25">
      <c r="A80" s="94" t="s">
        <v>347</v>
      </c>
      <c r="B80" s="122">
        <f>W80</f>
        <v>399</v>
      </c>
      <c r="C80" s="122">
        <f>MAX(B80*(1+$X80),150)</f>
        <v>339.15</v>
      </c>
      <c r="D80" s="122">
        <f t="shared" ref="D80:U80" si="32">MAX(C80*(1+$X80),150)</f>
        <v>288.27749999999997</v>
      </c>
      <c r="E80" s="122">
        <f>E79</f>
        <v>245.03587499999998</v>
      </c>
      <c r="F80" s="122">
        <f t="shared" si="32"/>
        <v>208.28049374999998</v>
      </c>
      <c r="G80" s="122">
        <f t="shared" si="32"/>
        <v>177.03841968749998</v>
      </c>
      <c r="H80" s="122">
        <f t="shared" si="32"/>
        <v>150.48265673437498</v>
      </c>
      <c r="I80" s="122">
        <f t="shared" si="32"/>
        <v>150</v>
      </c>
      <c r="J80" s="122">
        <f t="shared" si="32"/>
        <v>150</v>
      </c>
      <c r="K80" s="122">
        <f t="shared" si="32"/>
        <v>150</v>
      </c>
      <c r="L80" s="122">
        <f t="shared" si="32"/>
        <v>150</v>
      </c>
      <c r="M80" s="122">
        <f t="shared" si="32"/>
        <v>150</v>
      </c>
      <c r="N80" s="122">
        <f t="shared" si="32"/>
        <v>150</v>
      </c>
      <c r="O80" s="122">
        <f t="shared" si="32"/>
        <v>150</v>
      </c>
      <c r="P80" s="122">
        <f t="shared" si="32"/>
        <v>150</v>
      </c>
      <c r="Q80" s="122">
        <f t="shared" si="32"/>
        <v>150</v>
      </c>
      <c r="R80" s="122">
        <f t="shared" si="32"/>
        <v>150</v>
      </c>
      <c r="S80" s="122">
        <f t="shared" si="32"/>
        <v>150</v>
      </c>
      <c r="T80" s="122">
        <f t="shared" si="32"/>
        <v>150</v>
      </c>
      <c r="U80" s="122">
        <f t="shared" si="32"/>
        <v>150</v>
      </c>
      <c r="V80" s="123"/>
      <c r="W80" s="72">
        <v>399</v>
      </c>
      <c r="X80" s="124">
        <v>-0.15</v>
      </c>
      <c r="Y80" s="61"/>
      <c r="Z80" s="83"/>
    </row>
    <row r="81" spans="1:26" ht="13.8" thickBot="1" x14ac:dyDescent="0.3">
      <c r="A81" s="108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126"/>
      <c r="Y81" s="64"/>
      <c r="Z81" s="91"/>
    </row>
    <row r="82" spans="1:26" x14ac:dyDescent="0.25">
      <c r="A82" s="92" t="s">
        <v>353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81"/>
    </row>
    <row r="83" spans="1:26" x14ac:dyDescent="0.25">
      <c r="A83" s="84"/>
      <c r="B83" s="77">
        <v>2001</v>
      </c>
      <c r="C83" s="77">
        <v>2002</v>
      </c>
      <c r="D83" s="77">
        <v>2003</v>
      </c>
      <c r="E83" s="77">
        <v>2004</v>
      </c>
      <c r="F83" s="77">
        <v>2005</v>
      </c>
      <c r="G83" s="77">
        <v>2006</v>
      </c>
      <c r="H83" s="77">
        <v>2007</v>
      </c>
      <c r="I83" s="77">
        <v>2008</v>
      </c>
      <c r="J83" s="77">
        <v>2009</v>
      </c>
      <c r="K83" s="77">
        <v>2010</v>
      </c>
      <c r="L83" s="77">
        <v>2011</v>
      </c>
      <c r="M83" s="77">
        <v>2012</v>
      </c>
      <c r="N83" s="77">
        <v>2013</v>
      </c>
      <c r="O83" s="77">
        <v>2014</v>
      </c>
      <c r="P83" s="77">
        <v>2015</v>
      </c>
      <c r="Q83" s="77">
        <v>2016</v>
      </c>
      <c r="R83" s="77">
        <v>2017</v>
      </c>
      <c r="S83" s="77">
        <v>2018</v>
      </c>
      <c r="T83" s="77">
        <v>2019</v>
      </c>
      <c r="U83" s="77">
        <v>2020</v>
      </c>
      <c r="V83" s="77"/>
      <c r="W83" s="121" t="s">
        <v>311</v>
      </c>
      <c r="X83" s="77" t="s">
        <v>306</v>
      </c>
      <c r="Y83" s="61"/>
      <c r="Z83" s="83"/>
    </row>
    <row r="84" spans="1:26" x14ac:dyDescent="0.25">
      <c r="A84" s="94" t="s">
        <v>346</v>
      </c>
      <c r="B84" s="122">
        <v>150</v>
      </c>
      <c r="C84" s="122">
        <v>150</v>
      </c>
      <c r="D84" s="122">
        <v>150</v>
      </c>
      <c r="E84" s="122">
        <v>150</v>
      </c>
      <c r="F84" s="122">
        <v>150</v>
      </c>
      <c r="G84" s="122">
        <v>150</v>
      </c>
      <c r="H84" s="122">
        <v>150</v>
      </c>
      <c r="I84" s="122">
        <f>I78</f>
        <v>150</v>
      </c>
      <c r="J84" s="122">
        <f t="shared" ref="J84:U84" si="33">J78</f>
        <v>150</v>
      </c>
      <c r="K84" s="122">
        <f t="shared" si="33"/>
        <v>150</v>
      </c>
      <c r="L84" s="122">
        <f t="shared" si="33"/>
        <v>150</v>
      </c>
      <c r="M84" s="122">
        <f t="shared" si="33"/>
        <v>150</v>
      </c>
      <c r="N84" s="122">
        <f t="shared" si="33"/>
        <v>150</v>
      </c>
      <c r="O84" s="122">
        <f t="shared" si="33"/>
        <v>150</v>
      </c>
      <c r="P84" s="122">
        <f t="shared" si="33"/>
        <v>150</v>
      </c>
      <c r="Q84" s="122">
        <f t="shared" si="33"/>
        <v>150</v>
      </c>
      <c r="R84" s="122">
        <f t="shared" si="33"/>
        <v>150</v>
      </c>
      <c r="S84" s="122">
        <f t="shared" si="33"/>
        <v>150</v>
      </c>
      <c r="T84" s="122">
        <f t="shared" si="33"/>
        <v>150</v>
      </c>
      <c r="U84" s="122">
        <f t="shared" si="33"/>
        <v>150</v>
      </c>
      <c r="V84" s="123"/>
      <c r="W84" s="72">
        <v>200</v>
      </c>
      <c r="X84" s="98">
        <v>-0.15</v>
      </c>
      <c r="Y84" s="61"/>
      <c r="Z84" s="83"/>
    </row>
    <row r="85" spans="1:26" x14ac:dyDescent="0.25">
      <c r="A85" s="94" t="s">
        <v>300</v>
      </c>
      <c r="B85" s="122">
        <f>4.99*36</f>
        <v>179.64000000000001</v>
      </c>
      <c r="C85" s="122">
        <f>4.99*36</f>
        <v>179.64000000000001</v>
      </c>
      <c r="D85" s="122">
        <f>4.99*36</f>
        <v>179.64000000000001</v>
      </c>
      <c r="E85" s="122">
        <f>F85</f>
        <v>208.28049374999998</v>
      </c>
      <c r="F85" s="122">
        <f>F79</f>
        <v>208.28049374999998</v>
      </c>
      <c r="G85" s="122">
        <f t="shared" ref="G85:U85" si="34">G79</f>
        <v>177.03841968749998</v>
      </c>
      <c r="H85" s="122">
        <f t="shared" si="34"/>
        <v>150.48265673437498</v>
      </c>
      <c r="I85" s="122">
        <f t="shared" si="34"/>
        <v>150</v>
      </c>
      <c r="J85" s="122">
        <f t="shared" si="34"/>
        <v>150</v>
      </c>
      <c r="K85" s="122">
        <f t="shared" si="34"/>
        <v>150</v>
      </c>
      <c r="L85" s="122">
        <f t="shared" si="34"/>
        <v>150</v>
      </c>
      <c r="M85" s="122">
        <f t="shared" si="34"/>
        <v>150</v>
      </c>
      <c r="N85" s="122">
        <f t="shared" si="34"/>
        <v>150</v>
      </c>
      <c r="O85" s="122">
        <f t="shared" si="34"/>
        <v>150</v>
      </c>
      <c r="P85" s="122">
        <f t="shared" si="34"/>
        <v>150</v>
      </c>
      <c r="Q85" s="122">
        <f t="shared" si="34"/>
        <v>150</v>
      </c>
      <c r="R85" s="122">
        <f t="shared" si="34"/>
        <v>150</v>
      </c>
      <c r="S85" s="122">
        <f t="shared" si="34"/>
        <v>150</v>
      </c>
      <c r="T85" s="122">
        <f t="shared" si="34"/>
        <v>150</v>
      </c>
      <c r="U85" s="122">
        <f t="shared" si="34"/>
        <v>150</v>
      </c>
      <c r="V85" s="123"/>
      <c r="W85" s="72">
        <v>250</v>
      </c>
      <c r="X85" s="98">
        <v>-0.15</v>
      </c>
      <c r="Y85" s="61"/>
      <c r="Z85" s="83"/>
    </row>
    <row r="86" spans="1:26" x14ac:dyDescent="0.25">
      <c r="A86" s="94" t="s">
        <v>347</v>
      </c>
      <c r="B86" s="122">
        <v>339</v>
      </c>
      <c r="C86" s="122">
        <f>C80</f>
        <v>339.15</v>
      </c>
      <c r="D86" s="122">
        <f t="shared" ref="D86:U86" si="35">D80</f>
        <v>288.27749999999997</v>
      </c>
      <c r="E86" s="122">
        <f>E80</f>
        <v>245.03587499999998</v>
      </c>
      <c r="F86" s="122">
        <f t="shared" si="35"/>
        <v>208.28049374999998</v>
      </c>
      <c r="G86" s="122">
        <f t="shared" si="35"/>
        <v>177.03841968749998</v>
      </c>
      <c r="H86" s="122">
        <f t="shared" si="35"/>
        <v>150.48265673437498</v>
      </c>
      <c r="I86" s="122">
        <f t="shared" si="35"/>
        <v>150</v>
      </c>
      <c r="J86" s="122">
        <f t="shared" si="35"/>
        <v>150</v>
      </c>
      <c r="K86" s="122">
        <f t="shared" si="35"/>
        <v>150</v>
      </c>
      <c r="L86" s="122">
        <f t="shared" si="35"/>
        <v>150</v>
      </c>
      <c r="M86" s="122">
        <f t="shared" si="35"/>
        <v>150</v>
      </c>
      <c r="N86" s="122">
        <f t="shared" si="35"/>
        <v>150</v>
      </c>
      <c r="O86" s="122">
        <f t="shared" si="35"/>
        <v>150</v>
      </c>
      <c r="P86" s="122">
        <f t="shared" si="35"/>
        <v>150</v>
      </c>
      <c r="Q86" s="122">
        <f t="shared" si="35"/>
        <v>150</v>
      </c>
      <c r="R86" s="122">
        <f t="shared" si="35"/>
        <v>150</v>
      </c>
      <c r="S86" s="122">
        <f t="shared" si="35"/>
        <v>150</v>
      </c>
      <c r="T86" s="122">
        <f t="shared" si="35"/>
        <v>150</v>
      </c>
      <c r="U86" s="122">
        <f t="shared" si="35"/>
        <v>150</v>
      </c>
      <c r="V86" s="123"/>
      <c r="W86" s="72">
        <v>300</v>
      </c>
      <c r="X86" s="98">
        <v>-0.15</v>
      </c>
      <c r="Y86" s="61"/>
      <c r="Z86" s="83"/>
    </row>
    <row r="87" spans="1:26" ht="13.8" thickBot="1" x14ac:dyDescent="0.3">
      <c r="A87" s="108"/>
      <c r="B87" s="141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7"/>
      <c r="W87" s="68"/>
      <c r="X87" s="128"/>
      <c r="Y87" s="64"/>
      <c r="Z87" s="91"/>
    </row>
    <row r="88" spans="1:26" x14ac:dyDescent="0.25">
      <c r="A88" s="129" t="s">
        <v>417</v>
      </c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3"/>
      <c r="W88" s="72"/>
      <c r="X88" s="98"/>
      <c r="Y88" s="61"/>
      <c r="Z88" s="83"/>
    </row>
    <row r="89" spans="1:26" x14ac:dyDescent="0.25">
      <c r="A89" s="94" t="s">
        <v>346</v>
      </c>
      <c r="B89" s="122">
        <f>B78-B84</f>
        <v>249</v>
      </c>
      <c r="C89" s="122">
        <f t="shared" ref="C89:U91" si="36">C78-C84</f>
        <v>189.14999999999998</v>
      </c>
      <c r="D89" s="122">
        <f t="shared" si="36"/>
        <v>138.27749999999997</v>
      </c>
      <c r="E89" s="122">
        <f t="shared" si="36"/>
        <v>95.035874999999976</v>
      </c>
      <c r="F89" s="122">
        <f t="shared" si="36"/>
        <v>58.280493749999977</v>
      </c>
      <c r="G89" s="122">
        <f t="shared" si="36"/>
        <v>27.038419687499982</v>
      </c>
      <c r="H89" s="122">
        <f t="shared" si="36"/>
        <v>0.48265673437498435</v>
      </c>
      <c r="I89" s="122">
        <f t="shared" si="36"/>
        <v>0</v>
      </c>
      <c r="J89" s="122">
        <f t="shared" si="36"/>
        <v>0</v>
      </c>
      <c r="K89" s="122">
        <f t="shared" si="36"/>
        <v>0</v>
      </c>
      <c r="L89" s="122">
        <f t="shared" si="36"/>
        <v>0</v>
      </c>
      <c r="M89" s="122">
        <f t="shared" si="36"/>
        <v>0</v>
      </c>
      <c r="N89" s="122">
        <f t="shared" si="36"/>
        <v>0</v>
      </c>
      <c r="O89" s="122">
        <f t="shared" si="36"/>
        <v>0</v>
      </c>
      <c r="P89" s="122">
        <f t="shared" si="36"/>
        <v>0</v>
      </c>
      <c r="Q89" s="122">
        <f t="shared" si="36"/>
        <v>0</v>
      </c>
      <c r="R89" s="122">
        <f t="shared" si="36"/>
        <v>0</v>
      </c>
      <c r="S89" s="122">
        <f t="shared" si="36"/>
        <v>0</v>
      </c>
      <c r="T89" s="122">
        <f t="shared" si="36"/>
        <v>0</v>
      </c>
      <c r="U89" s="122">
        <f t="shared" si="36"/>
        <v>0</v>
      </c>
      <c r="V89" s="123"/>
      <c r="W89" s="72"/>
      <c r="X89" s="98"/>
      <c r="Y89" s="61"/>
      <c r="Z89" s="83"/>
    </row>
    <row r="90" spans="1:26" x14ac:dyDescent="0.25">
      <c r="A90" s="94" t="s">
        <v>300</v>
      </c>
      <c r="B90" s="122">
        <f t="shared" ref="B90:Q91" si="37">B79-B85</f>
        <v>219.35999999999999</v>
      </c>
      <c r="C90" s="122">
        <f t="shared" si="37"/>
        <v>159.50999999999996</v>
      </c>
      <c r="D90" s="122">
        <f t="shared" si="37"/>
        <v>108.63749999999996</v>
      </c>
      <c r="E90" s="122">
        <f t="shared" si="37"/>
        <v>36.755381249999999</v>
      </c>
      <c r="F90" s="122">
        <f t="shared" si="37"/>
        <v>0</v>
      </c>
      <c r="G90" s="122">
        <f t="shared" si="37"/>
        <v>0</v>
      </c>
      <c r="H90" s="122">
        <f t="shared" si="37"/>
        <v>0</v>
      </c>
      <c r="I90" s="122">
        <f t="shared" si="37"/>
        <v>0</v>
      </c>
      <c r="J90" s="122">
        <f t="shared" si="37"/>
        <v>0</v>
      </c>
      <c r="K90" s="122">
        <f t="shared" si="37"/>
        <v>0</v>
      </c>
      <c r="L90" s="122">
        <f t="shared" si="37"/>
        <v>0</v>
      </c>
      <c r="M90" s="122">
        <f t="shared" si="37"/>
        <v>0</v>
      </c>
      <c r="N90" s="122">
        <f t="shared" si="37"/>
        <v>0</v>
      </c>
      <c r="O90" s="122">
        <f t="shared" si="37"/>
        <v>0</v>
      </c>
      <c r="P90" s="122">
        <f t="shared" si="37"/>
        <v>0</v>
      </c>
      <c r="Q90" s="122">
        <f t="shared" si="37"/>
        <v>0</v>
      </c>
      <c r="R90" s="122">
        <f t="shared" si="36"/>
        <v>0</v>
      </c>
      <c r="S90" s="122">
        <f t="shared" si="36"/>
        <v>0</v>
      </c>
      <c r="T90" s="122">
        <f t="shared" si="36"/>
        <v>0</v>
      </c>
      <c r="U90" s="122">
        <f t="shared" si="36"/>
        <v>0</v>
      </c>
      <c r="V90" s="123"/>
      <c r="W90" s="72"/>
      <c r="X90" s="98"/>
      <c r="Y90" s="61"/>
      <c r="Z90" s="83"/>
    </row>
    <row r="91" spans="1:26" x14ac:dyDescent="0.25">
      <c r="A91" s="94" t="s">
        <v>347</v>
      </c>
      <c r="B91" s="122">
        <f t="shared" si="37"/>
        <v>60</v>
      </c>
      <c r="C91" s="122">
        <f t="shared" si="36"/>
        <v>0</v>
      </c>
      <c r="D91" s="122">
        <f t="shared" si="36"/>
        <v>0</v>
      </c>
      <c r="E91" s="122">
        <f t="shared" si="36"/>
        <v>0</v>
      </c>
      <c r="F91" s="122">
        <f t="shared" si="36"/>
        <v>0</v>
      </c>
      <c r="G91" s="122">
        <f t="shared" si="36"/>
        <v>0</v>
      </c>
      <c r="H91" s="122">
        <f t="shared" si="36"/>
        <v>0</v>
      </c>
      <c r="I91" s="122">
        <f t="shared" si="36"/>
        <v>0</v>
      </c>
      <c r="J91" s="122">
        <f t="shared" si="36"/>
        <v>0</v>
      </c>
      <c r="K91" s="122">
        <f t="shared" si="36"/>
        <v>0</v>
      </c>
      <c r="L91" s="122">
        <f t="shared" si="36"/>
        <v>0</v>
      </c>
      <c r="M91" s="122">
        <f t="shared" si="36"/>
        <v>0</v>
      </c>
      <c r="N91" s="122">
        <f t="shared" si="36"/>
        <v>0</v>
      </c>
      <c r="O91" s="122">
        <f t="shared" si="36"/>
        <v>0</v>
      </c>
      <c r="P91" s="122">
        <f t="shared" si="36"/>
        <v>0</v>
      </c>
      <c r="Q91" s="122">
        <f t="shared" si="36"/>
        <v>0</v>
      </c>
      <c r="R91" s="122">
        <f t="shared" si="36"/>
        <v>0</v>
      </c>
      <c r="S91" s="122">
        <f t="shared" si="36"/>
        <v>0</v>
      </c>
      <c r="T91" s="122">
        <f t="shared" si="36"/>
        <v>0</v>
      </c>
      <c r="U91" s="122">
        <f t="shared" si="36"/>
        <v>0</v>
      </c>
      <c r="V91" s="123"/>
      <c r="W91" s="72"/>
      <c r="X91" s="98"/>
      <c r="Y91" s="61"/>
      <c r="Z91" s="83"/>
    </row>
    <row r="92" spans="1:26" ht="13.8" thickBot="1" x14ac:dyDescent="0.3">
      <c r="A92" s="90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91"/>
    </row>
    <row r="93" spans="1:26" x14ac:dyDescent="0.25">
      <c r="A93" s="92" t="s">
        <v>413</v>
      </c>
      <c r="B93" s="138">
        <v>2001</v>
      </c>
      <c r="C93" s="138">
        <v>2002</v>
      </c>
      <c r="D93" s="138">
        <v>2003</v>
      </c>
      <c r="E93" s="138">
        <v>2004</v>
      </c>
      <c r="F93" s="138">
        <v>2005</v>
      </c>
      <c r="G93" s="138">
        <v>2006</v>
      </c>
      <c r="H93" s="138">
        <v>2007</v>
      </c>
      <c r="I93" s="138">
        <v>2008</v>
      </c>
      <c r="J93" s="138">
        <v>2009</v>
      </c>
      <c r="K93" s="138">
        <v>2010</v>
      </c>
      <c r="L93" s="138">
        <v>2011</v>
      </c>
      <c r="M93" s="138">
        <v>2012</v>
      </c>
      <c r="N93" s="138">
        <v>2013</v>
      </c>
      <c r="O93" s="138">
        <v>2014</v>
      </c>
      <c r="P93" s="138">
        <v>2015</v>
      </c>
      <c r="Q93" s="138">
        <v>2016</v>
      </c>
      <c r="R93" s="138">
        <v>2017</v>
      </c>
      <c r="S93" s="138">
        <v>2018</v>
      </c>
      <c r="T93" s="138">
        <v>2019</v>
      </c>
      <c r="U93" s="138">
        <v>2020</v>
      </c>
      <c r="V93" s="58"/>
      <c r="W93" s="58"/>
      <c r="X93" s="58"/>
      <c r="Y93" s="58"/>
      <c r="Z93" s="81"/>
    </row>
    <row r="94" spans="1:26" x14ac:dyDescent="0.25">
      <c r="A94" s="94" t="s">
        <v>346</v>
      </c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83"/>
    </row>
    <row r="95" spans="1:26" x14ac:dyDescent="0.25">
      <c r="A95" s="94" t="s">
        <v>300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83"/>
    </row>
    <row r="96" spans="1:26" x14ac:dyDescent="0.25">
      <c r="A96" s="94" t="s">
        <v>347</v>
      </c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83"/>
    </row>
    <row r="97" spans="1:26" ht="13.8" thickBot="1" x14ac:dyDescent="0.3">
      <c r="A97" s="9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91"/>
    </row>
  </sheetData>
  <customSheetViews>
    <customSheetView guid="{00A591F2-C6CE-11D4-B3FE-00409628F381}" scale="75" showPageBreaks="1" printArea="1" hiddenRows="1" showRuler="0">
      <pane xSplit="1" topLeftCell="B1" activePane="topRight" state="frozen"/>
      <selection pane="topRight"/>
      <rowBreaks count="1" manualBreakCount="1">
        <brk id="51" max="14" man="1"/>
      </rowBreaks>
      <colBreaks count="2" manualBreakCount="2">
        <brk id="18" max="91" man="1"/>
        <brk id="26" max="1048575" man="1"/>
      </colBreaks>
      <pageMargins left="0.75" right="0.75" top="1" bottom="1" header="0.5" footer="0.5"/>
      <pageSetup scale="54" orientation="landscape" r:id="rId1"/>
      <headerFooter alignWithMargins="0"/>
    </customSheetView>
    <customSheetView guid="{39AEF1F3-C6CC-11D4-B3CC-0080C71F7D28}" scale="75" showPageBreaks="1" printArea="1" hiddenRows="1" showRuler="0" topLeftCell="A44">
      <pane xSplit="1" topLeftCell="B1" activePane="topRight" state="frozen"/>
      <selection pane="topRight" activeCell="E85" sqref="E85"/>
      <rowBreaks count="1" manualBreakCount="1">
        <brk id="51" max="14" man="1"/>
      </rowBreaks>
      <colBreaks count="2" manualBreakCount="2">
        <brk id="18" max="91" man="1"/>
        <brk id="26" max="1048575" man="1"/>
      </colBreaks>
      <pageMargins left="0.75" right="0.75" top="1" bottom="1" header="0.5" footer="0.5"/>
      <pageSetup scale="54" orientation="landscape" r:id="rId2"/>
      <headerFooter alignWithMargins="0"/>
    </customSheetView>
  </customSheetViews>
  <pageMargins left="0.75" right="0.75" top="1" bottom="1" header="0.5" footer="0.5"/>
  <pageSetup scale="54" orientation="landscape" r:id="rId3"/>
  <headerFooter alignWithMargins="0"/>
  <rowBreaks count="1" manualBreakCount="1">
    <brk id="51" max="14" man="1"/>
  </rowBreaks>
  <colBreaks count="2" manualBreakCount="2">
    <brk id="18" max="91" man="1"/>
    <brk id="26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6" name="Button 1">
              <controlPr defaultSize="0" print="0" autoFill="0" autoPict="0" macro="[0]!ScenarioBuilder">
                <anchor moveWithCells="1" sizeWithCells="1">
                  <from>
                    <xdr:col>0</xdr:col>
                    <xdr:colOff>129540</xdr:colOff>
                    <xdr:row>1</xdr:row>
                    <xdr:rowOff>30480</xdr:rowOff>
                  </from>
                  <to>
                    <xdr:col>0</xdr:col>
                    <xdr:colOff>2377440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V106"/>
  <sheetViews>
    <sheetView zoomScale="75" zoomScaleNormal="75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G22" sqref="G22"/>
    </sheetView>
  </sheetViews>
  <sheetFormatPr defaultColWidth="9.109375" defaultRowHeight="13.2" x14ac:dyDescent="0.25"/>
  <cols>
    <col min="1" max="2" width="2.6640625" style="144" customWidth="1"/>
    <col min="3" max="3" width="40.44140625" style="144" customWidth="1"/>
    <col min="4" max="4" width="7.6640625" style="144" bestFit="1" customWidth="1"/>
    <col min="5" max="24" width="10.6640625" style="144" customWidth="1"/>
    <col min="25" max="25" width="2.6640625" style="144" customWidth="1"/>
    <col min="26" max="26" width="27.5546875" style="144" customWidth="1"/>
    <col min="27" max="16384" width="9.109375" style="144"/>
  </cols>
  <sheetData>
    <row r="1" spans="1:26" x14ac:dyDescent="0.25">
      <c r="A1" s="143" t="s">
        <v>838</v>
      </c>
      <c r="B1" s="380"/>
      <c r="C1" s="380"/>
    </row>
    <row r="2" spans="1:26" ht="13.8" thickBot="1" x14ac:dyDescent="0.3"/>
    <row r="3" spans="1:26" x14ac:dyDescent="0.25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507"/>
    </row>
    <row r="4" spans="1:26" x14ac:dyDescent="0.25">
      <c r="A4" s="383"/>
      <c r="B4" s="384"/>
      <c r="C4" s="33"/>
      <c r="D4" s="33"/>
      <c r="E4" s="385">
        <f>Assumptions!F6</f>
        <v>2001</v>
      </c>
      <c r="F4" s="385">
        <f>Assumptions!G6</f>
        <v>2002</v>
      </c>
      <c r="G4" s="385">
        <f>Assumptions!H6</f>
        <v>2003</v>
      </c>
      <c r="H4" s="385">
        <f>Assumptions!I6</f>
        <v>2004</v>
      </c>
      <c r="I4" s="385">
        <f>Assumptions!J6</f>
        <v>2005</v>
      </c>
      <c r="J4" s="385">
        <f>Assumptions!K6</f>
        <v>2006</v>
      </c>
      <c r="K4" s="385">
        <f>Assumptions!L6</f>
        <v>2007</v>
      </c>
      <c r="L4" s="385">
        <f>Assumptions!M6</f>
        <v>2008</v>
      </c>
      <c r="M4" s="385">
        <f>Assumptions!N6</f>
        <v>2009</v>
      </c>
      <c r="N4" s="385">
        <f>Assumptions!O6</f>
        <v>2010</v>
      </c>
      <c r="O4" s="385">
        <f>Assumptions!P6</f>
        <v>2011</v>
      </c>
      <c r="P4" s="385">
        <f>Assumptions!Q6</f>
        <v>2012</v>
      </c>
      <c r="Q4" s="385">
        <f>Assumptions!R6</f>
        <v>2013</v>
      </c>
      <c r="R4" s="385">
        <f>Assumptions!S6</f>
        <v>2014</v>
      </c>
      <c r="S4" s="385">
        <f>Assumptions!T6</f>
        <v>2015</v>
      </c>
      <c r="T4" s="385">
        <f>Assumptions!U6</f>
        <v>2016</v>
      </c>
      <c r="U4" s="385">
        <f>Assumptions!V6</f>
        <v>2017</v>
      </c>
      <c r="V4" s="385">
        <f>Assumptions!W6</f>
        <v>2018</v>
      </c>
      <c r="W4" s="385">
        <f>Assumptions!X6</f>
        <v>2019</v>
      </c>
      <c r="X4" s="385">
        <f>Assumptions!Y6</f>
        <v>2020</v>
      </c>
      <c r="Y4" s="33"/>
      <c r="Z4" s="508" t="s">
        <v>11</v>
      </c>
    </row>
    <row r="5" spans="1:26" x14ac:dyDescent="0.25">
      <c r="A5" s="38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09"/>
    </row>
    <row r="6" spans="1:26" x14ac:dyDescent="0.25">
      <c r="A6" s="383"/>
      <c r="B6" s="33"/>
      <c r="C6" s="33" t="s">
        <v>113</v>
      </c>
      <c r="D6" s="33"/>
      <c r="E6" s="155">
        <f>Assumptions!F73</f>
        <v>9679.8918346216069</v>
      </c>
      <c r="F6" s="155">
        <f>Assumptions!G73</f>
        <v>35163.025214843576</v>
      </c>
      <c r="G6" s="155">
        <f>Assumptions!H73</f>
        <v>117910.11862957224</v>
      </c>
      <c r="H6" s="155">
        <f>Assumptions!I73</f>
        <v>374084.31144709187</v>
      </c>
      <c r="I6" s="155">
        <f>Assumptions!J73</f>
        <v>539815.95239261747</v>
      </c>
      <c r="J6" s="155">
        <f>Assumptions!K73</f>
        <v>727173.62135929917</v>
      </c>
      <c r="K6" s="155">
        <f>Assumptions!L73</f>
        <v>1134008.4828283591</v>
      </c>
      <c r="L6" s="155">
        <f>Assumptions!M73</f>
        <v>1329440.8207420872</v>
      </c>
      <c r="M6" s="155">
        <f>Assumptions!N73</f>
        <v>1537562.5574682504</v>
      </c>
      <c r="N6" s="155">
        <f>Assumptions!O73</f>
        <v>1964287.7802741732</v>
      </c>
      <c r="O6" s="155">
        <f>Assumptions!P73</f>
        <v>1863119.1740297237</v>
      </c>
      <c r="P6" s="155">
        <f>Assumptions!Q73</f>
        <v>2170815.0435217032</v>
      </c>
      <c r="Q6" s="155">
        <f>Assumptions!R73</f>
        <v>2568613.0101265414</v>
      </c>
      <c r="R6" s="155">
        <f>Assumptions!S73</f>
        <v>2508012.9075262705</v>
      </c>
      <c r="S6" s="155">
        <f>Assumptions!T73</f>
        <v>2765972.1480735242</v>
      </c>
      <c r="T6" s="155">
        <f>Assumptions!U73</f>
        <v>3101488.9388318583</v>
      </c>
      <c r="U6" s="155">
        <f>Assumptions!V73</f>
        <v>3064629.8803067803</v>
      </c>
      <c r="V6" s="155">
        <f>Assumptions!W73</f>
        <v>3549289.6372011155</v>
      </c>
      <c r="W6" s="155">
        <f>Assumptions!X73</f>
        <v>3927013.3806174453</v>
      </c>
      <c r="X6" s="155">
        <f>Assumptions!Y73</f>
        <v>3934429.4038021788</v>
      </c>
      <c r="Y6" s="33"/>
      <c r="Z6" s="509" t="s">
        <v>114</v>
      </c>
    </row>
    <row r="7" spans="1:26" x14ac:dyDescent="0.25">
      <c r="A7" s="38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509"/>
    </row>
    <row r="8" spans="1:26" x14ac:dyDescent="0.25">
      <c r="A8" s="383"/>
      <c r="B8" s="33"/>
      <c r="C8" s="33" t="s">
        <v>64</v>
      </c>
      <c r="D8" s="33"/>
      <c r="E8" s="155">
        <f>Assumptions!F62*Assumptions!F54</f>
        <v>399</v>
      </c>
      <c r="F8" s="155">
        <f>Assumptions!G62*Assumptions!G54</f>
        <v>339.15</v>
      </c>
      <c r="G8" s="155">
        <f>Assumptions!H62*Assumptions!H54</f>
        <v>288.27749999999997</v>
      </c>
      <c r="H8" s="155">
        <f>Assumptions!I62*Assumptions!I54</f>
        <v>0</v>
      </c>
      <c r="I8" s="155">
        <f>Assumptions!J62*Assumptions!J54</f>
        <v>0</v>
      </c>
      <c r="J8" s="155">
        <f>Assumptions!K62*Assumptions!K54</f>
        <v>0</v>
      </c>
      <c r="K8" s="155">
        <f>Assumptions!L62*Assumptions!L54</f>
        <v>0</v>
      </c>
      <c r="L8" s="155">
        <f>Assumptions!M62*Assumptions!M54</f>
        <v>0</v>
      </c>
      <c r="M8" s="155">
        <f>Assumptions!N62*Assumptions!N54</f>
        <v>0</v>
      </c>
      <c r="N8" s="155">
        <f>Assumptions!O62*Assumptions!O54</f>
        <v>0</v>
      </c>
      <c r="O8" s="155">
        <f>Assumptions!P62*Assumptions!P54</f>
        <v>0</v>
      </c>
      <c r="P8" s="155">
        <f>Assumptions!Q62*Assumptions!Q54</f>
        <v>0</v>
      </c>
      <c r="Q8" s="155">
        <f>Assumptions!R62*Assumptions!R54</f>
        <v>0</v>
      </c>
      <c r="R8" s="155">
        <f>Assumptions!S62*Assumptions!S54</f>
        <v>0</v>
      </c>
      <c r="S8" s="155">
        <f>Assumptions!T62*Assumptions!T54</f>
        <v>0</v>
      </c>
      <c r="T8" s="155">
        <f>Assumptions!U62*Assumptions!U54</f>
        <v>0</v>
      </c>
      <c r="U8" s="155">
        <f>Assumptions!V62*Assumptions!V54</f>
        <v>0</v>
      </c>
      <c r="V8" s="155">
        <f>Assumptions!W62*Assumptions!W54</f>
        <v>0</v>
      </c>
      <c r="W8" s="155">
        <f>Assumptions!X62*Assumptions!X54</f>
        <v>0</v>
      </c>
      <c r="X8" s="155">
        <f>Assumptions!Y62*Assumptions!Y54</f>
        <v>0</v>
      </c>
      <c r="Y8" s="33"/>
      <c r="Z8" s="509"/>
    </row>
    <row r="9" spans="1:26" x14ac:dyDescent="0.25">
      <c r="A9" s="383"/>
      <c r="B9" s="33"/>
      <c r="C9" s="33" t="s">
        <v>97</v>
      </c>
      <c r="D9" s="33"/>
      <c r="E9" s="33">
        <f>Assumptions!F79</f>
        <v>30</v>
      </c>
      <c r="F9" s="33">
        <f>Assumptions!G79</f>
        <v>30</v>
      </c>
      <c r="G9" s="33">
        <f>Assumptions!H79</f>
        <v>30</v>
      </c>
      <c r="H9" s="33">
        <f>Assumptions!I79</f>
        <v>30</v>
      </c>
      <c r="I9" s="33">
        <f>Assumptions!J79</f>
        <v>30</v>
      </c>
      <c r="J9" s="33">
        <f>Assumptions!K79</f>
        <v>30</v>
      </c>
      <c r="K9" s="33">
        <f>Assumptions!L79</f>
        <v>30</v>
      </c>
      <c r="L9" s="33">
        <f>Assumptions!M79</f>
        <v>30</v>
      </c>
      <c r="M9" s="33">
        <f>Assumptions!N79</f>
        <v>30</v>
      </c>
      <c r="N9" s="33">
        <f>Assumptions!O79</f>
        <v>30</v>
      </c>
      <c r="O9" s="33">
        <f>Assumptions!P79</f>
        <v>30</v>
      </c>
      <c r="P9" s="33">
        <f>Assumptions!Q79</f>
        <v>30</v>
      </c>
      <c r="Q9" s="33">
        <f>Assumptions!R79</f>
        <v>30</v>
      </c>
      <c r="R9" s="33">
        <f>Assumptions!S79</f>
        <v>30</v>
      </c>
      <c r="S9" s="33">
        <f>Assumptions!T79</f>
        <v>30</v>
      </c>
      <c r="T9" s="33">
        <f>Assumptions!U79</f>
        <v>30</v>
      </c>
      <c r="U9" s="33">
        <f>Assumptions!V79</f>
        <v>30</v>
      </c>
      <c r="V9" s="33">
        <f>Assumptions!W79</f>
        <v>30</v>
      </c>
      <c r="W9" s="33">
        <f>Assumptions!X79</f>
        <v>30</v>
      </c>
      <c r="X9" s="33">
        <f>Assumptions!Y79</f>
        <v>30</v>
      </c>
      <c r="Y9" s="33"/>
      <c r="Z9" s="509"/>
    </row>
    <row r="10" spans="1:26" x14ac:dyDescent="0.25">
      <c r="A10" s="383"/>
      <c r="B10" s="33"/>
      <c r="C10" s="33" t="s">
        <v>98</v>
      </c>
      <c r="D10" s="33"/>
      <c r="E10" s="33">
        <f>Assumptions!F80</f>
        <v>0</v>
      </c>
      <c r="F10" s="33">
        <f>Assumptions!G80</f>
        <v>0</v>
      </c>
      <c r="G10" s="33">
        <f>Assumptions!H80</f>
        <v>0</v>
      </c>
      <c r="H10" s="33">
        <f>Assumptions!I80</f>
        <v>0</v>
      </c>
      <c r="I10" s="33">
        <f>Assumptions!J80</f>
        <v>0</v>
      </c>
      <c r="J10" s="33">
        <f>Assumptions!K80</f>
        <v>0</v>
      </c>
      <c r="K10" s="33">
        <f>Assumptions!L80</f>
        <v>0</v>
      </c>
      <c r="L10" s="33">
        <f>Assumptions!M80</f>
        <v>0</v>
      </c>
      <c r="M10" s="33">
        <f>Assumptions!N80</f>
        <v>0</v>
      </c>
      <c r="N10" s="33">
        <f>Assumptions!O80</f>
        <v>0</v>
      </c>
      <c r="O10" s="33">
        <f>Assumptions!P80</f>
        <v>0</v>
      </c>
      <c r="P10" s="33">
        <f>Assumptions!Q80</f>
        <v>0</v>
      </c>
      <c r="Q10" s="33">
        <f>Assumptions!R80</f>
        <v>0</v>
      </c>
      <c r="R10" s="33">
        <f>Assumptions!S80</f>
        <v>0</v>
      </c>
      <c r="S10" s="33">
        <f>Assumptions!T80</f>
        <v>0</v>
      </c>
      <c r="T10" s="33">
        <f>Assumptions!U80</f>
        <v>0</v>
      </c>
      <c r="U10" s="33">
        <f>Assumptions!V80</f>
        <v>0</v>
      </c>
      <c r="V10" s="33">
        <f>Assumptions!W80</f>
        <v>0</v>
      </c>
      <c r="W10" s="33">
        <f>Assumptions!X80</f>
        <v>0</v>
      </c>
      <c r="X10" s="33">
        <f>Assumptions!Y80</f>
        <v>0</v>
      </c>
      <c r="Y10" s="33"/>
      <c r="Z10" s="509"/>
    </row>
    <row r="11" spans="1:26" x14ac:dyDescent="0.25">
      <c r="A11" s="383"/>
      <c r="B11" s="33"/>
      <c r="C11" s="33" t="s">
        <v>99</v>
      </c>
      <c r="D11" s="33"/>
      <c r="E11" s="155">
        <f>Assumptions!F81</f>
        <v>50</v>
      </c>
      <c r="F11" s="155">
        <f>Assumptions!G81</f>
        <v>45</v>
      </c>
      <c r="G11" s="155">
        <f>Assumptions!H81</f>
        <v>40.5</v>
      </c>
      <c r="H11" s="155">
        <f>Assumptions!I81</f>
        <v>36.450000000000003</v>
      </c>
      <c r="I11" s="155">
        <f>Assumptions!J81</f>
        <v>32.805000000000007</v>
      </c>
      <c r="J11" s="155">
        <f>Assumptions!K81</f>
        <v>29.524500000000007</v>
      </c>
      <c r="K11" s="155">
        <f>Assumptions!L81</f>
        <v>26.572050000000008</v>
      </c>
      <c r="L11" s="155">
        <f>Assumptions!M81</f>
        <v>23.914845000000007</v>
      </c>
      <c r="M11" s="155">
        <f>Assumptions!N81</f>
        <v>21.523360500000006</v>
      </c>
      <c r="N11" s="155">
        <f>Assumptions!O81</f>
        <v>19.371024450000007</v>
      </c>
      <c r="O11" s="155">
        <f>Assumptions!P81</f>
        <v>17.433922005000007</v>
      </c>
      <c r="P11" s="155">
        <f>Assumptions!Q81</f>
        <v>15.690529804500006</v>
      </c>
      <c r="Q11" s="155">
        <f>Assumptions!R81</f>
        <v>14.121476824050006</v>
      </c>
      <c r="R11" s="155">
        <f>Assumptions!S81</f>
        <v>12.709329141645005</v>
      </c>
      <c r="S11" s="155">
        <f>Assumptions!T81</f>
        <v>11.438396227480505</v>
      </c>
      <c r="T11" s="155">
        <f>Assumptions!U81</f>
        <v>10.294556604732454</v>
      </c>
      <c r="U11" s="155">
        <f>Assumptions!V81</f>
        <v>9.2651009442592098</v>
      </c>
      <c r="V11" s="155">
        <f>Assumptions!W81</f>
        <v>8.3385908498332899</v>
      </c>
      <c r="W11" s="155">
        <f>Assumptions!X81</f>
        <v>7.5047317648499607</v>
      </c>
      <c r="X11" s="155">
        <f>Assumptions!Y81</f>
        <v>6.7542585883649648</v>
      </c>
      <c r="Y11" s="33"/>
      <c r="Z11" s="509"/>
    </row>
    <row r="12" spans="1:26" x14ac:dyDescent="0.25">
      <c r="A12" s="383"/>
      <c r="B12" s="33"/>
      <c r="C12" s="33" t="s">
        <v>100</v>
      </c>
      <c r="D12" s="33"/>
      <c r="E12" s="33">
        <f>E10*E11</f>
        <v>0</v>
      </c>
      <c r="F12" s="33">
        <f t="shared" ref="F12:N12" si="0">F10*F11</f>
        <v>0</v>
      </c>
      <c r="G12" s="33">
        <f t="shared" si="0"/>
        <v>0</v>
      </c>
      <c r="H12" s="33">
        <f t="shared" si="0"/>
        <v>0</v>
      </c>
      <c r="I12" s="33">
        <f t="shared" si="0"/>
        <v>0</v>
      </c>
      <c r="J12" s="33">
        <f t="shared" si="0"/>
        <v>0</v>
      </c>
      <c r="K12" s="33">
        <f t="shared" si="0"/>
        <v>0</v>
      </c>
      <c r="L12" s="33">
        <f t="shared" si="0"/>
        <v>0</v>
      </c>
      <c r="M12" s="33">
        <f t="shared" si="0"/>
        <v>0</v>
      </c>
      <c r="N12" s="33">
        <f t="shared" si="0"/>
        <v>0</v>
      </c>
      <c r="O12" s="33">
        <f t="shared" ref="O12:X12" si="1">O10*O11</f>
        <v>0</v>
      </c>
      <c r="P12" s="33">
        <f t="shared" si="1"/>
        <v>0</v>
      </c>
      <c r="Q12" s="33">
        <f t="shared" si="1"/>
        <v>0</v>
      </c>
      <c r="R12" s="33">
        <f t="shared" si="1"/>
        <v>0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/>
      <c r="Z12" s="509"/>
    </row>
    <row r="13" spans="1:26" x14ac:dyDescent="0.25">
      <c r="A13" s="383"/>
      <c r="B13" s="33"/>
      <c r="C13" s="33" t="s">
        <v>101</v>
      </c>
      <c r="D13" s="33"/>
      <c r="E13" s="155">
        <f>E8+E12</f>
        <v>399</v>
      </c>
      <c r="F13" s="155">
        <f t="shared" ref="F13:N13" si="2">F8+F12</f>
        <v>339.15</v>
      </c>
      <c r="G13" s="155">
        <f t="shared" si="2"/>
        <v>288.27749999999997</v>
      </c>
      <c r="H13" s="155">
        <f t="shared" si="2"/>
        <v>0</v>
      </c>
      <c r="I13" s="155">
        <f t="shared" si="2"/>
        <v>0</v>
      </c>
      <c r="J13" s="155">
        <f t="shared" si="2"/>
        <v>0</v>
      </c>
      <c r="K13" s="155">
        <f t="shared" si="2"/>
        <v>0</v>
      </c>
      <c r="L13" s="155">
        <f t="shared" si="2"/>
        <v>0</v>
      </c>
      <c r="M13" s="155">
        <f t="shared" si="2"/>
        <v>0</v>
      </c>
      <c r="N13" s="155">
        <f t="shared" si="2"/>
        <v>0</v>
      </c>
      <c r="O13" s="155">
        <f t="shared" ref="O13:X13" si="3">O8+O12</f>
        <v>0</v>
      </c>
      <c r="P13" s="155">
        <f t="shared" si="3"/>
        <v>0</v>
      </c>
      <c r="Q13" s="155">
        <f t="shared" si="3"/>
        <v>0</v>
      </c>
      <c r="R13" s="155">
        <f t="shared" si="3"/>
        <v>0</v>
      </c>
      <c r="S13" s="155">
        <f t="shared" si="3"/>
        <v>0</v>
      </c>
      <c r="T13" s="155">
        <f t="shared" si="3"/>
        <v>0</v>
      </c>
      <c r="U13" s="155">
        <f t="shared" si="3"/>
        <v>0</v>
      </c>
      <c r="V13" s="155">
        <f t="shared" si="3"/>
        <v>0</v>
      </c>
      <c r="W13" s="155">
        <f t="shared" si="3"/>
        <v>0</v>
      </c>
      <c r="X13" s="155">
        <f t="shared" si="3"/>
        <v>0</v>
      </c>
      <c r="Y13" s="33"/>
      <c r="Z13" s="509"/>
    </row>
    <row r="14" spans="1:26" x14ac:dyDescent="0.25">
      <c r="A14" s="383"/>
      <c r="B14" s="33"/>
      <c r="C14" s="33" t="s">
        <v>433</v>
      </c>
      <c r="D14" s="33"/>
      <c r="E14" s="510">
        <f>Assumptions!F63</f>
        <v>85</v>
      </c>
      <c r="F14" s="510">
        <f>Assumptions!G63</f>
        <v>50</v>
      </c>
      <c r="G14" s="510">
        <f>Assumptions!H63</f>
        <v>20</v>
      </c>
      <c r="H14" s="510">
        <f>Assumptions!I63</f>
        <v>0</v>
      </c>
      <c r="I14" s="510">
        <f>Assumptions!J63</f>
        <v>0</v>
      </c>
      <c r="J14" s="510">
        <f>Assumptions!K63</f>
        <v>0</v>
      </c>
      <c r="K14" s="510">
        <f>Assumptions!L63</f>
        <v>0</v>
      </c>
      <c r="L14" s="510">
        <f>Assumptions!M63</f>
        <v>0</v>
      </c>
      <c r="M14" s="510">
        <f>Assumptions!N63</f>
        <v>0</v>
      </c>
      <c r="N14" s="510">
        <f>Assumptions!O63</f>
        <v>0</v>
      </c>
      <c r="O14" s="510">
        <f>Assumptions!P63</f>
        <v>0</v>
      </c>
      <c r="P14" s="510">
        <f>Assumptions!Q63</f>
        <v>0</v>
      </c>
      <c r="Q14" s="510">
        <f>Assumptions!R63</f>
        <v>0</v>
      </c>
      <c r="R14" s="510">
        <f>Assumptions!S63</f>
        <v>0</v>
      </c>
      <c r="S14" s="510">
        <f>Assumptions!T63</f>
        <v>0</v>
      </c>
      <c r="T14" s="510">
        <f>Assumptions!U63</f>
        <v>0</v>
      </c>
      <c r="U14" s="510">
        <f>Assumptions!V63</f>
        <v>0</v>
      </c>
      <c r="V14" s="510">
        <f>Assumptions!W63</f>
        <v>0</v>
      </c>
      <c r="W14" s="510">
        <f>Assumptions!X63</f>
        <v>0</v>
      </c>
      <c r="X14" s="510">
        <f>Assumptions!Y63</f>
        <v>0</v>
      </c>
      <c r="Y14" s="33"/>
      <c r="Z14" s="509" t="s">
        <v>386</v>
      </c>
    </row>
    <row r="15" spans="1:26" x14ac:dyDescent="0.25">
      <c r="A15" s="383"/>
      <c r="B15" s="33"/>
      <c r="C15" s="33" t="s">
        <v>903</v>
      </c>
      <c r="D15" s="33"/>
      <c r="E15" s="511">
        <f>Assumptions!F64</f>
        <v>0</v>
      </c>
      <c r="F15" s="511">
        <f>Assumptions!G64</f>
        <v>0</v>
      </c>
      <c r="G15" s="511">
        <f>Assumptions!H64</f>
        <v>0</v>
      </c>
      <c r="H15" s="511">
        <f>Assumptions!I64</f>
        <v>0</v>
      </c>
      <c r="I15" s="511">
        <f>Assumptions!J64</f>
        <v>0</v>
      </c>
      <c r="J15" s="511">
        <f>Assumptions!K64</f>
        <v>0</v>
      </c>
      <c r="K15" s="511">
        <f>Assumptions!L64</f>
        <v>0</v>
      </c>
      <c r="L15" s="511">
        <f>Assumptions!M64</f>
        <v>0</v>
      </c>
      <c r="M15" s="511">
        <f>Assumptions!N64</f>
        <v>0</v>
      </c>
      <c r="N15" s="511">
        <f>Assumptions!O64</f>
        <v>0</v>
      </c>
      <c r="O15" s="511">
        <f>Assumptions!P64</f>
        <v>0</v>
      </c>
      <c r="P15" s="511">
        <f>Assumptions!Q64</f>
        <v>0</v>
      </c>
      <c r="Q15" s="511">
        <f>Assumptions!R64</f>
        <v>0</v>
      </c>
      <c r="R15" s="511">
        <f>Assumptions!S64</f>
        <v>0</v>
      </c>
      <c r="S15" s="511">
        <f>Assumptions!T64</f>
        <v>0</v>
      </c>
      <c r="T15" s="511">
        <f>Assumptions!U64</f>
        <v>0</v>
      </c>
      <c r="U15" s="511">
        <f>Assumptions!V64</f>
        <v>0</v>
      </c>
      <c r="V15" s="511">
        <f>Assumptions!W64</f>
        <v>0</v>
      </c>
      <c r="W15" s="511">
        <f>Assumptions!X64</f>
        <v>0</v>
      </c>
      <c r="X15" s="511">
        <f>Assumptions!Y64</f>
        <v>0</v>
      </c>
      <c r="Y15" s="33"/>
      <c r="Z15" s="509"/>
    </row>
    <row r="16" spans="1:26" x14ac:dyDescent="0.25">
      <c r="A16" s="383"/>
      <c r="B16" s="33"/>
      <c r="C16" s="33" t="s">
        <v>434</v>
      </c>
      <c r="D16" s="33"/>
      <c r="E16" s="510">
        <f>SUM(E13:E15)</f>
        <v>484</v>
      </c>
      <c r="F16" s="510">
        <f t="shared" ref="F16:X16" si="4">SUM(F13:F15)</f>
        <v>389.15</v>
      </c>
      <c r="G16" s="510">
        <f t="shared" si="4"/>
        <v>308.27749999999997</v>
      </c>
      <c r="H16" s="510">
        <f t="shared" si="4"/>
        <v>0</v>
      </c>
      <c r="I16" s="510">
        <f t="shared" si="4"/>
        <v>0</v>
      </c>
      <c r="J16" s="510">
        <f t="shared" si="4"/>
        <v>0</v>
      </c>
      <c r="K16" s="510">
        <f t="shared" si="4"/>
        <v>0</v>
      </c>
      <c r="L16" s="510">
        <f t="shared" si="4"/>
        <v>0</v>
      </c>
      <c r="M16" s="510">
        <f t="shared" si="4"/>
        <v>0</v>
      </c>
      <c r="N16" s="510">
        <f t="shared" si="4"/>
        <v>0</v>
      </c>
      <c r="O16" s="510">
        <f t="shared" si="4"/>
        <v>0</v>
      </c>
      <c r="P16" s="510">
        <f t="shared" si="4"/>
        <v>0</v>
      </c>
      <c r="Q16" s="510">
        <f t="shared" si="4"/>
        <v>0</v>
      </c>
      <c r="R16" s="510">
        <f t="shared" si="4"/>
        <v>0</v>
      </c>
      <c r="S16" s="510">
        <f t="shared" si="4"/>
        <v>0</v>
      </c>
      <c r="T16" s="510">
        <f t="shared" si="4"/>
        <v>0</v>
      </c>
      <c r="U16" s="510">
        <f t="shared" si="4"/>
        <v>0</v>
      </c>
      <c r="V16" s="510">
        <f t="shared" si="4"/>
        <v>0</v>
      </c>
      <c r="W16" s="510">
        <f t="shared" si="4"/>
        <v>0</v>
      </c>
      <c r="X16" s="510">
        <f t="shared" si="4"/>
        <v>0</v>
      </c>
      <c r="Y16" s="33"/>
      <c r="Z16" s="509"/>
    </row>
    <row r="17" spans="1:26" x14ac:dyDescent="0.25">
      <c r="A17" s="38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509"/>
    </row>
    <row r="18" spans="1:26" x14ac:dyDescent="0.25">
      <c r="A18" s="383"/>
      <c r="B18" s="33"/>
      <c r="C18" s="33" t="s">
        <v>65</v>
      </c>
      <c r="D18" s="33"/>
      <c r="E18" s="512">
        <f>Assumptions!F67*Assumptions!F54</f>
        <v>179.64000000000001</v>
      </c>
      <c r="F18" s="512">
        <f>Assumptions!G67*Assumptions!G54</f>
        <v>179.64000000000001</v>
      </c>
      <c r="G18" s="512">
        <f>Assumptions!H67*Assumptions!H54</f>
        <v>179.64000000000001</v>
      </c>
      <c r="H18" s="512">
        <f>Assumptions!I67*Assumptions!I54</f>
        <v>0</v>
      </c>
      <c r="I18" s="512">
        <f>Assumptions!J67*Assumptions!J54</f>
        <v>0</v>
      </c>
      <c r="J18" s="512">
        <f>Assumptions!K67*Assumptions!K54</f>
        <v>0</v>
      </c>
      <c r="K18" s="512">
        <f>Assumptions!L67*Assumptions!L54</f>
        <v>0</v>
      </c>
      <c r="L18" s="512">
        <f>Assumptions!M67*Assumptions!M54</f>
        <v>0</v>
      </c>
      <c r="M18" s="512">
        <f>Assumptions!N67*Assumptions!N54</f>
        <v>0</v>
      </c>
      <c r="N18" s="512">
        <f>Assumptions!O67*Assumptions!O54</f>
        <v>0</v>
      </c>
      <c r="O18" s="512">
        <f>Assumptions!P67*Assumptions!P54</f>
        <v>0</v>
      </c>
      <c r="P18" s="512">
        <f>Assumptions!Q67*Assumptions!Q54</f>
        <v>0</v>
      </c>
      <c r="Q18" s="512">
        <f>Assumptions!R67*Assumptions!R54</f>
        <v>0</v>
      </c>
      <c r="R18" s="512">
        <f>Assumptions!S67*Assumptions!S54</f>
        <v>0</v>
      </c>
      <c r="S18" s="512">
        <f>Assumptions!T67*Assumptions!T54</f>
        <v>0</v>
      </c>
      <c r="T18" s="512">
        <f>Assumptions!U67*Assumptions!U54</f>
        <v>0</v>
      </c>
      <c r="U18" s="512">
        <f>Assumptions!V67*Assumptions!V54</f>
        <v>0</v>
      </c>
      <c r="V18" s="512">
        <f>Assumptions!W67*Assumptions!W54</f>
        <v>0</v>
      </c>
      <c r="W18" s="512">
        <f>Assumptions!X67*Assumptions!X54</f>
        <v>0</v>
      </c>
      <c r="X18" s="512">
        <f>Assumptions!Y67*Assumptions!Y54</f>
        <v>0</v>
      </c>
      <c r="Y18" s="33"/>
      <c r="Z18" s="509"/>
    </row>
    <row r="19" spans="1:26" x14ac:dyDescent="0.25">
      <c r="A19" s="38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509"/>
    </row>
    <row r="20" spans="1:26" x14ac:dyDescent="0.25">
      <c r="A20" s="383"/>
      <c r="B20" s="33"/>
      <c r="C20" s="33" t="s">
        <v>69</v>
      </c>
      <c r="D20" s="33"/>
      <c r="E20" s="513">
        <f>Assumptions!F56</f>
        <v>0.5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509"/>
    </row>
    <row r="21" spans="1:26" x14ac:dyDescent="0.25">
      <c r="A21" s="383"/>
      <c r="B21" s="33"/>
      <c r="C21" s="33" t="s">
        <v>70</v>
      </c>
      <c r="D21" s="33"/>
      <c r="E21" s="513">
        <f>Assumptions!F57</f>
        <v>0.5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509"/>
    </row>
    <row r="22" spans="1:26" x14ac:dyDescent="0.25">
      <c r="A22" s="383"/>
      <c r="B22" s="33"/>
      <c r="C22" s="33" t="s">
        <v>71</v>
      </c>
      <c r="D22" s="33"/>
      <c r="E22" s="513">
        <f>Assumptions!F58</f>
        <v>0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509"/>
    </row>
    <row r="23" spans="1:26" x14ac:dyDescent="0.25">
      <c r="A23" s="383"/>
      <c r="B23" s="33"/>
      <c r="C23" s="33"/>
      <c r="D23" s="33"/>
      <c r="E23" s="27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509"/>
    </row>
    <row r="24" spans="1:26" x14ac:dyDescent="0.25">
      <c r="A24" s="383"/>
      <c r="B24" s="33"/>
      <c r="C24" s="33" t="s">
        <v>72</v>
      </c>
      <c r="D24" s="33"/>
      <c r="E24" s="513">
        <f>Assumptions!F60</f>
        <v>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509"/>
    </row>
    <row r="25" spans="1:26" ht="13.8" thickBot="1" x14ac:dyDescent="0.3">
      <c r="A25" s="386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514"/>
    </row>
    <row r="26" spans="1:26" x14ac:dyDescent="0.25">
      <c r="A26" s="381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507"/>
    </row>
    <row r="27" spans="1:26" x14ac:dyDescent="0.25">
      <c r="A27" s="383"/>
      <c r="B27" s="145" t="s">
        <v>839</v>
      </c>
      <c r="C27" s="33"/>
      <c r="D27" s="33"/>
      <c r="E27" s="399">
        <f>E4</f>
        <v>2001</v>
      </c>
      <c r="F27" s="399">
        <f t="shared" ref="F27:Z27" si="5">F4</f>
        <v>2002</v>
      </c>
      <c r="G27" s="399">
        <f t="shared" si="5"/>
        <v>2003</v>
      </c>
      <c r="H27" s="399">
        <f t="shared" si="5"/>
        <v>2004</v>
      </c>
      <c r="I27" s="399">
        <f t="shared" si="5"/>
        <v>2005</v>
      </c>
      <c r="J27" s="399">
        <f t="shared" si="5"/>
        <v>2006</v>
      </c>
      <c r="K27" s="399">
        <f t="shared" si="5"/>
        <v>2007</v>
      </c>
      <c r="L27" s="399">
        <f t="shared" si="5"/>
        <v>2008</v>
      </c>
      <c r="M27" s="399">
        <f t="shared" si="5"/>
        <v>2009</v>
      </c>
      <c r="N27" s="399">
        <f t="shared" si="5"/>
        <v>2010</v>
      </c>
      <c r="O27" s="399">
        <f t="shared" ref="O27:X27" si="6">O4</f>
        <v>2011</v>
      </c>
      <c r="P27" s="399">
        <f t="shared" si="6"/>
        <v>2012</v>
      </c>
      <c r="Q27" s="399">
        <f t="shared" si="6"/>
        <v>2013</v>
      </c>
      <c r="R27" s="399">
        <f t="shared" si="6"/>
        <v>2014</v>
      </c>
      <c r="S27" s="399">
        <f t="shared" si="6"/>
        <v>2015</v>
      </c>
      <c r="T27" s="399">
        <f t="shared" si="6"/>
        <v>2016</v>
      </c>
      <c r="U27" s="399">
        <f t="shared" si="6"/>
        <v>2017</v>
      </c>
      <c r="V27" s="399">
        <f t="shared" si="6"/>
        <v>2018</v>
      </c>
      <c r="W27" s="399">
        <f t="shared" si="6"/>
        <v>2019</v>
      </c>
      <c r="X27" s="399">
        <f t="shared" si="6"/>
        <v>2020</v>
      </c>
      <c r="Y27" s="399"/>
      <c r="Z27" s="515" t="str">
        <f t="shared" si="5"/>
        <v>Comments</v>
      </c>
    </row>
    <row r="28" spans="1:26" x14ac:dyDescent="0.25">
      <c r="A28" s="383"/>
      <c r="B28" s="33"/>
      <c r="C28" s="33" t="s">
        <v>103</v>
      </c>
      <c r="D28" s="33"/>
      <c r="E28" s="400">
        <f t="shared" ref="E28:X28" si="7">E6*E18/1000</f>
        <v>1738.8957691714256</v>
      </c>
      <c r="F28" s="400">
        <f t="shared" si="7"/>
        <v>6316.6858495945007</v>
      </c>
      <c r="G28" s="400">
        <f t="shared" si="7"/>
        <v>21181.373710616361</v>
      </c>
      <c r="H28" s="400">
        <f t="shared" si="7"/>
        <v>0</v>
      </c>
      <c r="I28" s="400">
        <f t="shared" si="7"/>
        <v>0</v>
      </c>
      <c r="J28" s="400">
        <f t="shared" si="7"/>
        <v>0</v>
      </c>
      <c r="K28" s="400">
        <f t="shared" si="7"/>
        <v>0</v>
      </c>
      <c r="L28" s="400">
        <f t="shared" si="7"/>
        <v>0</v>
      </c>
      <c r="M28" s="400">
        <f t="shared" si="7"/>
        <v>0</v>
      </c>
      <c r="N28" s="400">
        <f t="shared" si="7"/>
        <v>0</v>
      </c>
      <c r="O28" s="400">
        <f t="shared" si="7"/>
        <v>0</v>
      </c>
      <c r="P28" s="400">
        <f t="shared" si="7"/>
        <v>0</v>
      </c>
      <c r="Q28" s="400">
        <f t="shared" si="7"/>
        <v>0</v>
      </c>
      <c r="R28" s="400">
        <f t="shared" si="7"/>
        <v>0</v>
      </c>
      <c r="S28" s="400">
        <f t="shared" si="7"/>
        <v>0</v>
      </c>
      <c r="T28" s="400">
        <f t="shared" si="7"/>
        <v>0</v>
      </c>
      <c r="U28" s="400">
        <f t="shared" si="7"/>
        <v>0</v>
      </c>
      <c r="V28" s="400">
        <f t="shared" si="7"/>
        <v>0</v>
      </c>
      <c r="W28" s="400">
        <f t="shared" si="7"/>
        <v>0</v>
      </c>
      <c r="X28" s="400">
        <f t="shared" si="7"/>
        <v>0</v>
      </c>
      <c r="Y28" s="33"/>
      <c r="Z28" s="509"/>
    </row>
    <row r="29" spans="1:26" x14ac:dyDescent="0.25">
      <c r="A29" s="383"/>
      <c r="B29" s="33"/>
      <c r="C29" s="33" t="s">
        <v>104</v>
      </c>
      <c r="D29" s="33"/>
      <c r="E29" s="450">
        <f>-E6*E16/1000</f>
        <v>-4685.0676479568574</v>
      </c>
      <c r="F29" s="450">
        <f t="shared" ref="F29:X29" si="8">-F6*F16/1000</f>
        <v>-13683.691262356377</v>
      </c>
      <c r="G29" s="450">
        <f t="shared" si="8"/>
        <v>-36349.036595827951</v>
      </c>
      <c r="H29" s="450">
        <f t="shared" si="8"/>
        <v>0</v>
      </c>
      <c r="I29" s="450">
        <f t="shared" si="8"/>
        <v>0</v>
      </c>
      <c r="J29" s="450">
        <f t="shared" si="8"/>
        <v>0</v>
      </c>
      <c r="K29" s="450">
        <f t="shared" si="8"/>
        <v>0</v>
      </c>
      <c r="L29" s="450">
        <f t="shared" si="8"/>
        <v>0</v>
      </c>
      <c r="M29" s="450">
        <f t="shared" si="8"/>
        <v>0</v>
      </c>
      <c r="N29" s="450">
        <f t="shared" si="8"/>
        <v>0</v>
      </c>
      <c r="O29" s="450">
        <f t="shared" si="8"/>
        <v>0</v>
      </c>
      <c r="P29" s="450">
        <f t="shared" si="8"/>
        <v>0</v>
      </c>
      <c r="Q29" s="450">
        <f t="shared" si="8"/>
        <v>0</v>
      </c>
      <c r="R29" s="450">
        <f t="shared" si="8"/>
        <v>0</v>
      </c>
      <c r="S29" s="450">
        <f t="shared" si="8"/>
        <v>0</v>
      </c>
      <c r="T29" s="450">
        <f t="shared" si="8"/>
        <v>0</v>
      </c>
      <c r="U29" s="450">
        <f t="shared" si="8"/>
        <v>0</v>
      </c>
      <c r="V29" s="450">
        <f t="shared" si="8"/>
        <v>0</v>
      </c>
      <c r="W29" s="450">
        <f t="shared" si="8"/>
        <v>0</v>
      </c>
      <c r="X29" s="450">
        <f t="shared" si="8"/>
        <v>0</v>
      </c>
      <c r="Y29" s="33"/>
      <c r="Z29" s="509"/>
    </row>
    <row r="30" spans="1:26" x14ac:dyDescent="0.25">
      <c r="A30" s="383"/>
      <c r="B30" s="33"/>
      <c r="C30" s="33" t="s">
        <v>105</v>
      </c>
      <c r="D30" s="33"/>
      <c r="E30" s="400">
        <f>SUM(E28:E29)</f>
        <v>-2946.1718787854315</v>
      </c>
      <c r="F30" s="400">
        <f t="shared" ref="F30:N30" si="9">SUM(F28:F29)</f>
        <v>-7367.005412761876</v>
      </c>
      <c r="G30" s="400">
        <f t="shared" si="9"/>
        <v>-15167.66288521159</v>
      </c>
      <c r="H30" s="400">
        <f t="shared" si="9"/>
        <v>0</v>
      </c>
      <c r="I30" s="400">
        <f t="shared" si="9"/>
        <v>0</v>
      </c>
      <c r="J30" s="400">
        <f t="shared" si="9"/>
        <v>0</v>
      </c>
      <c r="K30" s="400">
        <f t="shared" si="9"/>
        <v>0</v>
      </c>
      <c r="L30" s="400">
        <f t="shared" si="9"/>
        <v>0</v>
      </c>
      <c r="M30" s="400">
        <f t="shared" si="9"/>
        <v>0</v>
      </c>
      <c r="N30" s="400">
        <f t="shared" si="9"/>
        <v>0</v>
      </c>
      <c r="O30" s="400">
        <f t="shared" ref="O30:X30" si="10">SUM(O28:O29)</f>
        <v>0</v>
      </c>
      <c r="P30" s="400">
        <f t="shared" si="10"/>
        <v>0</v>
      </c>
      <c r="Q30" s="400">
        <f t="shared" si="10"/>
        <v>0</v>
      </c>
      <c r="R30" s="400">
        <f t="shared" si="10"/>
        <v>0</v>
      </c>
      <c r="S30" s="400">
        <f t="shared" si="10"/>
        <v>0</v>
      </c>
      <c r="T30" s="400">
        <f t="shared" si="10"/>
        <v>0</v>
      </c>
      <c r="U30" s="400">
        <f t="shared" si="10"/>
        <v>0</v>
      </c>
      <c r="V30" s="400">
        <f t="shared" si="10"/>
        <v>0</v>
      </c>
      <c r="W30" s="400">
        <f t="shared" si="10"/>
        <v>0</v>
      </c>
      <c r="X30" s="400">
        <f t="shared" si="10"/>
        <v>0</v>
      </c>
      <c r="Y30" s="33"/>
      <c r="Z30" s="509"/>
    </row>
    <row r="31" spans="1:26" x14ac:dyDescent="0.25">
      <c r="A31" s="38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509"/>
    </row>
    <row r="32" spans="1:26" x14ac:dyDescent="0.25">
      <c r="A32" s="383"/>
      <c r="B32" s="33"/>
      <c r="C32" s="33" t="s">
        <v>115</v>
      </c>
      <c r="D32" s="33"/>
      <c r="E32" s="155">
        <f>E24*1000</f>
        <v>0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509"/>
    </row>
    <row r="33" spans="1:26" x14ac:dyDescent="0.25">
      <c r="A33" s="38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509"/>
    </row>
    <row r="34" spans="1:26" x14ac:dyDescent="0.25">
      <c r="A34" s="383"/>
      <c r="B34" s="33"/>
      <c r="C34" s="33" t="s">
        <v>106</v>
      </c>
      <c r="D34" s="33"/>
      <c r="E34" s="400">
        <f>E30+E32</f>
        <v>-2946.1718787854315</v>
      </c>
      <c r="F34" s="400">
        <f>F30</f>
        <v>-7367.005412761876</v>
      </c>
      <c r="G34" s="400">
        <f t="shared" ref="G34:N34" si="11">G30</f>
        <v>-15167.66288521159</v>
      </c>
      <c r="H34" s="400">
        <f t="shared" si="11"/>
        <v>0</v>
      </c>
      <c r="I34" s="400">
        <f t="shared" si="11"/>
        <v>0</v>
      </c>
      <c r="J34" s="400">
        <f t="shared" si="11"/>
        <v>0</v>
      </c>
      <c r="K34" s="400">
        <f t="shared" si="11"/>
        <v>0</v>
      </c>
      <c r="L34" s="400">
        <f t="shared" si="11"/>
        <v>0</v>
      </c>
      <c r="M34" s="400">
        <f t="shared" si="11"/>
        <v>0</v>
      </c>
      <c r="N34" s="400">
        <f t="shared" si="11"/>
        <v>0</v>
      </c>
      <c r="O34" s="400">
        <f t="shared" ref="O34:X34" si="12">O30</f>
        <v>0</v>
      </c>
      <c r="P34" s="400">
        <f t="shared" si="12"/>
        <v>0</v>
      </c>
      <c r="Q34" s="400">
        <f t="shared" si="12"/>
        <v>0</v>
      </c>
      <c r="R34" s="400">
        <f t="shared" si="12"/>
        <v>0</v>
      </c>
      <c r="S34" s="400">
        <f t="shared" si="12"/>
        <v>0</v>
      </c>
      <c r="T34" s="400">
        <f t="shared" si="12"/>
        <v>0</v>
      </c>
      <c r="U34" s="400">
        <f t="shared" si="12"/>
        <v>0</v>
      </c>
      <c r="V34" s="400">
        <f t="shared" si="12"/>
        <v>0</v>
      </c>
      <c r="W34" s="400">
        <f t="shared" si="12"/>
        <v>0</v>
      </c>
      <c r="X34" s="400">
        <f t="shared" si="12"/>
        <v>0</v>
      </c>
      <c r="Y34" s="33"/>
      <c r="Z34" s="509"/>
    </row>
    <row r="35" spans="1:26" x14ac:dyDescent="0.25">
      <c r="A35" s="383"/>
      <c r="B35" s="33"/>
      <c r="C35" s="33"/>
      <c r="D35" s="33"/>
      <c r="E35" s="33"/>
      <c r="F35" s="516"/>
      <c r="G35" s="516"/>
      <c r="H35" s="516"/>
      <c r="I35" s="516"/>
      <c r="J35" s="516"/>
      <c r="K35" s="516"/>
      <c r="L35" s="516"/>
      <c r="M35" s="516"/>
      <c r="N35" s="516"/>
      <c r="O35" s="516"/>
      <c r="P35" s="516"/>
      <c r="Q35" s="516"/>
      <c r="R35" s="516"/>
      <c r="S35" s="516"/>
      <c r="T35" s="516"/>
      <c r="U35" s="516"/>
      <c r="V35" s="516"/>
      <c r="W35" s="516"/>
      <c r="X35" s="516"/>
      <c r="Y35" s="33"/>
      <c r="Z35" s="509"/>
    </row>
    <row r="36" spans="1:26" x14ac:dyDescent="0.25">
      <c r="A36" s="383"/>
      <c r="B36" s="33"/>
      <c r="C36" s="33" t="s">
        <v>215</v>
      </c>
      <c r="D36" s="33"/>
      <c r="E36" s="155">
        <f t="shared" ref="E36:X36" si="13">E28*$E$20</f>
        <v>869.44788458571281</v>
      </c>
      <c r="F36" s="155">
        <f t="shared" si="13"/>
        <v>3158.3429247972504</v>
      </c>
      <c r="G36" s="155">
        <f t="shared" si="13"/>
        <v>10590.68685530818</v>
      </c>
      <c r="H36" s="155">
        <f t="shared" si="13"/>
        <v>0</v>
      </c>
      <c r="I36" s="155">
        <f t="shared" si="13"/>
        <v>0</v>
      </c>
      <c r="J36" s="155">
        <f t="shared" si="13"/>
        <v>0</v>
      </c>
      <c r="K36" s="155">
        <f t="shared" si="13"/>
        <v>0</v>
      </c>
      <c r="L36" s="155">
        <f t="shared" si="13"/>
        <v>0</v>
      </c>
      <c r="M36" s="155">
        <f t="shared" si="13"/>
        <v>0</v>
      </c>
      <c r="N36" s="155">
        <f t="shared" si="13"/>
        <v>0</v>
      </c>
      <c r="O36" s="155">
        <f t="shared" si="13"/>
        <v>0</v>
      </c>
      <c r="P36" s="155">
        <f t="shared" si="13"/>
        <v>0</v>
      </c>
      <c r="Q36" s="155">
        <f t="shared" si="13"/>
        <v>0</v>
      </c>
      <c r="R36" s="155">
        <f t="shared" si="13"/>
        <v>0</v>
      </c>
      <c r="S36" s="155">
        <f t="shared" si="13"/>
        <v>0</v>
      </c>
      <c r="T36" s="155">
        <f t="shared" si="13"/>
        <v>0</v>
      </c>
      <c r="U36" s="155">
        <f t="shared" si="13"/>
        <v>0</v>
      </c>
      <c r="V36" s="155">
        <f t="shared" si="13"/>
        <v>0</v>
      </c>
      <c r="W36" s="155">
        <f t="shared" si="13"/>
        <v>0</v>
      </c>
      <c r="X36" s="155">
        <f t="shared" si="13"/>
        <v>0</v>
      </c>
      <c r="Y36" s="33"/>
      <c r="Z36" s="509"/>
    </row>
    <row r="37" spans="1:26" x14ac:dyDescent="0.25">
      <c r="A37" s="383"/>
      <c r="B37" s="33"/>
      <c r="C37" s="33" t="s">
        <v>216</v>
      </c>
      <c r="D37" s="33"/>
      <c r="E37" s="450">
        <f t="shared" ref="E37:X37" si="14">E29*$E$20</f>
        <v>-2342.5338239784287</v>
      </c>
      <c r="F37" s="450">
        <f t="shared" si="14"/>
        <v>-6841.8456311781883</v>
      </c>
      <c r="G37" s="450">
        <f t="shared" si="14"/>
        <v>-18174.518297913975</v>
      </c>
      <c r="H37" s="450">
        <f t="shared" si="14"/>
        <v>0</v>
      </c>
      <c r="I37" s="450">
        <f t="shared" si="14"/>
        <v>0</v>
      </c>
      <c r="J37" s="450">
        <f t="shared" si="14"/>
        <v>0</v>
      </c>
      <c r="K37" s="450">
        <f t="shared" si="14"/>
        <v>0</v>
      </c>
      <c r="L37" s="450">
        <f t="shared" si="14"/>
        <v>0</v>
      </c>
      <c r="M37" s="450">
        <f t="shared" si="14"/>
        <v>0</v>
      </c>
      <c r="N37" s="450">
        <f t="shared" si="14"/>
        <v>0</v>
      </c>
      <c r="O37" s="450">
        <f t="shared" si="14"/>
        <v>0</v>
      </c>
      <c r="P37" s="450">
        <f t="shared" si="14"/>
        <v>0</v>
      </c>
      <c r="Q37" s="450">
        <f t="shared" si="14"/>
        <v>0</v>
      </c>
      <c r="R37" s="450">
        <f t="shared" si="14"/>
        <v>0</v>
      </c>
      <c r="S37" s="450">
        <f t="shared" si="14"/>
        <v>0</v>
      </c>
      <c r="T37" s="450">
        <f t="shared" si="14"/>
        <v>0</v>
      </c>
      <c r="U37" s="450">
        <f t="shared" si="14"/>
        <v>0</v>
      </c>
      <c r="V37" s="450">
        <f t="shared" si="14"/>
        <v>0</v>
      </c>
      <c r="W37" s="450">
        <f t="shared" si="14"/>
        <v>0</v>
      </c>
      <c r="X37" s="450">
        <f t="shared" si="14"/>
        <v>0</v>
      </c>
      <c r="Y37" s="33"/>
      <c r="Z37" s="509"/>
    </row>
    <row r="38" spans="1:26" x14ac:dyDescent="0.25">
      <c r="A38" s="383"/>
      <c r="B38" s="33"/>
      <c r="C38" s="33" t="s">
        <v>107</v>
      </c>
      <c r="D38" s="33"/>
      <c r="E38" s="400">
        <f>SUM(E36:E37)</f>
        <v>-1473.0859393927158</v>
      </c>
      <c r="F38" s="400">
        <f t="shared" ref="F38:N38" si="15">SUM(F36:F37)</f>
        <v>-3683.502706380938</v>
      </c>
      <c r="G38" s="400">
        <f t="shared" si="15"/>
        <v>-7583.831442605795</v>
      </c>
      <c r="H38" s="400">
        <f t="shared" si="15"/>
        <v>0</v>
      </c>
      <c r="I38" s="400">
        <f t="shared" si="15"/>
        <v>0</v>
      </c>
      <c r="J38" s="400">
        <f t="shared" si="15"/>
        <v>0</v>
      </c>
      <c r="K38" s="400">
        <f t="shared" si="15"/>
        <v>0</v>
      </c>
      <c r="L38" s="400">
        <f t="shared" si="15"/>
        <v>0</v>
      </c>
      <c r="M38" s="400">
        <f t="shared" si="15"/>
        <v>0</v>
      </c>
      <c r="N38" s="400">
        <f t="shared" si="15"/>
        <v>0</v>
      </c>
      <c r="O38" s="400">
        <f t="shared" ref="O38:X38" si="16">SUM(O36:O37)</f>
        <v>0</v>
      </c>
      <c r="P38" s="400">
        <f t="shared" si="16"/>
        <v>0</v>
      </c>
      <c r="Q38" s="400">
        <f t="shared" si="16"/>
        <v>0</v>
      </c>
      <c r="R38" s="400">
        <f t="shared" si="16"/>
        <v>0</v>
      </c>
      <c r="S38" s="400">
        <f t="shared" si="16"/>
        <v>0</v>
      </c>
      <c r="T38" s="400">
        <f t="shared" si="16"/>
        <v>0</v>
      </c>
      <c r="U38" s="400">
        <f t="shared" si="16"/>
        <v>0</v>
      </c>
      <c r="V38" s="400">
        <f t="shared" si="16"/>
        <v>0</v>
      </c>
      <c r="W38" s="400">
        <f t="shared" si="16"/>
        <v>0</v>
      </c>
      <c r="X38" s="400">
        <f t="shared" si="16"/>
        <v>0</v>
      </c>
      <c r="Y38" s="33"/>
      <c r="Z38" s="509"/>
    </row>
    <row r="39" spans="1:26" x14ac:dyDescent="0.25">
      <c r="A39" s="383"/>
      <c r="B39" s="33"/>
      <c r="C39" s="33" t="s">
        <v>108</v>
      </c>
      <c r="D39" s="33"/>
      <c r="E39" s="33"/>
      <c r="F39" s="517" t="e">
        <f>IRR($E$38:F38)</f>
        <v>#NUM!</v>
      </c>
      <c r="G39" s="516" t="e">
        <f>IRR($E$38:G38)</f>
        <v>#NUM!</v>
      </c>
      <c r="H39" s="516" t="e">
        <f>IRR($E$38:H38)</f>
        <v>#NUM!</v>
      </c>
      <c r="I39" s="516" t="e">
        <f>IRR($E$38:I38)</f>
        <v>#NUM!</v>
      </c>
      <c r="J39" s="516" t="e">
        <f>IRR($E$38:J38)</f>
        <v>#NUM!</v>
      </c>
      <c r="K39" s="516" t="e">
        <f>IRR($E$38:K38)</f>
        <v>#NUM!</v>
      </c>
      <c r="L39" s="516" t="e">
        <f>IRR($E$38:L38)</f>
        <v>#NUM!</v>
      </c>
      <c r="M39" s="516" t="e">
        <f>IRR($E$38:M38)</f>
        <v>#NUM!</v>
      </c>
      <c r="N39" s="516" t="e">
        <f>IRR($E$38:N38)</f>
        <v>#NUM!</v>
      </c>
      <c r="O39" s="516" t="e">
        <f>IRR($E$38:O38)</f>
        <v>#NUM!</v>
      </c>
      <c r="P39" s="516" t="e">
        <f>IRR($E$38:P38)</f>
        <v>#NUM!</v>
      </c>
      <c r="Q39" s="516" t="e">
        <f>IRR($E$38:Q38)</f>
        <v>#DIV/0!</v>
      </c>
      <c r="R39" s="516" t="e">
        <f>IRR($E$38:R38)</f>
        <v>#DIV/0!</v>
      </c>
      <c r="S39" s="516" t="e">
        <f>IRR($E$38:S38)</f>
        <v>#DIV/0!</v>
      </c>
      <c r="T39" s="516" t="e">
        <f>IRR($E$38:T38)</f>
        <v>#DIV/0!</v>
      </c>
      <c r="U39" s="516" t="e">
        <f>IRR($E$38:U38)</f>
        <v>#DIV/0!</v>
      </c>
      <c r="V39" s="516" t="e">
        <f>IRR($E$38:V38)</f>
        <v>#DIV/0!</v>
      </c>
      <c r="W39" s="516" t="e">
        <f>IRR($E$38:W38)</f>
        <v>#DIV/0!</v>
      </c>
      <c r="X39" s="516" t="e">
        <f>IRR($E$38:X38)</f>
        <v>#DIV/0!</v>
      </c>
      <c r="Y39" s="33"/>
      <c r="Z39" s="509"/>
    </row>
    <row r="40" spans="1:26" x14ac:dyDescent="0.25">
      <c r="A40" s="383"/>
      <c r="B40" s="33"/>
      <c r="C40" s="33"/>
      <c r="D40" s="33"/>
      <c r="E40" s="33"/>
      <c r="F40" s="517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Y40" s="33"/>
      <c r="Z40" s="509"/>
    </row>
    <row r="41" spans="1:26" x14ac:dyDescent="0.25">
      <c r="A41" s="383"/>
      <c r="B41" s="33"/>
      <c r="C41" s="33" t="s">
        <v>217</v>
      </c>
      <c r="D41" s="33"/>
      <c r="E41" s="400">
        <f t="shared" ref="E41:X41" si="17">E28*$E$21</f>
        <v>869.44788458571281</v>
      </c>
      <c r="F41" s="400">
        <f t="shared" si="17"/>
        <v>3158.3429247972504</v>
      </c>
      <c r="G41" s="400">
        <f t="shared" si="17"/>
        <v>10590.68685530818</v>
      </c>
      <c r="H41" s="400">
        <f t="shared" si="17"/>
        <v>0</v>
      </c>
      <c r="I41" s="400">
        <f t="shared" si="17"/>
        <v>0</v>
      </c>
      <c r="J41" s="400">
        <f t="shared" si="17"/>
        <v>0</v>
      </c>
      <c r="K41" s="400">
        <f t="shared" si="17"/>
        <v>0</v>
      </c>
      <c r="L41" s="400">
        <f t="shared" si="17"/>
        <v>0</v>
      </c>
      <c r="M41" s="400">
        <f t="shared" si="17"/>
        <v>0</v>
      </c>
      <c r="N41" s="400">
        <f t="shared" si="17"/>
        <v>0</v>
      </c>
      <c r="O41" s="400">
        <f t="shared" si="17"/>
        <v>0</v>
      </c>
      <c r="P41" s="400">
        <f t="shared" si="17"/>
        <v>0</v>
      </c>
      <c r="Q41" s="400">
        <f t="shared" si="17"/>
        <v>0</v>
      </c>
      <c r="R41" s="400">
        <f t="shared" si="17"/>
        <v>0</v>
      </c>
      <c r="S41" s="400">
        <f t="shared" si="17"/>
        <v>0</v>
      </c>
      <c r="T41" s="400">
        <f t="shared" si="17"/>
        <v>0</v>
      </c>
      <c r="U41" s="400">
        <f t="shared" si="17"/>
        <v>0</v>
      </c>
      <c r="V41" s="400">
        <f t="shared" si="17"/>
        <v>0</v>
      </c>
      <c r="W41" s="400">
        <f t="shared" si="17"/>
        <v>0</v>
      </c>
      <c r="X41" s="400">
        <f t="shared" si="17"/>
        <v>0</v>
      </c>
      <c r="Y41" s="33"/>
      <c r="Z41" s="509"/>
    </row>
    <row r="42" spans="1:26" x14ac:dyDescent="0.25">
      <c r="A42" s="383"/>
      <c r="B42" s="33"/>
      <c r="C42" s="33" t="s">
        <v>218</v>
      </c>
      <c r="D42" s="33"/>
      <c r="E42" s="450">
        <f t="shared" ref="E42:X42" si="18">E29*$E$21</f>
        <v>-2342.5338239784287</v>
      </c>
      <c r="F42" s="450">
        <f t="shared" si="18"/>
        <v>-6841.8456311781883</v>
      </c>
      <c r="G42" s="450">
        <f t="shared" si="18"/>
        <v>-18174.518297913975</v>
      </c>
      <c r="H42" s="450">
        <f t="shared" si="18"/>
        <v>0</v>
      </c>
      <c r="I42" s="450">
        <f t="shared" si="18"/>
        <v>0</v>
      </c>
      <c r="J42" s="450">
        <f t="shared" si="18"/>
        <v>0</v>
      </c>
      <c r="K42" s="450">
        <f t="shared" si="18"/>
        <v>0</v>
      </c>
      <c r="L42" s="450">
        <f t="shared" si="18"/>
        <v>0</v>
      </c>
      <c r="M42" s="450">
        <f t="shared" si="18"/>
        <v>0</v>
      </c>
      <c r="N42" s="450">
        <f t="shared" si="18"/>
        <v>0</v>
      </c>
      <c r="O42" s="450">
        <f t="shared" si="18"/>
        <v>0</v>
      </c>
      <c r="P42" s="450">
        <f t="shared" si="18"/>
        <v>0</v>
      </c>
      <c r="Q42" s="450">
        <f t="shared" si="18"/>
        <v>0</v>
      </c>
      <c r="R42" s="450">
        <f t="shared" si="18"/>
        <v>0</v>
      </c>
      <c r="S42" s="450">
        <f t="shared" si="18"/>
        <v>0</v>
      </c>
      <c r="T42" s="450">
        <f t="shared" si="18"/>
        <v>0</v>
      </c>
      <c r="U42" s="450">
        <f t="shared" si="18"/>
        <v>0</v>
      </c>
      <c r="V42" s="450">
        <f t="shared" si="18"/>
        <v>0</v>
      </c>
      <c r="W42" s="450">
        <f t="shared" si="18"/>
        <v>0</v>
      </c>
      <c r="X42" s="450">
        <f t="shared" si="18"/>
        <v>0</v>
      </c>
      <c r="Y42" s="33"/>
      <c r="Z42" s="509"/>
    </row>
    <row r="43" spans="1:26" x14ac:dyDescent="0.25">
      <c r="A43" s="383"/>
      <c r="B43" s="33"/>
      <c r="C43" s="33" t="s">
        <v>109</v>
      </c>
      <c r="D43" s="33"/>
      <c r="E43" s="400">
        <f>SUM(E41:E42)</f>
        <v>-1473.0859393927158</v>
      </c>
      <c r="F43" s="400">
        <f t="shared" ref="F43:N43" si="19">SUM(F41:F42)</f>
        <v>-3683.502706380938</v>
      </c>
      <c r="G43" s="400">
        <f t="shared" si="19"/>
        <v>-7583.831442605795</v>
      </c>
      <c r="H43" s="400">
        <f t="shared" si="19"/>
        <v>0</v>
      </c>
      <c r="I43" s="400">
        <f t="shared" si="19"/>
        <v>0</v>
      </c>
      <c r="J43" s="400">
        <f t="shared" si="19"/>
        <v>0</v>
      </c>
      <c r="K43" s="400">
        <f t="shared" si="19"/>
        <v>0</v>
      </c>
      <c r="L43" s="400">
        <f t="shared" si="19"/>
        <v>0</v>
      </c>
      <c r="M43" s="400">
        <f t="shared" si="19"/>
        <v>0</v>
      </c>
      <c r="N43" s="400">
        <f t="shared" si="19"/>
        <v>0</v>
      </c>
      <c r="O43" s="400">
        <f t="shared" ref="O43:X43" si="20">SUM(O41:O42)</f>
        <v>0</v>
      </c>
      <c r="P43" s="400">
        <f t="shared" si="20"/>
        <v>0</v>
      </c>
      <c r="Q43" s="400">
        <f t="shared" si="20"/>
        <v>0</v>
      </c>
      <c r="R43" s="400">
        <f t="shared" si="20"/>
        <v>0</v>
      </c>
      <c r="S43" s="400">
        <f t="shared" si="20"/>
        <v>0</v>
      </c>
      <c r="T43" s="400">
        <f t="shared" si="20"/>
        <v>0</v>
      </c>
      <c r="U43" s="400">
        <f t="shared" si="20"/>
        <v>0</v>
      </c>
      <c r="V43" s="400">
        <f t="shared" si="20"/>
        <v>0</v>
      </c>
      <c r="W43" s="400">
        <f t="shared" si="20"/>
        <v>0</v>
      </c>
      <c r="X43" s="400">
        <f t="shared" si="20"/>
        <v>0</v>
      </c>
      <c r="Y43" s="33"/>
      <c r="Z43" s="509"/>
    </row>
    <row r="44" spans="1:26" x14ac:dyDescent="0.25">
      <c r="A44" s="383"/>
      <c r="B44" s="33"/>
      <c r="C44" s="33" t="s">
        <v>108</v>
      </c>
      <c r="D44" s="33"/>
      <c r="E44" s="33"/>
      <c r="F44" s="516" t="e">
        <f>IRR($E$43:F43)</f>
        <v>#NUM!</v>
      </c>
      <c r="G44" s="516" t="e">
        <f>IRR($E$43:G43)</f>
        <v>#NUM!</v>
      </c>
      <c r="H44" s="516" t="e">
        <f>IRR($E$43:H43)</f>
        <v>#NUM!</v>
      </c>
      <c r="I44" s="516" t="e">
        <f>IRR($E$43:I43)</f>
        <v>#NUM!</v>
      </c>
      <c r="J44" s="516" t="e">
        <f>IRR($E$43:J43)</f>
        <v>#NUM!</v>
      </c>
      <c r="K44" s="516" t="e">
        <f>IRR($E$43:K43)</f>
        <v>#NUM!</v>
      </c>
      <c r="L44" s="516" t="e">
        <f>IRR($E$43:L43)</f>
        <v>#NUM!</v>
      </c>
      <c r="M44" s="516" t="e">
        <f>IRR($E$43:M43)</f>
        <v>#NUM!</v>
      </c>
      <c r="N44" s="516" t="e">
        <f>IRR($E$43:N43)</f>
        <v>#NUM!</v>
      </c>
      <c r="O44" s="516" t="e">
        <f>IRR($E$43:O43)</f>
        <v>#NUM!</v>
      </c>
      <c r="P44" s="516" t="e">
        <f>IRR($E$43:P43)</f>
        <v>#NUM!</v>
      </c>
      <c r="Q44" s="516" t="e">
        <f>IRR($E$43:Q43)</f>
        <v>#DIV/0!</v>
      </c>
      <c r="R44" s="516" t="e">
        <f>IRR($E$43:R43)</f>
        <v>#DIV/0!</v>
      </c>
      <c r="S44" s="516" t="e">
        <f>IRR($E$43:S43)</f>
        <v>#DIV/0!</v>
      </c>
      <c r="T44" s="516" t="e">
        <f>IRR($E$43:T43)</f>
        <v>#DIV/0!</v>
      </c>
      <c r="U44" s="516" t="e">
        <f>IRR($E$43:U43)</f>
        <v>#DIV/0!</v>
      </c>
      <c r="V44" s="516" t="e">
        <f>IRR($E$43:V43)</f>
        <v>#DIV/0!</v>
      </c>
      <c r="W44" s="516" t="e">
        <f>IRR($E$43:W43)</f>
        <v>#DIV/0!</v>
      </c>
      <c r="X44" s="516" t="e">
        <f>IRR($E$43:X43)</f>
        <v>#DIV/0!</v>
      </c>
      <c r="Y44" s="33"/>
      <c r="Z44" s="509"/>
    </row>
    <row r="45" spans="1:26" x14ac:dyDescent="0.25">
      <c r="A45" s="383"/>
      <c r="B45" s="33"/>
      <c r="C45" s="33"/>
      <c r="D45" s="33"/>
      <c r="E45" s="33"/>
      <c r="F45" s="516"/>
      <c r="G45" s="516"/>
      <c r="H45" s="516"/>
      <c r="I45" s="516"/>
      <c r="J45" s="516"/>
      <c r="K45" s="516"/>
      <c r="L45" s="516"/>
      <c r="M45" s="516"/>
      <c r="N45" s="516"/>
      <c r="O45" s="516"/>
      <c r="P45" s="516"/>
      <c r="Q45" s="516"/>
      <c r="R45" s="516"/>
      <c r="S45" s="516"/>
      <c r="T45" s="516"/>
      <c r="U45" s="516"/>
      <c r="V45" s="516"/>
      <c r="W45" s="516"/>
      <c r="X45" s="516"/>
      <c r="Y45" s="33"/>
      <c r="Z45" s="509"/>
    </row>
    <row r="46" spans="1:26" x14ac:dyDescent="0.25">
      <c r="A46" s="383"/>
      <c r="B46" s="33"/>
      <c r="C46" s="33"/>
      <c r="D46" s="33"/>
      <c r="E46" s="33"/>
      <c r="F46" s="516"/>
      <c r="G46" s="516"/>
      <c r="H46" s="516"/>
      <c r="I46" s="516"/>
      <c r="J46" s="516"/>
      <c r="K46" s="516"/>
      <c r="L46" s="516"/>
      <c r="M46" s="516"/>
      <c r="N46" s="516"/>
      <c r="O46" s="516"/>
      <c r="P46" s="516"/>
      <c r="Q46" s="516"/>
      <c r="R46" s="516"/>
      <c r="S46" s="516"/>
      <c r="T46" s="516"/>
      <c r="U46" s="516"/>
      <c r="V46" s="516"/>
      <c r="W46" s="516"/>
      <c r="X46" s="516"/>
      <c r="Y46" s="33"/>
      <c r="Z46" s="509"/>
    </row>
    <row r="47" spans="1:26" x14ac:dyDescent="0.25">
      <c r="A47" s="383"/>
      <c r="B47" s="145" t="s">
        <v>290</v>
      </c>
      <c r="C47" s="33"/>
      <c r="D47" s="33"/>
      <c r="E47" s="33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6"/>
      <c r="Q47" s="516"/>
      <c r="R47" s="516"/>
      <c r="S47" s="516"/>
      <c r="T47" s="516"/>
      <c r="U47" s="516"/>
      <c r="V47" s="516"/>
      <c r="W47" s="516"/>
      <c r="X47" s="516"/>
      <c r="Y47" s="33"/>
      <c r="Z47" s="509"/>
    </row>
    <row r="48" spans="1:26" x14ac:dyDescent="0.25">
      <c r="A48" s="383"/>
      <c r="B48" s="33"/>
      <c r="C48" s="33"/>
      <c r="D48" s="33"/>
      <c r="E48" s="33"/>
      <c r="F48" s="516"/>
      <c r="G48" s="516"/>
      <c r="H48" s="516"/>
      <c r="I48" s="516"/>
      <c r="J48" s="516"/>
      <c r="K48" s="516"/>
      <c r="L48" s="516"/>
      <c r="M48" s="516"/>
      <c r="N48" s="516"/>
      <c r="O48" s="516"/>
      <c r="P48" s="516"/>
      <c r="Q48" s="516"/>
      <c r="R48" s="516"/>
      <c r="S48" s="516"/>
      <c r="T48" s="516"/>
      <c r="U48" s="516"/>
      <c r="V48" s="516"/>
      <c r="W48" s="516"/>
      <c r="X48" s="516"/>
      <c r="Y48" s="33"/>
      <c r="Z48" s="509"/>
    </row>
    <row r="49" spans="1:26" x14ac:dyDescent="0.25">
      <c r="A49" s="383"/>
      <c r="B49" s="33" t="s">
        <v>291</v>
      </c>
      <c r="C49" s="33"/>
      <c r="D49" s="518">
        <f>Assumptions!F69</f>
        <v>3</v>
      </c>
      <c r="E49" s="33"/>
      <c r="F49" s="516"/>
      <c r="G49" s="516"/>
      <c r="H49" s="516"/>
      <c r="I49" s="516"/>
      <c r="J49" s="516"/>
      <c r="K49" s="516"/>
      <c r="L49" s="516"/>
      <c r="M49" s="516"/>
      <c r="N49" s="516"/>
      <c r="O49" s="516"/>
      <c r="P49" s="516"/>
      <c r="Q49" s="516"/>
      <c r="R49" s="516"/>
      <c r="S49" s="516"/>
      <c r="T49" s="516"/>
      <c r="U49" s="516"/>
      <c r="V49" s="516"/>
      <c r="W49" s="516"/>
      <c r="X49" s="516"/>
      <c r="Y49" s="33"/>
      <c r="Z49" s="509"/>
    </row>
    <row r="50" spans="1:26" x14ac:dyDescent="0.25">
      <c r="A50" s="383"/>
      <c r="B50" s="33"/>
      <c r="C50" s="33"/>
      <c r="D50" s="33"/>
      <c r="E50" s="33"/>
      <c r="F50" s="516"/>
      <c r="G50" s="516"/>
      <c r="H50" s="516"/>
      <c r="I50" s="516"/>
      <c r="J50" s="516"/>
      <c r="K50" s="516"/>
      <c r="L50" s="516"/>
      <c r="M50" s="516"/>
      <c r="N50" s="516"/>
      <c r="O50" s="516"/>
      <c r="P50" s="516"/>
      <c r="Q50" s="516"/>
      <c r="R50" s="516"/>
      <c r="S50" s="516"/>
      <c r="T50" s="516"/>
      <c r="U50" s="516"/>
      <c r="V50" s="516"/>
      <c r="W50" s="516"/>
      <c r="X50" s="516"/>
      <c r="Y50" s="33"/>
      <c r="Z50" s="509"/>
    </row>
    <row r="51" spans="1:26" x14ac:dyDescent="0.25">
      <c r="A51" s="383"/>
      <c r="B51" s="33"/>
      <c r="C51" s="145" t="s">
        <v>285</v>
      </c>
      <c r="D51" s="33"/>
      <c r="E51" s="399">
        <f>E27</f>
        <v>2001</v>
      </c>
      <c r="F51" s="399">
        <f t="shared" ref="F51:N51" si="21">F27</f>
        <v>2002</v>
      </c>
      <c r="G51" s="399">
        <f t="shared" si="21"/>
        <v>2003</v>
      </c>
      <c r="H51" s="399">
        <f t="shared" si="21"/>
        <v>2004</v>
      </c>
      <c r="I51" s="399">
        <f t="shared" si="21"/>
        <v>2005</v>
      </c>
      <c r="J51" s="399">
        <f t="shared" si="21"/>
        <v>2006</v>
      </c>
      <c r="K51" s="399">
        <f t="shared" si="21"/>
        <v>2007</v>
      </c>
      <c r="L51" s="399">
        <f t="shared" si="21"/>
        <v>2008</v>
      </c>
      <c r="M51" s="399">
        <f t="shared" si="21"/>
        <v>2009</v>
      </c>
      <c r="N51" s="399">
        <f t="shared" si="21"/>
        <v>2010</v>
      </c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3"/>
      <c r="Z51" s="509"/>
    </row>
    <row r="52" spans="1:26" x14ac:dyDescent="0.25">
      <c r="A52" s="383"/>
      <c r="B52" s="33"/>
      <c r="C52" s="33">
        <v>2001</v>
      </c>
      <c r="D52" s="400">
        <f>E$28</f>
        <v>1738.8957691714256</v>
      </c>
      <c r="E52" s="155">
        <f>$D52/$D$49</f>
        <v>579.63192305714188</v>
      </c>
      <c r="F52" s="155">
        <f>$D52/$D$49</f>
        <v>579.63192305714188</v>
      </c>
      <c r="G52" s="155">
        <f>$D52/$D$49</f>
        <v>579.63192305714188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33"/>
      <c r="Z52" s="509"/>
    </row>
    <row r="53" spans="1:26" x14ac:dyDescent="0.25">
      <c r="A53" s="383"/>
      <c r="B53" s="33"/>
      <c r="C53" s="33">
        <v>2002</v>
      </c>
      <c r="D53" s="400">
        <f>F$28</f>
        <v>6316.6858495945007</v>
      </c>
      <c r="E53" s="155"/>
      <c r="F53" s="155">
        <f>$D53/$D$49</f>
        <v>2105.5619498648334</v>
      </c>
      <c r="G53" s="155">
        <f>$D53/$D$49</f>
        <v>2105.5619498648334</v>
      </c>
      <c r="H53" s="155">
        <f>$D53/$D$49</f>
        <v>2105.5619498648334</v>
      </c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33"/>
      <c r="Z53" s="509"/>
    </row>
    <row r="54" spans="1:26" x14ac:dyDescent="0.25">
      <c r="A54" s="383"/>
      <c r="B54" s="33"/>
      <c r="C54" s="33">
        <v>2003</v>
      </c>
      <c r="D54" s="400">
        <f>G$28</f>
        <v>21181.373710616361</v>
      </c>
      <c r="E54" s="155"/>
      <c r="F54" s="155"/>
      <c r="G54" s="155">
        <f>$D54/$D$49</f>
        <v>7060.4579035387869</v>
      </c>
      <c r="H54" s="155">
        <f>$D54/$D$49</f>
        <v>7060.4579035387869</v>
      </c>
      <c r="I54" s="155">
        <f>$D54/$D$49</f>
        <v>7060.4579035387869</v>
      </c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33"/>
      <c r="Z54" s="509"/>
    </row>
    <row r="55" spans="1:26" x14ac:dyDescent="0.25">
      <c r="A55" s="383"/>
      <c r="B55" s="33"/>
      <c r="C55" s="33">
        <v>2004</v>
      </c>
      <c r="D55" s="400">
        <f>H$28</f>
        <v>0</v>
      </c>
      <c r="E55" s="155"/>
      <c r="F55" s="155"/>
      <c r="G55" s="155"/>
      <c r="H55" s="155">
        <f>$D55/$D$49</f>
        <v>0</v>
      </c>
      <c r="I55" s="155">
        <f>$D55/$D$49</f>
        <v>0</v>
      </c>
      <c r="J55" s="155">
        <f>$D55/$D$49</f>
        <v>0</v>
      </c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33"/>
      <c r="Z55" s="509"/>
    </row>
    <row r="56" spans="1:26" x14ac:dyDescent="0.25">
      <c r="A56" s="383"/>
      <c r="B56" s="33"/>
      <c r="C56" s="33">
        <v>2005</v>
      </c>
      <c r="D56" s="400">
        <f>I$28</f>
        <v>0</v>
      </c>
      <c r="E56" s="155"/>
      <c r="F56" s="155"/>
      <c r="G56" s="155"/>
      <c r="H56" s="155"/>
      <c r="I56" s="155">
        <f>$D56/$D$49</f>
        <v>0</v>
      </c>
      <c r="J56" s="155">
        <f>$D56/$D$49</f>
        <v>0</v>
      </c>
      <c r="K56" s="155">
        <f>$D56/$D$49</f>
        <v>0</v>
      </c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33"/>
      <c r="Z56" s="509"/>
    </row>
    <row r="57" spans="1:26" x14ac:dyDescent="0.25">
      <c r="A57" s="383"/>
      <c r="B57" s="33"/>
      <c r="C57" s="33">
        <v>2006</v>
      </c>
      <c r="D57" s="400">
        <f>J$28</f>
        <v>0</v>
      </c>
      <c r="E57" s="155"/>
      <c r="F57" s="155"/>
      <c r="G57" s="155"/>
      <c r="H57" s="155"/>
      <c r="I57" s="155"/>
      <c r="J57" s="155">
        <f>$D57/$D$49</f>
        <v>0</v>
      </c>
      <c r="K57" s="155">
        <f>$D57/$D$49</f>
        <v>0</v>
      </c>
      <c r="L57" s="155">
        <f>$D57/$D$49</f>
        <v>0</v>
      </c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33"/>
      <c r="Z57" s="509"/>
    </row>
    <row r="58" spans="1:26" x14ac:dyDescent="0.25">
      <c r="A58" s="383"/>
      <c r="B58" s="33"/>
      <c r="C58" s="33">
        <v>2007</v>
      </c>
      <c r="D58" s="400">
        <f>K$28</f>
        <v>0</v>
      </c>
      <c r="E58" s="155"/>
      <c r="F58" s="155"/>
      <c r="G58" s="155"/>
      <c r="H58" s="155"/>
      <c r="I58" s="155"/>
      <c r="J58" s="155"/>
      <c r="K58" s="155">
        <f>$D58/$D$49</f>
        <v>0</v>
      </c>
      <c r="L58" s="155">
        <f>$D58/$D$49</f>
        <v>0</v>
      </c>
      <c r="M58" s="155">
        <f>$D58/$D$49</f>
        <v>0</v>
      </c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33"/>
      <c r="Z58" s="509"/>
    </row>
    <row r="59" spans="1:26" x14ac:dyDescent="0.25">
      <c r="A59" s="383"/>
      <c r="B59" s="33"/>
      <c r="C59" s="33">
        <v>2008</v>
      </c>
      <c r="D59" s="400">
        <f>L$28</f>
        <v>0</v>
      </c>
      <c r="E59" s="155"/>
      <c r="F59" s="155"/>
      <c r="G59" s="155"/>
      <c r="H59" s="155"/>
      <c r="I59" s="155"/>
      <c r="J59" s="155"/>
      <c r="K59" s="155"/>
      <c r="L59" s="155">
        <f>$D59/$D$49</f>
        <v>0</v>
      </c>
      <c r="M59" s="155">
        <f>$D59/$D$49</f>
        <v>0</v>
      </c>
      <c r="N59" s="155">
        <f>$D59/$D$49</f>
        <v>0</v>
      </c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33"/>
      <c r="Z59" s="509"/>
    </row>
    <row r="60" spans="1:26" x14ac:dyDescent="0.25">
      <c r="A60" s="383"/>
      <c r="B60" s="33"/>
      <c r="C60" s="33">
        <v>2009</v>
      </c>
      <c r="D60" s="400">
        <f>M$28</f>
        <v>0</v>
      </c>
      <c r="E60" s="155"/>
      <c r="F60" s="155"/>
      <c r="G60" s="155"/>
      <c r="H60" s="155"/>
      <c r="I60" s="155"/>
      <c r="J60" s="155"/>
      <c r="K60" s="155"/>
      <c r="L60" s="155"/>
      <c r="M60" s="155">
        <f>$D60/$D$49</f>
        <v>0</v>
      </c>
      <c r="N60" s="155">
        <f>$D60/$D$49</f>
        <v>0</v>
      </c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33"/>
      <c r="Z60" s="509"/>
    </row>
    <row r="61" spans="1:26" x14ac:dyDescent="0.25">
      <c r="A61" s="383"/>
      <c r="B61" s="33"/>
      <c r="C61" s="33">
        <v>2010</v>
      </c>
      <c r="D61" s="400">
        <f>N$28</f>
        <v>0</v>
      </c>
      <c r="E61" s="519"/>
      <c r="F61" s="519"/>
      <c r="G61" s="519"/>
      <c r="H61" s="519"/>
      <c r="I61" s="519"/>
      <c r="J61" s="519"/>
      <c r="K61" s="519"/>
      <c r="L61" s="519"/>
      <c r="M61" s="519"/>
      <c r="N61" s="519">
        <f>$D61/$D$49</f>
        <v>0</v>
      </c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33"/>
      <c r="Z61" s="509"/>
    </row>
    <row r="62" spans="1:26" x14ac:dyDescent="0.25">
      <c r="A62" s="383"/>
      <c r="B62" s="33"/>
      <c r="C62" s="452" t="s">
        <v>292</v>
      </c>
      <c r="D62" s="145"/>
      <c r="E62" s="402">
        <f>SUM(E52:E61)</f>
        <v>579.63192305714188</v>
      </c>
      <c r="F62" s="402">
        <f t="shared" ref="F62:N62" si="22">SUM(F52:F61)</f>
        <v>2685.1938729219755</v>
      </c>
      <c r="G62" s="402">
        <f t="shared" si="22"/>
        <v>9745.6517764607634</v>
      </c>
      <c r="H62" s="402">
        <f t="shared" si="22"/>
        <v>9166.0198534036208</v>
      </c>
      <c r="I62" s="402">
        <f t="shared" si="22"/>
        <v>7060.4579035387869</v>
      </c>
      <c r="J62" s="402">
        <f t="shared" si="22"/>
        <v>0</v>
      </c>
      <c r="K62" s="402">
        <f t="shared" si="22"/>
        <v>0</v>
      </c>
      <c r="L62" s="402">
        <f t="shared" si="22"/>
        <v>0</v>
      </c>
      <c r="M62" s="402">
        <f t="shared" si="22"/>
        <v>0</v>
      </c>
      <c r="N62" s="402">
        <f t="shared" si="22"/>
        <v>0</v>
      </c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33"/>
      <c r="Z62" s="509"/>
    </row>
    <row r="63" spans="1:26" ht="8.25" customHeight="1" thickBot="1" x14ac:dyDescent="0.3">
      <c r="A63" s="383"/>
      <c r="B63" s="33"/>
      <c r="C63" s="452"/>
      <c r="D63" s="145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33"/>
      <c r="Z63" s="509"/>
    </row>
    <row r="64" spans="1:26" hidden="1" x14ac:dyDescent="0.25">
      <c r="A64" s="383"/>
      <c r="B64" s="33"/>
      <c r="C64" s="145" t="s">
        <v>293</v>
      </c>
      <c r="D64" s="33"/>
      <c r="E64" s="399">
        <f>E51</f>
        <v>2001</v>
      </c>
      <c r="F64" s="399">
        <f t="shared" ref="F64:N64" si="23">F51</f>
        <v>2002</v>
      </c>
      <c r="G64" s="399">
        <f t="shared" si="23"/>
        <v>2003</v>
      </c>
      <c r="H64" s="399">
        <f t="shared" si="23"/>
        <v>2004</v>
      </c>
      <c r="I64" s="399">
        <f t="shared" si="23"/>
        <v>2005</v>
      </c>
      <c r="J64" s="399">
        <f t="shared" si="23"/>
        <v>2006</v>
      </c>
      <c r="K64" s="399">
        <f t="shared" si="23"/>
        <v>2007</v>
      </c>
      <c r="L64" s="399">
        <f t="shared" si="23"/>
        <v>2008</v>
      </c>
      <c r="M64" s="399">
        <f t="shared" si="23"/>
        <v>2009</v>
      </c>
      <c r="N64" s="399">
        <f t="shared" si="23"/>
        <v>2010</v>
      </c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3"/>
      <c r="Z64" s="509"/>
    </row>
    <row r="65" spans="1:26" hidden="1" x14ac:dyDescent="0.25">
      <c r="A65" s="383"/>
      <c r="B65" s="33"/>
      <c r="C65" s="33">
        <v>2001</v>
      </c>
      <c r="D65" s="400">
        <f>E$29</f>
        <v>-4685.0676479568574</v>
      </c>
      <c r="E65" s="400">
        <f>$D65/$D$49</f>
        <v>-1561.6892159856191</v>
      </c>
      <c r="F65" s="400">
        <f>$D65/$D$49</f>
        <v>-1561.6892159856191</v>
      </c>
      <c r="G65" s="400">
        <f>$D65/$D$49</f>
        <v>-1561.6892159856191</v>
      </c>
      <c r="H65" s="400"/>
      <c r="I65" s="400"/>
      <c r="J65" s="400"/>
      <c r="K65" s="400"/>
      <c r="L65" s="400"/>
      <c r="M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33"/>
      <c r="Z65" s="509"/>
    </row>
    <row r="66" spans="1:26" hidden="1" x14ac:dyDescent="0.25">
      <c r="A66" s="383"/>
      <c r="B66" s="33"/>
      <c r="C66" s="33">
        <v>2002</v>
      </c>
      <c r="D66" s="400">
        <f>F$29</f>
        <v>-13683.691262356377</v>
      </c>
      <c r="E66" s="400"/>
      <c r="F66" s="400">
        <f>$D66/$D$49</f>
        <v>-4561.2304207854586</v>
      </c>
      <c r="G66" s="400">
        <f>$D66/$D$49</f>
        <v>-4561.2304207854586</v>
      </c>
      <c r="H66" s="400">
        <f>$D66/$D$49</f>
        <v>-4561.2304207854586</v>
      </c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33"/>
      <c r="Z66" s="509"/>
    </row>
    <row r="67" spans="1:26" hidden="1" x14ac:dyDescent="0.25">
      <c r="A67" s="383"/>
      <c r="B67" s="33"/>
      <c r="C67" s="33">
        <v>2003</v>
      </c>
      <c r="D67" s="400">
        <f>G$29</f>
        <v>-36349.036595827951</v>
      </c>
      <c r="E67" s="400"/>
      <c r="F67" s="400"/>
      <c r="G67" s="400">
        <f>$D67/$D$49</f>
        <v>-12116.34553194265</v>
      </c>
      <c r="H67" s="400">
        <f>$D67/$D$49</f>
        <v>-12116.34553194265</v>
      </c>
      <c r="I67" s="400">
        <f>$D67/$D$49</f>
        <v>-12116.34553194265</v>
      </c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33"/>
      <c r="Z67" s="509"/>
    </row>
    <row r="68" spans="1:26" hidden="1" x14ac:dyDescent="0.25">
      <c r="A68" s="383"/>
      <c r="B68" s="33"/>
      <c r="C68" s="33">
        <v>2004</v>
      </c>
      <c r="D68" s="400">
        <f>H$29</f>
        <v>0</v>
      </c>
      <c r="E68" s="400"/>
      <c r="F68" s="400"/>
      <c r="G68" s="400"/>
      <c r="H68" s="400">
        <f>$D68/$D$49</f>
        <v>0</v>
      </c>
      <c r="I68" s="400">
        <f>$D68/$D$49</f>
        <v>0</v>
      </c>
      <c r="J68" s="400">
        <f>$D68/$D$49</f>
        <v>0</v>
      </c>
      <c r="K68" s="400"/>
      <c r="L68" s="400"/>
      <c r="M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33"/>
      <c r="Z68" s="509"/>
    </row>
    <row r="69" spans="1:26" hidden="1" x14ac:dyDescent="0.25">
      <c r="A69" s="383"/>
      <c r="B69" s="33"/>
      <c r="C69" s="33">
        <v>2005</v>
      </c>
      <c r="D69" s="400">
        <f>I$29</f>
        <v>0</v>
      </c>
      <c r="E69" s="400"/>
      <c r="F69" s="400"/>
      <c r="G69" s="400"/>
      <c r="H69" s="400"/>
      <c r="I69" s="400">
        <f>$D69/$D$49</f>
        <v>0</v>
      </c>
      <c r="J69" s="400">
        <f>$D69/$D$49</f>
        <v>0</v>
      </c>
      <c r="K69" s="400">
        <f>$D69/$D$49</f>
        <v>0</v>
      </c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33"/>
      <c r="Z69" s="509"/>
    </row>
    <row r="70" spans="1:26" hidden="1" x14ac:dyDescent="0.25">
      <c r="A70" s="383"/>
      <c r="B70" s="33"/>
      <c r="C70" s="33">
        <v>2006</v>
      </c>
      <c r="D70" s="400">
        <f>J$29</f>
        <v>0</v>
      </c>
      <c r="E70" s="400"/>
      <c r="F70" s="400"/>
      <c r="G70" s="400"/>
      <c r="H70" s="400"/>
      <c r="I70" s="400"/>
      <c r="J70" s="400">
        <f>$D70/$D$49</f>
        <v>0</v>
      </c>
      <c r="K70" s="400">
        <f>$D70/$D$49</f>
        <v>0</v>
      </c>
      <c r="L70" s="400">
        <f>$D70/$D$49</f>
        <v>0</v>
      </c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33"/>
      <c r="Z70" s="509"/>
    </row>
    <row r="71" spans="1:26" hidden="1" x14ac:dyDescent="0.25">
      <c r="A71" s="383"/>
      <c r="B71" s="33"/>
      <c r="C71" s="33">
        <v>2007</v>
      </c>
      <c r="D71" s="400">
        <f>K$29</f>
        <v>0</v>
      </c>
      <c r="E71" s="400"/>
      <c r="F71" s="400"/>
      <c r="G71" s="400"/>
      <c r="H71" s="400"/>
      <c r="I71" s="400"/>
      <c r="J71" s="400"/>
      <c r="K71" s="400">
        <f>$D71/$D$49</f>
        <v>0</v>
      </c>
      <c r="L71" s="400">
        <f>$D71/$D$49</f>
        <v>0</v>
      </c>
      <c r="M71" s="400">
        <f>$D71/$D$49</f>
        <v>0</v>
      </c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33"/>
      <c r="Z71" s="509"/>
    </row>
    <row r="72" spans="1:26" hidden="1" x14ac:dyDescent="0.25">
      <c r="A72" s="383"/>
      <c r="B72" s="33"/>
      <c r="C72" s="33">
        <v>2008</v>
      </c>
      <c r="D72" s="400">
        <f>L$29</f>
        <v>0</v>
      </c>
      <c r="E72" s="400"/>
      <c r="F72" s="400"/>
      <c r="G72" s="400"/>
      <c r="H72" s="400"/>
      <c r="I72" s="400"/>
      <c r="J72" s="400"/>
      <c r="K72" s="400"/>
      <c r="L72" s="400">
        <f>$D72/$D$49</f>
        <v>0</v>
      </c>
      <c r="M72" s="400">
        <f>$D72/$D$49</f>
        <v>0</v>
      </c>
      <c r="N72" s="400">
        <f>$D72/$D$49</f>
        <v>0</v>
      </c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33"/>
      <c r="Z72" s="509"/>
    </row>
    <row r="73" spans="1:26" hidden="1" x14ac:dyDescent="0.25">
      <c r="A73" s="383"/>
      <c r="B73" s="33"/>
      <c r="C73" s="33">
        <v>2009</v>
      </c>
      <c r="D73" s="400">
        <f>M$29</f>
        <v>0</v>
      </c>
      <c r="E73" s="400"/>
      <c r="F73" s="400"/>
      <c r="G73" s="400"/>
      <c r="H73" s="400"/>
      <c r="I73" s="400"/>
      <c r="J73" s="400"/>
      <c r="K73" s="400"/>
      <c r="L73" s="400"/>
      <c r="M73" s="400">
        <f>$D73/$D$49</f>
        <v>0</v>
      </c>
      <c r="N73" s="400">
        <f>$D73/$D$49</f>
        <v>0</v>
      </c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33"/>
      <c r="Z73" s="509"/>
    </row>
    <row r="74" spans="1:26" hidden="1" x14ac:dyDescent="0.25">
      <c r="A74" s="383"/>
      <c r="B74" s="33"/>
      <c r="C74" s="33">
        <v>2010</v>
      </c>
      <c r="D74" s="400">
        <f>N$29</f>
        <v>0</v>
      </c>
      <c r="E74" s="520"/>
      <c r="F74" s="520"/>
      <c r="G74" s="520"/>
      <c r="H74" s="520"/>
      <c r="I74" s="520"/>
      <c r="J74" s="520"/>
      <c r="K74" s="520"/>
      <c r="L74" s="520"/>
      <c r="M74" s="520"/>
      <c r="N74" s="520">
        <f>$D74/$D$49</f>
        <v>0</v>
      </c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33"/>
      <c r="Z74" s="509"/>
    </row>
    <row r="75" spans="1:26" hidden="1" x14ac:dyDescent="0.25">
      <c r="A75" s="383"/>
      <c r="B75" s="33"/>
      <c r="C75" s="452" t="s">
        <v>292</v>
      </c>
      <c r="D75" s="145"/>
      <c r="E75" s="407">
        <f t="shared" ref="E75:N75" si="24">SUM(E65:E74)</f>
        <v>-1561.6892159856191</v>
      </c>
      <c r="F75" s="407">
        <f t="shared" si="24"/>
        <v>-6122.9196367710774</v>
      </c>
      <c r="G75" s="407">
        <f t="shared" si="24"/>
        <v>-18239.265168713726</v>
      </c>
      <c r="H75" s="407">
        <f t="shared" si="24"/>
        <v>-16677.575952728108</v>
      </c>
      <c r="I75" s="407">
        <f t="shared" si="24"/>
        <v>-12116.34553194265</v>
      </c>
      <c r="J75" s="407">
        <f t="shared" si="24"/>
        <v>0</v>
      </c>
      <c r="K75" s="407">
        <f t="shared" si="24"/>
        <v>0</v>
      </c>
      <c r="L75" s="407">
        <f t="shared" si="24"/>
        <v>0</v>
      </c>
      <c r="M75" s="407">
        <f t="shared" si="24"/>
        <v>0</v>
      </c>
      <c r="N75" s="407">
        <f t="shared" si="24"/>
        <v>0</v>
      </c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33"/>
      <c r="Z75" s="509"/>
    </row>
    <row r="76" spans="1:26" hidden="1" x14ac:dyDescent="0.25">
      <c r="A76" s="383"/>
      <c r="B76" s="33"/>
      <c r="C76" s="452"/>
      <c r="D76" s="145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33"/>
      <c r="Z76" s="509"/>
    </row>
    <row r="77" spans="1:26" hidden="1" x14ac:dyDescent="0.25">
      <c r="A77" s="383"/>
      <c r="B77" s="33"/>
      <c r="C77" s="33" t="s">
        <v>294</v>
      </c>
      <c r="D77" s="33"/>
      <c r="E77" s="521">
        <f>E62+E75</f>
        <v>-982.05729292847718</v>
      </c>
      <c r="F77" s="521">
        <f t="shared" ref="F77:N77" si="25">F62+F75</f>
        <v>-3437.7257638491019</v>
      </c>
      <c r="G77" s="521">
        <f t="shared" si="25"/>
        <v>-8493.6133922529625</v>
      </c>
      <c r="H77" s="521">
        <f t="shared" si="25"/>
        <v>-7511.5560993244871</v>
      </c>
      <c r="I77" s="521">
        <f t="shared" si="25"/>
        <v>-5055.8876284038633</v>
      </c>
      <c r="J77" s="521">
        <f t="shared" si="25"/>
        <v>0</v>
      </c>
      <c r="K77" s="521">
        <f t="shared" si="25"/>
        <v>0</v>
      </c>
      <c r="L77" s="521">
        <f t="shared" si="25"/>
        <v>0</v>
      </c>
      <c r="M77" s="521">
        <f t="shared" si="25"/>
        <v>0</v>
      </c>
      <c r="N77" s="521">
        <f t="shared" si="25"/>
        <v>0</v>
      </c>
      <c r="O77" s="521"/>
      <c r="P77" s="521"/>
      <c r="Q77" s="521"/>
      <c r="R77" s="521"/>
      <c r="S77" s="521"/>
      <c r="T77" s="521"/>
      <c r="U77" s="521"/>
      <c r="V77" s="521"/>
      <c r="W77" s="521"/>
      <c r="X77" s="521"/>
      <c r="Y77" s="33"/>
      <c r="Z77" s="509"/>
    </row>
    <row r="78" spans="1:26" ht="13.8" hidden="1" thickBot="1" x14ac:dyDescent="0.3">
      <c r="A78" s="386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514"/>
    </row>
    <row r="79" spans="1:26" x14ac:dyDescent="0.25">
      <c r="A79" s="381"/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  <c r="N79" s="382"/>
      <c r="O79" s="382"/>
      <c r="P79" s="382"/>
      <c r="Q79" s="382"/>
      <c r="R79" s="382"/>
      <c r="S79" s="382"/>
      <c r="T79" s="382"/>
      <c r="U79" s="382"/>
      <c r="V79" s="382"/>
      <c r="W79" s="382"/>
      <c r="X79" s="382"/>
      <c r="Y79" s="382"/>
      <c r="Z79" s="507"/>
    </row>
    <row r="80" spans="1:26" x14ac:dyDescent="0.25">
      <c r="A80" s="383"/>
      <c r="B80" s="145" t="s">
        <v>178</v>
      </c>
      <c r="C80" s="33"/>
      <c r="D80" s="33"/>
      <c r="E80" s="399">
        <f>E27</f>
        <v>2001</v>
      </c>
      <c r="F80" s="399">
        <f t="shared" ref="F80:N80" si="26">F27</f>
        <v>2002</v>
      </c>
      <c r="G80" s="399">
        <f t="shared" si="26"/>
        <v>2003</v>
      </c>
      <c r="H80" s="399">
        <f t="shared" si="26"/>
        <v>2004</v>
      </c>
      <c r="I80" s="399">
        <f t="shared" si="26"/>
        <v>2005</v>
      </c>
      <c r="J80" s="399">
        <f t="shared" si="26"/>
        <v>2006</v>
      </c>
      <c r="K80" s="399">
        <f t="shared" si="26"/>
        <v>2007</v>
      </c>
      <c r="L80" s="399">
        <f t="shared" si="26"/>
        <v>2008</v>
      </c>
      <c r="M80" s="399">
        <f t="shared" si="26"/>
        <v>2009</v>
      </c>
      <c r="N80" s="399">
        <f t="shared" si="26"/>
        <v>2010</v>
      </c>
      <c r="O80" s="399">
        <f t="shared" ref="O80:X80" si="27">O27</f>
        <v>2011</v>
      </c>
      <c r="P80" s="399">
        <f t="shared" si="27"/>
        <v>2012</v>
      </c>
      <c r="Q80" s="399">
        <f t="shared" si="27"/>
        <v>2013</v>
      </c>
      <c r="R80" s="399">
        <f t="shared" si="27"/>
        <v>2014</v>
      </c>
      <c r="S80" s="399">
        <f t="shared" si="27"/>
        <v>2015</v>
      </c>
      <c r="T80" s="399">
        <f t="shared" si="27"/>
        <v>2016</v>
      </c>
      <c r="U80" s="399">
        <f t="shared" si="27"/>
        <v>2017</v>
      </c>
      <c r="V80" s="399">
        <f t="shared" si="27"/>
        <v>2018</v>
      </c>
      <c r="W80" s="399">
        <f t="shared" si="27"/>
        <v>2019</v>
      </c>
      <c r="X80" s="399">
        <f t="shared" si="27"/>
        <v>2020</v>
      </c>
      <c r="Y80" s="33"/>
      <c r="Z80" s="509"/>
    </row>
    <row r="81" spans="1:256" x14ac:dyDescent="0.25">
      <c r="A81" s="383"/>
      <c r="B81" s="33"/>
      <c r="C81" s="33" t="s">
        <v>209</v>
      </c>
      <c r="D81" s="33"/>
      <c r="E81" s="400">
        <f>SUM($E$38:E38)</f>
        <v>-1473.0859393927158</v>
      </c>
      <c r="F81" s="400">
        <f>SUM($E$38:F38)</f>
        <v>-5156.5886457736542</v>
      </c>
      <c r="G81" s="400">
        <f>SUM($E$38:G38)</f>
        <v>-12740.420088379449</v>
      </c>
      <c r="H81" s="400">
        <f>SUM($E$38:H38)</f>
        <v>-12740.420088379449</v>
      </c>
      <c r="I81" s="400">
        <f>SUM($E$38:I38)</f>
        <v>-12740.420088379449</v>
      </c>
      <c r="J81" s="400">
        <f>SUM($E$38:J38)</f>
        <v>-12740.420088379449</v>
      </c>
      <c r="K81" s="400">
        <f>SUM($E$38:K38)</f>
        <v>-12740.420088379449</v>
      </c>
      <c r="L81" s="400">
        <f>SUM($E$38:L38)</f>
        <v>-12740.420088379449</v>
      </c>
      <c r="M81" s="400">
        <f>SUM($E$38:M38)</f>
        <v>-12740.420088379449</v>
      </c>
      <c r="N81" s="400">
        <f>SUM($E$38:N38)</f>
        <v>-12740.420088379449</v>
      </c>
      <c r="O81" s="400">
        <f>SUM($E$38:O38)</f>
        <v>-12740.420088379449</v>
      </c>
      <c r="P81" s="400">
        <f>SUM($E$38:P38)</f>
        <v>-12740.420088379449</v>
      </c>
      <c r="Q81" s="400">
        <f>SUM($E$38:Q38)</f>
        <v>-12740.420088379449</v>
      </c>
      <c r="R81" s="400">
        <f>SUM($E$38:R38)</f>
        <v>-12740.420088379449</v>
      </c>
      <c r="S81" s="400">
        <f>SUM($E$38:S38)</f>
        <v>-12740.420088379449</v>
      </c>
      <c r="T81" s="400">
        <f>SUM($E$38:T38)</f>
        <v>-12740.420088379449</v>
      </c>
      <c r="U81" s="400">
        <f>SUM($E$38:U38)</f>
        <v>-12740.420088379449</v>
      </c>
      <c r="V81" s="400">
        <f>SUM($E$38:V38)</f>
        <v>-12740.420088379449</v>
      </c>
      <c r="W81" s="400">
        <f>SUM($E$38:W38)</f>
        <v>-12740.420088379449</v>
      </c>
      <c r="X81" s="400">
        <f>SUM($E$38:X38)</f>
        <v>-12740.420088379449</v>
      </c>
      <c r="Y81" s="33"/>
      <c r="Z81" s="509"/>
    </row>
    <row r="82" spans="1:256" x14ac:dyDescent="0.25">
      <c r="A82" s="383"/>
      <c r="B82" s="33"/>
      <c r="C82" s="33" t="s">
        <v>211</v>
      </c>
      <c r="D82" s="33"/>
      <c r="E82" s="400">
        <f>Streaming!E80</f>
        <v>464.63480806183708</v>
      </c>
      <c r="F82" s="400">
        <f>Streaming!F80</f>
        <v>2818.8879531587595</v>
      </c>
      <c r="G82" s="400">
        <f>Streaming!G80</f>
        <v>12095.810986863891</v>
      </c>
      <c r="H82" s="400">
        <f>Streaming!H80</f>
        <v>44515.994487291609</v>
      </c>
      <c r="I82" s="400">
        <f>Streaming!I80</f>
        <v>112615.4797302642</v>
      </c>
      <c r="J82" s="400">
        <f>Streaming!J80</f>
        <v>220926.35615339875</v>
      </c>
      <c r="K82" s="400">
        <f>Streaming!K80</f>
        <v>379392.22788769694</v>
      </c>
      <c r="L82" s="400">
        <f>Streaming!L80</f>
        <v>589973.34093306016</v>
      </c>
      <c r="M82" s="400">
        <f>Streaming!M80</f>
        <v>854040.12376161409</v>
      </c>
      <c r="N82" s="400">
        <f>Streaming!N80</f>
        <v>1172905.3402215918</v>
      </c>
      <c r="O82" s="400">
        <f>Streaming!O80</f>
        <v>1526993.3279985534</v>
      </c>
      <c r="P82" s="400">
        <f>Streaming!P80</f>
        <v>1922875.9798550429</v>
      </c>
      <c r="Q82" s="400">
        <f>Streaming!Q80</f>
        <v>2358644.0968817887</v>
      </c>
      <c r="R82" s="400">
        <f>Streaming!R80</f>
        <v>2836975.2003193069</v>
      </c>
      <c r="S82" s="400">
        <f>Streaming!S80</f>
        <v>3354586.6726572453</v>
      </c>
      <c r="T82" s="400">
        <f>Streaming!T80</f>
        <v>3907367.9562897342</v>
      </c>
      <c r="U82" s="400">
        <f>Streaming!U80</f>
        <v>4496885.9601257369</v>
      </c>
      <c r="V82" s="400">
        <f>Streaming!V80</f>
        <v>5138102.9182441607</v>
      </c>
      <c r="W82" s="400">
        <f>Streaming!W80</f>
        <v>5833804.4895204334</v>
      </c>
      <c r="X82" s="400">
        <f>Streaming!X80</f>
        <v>6586912.8293474019</v>
      </c>
      <c r="Y82" s="33"/>
      <c r="Z82" s="509"/>
    </row>
    <row r="83" spans="1:256" x14ac:dyDescent="0.25">
      <c r="A83" s="383"/>
      <c r="B83" s="33"/>
      <c r="C83" s="33" t="s">
        <v>210</v>
      </c>
      <c r="D83" s="33"/>
      <c r="E83" s="408">
        <f>E81/E82</f>
        <v>-3.1704166666666662</v>
      </c>
      <c r="F83" s="408">
        <f t="shared" ref="F83:N83" si="28">F81/F82</f>
        <v>-1.8292989049087032</v>
      </c>
      <c r="G83" s="408">
        <f t="shared" si="28"/>
        <v>-1.0532919290997194</v>
      </c>
      <c r="H83" s="408">
        <f t="shared" si="28"/>
        <v>-0.28619870756827803</v>
      </c>
      <c r="I83" s="408">
        <f t="shared" si="28"/>
        <v>-0.1131320500422785</v>
      </c>
      <c r="J83" s="408">
        <f t="shared" si="28"/>
        <v>-5.7668176446694405E-2</v>
      </c>
      <c r="K83" s="408">
        <f t="shared" si="28"/>
        <v>-3.3581130955984459E-2</v>
      </c>
      <c r="L83" s="408">
        <f t="shared" si="28"/>
        <v>-2.1594908116068602E-2</v>
      </c>
      <c r="M83" s="408">
        <f t="shared" si="28"/>
        <v>-1.4917823804652588E-2</v>
      </c>
      <c r="N83" s="408">
        <f t="shared" si="28"/>
        <v>-1.0862274773147898E-2</v>
      </c>
      <c r="O83" s="408">
        <f t="shared" ref="O83:X83" si="29">O81/O82</f>
        <v>-8.3434680785923632E-3</v>
      </c>
      <c r="P83" s="408">
        <f t="shared" si="29"/>
        <v>-6.6257107696253469E-3</v>
      </c>
      <c r="Q83" s="408">
        <f t="shared" si="29"/>
        <v>-5.4015864899764812E-3</v>
      </c>
      <c r="R83" s="408">
        <f t="shared" si="29"/>
        <v>-4.4908464786528593E-3</v>
      </c>
      <c r="S83" s="408">
        <f t="shared" si="29"/>
        <v>-3.7979105420720785E-3</v>
      </c>
      <c r="T83" s="408">
        <f t="shared" si="29"/>
        <v>-3.2606143651946196E-3</v>
      </c>
      <c r="U83" s="408">
        <f t="shared" si="29"/>
        <v>-2.8331650393961104E-3</v>
      </c>
      <c r="V83" s="408">
        <f t="shared" si="29"/>
        <v>-2.479596125476837E-3</v>
      </c>
      <c r="W83" s="408">
        <f t="shared" si="29"/>
        <v>-2.1838956227048282E-3</v>
      </c>
      <c r="X83" s="408">
        <f t="shared" si="29"/>
        <v>-1.9342020182225041E-3</v>
      </c>
      <c r="Y83" s="33"/>
      <c r="Z83" s="509"/>
    </row>
    <row r="84" spans="1:256" x14ac:dyDescent="0.25">
      <c r="A84" s="383"/>
      <c r="B84" s="33"/>
      <c r="C84" s="33"/>
      <c r="D84" s="33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33"/>
      <c r="Z84" s="509"/>
    </row>
    <row r="85" spans="1:256" x14ac:dyDescent="0.25">
      <c r="A85" s="383"/>
      <c r="B85" s="33"/>
      <c r="C85" s="33" t="s">
        <v>418</v>
      </c>
      <c r="D85" s="33"/>
      <c r="E85" s="400">
        <f>SUM($E$36:E36)</f>
        <v>869.44788458571281</v>
      </c>
      <c r="F85" s="400">
        <f>SUM($E$36:F36)</f>
        <v>4027.7908093829633</v>
      </c>
      <c r="G85" s="400">
        <f>SUM($E$36:G36)</f>
        <v>14618.477664691143</v>
      </c>
      <c r="H85" s="400">
        <f>SUM($E$36:H36)</f>
        <v>14618.477664691143</v>
      </c>
      <c r="I85" s="400">
        <f>SUM($E$36:I36)</f>
        <v>14618.477664691143</v>
      </c>
      <c r="J85" s="400">
        <f>SUM($E$36:J36)</f>
        <v>14618.477664691143</v>
      </c>
      <c r="K85" s="400">
        <f>SUM($E$36:K36)</f>
        <v>14618.477664691143</v>
      </c>
      <c r="L85" s="400">
        <f>SUM($E$36:L36)</f>
        <v>14618.477664691143</v>
      </c>
      <c r="M85" s="400">
        <f>SUM($E$36:M36)</f>
        <v>14618.477664691143</v>
      </c>
      <c r="N85" s="400">
        <f>SUM($E$36:N36)</f>
        <v>14618.477664691143</v>
      </c>
      <c r="O85" s="400">
        <f>SUM($E$36:O36)</f>
        <v>14618.477664691143</v>
      </c>
      <c r="P85" s="400">
        <f>SUM($E$36:P36)</f>
        <v>14618.477664691143</v>
      </c>
      <c r="Q85" s="400">
        <f>SUM($E$36:Q36)</f>
        <v>14618.477664691143</v>
      </c>
      <c r="R85" s="400">
        <f>SUM($E$36:R36)</f>
        <v>14618.477664691143</v>
      </c>
      <c r="S85" s="400">
        <f>SUM($E$36:S36)</f>
        <v>14618.477664691143</v>
      </c>
      <c r="T85" s="400">
        <f>SUM($E$36:T36)</f>
        <v>14618.477664691143</v>
      </c>
      <c r="U85" s="400">
        <f>SUM($E$36:U36)</f>
        <v>14618.477664691143</v>
      </c>
      <c r="V85" s="400">
        <f>SUM($E$36:V36)</f>
        <v>14618.477664691143</v>
      </c>
      <c r="W85" s="400">
        <f>SUM($E$36:W36)</f>
        <v>14618.477664691143</v>
      </c>
      <c r="X85" s="400">
        <f>SUM($E$36:X36)</f>
        <v>14618.477664691143</v>
      </c>
      <c r="Y85" s="33"/>
      <c r="Z85" s="509"/>
    </row>
    <row r="86" spans="1:256" x14ac:dyDescent="0.25">
      <c r="A86" s="383"/>
      <c r="B86" s="33"/>
      <c r="C86" s="33" t="s">
        <v>174</v>
      </c>
      <c r="D86" s="33"/>
      <c r="E86" s="408">
        <f>E85/E82</f>
        <v>1.8712500000000003</v>
      </c>
      <c r="F86" s="408">
        <f t="shared" ref="F86:X86" si="30">F85/F82</f>
        <v>1.4288580732233589</v>
      </c>
      <c r="G86" s="408">
        <f t="shared" si="30"/>
        <v>1.2085570517402164</v>
      </c>
      <c r="H86" s="408">
        <f t="shared" si="30"/>
        <v>0.32838708498053243</v>
      </c>
      <c r="I86" s="408">
        <f t="shared" si="30"/>
        <v>0.12980877673038571</v>
      </c>
      <c r="J86" s="408">
        <f t="shared" si="30"/>
        <v>6.6169007262043916E-2</v>
      </c>
      <c r="K86" s="408">
        <f t="shared" si="30"/>
        <v>3.8531305045654038E-2</v>
      </c>
      <c r="L86" s="408">
        <f t="shared" si="30"/>
        <v>2.4778200387108325E-2</v>
      </c>
      <c r="M86" s="408">
        <f t="shared" si="30"/>
        <v>1.7116851138450212E-2</v>
      </c>
      <c r="N86" s="408">
        <f t="shared" si="30"/>
        <v>1.2463476090857715E-2</v>
      </c>
      <c r="O86" s="408">
        <f t="shared" si="30"/>
        <v>9.5733736334341017E-3</v>
      </c>
      <c r="P86" s="408">
        <f t="shared" si="30"/>
        <v>7.6024027643182505E-3</v>
      </c>
      <c r="Q86" s="408">
        <f t="shared" si="30"/>
        <v>6.1978310691372602E-3</v>
      </c>
      <c r="R86" s="408">
        <f t="shared" si="30"/>
        <v>5.1528394266702809E-3</v>
      </c>
      <c r="S86" s="408">
        <f t="shared" si="30"/>
        <v>4.357758225132252E-3</v>
      </c>
      <c r="T86" s="408">
        <f t="shared" si="30"/>
        <v>3.7412595456129526E-3</v>
      </c>
      <c r="U86" s="408">
        <f t="shared" si="30"/>
        <v>3.2508001746796348E-3</v>
      </c>
      <c r="V86" s="408">
        <f t="shared" si="30"/>
        <v>2.8451118822054857E-3</v>
      </c>
      <c r="W86" s="408">
        <f t="shared" si="30"/>
        <v>2.5058223481693766E-3</v>
      </c>
      <c r="X86" s="408">
        <f t="shared" si="30"/>
        <v>2.2193215613177421E-3</v>
      </c>
      <c r="Y86" s="33"/>
      <c r="Z86" s="509"/>
    </row>
    <row r="87" spans="1:256" x14ac:dyDescent="0.25">
      <c r="A87" s="383"/>
      <c r="B87" s="33"/>
      <c r="C87" s="33"/>
      <c r="D87" s="33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408"/>
      <c r="W87" s="408"/>
      <c r="X87" s="408"/>
      <c r="Y87" s="33"/>
      <c r="Z87" s="509"/>
    </row>
    <row r="88" spans="1:256" x14ac:dyDescent="0.25">
      <c r="A88" s="383"/>
      <c r="B88" s="33"/>
      <c r="C88" s="144" t="s">
        <v>419</v>
      </c>
      <c r="D88" s="33"/>
      <c r="E88" s="400">
        <f>SUM($E$37:E37)</f>
        <v>-2342.5338239784287</v>
      </c>
      <c r="F88" s="400">
        <f>SUM($E$37:F37)</f>
        <v>-9184.379455156617</v>
      </c>
      <c r="G88" s="400">
        <f>SUM($E$37:G37)</f>
        <v>-27358.897753070592</v>
      </c>
      <c r="H88" s="400">
        <f>SUM($E$37:H37)</f>
        <v>-27358.897753070592</v>
      </c>
      <c r="I88" s="400">
        <f>SUM($E$37:I37)</f>
        <v>-27358.897753070592</v>
      </c>
      <c r="J88" s="400">
        <f>SUM($E$37:J37)</f>
        <v>-27358.897753070592</v>
      </c>
      <c r="K88" s="400">
        <f>SUM($E$37:K37)</f>
        <v>-27358.897753070592</v>
      </c>
      <c r="L88" s="400">
        <f>SUM($E$37:L37)</f>
        <v>-27358.897753070592</v>
      </c>
      <c r="M88" s="400">
        <f>SUM($E$37:M37)</f>
        <v>-27358.897753070592</v>
      </c>
      <c r="N88" s="400">
        <f>SUM($E$37:N37)</f>
        <v>-27358.897753070592</v>
      </c>
      <c r="O88" s="400">
        <f>SUM($E$37:O37)</f>
        <v>-27358.897753070592</v>
      </c>
      <c r="P88" s="400">
        <f>SUM($E$37:P37)</f>
        <v>-27358.897753070592</v>
      </c>
      <c r="Q88" s="400">
        <f>SUM($E$37:Q37)</f>
        <v>-27358.897753070592</v>
      </c>
      <c r="R88" s="400">
        <f>SUM($E$37:R37)</f>
        <v>-27358.897753070592</v>
      </c>
      <c r="S88" s="400">
        <f>SUM($E$37:S37)</f>
        <v>-27358.897753070592</v>
      </c>
      <c r="T88" s="400">
        <f>SUM($E$37:T37)</f>
        <v>-27358.897753070592</v>
      </c>
      <c r="U88" s="400">
        <f>SUM($E$37:U37)</f>
        <v>-27358.897753070592</v>
      </c>
      <c r="V88" s="400">
        <f>SUM($E$37:V37)</f>
        <v>-27358.897753070592</v>
      </c>
      <c r="W88" s="400">
        <f>SUM($E$37:W37)</f>
        <v>-27358.897753070592</v>
      </c>
      <c r="X88" s="400">
        <f>SUM($E$37:X37)</f>
        <v>-27358.897753070592</v>
      </c>
      <c r="Y88" s="33"/>
      <c r="Z88" s="509"/>
    </row>
    <row r="89" spans="1:256" x14ac:dyDescent="0.25">
      <c r="A89" s="383"/>
      <c r="B89" s="33"/>
      <c r="C89" s="33" t="s">
        <v>210</v>
      </c>
      <c r="D89" s="33"/>
      <c r="E89" s="408">
        <f>E88/E82</f>
        <v>-5.041666666666667</v>
      </c>
      <c r="F89" s="408">
        <f t="shared" ref="F89:X89" si="31">F88/F82</f>
        <v>-3.2581569781320621</v>
      </c>
      <c r="G89" s="408">
        <f t="shared" si="31"/>
        <v>-2.261848980839936</v>
      </c>
      <c r="H89" s="408">
        <f t="shared" si="31"/>
        <v>-0.61458579254881052</v>
      </c>
      <c r="I89" s="408">
        <f t="shared" si="31"/>
        <v>-0.24294082677266421</v>
      </c>
      <c r="J89" s="408">
        <f t="shared" si="31"/>
        <v>-0.12383718370873832</v>
      </c>
      <c r="K89" s="408">
        <f t="shared" si="31"/>
        <v>-7.2112436001638497E-2</v>
      </c>
      <c r="L89" s="408">
        <f t="shared" si="31"/>
        <v>-4.6373108503176927E-2</v>
      </c>
      <c r="M89" s="408">
        <f t="shared" si="31"/>
        <v>-3.2034674943102796E-2</v>
      </c>
      <c r="N89" s="408">
        <f t="shared" si="31"/>
        <v>-2.3325750864005613E-2</v>
      </c>
      <c r="O89" s="408">
        <f t="shared" si="31"/>
        <v>-1.7916841712026465E-2</v>
      </c>
      <c r="P89" s="408">
        <f t="shared" si="31"/>
        <v>-1.4228113533943598E-2</v>
      </c>
      <c r="Q89" s="408">
        <f t="shared" si="31"/>
        <v>-1.1599417559113742E-2</v>
      </c>
      <c r="R89" s="408">
        <f t="shared" si="31"/>
        <v>-9.6436859053231402E-3</v>
      </c>
      <c r="S89" s="408">
        <f t="shared" si="31"/>
        <v>-8.1556687672043309E-3</v>
      </c>
      <c r="T89" s="408">
        <f t="shared" si="31"/>
        <v>-7.0018739108075722E-3</v>
      </c>
      <c r="U89" s="408">
        <f t="shared" si="31"/>
        <v>-6.0839652140757452E-3</v>
      </c>
      <c r="V89" s="408">
        <f t="shared" si="31"/>
        <v>-5.3247080076823227E-3</v>
      </c>
      <c r="W89" s="408">
        <f t="shared" si="31"/>
        <v>-4.6897179708742043E-3</v>
      </c>
      <c r="X89" s="408">
        <f t="shared" si="31"/>
        <v>-4.1535235795402466E-3</v>
      </c>
      <c r="Y89" s="33"/>
      <c r="Z89" s="509"/>
    </row>
    <row r="90" spans="1:256" ht="13.8" thickBot="1" x14ac:dyDescent="0.3">
      <c r="A90" s="386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514"/>
    </row>
    <row r="92" spans="1:256" x14ac:dyDescent="0.25">
      <c r="B92" s="17" t="s">
        <v>1116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</row>
    <row r="93" spans="1:256" x14ac:dyDescent="0.25">
      <c r="B93" s="13"/>
      <c r="C93" t="s">
        <v>1079</v>
      </c>
      <c r="D93"/>
      <c r="E93" s="602">
        <v>0</v>
      </c>
      <c r="F93" s="603">
        <f>E96</f>
        <v>1159.2638461142838</v>
      </c>
      <c r="G93" s="603">
        <f t="shared" ref="G93:X93" si="32">F96</f>
        <v>4790.7558227868094</v>
      </c>
      <c r="H93" s="603">
        <f t="shared" si="32"/>
        <v>16226.477756942408</v>
      </c>
      <c r="I93" s="603">
        <f t="shared" si="32"/>
        <v>7060.4579035387869</v>
      </c>
      <c r="J93" s="603">
        <f t="shared" si="32"/>
        <v>0</v>
      </c>
      <c r="K93" s="603">
        <f t="shared" si="32"/>
        <v>0</v>
      </c>
      <c r="L93" s="603">
        <f t="shared" si="32"/>
        <v>0</v>
      </c>
      <c r="M93" s="603">
        <f t="shared" si="32"/>
        <v>0</v>
      </c>
      <c r="N93" s="603">
        <f t="shared" si="32"/>
        <v>0</v>
      </c>
      <c r="O93" s="603">
        <f t="shared" si="32"/>
        <v>0</v>
      </c>
      <c r="P93" s="603">
        <f t="shared" si="32"/>
        <v>0</v>
      </c>
      <c r="Q93" s="603">
        <f t="shared" si="32"/>
        <v>0</v>
      </c>
      <c r="R93" s="603">
        <f t="shared" si="32"/>
        <v>0</v>
      </c>
      <c r="S93" s="603">
        <f t="shared" si="32"/>
        <v>0</v>
      </c>
      <c r="T93" s="603">
        <f t="shared" si="32"/>
        <v>0</v>
      </c>
      <c r="U93" s="603">
        <f t="shared" si="32"/>
        <v>0</v>
      </c>
      <c r="V93" s="603">
        <f t="shared" si="32"/>
        <v>0</v>
      </c>
      <c r="W93" s="603">
        <f t="shared" si="32"/>
        <v>0</v>
      </c>
      <c r="X93" s="603">
        <f t="shared" si="32"/>
        <v>0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</row>
    <row r="94" spans="1:256" x14ac:dyDescent="0.25">
      <c r="B94" s="13"/>
      <c r="C94" t="s">
        <v>285</v>
      </c>
      <c r="D94"/>
      <c r="E94" s="494">
        <f>IF(Assumptions!$I$69=1,E28,E62)</f>
        <v>1738.8957691714256</v>
      </c>
      <c r="F94" s="494">
        <f>IF(Assumptions!$I$69=1,F28,F62)</f>
        <v>6316.6858495945007</v>
      </c>
      <c r="G94" s="494">
        <f>IF(Assumptions!$I$69=1,G28,G62)</f>
        <v>21181.373710616361</v>
      </c>
      <c r="H94" s="494">
        <f>IF(Assumptions!$I$69=1,H28,H62)</f>
        <v>0</v>
      </c>
      <c r="I94" s="494">
        <f>IF(Assumptions!$I$69=1,I28,I62)</f>
        <v>0</v>
      </c>
      <c r="J94" s="494">
        <f>IF(Assumptions!$I$69=1,J28,J62)</f>
        <v>0</v>
      </c>
      <c r="K94" s="494">
        <f>IF(Assumptions!$I$69=1,K28,K62)</f>
        <v>0</v>
      </c>
      <c r="L94" s="494">
        <f>IF(Assumptions!$I$69=1,L28,L62)</f>
        <v>0</v>
      </c>
      <c r="M94" s="494">
        <f>IF(Assumptions!$I$69=1,M28,M62)</f>
        <v>0</v>
      </c>
      <c r="N94" s="494">
        <f>IF(Assumptions!$I$69=1,N28,N62)</f>
        <v>0</v>
      </c>
      <c r="O94" s="494">
        <f>IF(Assumptions!$I$69=1,O28,O62)</f>
        <v>0</v>
      </c>
      <c r="P94" s="494">
        <f>IF(Assumptions!$I$69=1,P28,P62)</f>
        <v>0</v>
      </c>
      <c r="Q94" s="494">
        <f>IF(Assumptions!$I$69=1,Q28,Q62)</f>
        <v>0</v>
      </c>
      <c r="R94" s="494">
        <f>IF(Assumptions!$I$69=1,R28,R62)</f>
        <v>0</v>
      </c>
      <c r="S94" s="494">
        <f>IF(Assumptions!$I$69=1,S28,S62)</f>
        <v>0</v>
      </c>
      <c r="T94" s="494">
        <f>IF(Assumptions!$I$69=1,T28,T62)</f>
        <v>0</v>
      </c>
      <c r="U94" s="494">
        <f>IF(Assumptions!$I$69=1,U28,U62)</f>
        <v>0</v>
      </c>
      <c r="V94" s="494">
        <f>IF(Assumptions!$I$69=1,V28,V62)</f>
        <v>0</v>
      </c>
      <c r="W94" s="494">
        <f>IF(Assumptions!$I$69=1,W28,W62)</f>
        <v>0</v>
      </c>
      <c r="X94" s="494">
        <f>IF(Assumptions!$I$69=1,X28,X62)</f>
        <v>0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</row>
    <row r="95" spans="1:256" x14ac:dyDescent="0.25">
      <c r="B95" s="13"/>
      <c r="C95" t="s">
        <v>1080</v>
      </c>
      <c r="D95"/>
      <c r="E95" s="605">
        <f>E62</f>
        <v>579.63192305714188</v>
      </c>
      <c r="F95" s="605">
        <f t="shared" ref="F95:X95" si="33">F62</f>
        <v>2685.1938729219755</v>
      </c>
      <c r="G95" s="605">
        <f t="shared" si="33"/>
        <v>9745.6517764607634</v>
      </c>
      <c r="H95" s="605">
        <f t="shared" si="33"/>
        <v>9166.0198534036208</v>
      </c>
      <c r="I95" s="605">
        <f t="shared" si="33"/>
        <v>7060.4579035387869</v>
      </c>
      <c r="J95" s="605">
        <f t="shared" si="33"/>
        <v>0</v>
      </c>
      <c r="K95" s="605">
        <f t="shared" si="33"/>
        <v>0</v>
      </c>
      <c r="L95" s="605">
        <f t="shared" si="33"/>
        <v>0</v>
      </c>
      <c r="M95" s="605">
        <f t="shared" si="33"/>
        <v>0</v>
      </c>
      <c r="N95" s="605">
        <f t="shared" si="33"/>
        <v>0</v>
      </c>
      <c r="O95" s="605">
        <f t="shared" si="33"/>
        <v>0</v>
      </c>
      <c r="P95" s="605">
        <f t="shared" si="33"/>
        <v>0</v>
      </c>
      <c r="Q95" s="605">
        <f t="shared" si="33"/>
        <v>0</v>
      </c>
      <c r="R95" s="605">
        <f t="shared" si="33"/>
        <v>0</v>
      </c>
      <c r="S95" s="605">
        <f t="shared" si="33"/>
        <v>0</v>
      </c>
      <c r="T95" s="605">
        <f t="shared" si="33"/>
        <v>0</v>
      </c>
      <c r="U95" s="605">
        <f t="shared" si="33"/>
        <v>0</v>
      </c>
      <c r="V95" s="605">
        <f t="shared" si="33"/>
        <v>0</v>
      </c>
      <c r="W95" s="605">
        <f t="shared" si="33"/>
        <v>0</v>
      </c>
      <c r="X95" s="605">
        <f t="shared" si="33"/>
        <v>0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</row>
    <row r="96" spans="1:256" x14ac:dyDescent="0.25">
      <c r="B96" s="13"/>
      <c r="C96" t="s">
        <v>1081</v>
      </c>
      <c r="D96"/>
      <c r="E96" s="602">
        <f>E93+E94-E95</f>
        <v>1159.2638461142838</v>
      </c>
      <c r="F96" s="602">
        <f>F93+F94-F95</f>
        <v>4790.7558227868094</v>
      </c>
      <c r="G96" s="602">
        <f t="shared" ref="G96:X96" si="34">G93+G94-G95</f>
        <v>16226.477756942408</v>
      </c>
      <c r="H96" s="602">
        <f t="shared" si="34"/>
        <v>7060.4579035387869</v>
      </c>
      <c r="I96" s="602">
        <f t="shared" si="34"/>
        <v>0</v>
      </c>
      <c r="J96" s="602">
        <f t="shared" si="34"/>
        <v>0</v>
      </c>
      <c r="K96" s="602">
        <f t="shared" si="34"/>
        <v>0</v>
      </c>
      <c r="L96" s="602">
        <f t="shared" si="34"/>
        <v>0</v>
      </c>
      <c r="M96" s="602">
        <f t="shared" si="34"/>
        <v>0</v>
      </c>
      <c r="N96" s="602">
        <f t="shared" si="34"/>
        <v>0</v>
      </c>
      <c r="O96" s="602">
        <f t="shared" si="34"/>
        <v>0</v>
      </c>
      <c r="P96" s="602">
        <f t="shared" si="34"/>
        <v>0</v>
      </c>
      <c r="Q96" s="602">
        <f t="shared" si="34"/>
        <v>0</v>
      </c>
      <c r="R96" s="602">
        <f t="shared" si="34"/>
        <v>0</v>
      </c>
      <c r="S96" s="602">
        <f t="shared" si="34"/>
        <v>0</v>
      </c>
      <c r="T96" s="602">
        <f t="shared" si="34"/>
        <v>0</v>
      </c>
      <c r="U96" s="602">
        <f t="shared" si="34"/>
        <v>0</v>
      </c>
      <c r="V96" s="602">
        <f t="shared" si="34"/>
        <v>0</v>
      </c>
      <c r="W96" s="602">
        <f t="shared" si="34"/>
        <v>0</v>
      </c>
      <c r="X96" s="602">
        <f t="shared" si="34"/>
        <v>0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</row>
    <row r="97" spans="2:256" x14ac:dyDescent="0.25">
      <c r="B97" s="13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</row>
    <row r="98" spans="2:256" x14ac:dyDescent="0.25">
      <c r="B98" s="13"/>
      <c r="C98" t="s">
        <v>1082</v>
      </c>
      <c r="D98"/>
      <c r="E98" s="603">
        <f>E96</f>
        <v>1159.2638461142838</v>
      </c>
      <c r="F98" s="603">
        <f>F96-E96</f>
        <v>3631.4919766725257</v>
      </c>
      <c r="G98" s="603">
        <f t="shared" ref="G98:X98" si="35">G96-F96</f>
        <v>11435.721934155597</v>
      </c>
      <c r="H98" s="603">
        <f t="shared" si="35"/>
        <v>-9166.0198534036208</v>
      </c>
      <c r="I98" s="603">
        <f t="shared" si="35"/>
        <v>-7060.4579035387869</v>
      </c>
      <c r="J98" s="603">
        <f t="shared" si="35"/>
        <v>0</v>
      </c>
      <c r="K98" s="603">
        <f t="shared" si="35"/>
        <v>0</v>
      </c>
      <c r="L98" s="603">
        <f t="shared" si="35"/>
        <v>0</v>
      </c>
      <c r="M98" s="603">
        <f t="shared" si="35"/>
        <v>0</v>
      </c>
      <c r="N98" s="603">
        <f t="shared" si="35"/>
        <v>0</v>
      </c>
      <c r="O98" s="603">
        <f t="shared" si="35"/>
        <v>0</v>
      </c>
      <c r="P98" s="603">
        <f t="shared" si="35"/>
        <v>0</v>
      </c>
      <c r="Q98" s="603">
        <f t="shared" si="35"/>
        <v>0</v>
      </c>
      <c r="R98" s="603">
        <f t="shared" si="35"/>
        <v>0</v>
      </c>
      <c r="S98" s="603">
        <f t="shared" si="35"/>
        <v>0</v>
      </c>
      <c r="T98" s="603">
        <f t="shared" si="35"/>
        <v>0</v>
      </c>
      <c r="U98" s="603">
        <f t="shared" si="35"/>
        <v>0</v>
      </c>
      <c r="V98" s="603">
        <f t="shared" si="35"/>
        <v>0</v>
      </c>
      <c r="W98" s="603">
        <f t="shared" si="35"/>
        <v>0</v>
      </c>
      <c r="X98" s="603">
        <f t="shared" si="35"/>
        <v>0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</row>
    <row r="100" spans="2:256" x14ac:dyDescent="0.25">
      <c r="B100" s="157" t="s">
        <v>1117</v>
      </c>
    </row>
    <row r="101" spans="2:256" x14ac:dyDescent="0.25">
      <c r="C101" t="s">
        <v>1079</v>
      </c>
      <c r="E101" s="638">
        <v>0</v>
      </c>
      <c r="F101" s="638">
        <f>E104</f>
        <v>579.63192305714188</v>
      </c>
      <c r="G101" s="638">
        <f t="shared" ref="G101:X101" si="36">F104</f>
        <v>2395.3779113934047</v>
      </c>
      <c r="H101" s="638">
        <f t="shared" si="36"/>
        <v>8113.2388784712039</v>
      </c>
      <c r="I101" s="638">
        <f t="shared" si="36"/>
        <v>3530.2289517693935</v>
      </c>
      <c r="J101" s="638">
        <f t="shared" si="36"/>
        <v>0</v>
      </c>
      <c r="K101" s="638">
        <f t="shared" si="36"/>
        <v>0</v>
      </c>
      <c r="L101" s="638">
        <f t="shared" si="36"/>
        <v>0</v>
      </c>
      <c r="M101" s="638">
        <f t="shared" si="36"/>
        <v>0</v>
      </c>
      <c r="N101" s="638">
        <f t="shared" si="36"/>
        <v>0</v>
      </c>
      <c r="O101" s="638">
        <f t="shared" si="36"/>
        <v>0</v>
      </c>
      <c r="P101" s="638">
        <f t="shared" si="36"/>
        <v>0</v>
      </c>
      <c r="Q101" s="638">
        <f t="shared" si="36"/>
        <v>0</v>
      </c>
      <c r="R101" s="638">
        <f t="shared" si="36"/>
        <v>0</v>
      </c>
      <c r="S101" s="638">
        <f t="shared" si="36"/>
        <v>0</v>
      </c>
      <c r="T101" s="638">
        <f t="shared" si="36"/>
        <v>0</v>
      </c>
      <c r="U101" s="638">
        <f t="shared" si="36"/>
        <v>0</v>
      </c>
      <c r="V101" s="638">
        <f t="shared" si="36"/>
        <v>0</v>
      </c>
      <c r="W101" s="638">
        <f t="shared" si="36"/>
        <v>0</v>
      </c>
      <c r="X101" s="638">
        <f t="shared" si="36"/>
        <v>0</v>
      </c>
    </row>
    <row r="102" spans="2:256" x14ac:dyDescent="0.25">
      <c r="C102" t="s">
        <v>285</v>
      </c>
      <c r="E102" s="637">
        <f>IF(Assumptions!$I$69=1,E28*Assumptions!$F$56,E103)</f>
        <v>869.44788458571281</v>
      </c>
      <c r="F102" s="637">
        <f>IF(Assumptions!$I$69=1,F28*Assumptions!$F$56,F103)</f>
        <v>3158.3429247972504</v>
      </c>
      <c r="G102" s="637">
        <f>IF(Assumptions!$I$69=1,G28*Assumptions!$F$56,G103)</f>
        <v>10590.68685530818</v>
      </c>
      <c r="H102" s="637">
        <f>IF(Assumptions!$I$69=1,H28*Assumptions!$F$56,H103)</f>
        <v>0</v>
      </c>
      <c r="I102" s="637">
        <f>IF(Assumptions!$I$69=1,I28*Assumptions!$F$56,I103)</f>
        <v>0</v>
      </c>
      <c r="J102" s="637">
        <f>IF(Assumptions!$I$69=1,J28*Assumptions!$F$56,J103)</f>
        <v>0</v>
      </c>
      <c r="K102" s="637">
        <f>IF(Assumptions!$I$69=1,K28*Assumptions!$F$56,K103)</f>
        <v>0</v>
      </c>
      <c r="L102" s="637">
        <f>IF(Assumptions!$I$69=1,L28*Assumptions!$F$56,L103)</f>
        <v>0</v>
      </c>
      <c r="M102" s="637">
        <f>IF(Assumptions!$I$69=1,M28*Assumptions!$F$56,M103)</f>
        <v>0</v>
      </c>
      <c r="N102" s="637">
        <f>IF(Assumptions!$I$69=1,N28*Assumptions!$F$56,N103)</f>
        <v>0</v>
      </c>
      <c r="O102" s="637">
        <f>IF(Assumptions!$I$69=1,O28*Assumptions!$F$56,O103)</f>
        <v>0</v>
      </c>
      <c r="P102" s="637">
        <f>IF(Assumptions!$I$69=1,P28*Assumptions!$F$56,P103)</f>
        <v>0</v>
      </c>
      <c r="Q102" s="637">
        <f>IF(Assumptions!$I$69=1,Q28*Assumptions!$F$56,Q103)</f>
        <v>0</v>
      </c>
      <c r="R102" s="637">
        <f>IF(Assumptions!$I$69=1,R28*Assumptions!$F$56,R103)</f>
        <v>0</v>
      </c>
      <c r="S102" s="637">
        <f>IF(Assumptions!$I$69=1,S28*Assumptions!$F$56,S103)</f>
        <v>0</v>
      </c>
      <c r="T102" s="637">
        <f>IF(Assumptions!$I$69=1,T28*Assumptions!$F$56,T103)</f>
        <v>0</v>
      </c>
      <c r="U102" s="637">
        <f>IF(Assumptions!$I$69=1,U28*Assumptions!$F$56,U103)</f>
        <v>0</v>
      </c>
      <c r="V102" s="637">
        <f>IF(Assumptions!$I$69=1,V28*Assumptions!$F$56,V103)</f>
        <v>0</v>
      </c>
      <c r="W102" s="637">
        <f>IF(Assumptions!$I$69=1,W28*Assumptions!$F$56,W103)</f>
        <v>0</v>
      </c>
      <c r="X102" s="637">
        <f>IF(Assumptions!$I$69=1,X28*Assumptions!$F$56,X103)</f>
        <v>0</v>
      </c>
    </row>
    <row r="103" spans="2:256" x14ac:dyDescent="0.25">
      <c r="C103" t="s">
        <v>1080</v>
      </c>
      <c r="E103" s="639">
        <f>(E62-E52)*Assumptions!$F$56+E52*Assumptions!$F$56</f>
        <v>289.81596152857094</v>
      </c>
      <c r="F103" s="639">
        <f>(F62-F52)*Assumptions!$F$56+F52*Assumptions!$F$56</f>
        <v>1342.5969364609878</v>
      </c>
      <c r="G103" s="639">
        <f>(G62-G52)*Assumptions!$F$56+G52*Assumptions!$F$56</f>
        <v>4872.8258882303817</v>
      </c>
      <c r="H103" s="639">
        <f>(H62-H52)*Assumptions!$F$56+H52*Assumptions!$F$56</f>
        <v>4583.0099267018104</v>
      </c>
      <c r="I103" s="639">
        <f>(I62-I52)*Assumptions!$F$56+I52*Assumptions!$F$56</f>
        <v>3530.2289517693935</v>
      </c>
      <c r="J103" s="639">
        <f>(J62-J52)*Assumptions!$F$56+J52*Assumptions!$F$56</f>
        <v>0</v>
      </c>
      <c r="K103" s="639">
        <f>(K62-K52)*Assumptions!$F$56+K52*Assumptions!$F$56</f>
        <v>0</v>
      </c>
      <c r="L103" s="639">
        <f>(L62-L52)*Assumptions!$F$56+L52*Assumptions!$F$56</f>
        <v>0</v>
      </c>
      <c r="M103" s="639">
        <f>(M62-M52)*Assumptions!$F$56+M52*Assumptions!$F$56</f>
        <v>0</v>
      </c>
      <c r="N103" s="639">
        <f>(N62-N52)*Assumptions!$F$56+N52*Assumptions!$F$56</f>
        <v>0</v>
      </c>
      <c r="O103" s="639">
        <f>(O62-O52)*Assumptions!$F$56+O52*Assumptions!$F$56</f>
        <v>0</v>
      </c>
      <c r="P103" s="639">
        <f>(P62-P52)*Assumptions!$F$56+P52*Assumptions!$F$56</f>
        <v>0</v>
      </c>
      <c r="Q103" s="639">
        <f>(Q62-Q52)*Assumptions!$F$56+Q52*Assumptions!$F$56</f>
        <v>0</v>
      </c>
      <c r="R103" s="639">
        <f>(R62-R52)*Assumptions!$F$56+R52*Assumptions!$F$56</f>
        <v>0</v>
      </c>
      <c r="S103" s="639">
        <f>(S62-S52)*Assumptions!$F$56+S52*Assumptions!$F$56</f>
        <v>0</v>
      </c>
      <c r="T103" s="639">
        <f>(T62-T52)*Assumptions!$F$56+T52*Assumptions!$F$56</f>
        <v>0</v>
      </c>
      <c r="U103" s="639">
        <f>(U62-U52)*Assumptions!$F$56+U52*Assumptions!$F$56</f>
        <v>0</v>
      </c>
      <c r="V103" s="639">
        <f>(V62-V52)*Assumptions!$F$56+V52*Assumptions!$F$56</f>
        <v>0</v>
      </c>
      <c r="W103" s="639">
        <f>(W62-W52)*Assumptions!$F$56+W52*Assumptions!$F$56</f>
        <v>0</v>
      </c>
      <c r="X103" s="639">
        <f>(X62-X52)*Assumptions!$F$56+X52*Assumptions!$F$56</f>
        <v>0</v>
      </c>
    </row>
    <row r="104" spans="2:256" x14ac:dyDescent="0.25">
      <c r="C104" t="s">
        <v>1081</v>
      </c>
      <c r="E104" s="636">
        <f>E101+E102-E103</f>
        <v>579.63192305714188</v>
      </c>
      <c r="F104" s="636">
        <f t="shared" ref="F104:X104" si="37">F101+F102-F103</f>
        <v>2395.3779113934047</v>
      </c>
      <c r="G104" s="636">
        <f t="shared" si="37"/>
        <v>8113.2388784712039</v>
      </c>
      <c r="H104" s="636">
        <f t="shared" si="37"/>
        <v>3530.2289517693935</v>
      </c>
      <c r="I104" s="636">
        <f t="shared" si="37"/>
        <v>0</v>
      </c>
      <c r="J104" s="636">
        <f t="shared" si="37"/>
        <v>0</v>
      </c>
      <c r="K104" s="636">
        <f t="shared" si="37"/>
        <v>0</v>
      </c>
      <c r="L104" s="636">
        <f t="shared" si="37"/>
        <v>0</v>
      </c>
      <c r="M104" s="636">
        <f t="shared" si="37"/>
        <v>0</v>
      </c>
      <c r="N104" s="636">
        <f t="shared" si="37"/>
        <v>0</v>
      </c>
      <c r="O104" s="636">
        <f t="shared" si="37"/>
        <v>0</v>
      </c>
      <c r="P104" s="636">
        <f t="shared" si="37"/>
        <v>0</v>
      </c>
      <c r="Q104" s="636">
        <f t="shared" si="37"/>
        <v>0</v>
      </c>
      <c r="R104" s="636">
        <f t="shared" si="37"/>
        <v>0</v>
      </c>
      <c r="S104" s="636">
        <f t="shared" si="37"/>
        <v>0</v>
      </c>
      <c r="T104" s="636">
        <f t="shared" si="37"/>
        <v>0</v>
      </c>
      <c r="U104" s="636">
        <f t="shared" si="37"/>
        <v>0</v>
      </c>
      <c r="V104" s="636">
        <f t="shared" si="37"/>
        <v>0</v>
      </c>
      <c r="W104" s="636">
        <f t="shared" si="37"/>
        <v>0</v>
      </c>
      <c r="X104" s="636">
        <f t="shared" si="37"/>
        <v>0</v>
      </c>
    </row>
    <row r="105" spans="2:256" x14ac:dyDescent="0.25">
      <c r="C105"/>
    </row>
    <row r="106" spans="2:256" x14ac:dyDescent="0.25">
      <c r="C106" t="s">
        <v>1082</v>
      </c>
      <c r="E106" s="636">
        <f>E104</f>
        <v>579.63192305714188</v>
      </c>
      <c r="F106" s="636">
        <f>F104-E104</f>
        <v>1815.7459883362628</v>
      </c>
      <c r="G106" s="636">
        <f t="shared" ref="G106:X106" si="38">G104-F104</f>
        <v>5717.8609670777987</v>
      </c>
      <c r="H106" s="636">
        <f t="shared" si="38"/>
        <v>-4583.0099267018104</v>
      </c>
      <c r="I106" s="636">
        <f t="shared" si="38"/>
        <v>-3530.2289517693935</v>
      </c>
      <c r="J106" s="636">
        <f t="shared" si="38"/>
        <v>0</v>
      </c>
      <c r="K106" s="636">
        <f t="shared" si="38"/>
        <v>0</v>
      </c>
      <c r="L106" s="636">
        <f t="shared" si="38"/>
        <v>0</v>
      </c>
      <c r="M106" s="636">
        <f t="shared" si="38"/>
        <v>0</v>
      </c>
      <c r="N106" s="636">
        <f t="shared" si="38"/>
        <v>0</v>
      </c>
      <c r="O106" s="636">
        <f t="shared" si="38"/>
        <v>0</v>
      </c>
      <c r="P106" s="636">
        <f t="shared" si="38"/>
        <v>0</v>
      </c>
      <c r="Q106" s="636">
        <f t="shared" si="38"/>
        <v>0</v>
      </c>
      <c r="R106" s="636">
        <f t="shared" si="38"/>
        <v>0</v>
      </c>
      <c r="S106" s="636">
        <f t="shared" si="38"/>
        <v>0</v>
      </c>
      <c r="T106" s="636">
        <f t="shared" si="38"/>
        <v>0</v>
      </c>
      <c r="U106" s="636">
        <f t="shared" si="38"/>
        <v>0</v>
      </c>
      <c r="V106" s="636">
        <f t="shared" si="38"/>
        <v>0</v>
      </c>
      <c r="W106" s="636">
        <f t="shared" si="38"/>
        <v>0</v>
      </c>
      <c r="X106" s="636">
        <f t="shared" si="38"/>
        <v>0</v>
      </c>
    </row>
  </sheetData>
  <customSheetViews>
    <customSheetView guid="{00A591F2-C6CE-11D4-B3FE-00409628F381}" scale="75" showPageBreaks="1" fitToPage="1" hiddenRows="1" showRuler="0">
      <pane xSplit="3" ySplit="5" topLeftCell="D60" activePane="bottomRight" state="frozen"/>
      <selection pane="bottomRight" activeCell="E102" sqref="E102"/>
      <rowBreaks count="2" manualBreakCount="2">
        <brk id="45" max="16383" man="1"/>
        <brk id="107" max="16383" man="1"/>
      </rowBreaks>
      <pageMargins left="0.75" right="0.75" top="1" bottom="1" header="0.5" footer="0.5"/>
      <pageSetup paperSize="5" scale="41" orientation="landscape" r:id="rId1"/>
      <headerFooter alignWithMargins="0"/>
    </customSheetView>
    <customSheetView guid="{39AEF1F3-C6CC-11D4-B3CC-0080C71F7D28}" scale="75" fitToPage="1" hiddenRows="1" showRuler="0">
      <pane xSplit="3" ySplit="5" topLeftCell="E54" activePane="bottomRight" state="frozen"/>
      <selection pane="bottomRight" activeCell="E106" sqref="E106"/>
      <rowBreaks count="1" manualBreakCount="1">
        <brk id="45" max="16383" man="1"/>
      </rowBreaks>
      <pageMargins left="0.75" right="0.75" top="1" bottom="1" header="0.5" footer="0.5"/>
      <pageSetup paperSize="5" scale="49" orientation="landscape" r:id="rId2"/>
      <headerFooter alignWithMargins="0"/>
    </customSheetView>
  </customSheetViews>
  <pageMargins left="0.75" right="0.75" top="1" bottom="1" header="0.5" footer="0.5"/>
  <pageSetup paperSize="5" scale="41" orientation="landscape" r:id="rId3"/>
  <headerFooter alignWithMargins="0"/>
  <rowBreaks count="2" manualBreakCount="2">
    <brk id="45" max="16383" man="1"/>
    <brk id="10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G316"/>
  <sheetViews>
    <sheetView zoomScale="75" workbookViewId="0">
      <selection activeCell="A41" sqref="A41"/>
    </sheetView>
  </sheetViews>
  <sheetFormatPr defaultColWidth="9.109375" defaultRowHeight="13.2" x14ac:dyDescent="0.25"/>
  <cols>
    <col min="1" max="2" width="5.109375" style="13" customWidth="1"/>
    <col min="3" max="3" width="26.6640625" style="13" customWidth="1"/>
    <col min="4" max="7" width="8" style="13" customWidth="1"/>
    <col min="8" max="8" width="13.33203125" style="13" customWidth="1"/>
    <col min="9" max="9" width="14.88671875" style="13" customWidth="1"/>
    <col min="10" max="12" width="8" style="13" customWidth="1"/>
    <col min="13" max="13" width="12.88671875" style="13" customWidth="1"/>
    <col min="14" max="14" width="11.5546875" style="13" customWidth="1"/>
    <col min="15" max="16" width="9.33203125" style="13" customWidth="1"/>
    <col min="17" max="17" width="14.33203125" style="13" customWidth="1"/>
    <col min="18" max="19" width="12.44140625" style="13" customWidth="1"/>
    <col min="20" max="25" width="11.88671875" style="13" customWidth="1"/>
    <col min="26" max="27" width="11.33203125" style="13" customWidth="1"/>
    <col min="28" max="33" width="12.33203125" style="13" customWidth="1"/>
    <col min="34" max="34" width="11.33203125" style="13" customWidth="1"/>
    <col min="35" max="35" width="12.5546875" style="13" customWidth="1"/>
    <col min="36" max="39" width="12.109375" style="13" customWidth="1"/>
    <col min="40" max="40" width="10.88671875" style="13" customWidth="1"/>
    <col min="41" max="41" width="9.33203125" style="13" customWidth="1"/>
    <col min="42" max="44" width="9.88671875" style="13" customWidth="1"/>
    <col min="45" max="46" width="10.88671875" style="13" customWidth="1"/>
    <col min="47" max="48" width="12.44140625" style="13" customWidth="1"/>
    <col min="49" max="49" width="13" style="13" customWidth="1"/>
    <col min="50" max="50" width="10.44140625" style="13" customWidth="1"/>
    <col min="51" max="51" width="11.44140625" style="13" customWidth="1"/>
    <col min="52" max="55" width="12.44140625" style="13" customWidth="1"/>
    <col min="56" max="56" width="12" style="13" customWidth="1"/>
    <col min="57" max="57" width="12.5546875" style="13" customWidth="1"/>
    <col min="58" max="58" width="12.6640625" style="13" customWidth="1"/>
    <col min="59" max="59" width="12.44140625" style="13" customWidth="1"/>
    <col min="60" max="60" width="13.44140625" style="13" customWidth="1"/>
    <col min="61" max="61" width="14" style="13" customWidth="1"/>
    <col min="62" max="62" width="13.33203125" style="13" customWidth="1"/>
    <col min="63" max="63" width="12.6640625" style="13" customWidth="1"/>
    <col min="64" max="64" width="12.5546875" style="13" customWidth="1"/>
    <col min="65" max="65" width="11.33203125" style="13" customWidth="1"/>
    <col min="66" max="66" width="13.33203125" style="13" customWidth="1"/>
    <col min="67" max="67" width="13.5546875" style="13" customWidth="1"/>
    <col min="68" max="68" width="13.44140625" style="13" customWidth="1"/>
    <col min="69" max="69" width="13.5546875" style="13" customWidth="1"/>
    <col min="70" max="70" width="8.109375" style="13" customWidth="1"/>
    <col min="71" max="71" width="12.5546875" style="13" customWidth="1"/>
    <col min="72" max="72" width="9.6640625" style="13" customWidth="1"/>
    <col min="73" max="73" width="13" style="13" customWidth="1"/>
    <col min="74" max="74" width="12.109375" style="13" customWidth="1"/>
    <col min="75" max="75" width="11.6640625" style="13" customWidth="1"/>
    <col min="76" max="76" width="12.33203125" style="13" customWidth="1"/>
    <col min="77" max="77" width="11.33203125" style="13" customWidth="1"/>
    <col min="78" max="79" width="7.33203125" style="13" bestFit="1" customWidth="1"/>
    <col min="80" max="82" width="12.33203125" style="13" customWidth="1"/>
    <col min="83" max="83" width="13.33203125" style="13" customWidth="1"/>
    <col min="84" max="84" width="12.88671875" style="13" customWidth="1"/>
    <col min="85" max="85" width="12.44140625" style="13" customWidth="1"/>
    <col min="86" max="16384" width="9.109375" style="13"/>
  </cols>
  <sheetData>
    <row r="1" spans="1:85" x14ac:dyDescent="0.25">
      <c r="A1" s="13" t="s">
        <v>436</v>
      </c>
      <c r="C1" s="13" t="s">
        <v>437</v>
      </c>
      <c r="D1" s="13" t="s">
        <v>438</v>
      </c>
      <c r="E1" s="13" t="s">
        <v>439</v>
      </c>
      <c r="F1" s="13" t="s">
        <v>440</v>
      </c>
      <c r="G1" s="13" t="s">
        <v>441</v>
      </c>
      <c r="H1" s="13" t="s">
        <v>442</v>
      </c>
      <c r="I1" s="13" t="s">
        <v>443</v>
      </c>
      <c r="J1" s="13" t="s">
        <v>444</v>
      </c>
      <c r="K1" s="13" t="s">
        <v>445</v>
      </c>
      <c r="L1" s="13" t="s">
        <v>446</v>
      </c>
      <c r="M1" s="13" t="s">
        <v>447</v>
      </c>
      <c r="N1" s="13" t="s">
        <v>448</v>
      </c>
      <c r="O1" s="13" t="s">
        <v>449</v>
      </c>
      <c r="P1" s="13" t="s">
        <v>450</v>
      </c>
      <c r="Q1" s="13" t="s">
        <v>451</v>
      </c>
      <c r="R1" s="13" t="s">
        <v>452</v>
      </c>
      <c r="S1" s="13" t="s">
        <v>453</v>
      </c>
      <c r="T1" s="13" t="s">
        <v>454</v>
      </c>
      <c r="U1" s="13" t="s">
        <v>455</v>
      </c>
      <c r="V1" s="13" t="s">
        <v>456</v>
      </c>
      <c r="W1" s="13" t="s">
        <v>457</v>
      </c>
      <c r="X1" s="13" t="s">
        <v>458</v>
      </c>
      <c r="Y1" s="13" t="s">
        <v>459</v>
      </c>
      <c r="Z1" s="13" t="s">
        <v>460</v>
      </c>
      <c r="AA1" s="13" t="s">
        <v>461</v>
      </c>
      <c r="AB1" s="13" t="s">
        <v>462</v>
      </c>
      <c r="AC1" s="13" t="s">
        <v>463</v>
      </c>
      <c r="AD1" s="13" t="s">
        <v>464</v>
      </c>
      <c r="AE1" s="13" t="s">
        <v>465</v>
      </c>
      <c r="AF1" s="13" t="s">
        <v>466</v>
      </c>
      <c r="AG1" s="13" t="s">
        <v>467</v>
      </c>
      <c r="AH1" s="13" t="s">
        <v>468</v>
      </c>
      <c r="AI1" s="13" t="s">
        <v>469</v>
      </c>
      <c r="AJ1" s="13" t="s">
        <v>470</v>
      </c>
      <c r="AK1" s="13" t="s">
        <v>471</v>
      </c>
      <c r="AL1" s="13" t="s">
        <v>472</v>
      </c>
      <c r="AM1" s="13" t="s">
        <v>473</v>
      </c>
      <c r="AN1" s="13" t="s">
        <v>474</v>
      </c>
      <c r="AO1" s="13" t="s">
        <v>475</v>
      </c>
      <c r="AP1" s="13" t="s">
        <v>476</v>
      </c>
      <c r="AQ1" s="13" t="s">
        <v>477</v>
      </c>
      <c r="AR1" s="13" t="s">
        <v>478</v>
      </c>
      <c r="AS1" s="13" t="s">
        <v>479</v>
      </c>
      <c r="AT1" s="13" t="s">
        <v>480</v>
      </c>
      <c r="AU1" s="13" t="s">
        <v>481</v>
      </c>
      <c r="AV1" s="13" t="s">
        <v>482</v>
      </c>
      <c r="AW1" s="13" t="s">
        <v>483</v>
      </c>
      <c r="AX1" s="13" t="s">
        <v>484</v>
      </c>
      <c r="AY1" s="13" t="s">
        <v>485</v>
      </c>
      <c r="AZ1" s="13" t="s">
        <v>486</v>
      </c>
      <c r="BA1" s="13" t="s">
        <v>487</v>
      </c>
      <c r="BB1" s="13" t="s">
        <v>488</v>
      </c>
      <c r="BC1" s="13" t="s">
        <v>489</v>
      </c>
      <c r="BD1" s="13" t="s">
        <v>490</v>
      </c>
      <c r="BE1" s="13" t="s">
        <v>491</v>
      </c>
      <c r="BF1" s="13" t="s">
        <v>492</v>
      </c>
      <c r="BG1" s="13" t="s">
        <v>493</v>
      </c>
      <c r="BH1" s="13" t="s">
        <v>494</v>
      </c>
      <c r="BI1" s="13" t="s">
        <v>495</v>
      </c>
      <c r="BJ1" s="13" t="s">
        <v>496</v>
      </c>
      <c r="BK1" s="13" t="s">
        <v>497</v>
      </c>
      <c r="BL1" s="13" t="s">
        <v>498</v>
      </c>
      <c r="BM1" s="13" t="s">
        <v>499</v>
      </c>
      <c r="BN1" s="13" t="s">
        <v>500</v>
      </c>
      <c r="BO1" s="13" t="s">
        <v>501</v>
      </c>
      <c r="BP1" s="13" t="s">
        <v>502</v>
      </c>
      <c r="BQ1" s="13" t="s">
        <v>503</v>
      </c>
      <c r="BR1" s="13" t="s">
        <v>504</v>
      </c>
      <c r="BS1" s="13" t="s">
        <v>505</v>
      </c>
      <c r="BT1" s="13" t="s">
        <v>506</v>
      </c>
      <c r="BU1" s="13" t="s">
        <v>507</v>
      </c>
      <c r="BV1" s="13" t="s">
        <v>508</v>
      </c>
      <c r="BW1" s="13" t="s">
        <v>509</v>
      </c>
      <c r="BX1" s="13" t="s">
        <v>510</v>
      </c>
      <c r="BY1" s="13" t="s">
        <v>511</v>
      </c>
      <c r="CB1" s="13">
        <v>2003</v>
      </c>
    </row>
    <row r="2" spans="1:85" ht="26.4" x14ac:dyDescent="0.25">
      <c r="A2" s="13">
        <v>5600</v>
      </c>
      <c r="B2" s="13">
        <v>1</v>
      </c>
      <c r="C2" s="13" t="s">
        <v>512</v>
      </c>
      <c r="D2" s="13">
        <v>8274961</v>
      </c>
      <c r="E2" s="13">
        <v>8546846</v>
      </c>
      <c r="F2" s="13">
        <v>8624586</v>
      </c>
      <c r="G2" s="13">
        <v>8671377</v>
      </c>
      <c r="H2" s="13">
        <v>0.1</v>
      </c>
      <c r="I2" s="13">
        <v>268</v>
      </c>
      <c r="J2" s="13">
        <v>3252399</v>
      </c>
      <c r="K2" s="13">
        <v>3293454</v>
      </c>
      <c r="L2" s="13">
        <v>3319651</v>
      </c>
      <c r="M2" s="13">
        <v>0.2</v>
      </c>
      <c r="N2" s="13">
        <v>2.56</v>
      </c>
      <c r="O2" s="13">
        <v>2051867</v>
      </c>
      <c r="P2" s="13">
        <v>2054206</v>
      </c>
      <c r="Q2" s="13">
        <v>0</v>
      </c>
      <c r="R2" s="13">
        <v>56.5</v>
      </c>
      <c r="S2" s="13">
        <v>52.6</v>
      </c>
      <c r="T2" s="13">
        <v>26.3</v>
      </c>
      <c r="U2" s="13">
        <v>26.4</v>
      </c>
      <c r="V2" s="13">
        <v>6.5</v>
      </c>
      <c r="W2" s="13">
        <v>8.8000000000000007</v>
      </c>
      <c r="X2" s="13">
        <v>22.1</v>
      </c>
      <c r="Y2" s="13">
        <v>25.5</v>
      </c>
      <c r="Z2" s="13">
        <v>7.2</v>
      </c>
      <c r="AA2" s="13">
        <v>6.9</v>
      </c>
      <c r="AB2" s="13">
        <v>6.2</v>
      </c>
      <c r="AC2" s="13">
        <v>6.3</v>
      </c>
      <c r="AD2" s="13">
        <v>6.3</v>
      </c>
      <c r="AE2" s="13">
        <v>32.4</v>
      </c>
      <c r="AF2" s="13">
        <v>21.6</v>
      </c>
      <c r="AG2" s="13">
        <v>11.3</v>
      </c>
      <c r="AH2" s="13">
        <v>1.6</v>
      </c>
      <c r="AI2" s="13">
        <v>76</v>
      </c>
      <c r="AJ2" s="13">
        <v>34</v>
      </c>
      <c r="AK2" s="13">
        <v>35.6</v>
      </c>
      <c r="AL2" s="13">
        <v>90.2</v>
      </c>
      <c r="AM2" s="13">
        <v>21536</v>
      </c>
      <c r="AN2" s="13">
        <v>3293257</v>
      </c>
      <c r="AO2" s="13">
        <v>19.2</v>
      </c>
      <c r="AP2" s="13">
        <v>11.9</v>
      </c>
      <c r="AQ2" s="13">
        <v>28.8</v>
      </c>
      <c r="AR2" s="13">
        <v>27.3</v>
      </c>
      <c r="AS2" s="13">
        <v>7.6</v>
      </c>
      <c r="AT2" s="13">
        <v>5.3</v>
      </c>
      <c r="AU2" s="13">
        <v>40397</v>
      </c>
      <c r="AV2" s="13">
        <v>45963</v>
      </c>
      <c r="AW2" s="13">
        <v>87</v>
      </c>
      <c r="AX2" s="13">
        <v>38509</v>
      </c>
      <c r="AY2" s="13">
        <v>36268</v>
      </c>
      <c r="AZ2" s="13">
        <v>40627</v>
      </c>
      <c r="BA2" s="13">
        <v>44886</v>
      </c>
      <c r="BB2" s="13">
        <v>43334</v>
      </c>
      <c r="BC2" s="13">
        <v>26286</v>
      </c>
      <c r="BD2" s="13">
        <v>101</v>
      </c>
      <c r="BE2" s="13">
        <v>113</v>
      </c>
      <c r="BF2" s="13">
        <v>111</v>
      </c>
      <c r="BG2" s="13">
        <v>107</v>
      </c>
      <c r="BH2" s="13">
        <v>102</v>
      </c>
      <c r="BI2" s="13">
        <v>100</v>
      </c>
      <c r="BJ2" s="13">
        <v>90</v>
      </c>
      <c r="BK2" s="13">
        <v>99</v>
      </c>
      <c r="BL2" s="13">
        <v>98</v>
      </c>
      <c r="BM2" s="13">
        <v>112</v>
      </c>
      <c r="BN2" s="13">
        <v>104</v>
      </c>
      <c r="BO2" s="13">
        <v>104</v>
      </c>
      <c r="BP2" s="13">
        <v>107</v>
      </c>
      <c r="BQ2" s="13">
        <v>98</v>
      </c>
      <c r="BR2" s="13">
        <v>121</v>
      </c>
      <c r="BS2" s="13">
        <v>102</v>
      </c>
      <c r="BT2" s="13">
        <v>109</v>
      </c>
      <c r="BU2" s="13">
        <v>105</v>
      </c>
      <c r="BV2" s="13">
        <v>98</v>
      </c>
      <c r="BW2" s="13">
        <v>100</v>
      </c>
      <c r="BX2" s="328">
        <f>G2</f>
        <v>8671377</v>
      </c>
      <c r="BY2" s="328">
        <f>L2</f>
        <v>3319651</v>
      </c>
      <c r="BZ2" s="329">
        <f t="shared" ref="BZ2:BZ65" si="0">BX2/$CC$43</f>
        <v>3.8256677148846362E-2</v>
      </c>
      <c r="CA2" s="329">
        <f t="shared" ref="CA2:CA65" si="1">BY2/$CD$43</f>
        <v>3.8893090773645222E-2</v>
      </c>
      <c r="CB2" s="330" t="s">
        <v>513</v>
      </c>
      <c r="CC2" s="331" t="s">
        <v>514</v>
      </c>
      <c r="CD2" s="331" t="s">
        <v>515</v>
      </c>
      <c r="CE2" s="332" t="s">
        <v>516</v>
      </c>
      <c r="CF2" s="333" t="s">
        <v>517</v>
      </c>
    </row>
    <row r="3" spans="1:85" x14ac:dyDescent="0.25">
      <c r="A3" s="13">
        <v>4480</v>
      </c>
      <c r="B3" s="13">
        <v>2</v>
      </c>
      <c r="C3" s="13" t="s">
        <v>518</v>
      </c>
      <c r="D3" s="13">
        <v>7477239</v>
      </c>
      <c r="E3" s="13">
        <v>8863164</v>
      </c>
      <c r="F3" s="13">
        <v>9182178</v>
      </c>
      <c r="G3" s="13">
        <v>9371284</v>
      </c>
      <c r="H3" s="13">
        <v>0.4</v>
      </c>
      <c r="I3" s="13">
        <v>234</v>
      </c>
      <c r="J3" s="13">
        <v>2989552</v>
      </c>
      <c r="K3" s="13">
        <v>3081684</v>
      </c>
      <c r="L3" s="13">
        <v>3136608</v>
      </c>
      <c r="M3" s="13">
        <v>0.4</v>
      </c>
      <c r="N3" s="13">
        <v>2.92</v>
      </c>
      <c r="O3" s="13">
        <v>2013926</v>
      </c>
      <c r="P3" s="13">
        <v>2065577</v>
      </c>
      <c r="Q3" s="13">
        <v>0.3</v>
      </c>
      <c r="R3" s="13">
        <v>56.8</v>
      </c>
      <c r="S3" s="13">
        <v>51.7</v>
      </c>
      <c r="T3" s="13">
        <v>11.2</v>
      </c>
      <c r="U3" s="13">
        <v>10.5</v>
      </c>
      <c r="V3" s="13">
        <v>10.8</v>
      </c>
      <c r="W3" s="13">
        <v>12.9</v>
      </c>
      <c r="X3" s="13">
        <v>37.799999999999997</v>
      </c>
      <c r="Y3" s="13">
        <v>44.7</v>
      </c>
      <c r="Z3" s="13">
        <v>8.6999999999999993</v>
      </c>
      <c r="AA3" s="13">
        <v>8.1</v>
      </c>
      <c r="AB3" s="13">
        <v>6.9</v>
      </c>
      <c r="AC3" s="13">
        <v>7</v>
      </c>
      <c r="AD3" s="13">
        <v>7.4</v>
      </c>
      <c r="AE3" s="13">
        <v>33.700000000000003</v>
      </c>
      <c r="AF3" s="13">
        <v>18.2</v>
      </c>
      <c r="AG3" s="13">
        <v>8.8000000000000007</v>
      </c>
      <c r="AH3" s="13">
        <v>1.1000000000000001</v>
      </c>
      <c r="AI3" s="13">
        <v>72.400000000000006</v>
      </c>
      <c r="AJ3" s="13">
        <v>30.7</v>
      </c>
      <c r="AK3" s="13">
        <v>31.9</v>
      </c>
      <c r="AL3" s="13">
        <v>100.3</v>
      </c>
      <c r="AM3" s="13">
        <v>19386</v>
      </c>
      <c r="AN3" s="13">
        <v>3081592</v>
      </c>
      <c r="AO3" s="13">
        <v>15.1</v>
      </c>
      <c r="AP3" s="13">
        <v>12.6</v>
      </c>
      <c r="AQ3" s="13">
        <v>30.7</v>
      </c>
      <c r="AR3" s="13">
        <v>29</v>
      </c>
      <c r="AS3" s="13">
        <v>7.6</v>
      </c>
      <c r="AT3" s="13">
        <v>5.0999999999999996</v>
      </c>
      <c r="AU3" s="13">
        <v>41932</v>
      </c>
      <c r="AV3" s="13">
        <v>47721</v>
      </c>
      <c r="AW3" s="13">
        <v>67</v>
      </c>
      <c r="AX3" s="13">
        <v>41500</v>
      </c>
      <c r="AY3" s="13">
        <v>35629</v>
      </c>
      <c r="AZ3" s="13">
        <v>43590</v>
      </c>
      <c r="BA3" s="13">
        <v>50515</v>
      </c>
      <c r="BB3" s="13">
        <v>47091</v>
      </c>
      <c r="BC3" s="13">
        <v>30576</v>
      </c>
      <c r="BD3" s="13">
        <v>101</v>
      </c>
      <c r="BE3" s="13">
        <v>125</v>
      </c>
      <c r="BF3" s="13">
        <v>111</v>
      </c>
      <c r="BG3" s="13">
        <v>112</v>
      </c>
      <c r="BH3" s="13">
        <v>106</v>
      </c>
      <c r="BI3" s="13">
        <v>108</v>
      </c>
      <c r="BJ3" s="13">
        <v>94</v>
      </c>
      <c r="BK3" s="13">
        <v>102</v>
      </c>
      <c r="BL3" s="13">
        <v>108</v>
      </c>
      <c r="BM3" s="13">
        <v>107</v>
      </c>
      <c r="BN3" s="13">
        <v>111</v>
      </c>
      <c r="BO3" s="13">
        <v>100</v>
      </c>
      <c r="BP3" s="13">
        <v>107</v>
      </c>
      <c r="BQ3" s="13">
        <v>96</v>
      </c>
      <c r="BR3" s="13">
        <v>111</v>
      </c>
      <c r="BS3" s="13">
        <v>101</v>
      </c>
      <c r="BT3" s="13">
        <v>107</v>
      </c>
      <c r="BU3" s="13">
        <v>109</v>
      </c>
      <c r="BV3" s="13">
        <v>99</v>
      </c>
      <c r="BW3" s="13">
        <v>101</v>
      </c>
      <c r="BX3" s="328">
        <f t="shared" ref="BX3:BX66" si="2">BX2+G3</f>
        <v>18042661</v>
      </c>
      <c r="BY3" s="328">
        <f t="shared" ref="BY3:BY66" si="3">BY2+L3</f>
        <v>6456259</v>
      </c>
      <c r="BZ3" s="329">
        <f t="shared" si="0"/>
        <v>7.9601227899915014E-2</v>
      </c>
      <c r="CA3" s="329">
        <f t="shared" si="1"/>
        <v>7.564164646981382E-2</v>
      </c>
      <c r="CB3" s="334">
        <v>10</v>
      </c>
      <c r="CC3" s="335">
        <f t="shared" ref="CC3:CC23" si="4">VLOOKUP(CB3,$B$2:$CA$320,77)</f>
        <v>0.25858352885221958</v>
      </c>
      <c r="CD3" s="335">
        <f t="shared" ref="CD3:CD23" si="5">VLOOKUP(CB3,$B$2:$CA$320,78)</f>
        <v>0.25438940613285738</v>
      </c>
      <c r="CE3" s="336">
        <f t="shared" ref="CE3:CE23" si="6">CD3*$CD$43</f>
        <v>21712958</v>
      </c>
      <c r="CF3" s="337">
        <f>CE3/(CB3* (1.01^2))</f>
        <v>2128512.6948338398</v>
      </c>
      <c r="CG3" s="338"/>
    </row>
    <row r="4" spans="1:85" x14ac:dyDescent="0.25">
      <c r="A4" s="13">
        <v>1600</v>
      </c>
      <c r="B4" s="13">
        <v>3</v>
      </c>
      <c r="C4" s="13" t="s">
        <v>519</v>
      </c>
      <c r="D4" s="13">
        <v>7246048</v>
      </c>
      <c r="E4" s="13">
        <v>7410858</v>
      </c>
      <c r="F4" s="13">
        <v>7823942</v>
      </c>
      <c r="G4" s="13">
        <v>8075383</v>
      </c>
      <c r="H4" s="13">
        <v>0.7</v>
      </c>
      <c r="I4" s="13">
        <v>202</v>
      </c>
      <c r="J4" s="13">
        <v>2671540</v>
      </c>
      <c r="K4" s="13">
        <v>2819383</v>
      </c>
      <c r="L4" s="13">
        <v>2908301</v>
      </c>
      <c r="M4" s="13">
        <v>0.7</v>
      </c>
      <c r="N4" s="13">
        <v>2.73</v>
      </c>
      <c r="O4" s="13">
        <v>1852128</v>
      </c>
      <c r="P4" s="13">
        <v>1930891</v>
      </c>
      <c r="Q4" s="13">
        <v>0.5</v>
      </c>
      <c r="R4" s="13">
        <v>71</v>
      </c>
      <c r="S4" s="13">
        <v>68.7</v>
      </c>
      <c r="T4" s="13">
        <v>19.3</v>
      </c>
      <c r="U4" s="13">
        <v>18.899999999999999</v>
      </c>
      <c r="V4" s="13">
        <v>3.4</v>
      </c>
      <c r="W4" s="13">
        <v>4.4000000000000004</v>
      </c>
      <c r="X4" s="13">
        <v>11.4</v>
      </c>
      <c r="Y4" s="13">
        <v>14.5</v>
      </c>
      <c r="Z4" s="13">
        <v>7.9</v>
      </c>
      <c r="AA4" s="13">
        <v>7.7</v>
      </c>
      <c r="AB4" s="13">
        <v>7.1</v>
      </c>
      <c r="AC4" s="13">
        <v>6.9</v>
      </c>
      <c r="AD4" s="13">
        <v>6.4</v>
      </c>
      <c r="AE4" s="13">
        <v>32.299999999999997</v>
      </c>
      <c r="AF4" s="13">
        <v>20.5</v>
      </c>
      <c r="AG4" s="13">
        <v>10</v>
      </c>
      <c r="AH4" s="13">
        <v>1.2</v>
      </c>
      <c r="AI4" s="13">
        <v>73.400000000000006</v>
      </c>
      <c r="AJ4" s="13">
        <v>32.299999999999997</v>
      </c>
      <c r="AK4" s="13">
        <v>34.1</v>
      </c>
      <c r="AL4" s="13">
        <v>95.5</v>
      </c>
      <c r="AM4" s="13">
        <v>21660</v>
      </c>
      <c r="AN4" s="13">
        <v>2819173</v>
      </c>
      <c r="AO4" s="13">
        <v>11.8</v>
      </c>
      <c r="AP4" s="13">
        <v>10.1</v>
      </c>
      <c r="AQ4" s="13">
        <v>30.7</v>
      </c>
      <c r="AR4" s="13">
        <v>34</v>
      </c>
      <c r="AS4" s="13">
        <v>9</v>
      </c>
      <c r="AT4" s="13">
        <v>4.4000000000000004</v>
      </c>
      <c r="AU4" s="13">
        <v>47537</v>
      </c>
      <c r="AV4" s="13">
        <v>55037</v>
      </c>
      <c r="AW4" s="13">
        <v>28</v>
      </c>
      <c r="AX4" s="13">
        <v>44110</v>
      </c>
      <c r="AY4" s="13">
        <v>38259</v>
      </c>
      <c r="AZ4" s="13">
        <v>47871</v>
      </c>
      <c r="BA4" s="13">
        <v>54497</v>
      </c>
      <c r="BB4" s="13">
        <v>49050</v>
      </c>
      <c r="BC4" s="13">
        <v>28951</v>
      </c>
      <c r="BD4" s="13">
        <v>100</v>
      </c>
      <c r="BE4" s="13">
        <v>111</v>
      </c>
      <c r="BF4" s="13">
        <v>106</v>
      </c>
      <c r="BG4" s="13">
        <v>107</v>
      </c>
      <c r="BH4" s="13">
        <v>107</v>
      </c>
      <c r="BI4" s="13">
        <v>107</v>
      </c>
      <c r="BJ4" s="13">
        <v>98</v>
      </c>
      <c r="BK4" s="13">
        <v>102</v>
      </c>
      <c r="BL4" s="13">
        <v>103</v>
      </c>
      <c r="BM4" s="13">
        <v>108</v>
      </c>
      <c r="BN4" s="13">
        <v>107</v>
      </c>
      <c r="BO4" s="13">
        <v>103</v>
      </c>
      <c r="BP4" s="13">
        <v>109</v>
      </c>
      <c r="BQ4" s="13">
        <v>102</v>
      </c>
      <c r="BR4" s="13">
        <v>114</v>
      </c>
      <c r="BS4" s="13">
        <v>104</v>
      </c>
      <c r="BT4" s="13">
        <v>109</v>
      </c>
      <c r="BU4" s="13">
        <v>107</v>
      </c>
      <c r="BV4" s="13">
        <v>99</v>
      </c>
      <c r="BW4" s="13">
        <v>101</v>
      </c>
      <c r="BX4" s="328">
        <f t="shared" si="2"/>
        <v>26118044</v>
      </c>
      <c r="BY4" s="328">
        <f t="shared" si="3"/>
        <v>9364560</v>
      </c>
      <c r="BZ4" s="329">
        <f t="shared" si="0"/>
        <v>0.11522847836824114</v>
      </c>
      <c r="CA4" s="329">
        <f t="shared" si="1"/>
        <v>0.10971535325106377</v>
      </c>
      <c r="CB4" s="334">
        <v>20</v>
      </c>
      <c r="CC4" s="335">
        <f t="shared" si="4"/>
        <v>0.38165118354796695</v>
      </c>
      <c r="CD4" s="335">
        <f t="shared" si="5"/>
        <v>0.37759768722056125</v>
      </c>
      <c r="CE4" s="336">
        <f t="shared" si="6"/>
        <v>32229183</v>
      </c>
      <c r="CF4" s="337">
        <f t="shared" ref="CF4:CF18" si="7">CE4/(CB4* (1.01^2))</f>
        <v>1579707.0385256347</v>
      </c>
    </row>
    <row r="5" spans="1:85" x14ac:dyDescent="0.25">
      <c r="A5" s="13">
        <v>1123</v>
      </c>
      <c r="B5" s="13">
        <v>4</v>
      </c>
      <c r="C5" s="13" t="s">
        <v>520</v>
      </c>
      <c r="D5" s="13">
        <v>5336242</v>
      </c>
      <c r="E5" s="13">
        <v>5685998</v>
      </c>
      <c r="F5" s="13">
        <v>5864713</v>
      </c>
      <c r="G5" s="13">
        <v>5980698</v>
      </c>
      <c r="H5" s="13">
        <v>0.4</v>
      </c>
      <c r="I5" s="13">
        <v>241</v>
      </c>
      <c r="J5" s="13">
        <v>2111440</v>
      </c>
      <c r="K5" s="13">
        <v>2244336</v>
      </c>
      <c r="L5" s="13">
        <v>2332087</v>
      </c>
      <c r="M5" s="13">
        <v>0.7</v>
      </c>
      <c r="N5" s="13">
        <v>2.5299999999999998</v>
      </c>
      <c r="O5" s="13">
        <v>1432816</v>
      </c>
      <c r="P5" s="13">
        <v>1491759</v>
      </c>
      <c r="Q5" s="13">
        <v>0.5</v>
      </c>
      <c r="R5" s="13">
        <v>90.6</v>
      </c>
      <c r="S5" s="13">
        <v>88.2</v>
      </c>
      <c r="T5" s="13">
        <v>4.5999999999999996</v>
      </c>
      <c r="U5" s="13">
        <v>5.3</v>
      </c>
      <c r="V5" s="13">
        <v>2.5</v>
      </c>
      <c r="W5" s="13">
        <v>3.6</v>
      </c>
      <c r="X5" s="13">
        <v>4.3</v>
      </c>
      <c r="Y5" s="13">
        <v>5.5</v>
      </c>
      <c r="Z5" s="13">
        <v>6.3</v>
      </c>
      <c r="AA5" s="13">
        <v>7.1</v>
      </c>
      <c r="AB5" s="13">
        <v>6.4</v>
      </c>
      <c r="AC5" s="13">
        <v>6</v>
      </c>
      <c r="AD5" s="13">
        <v>6</v>
      </c>
      <c r="AE5" s="13">
        <v>34</v>
      </c>
      <c r="AF5" s="13">
        <v>20.9</v>
      </c>
      <c r="AG5" s="13">
        <v>11.5</v>
      </c>
      <c r="AH5" s="13">
        <v>1.7</v>
      </c>
      <c r="AI5" s="13">
        <v>77</v>
      </c>
      <c r="AJ5" s="13">
        <v>33.200000000000003</v>
      </c>
      <c r="AK5" s="13">
        <v>35.700000000000003</v>
      </c>
      <c r="AL5" s="13">
        <v>94.1</v>
      </c>
      <c r="AM5" s="13">
        <v>20424</v>
      </c>
      <c r="AN5" s="13">
        <v>2244287</v>
      </c>
      <c r="AO5" s="13">
        <v>15.7</v>
      </c>
      <c r="AP5" s="13">
        <v>11</v>
      </c>
      <c r="AQ5" s="13">
        <v>31.3</v>
      </c>
      <c r="AR5" s="13">
        <v>32.299999999999997</v>
      </c>
      <c r="AS5" s="13">
        <v>6.7</v>
      </c>
      <c r="AT5" s="13">
        <v>2.9</v>
      </c>
      <c r="AU5" s="13">
        <v>43024</v>
      </c>
      <c r="AV5" s="13">
        <v>46111</v>
      </c>
      <c r="AW5" s="13">
        <v>57</v>
      </c>
      <c r="AX5" s="13">
        <v>37415</v>
      </c>
      <c r="AY5" s="13">
        <v>34033</v>
      </c>
      <c r="AZ5" s="13">
        <v>42093</v>
      </c>
      <c r="BA5" s="13">
        <v>48897</v>
      </c>
      <c r="BB5" s="13">
        <v>43604</v>
      </c>
      <c r="BC5" s="13">
        <v>21305</v>
      </c>
      <c r="BD5" s="13">
        <v>103</v>
      </c>
      <c r="BE5" s="13">
        <v>111</v>
      </c>
      <c r="BF5" s="13">
        <v>110</v>
      </c>
      <c r="BG5" s="13">
        <v>110</v>
      </c>
      <c r="BH5" s="13">
        <v>99</v>
      </c>
      <c r="BI5" s="13">
        <v>100</v>
      </c>
      <c r="BJ5" s="13">
        <v>93</v>
      </c>
      <c r="BK5" s="13">
        <v>100</v>
      </c>
      <c r="BL5" s="13">
        <v>102</v>
      </c>
      <c r="BM5" s="13">
        <v>108</v>
      </c>
      <c r="BN5" s="13">
        <v>108</v>
      </c>
      <c r="BO5" s="13">
        <v>105</v>
      </c>
      <c r="BP5" s="13">
        <v>108</v>
      </c>
      <c r="BQ5" s="13">
        <v>105</v>
      </c>
      <c r="BR5" s="13">
        <v>113</v>
      </c>
      <c r="BS5" s="13">
        <v>101</v>
      </c>
      <c r="BT5" s="13">
        <v>111</v>
      </c>
      <c r="BU5" s="13">
        <v>105</v>
      </c>
      <c r="BV5" s="13">
        <v>102</v>
      </c>
      <c r="BW5" s="13">
        <v>104</v>
      </c>
      <c r="BX5" s="328">
        <f t="shared" si="2"/>
        <v>32098742</v>
      </c>
      <c r="BY5" s="328">
        <f t="shared" si="3"/>
        <v>11696647</v>
      </c>
      <c r="BZ5" s="329">
        <f t="shared" si="0"/>
        <v>0.14161432602666391</v>
      </c>
      <c r="CA5" s="329">
        <f t="shared" si="1"/>
        <v>0.1370381264531377</v>
      </c>
      <c r="CB5" s="334">
        <v>30</v>
      </c>
      <c r="CC5" s="335">
        <f t="shared" si="4"/>
        <v>0.47335068863591245</v>
      </c>
      <c r="CD5" s="335">
        <f t="shared" si="5"/>
        <v>0.47015052693025144</v>
      </c>
      <c r="CE5" s="336">
        <f t="shared" si="6"/>
        <v>40128867</v>
      </c>
      <c r="CF5" s="337">
        <f t="shared" si="7"/>
        <v>1311272.3262425251</v>
      </c>
    </row>
    <row r="6" spans="1:85" x14ac:dyDescent="0.25">
      <c r="A6" s="13">
        <v>8840</v>
      </c>
      <c r="B6" s="13">
        <v>5</v>
      </c>
      <c r="C6" s="13" t="s">
        <v>521</v>
      </c>
      <c r="D6" s="13">
        <v>3477972</v>
      </c>
      <c r="E6" s="13">
        <v>4223485</v>
      </c>
      <c r="F6" s="13">
        <v>4655702</v>
      </c>
      <c r="G6" s="13">
        <v>4945676</v>
      </c>
      <c r="H6" s="13">
        <v>1.2</v>
      </c>
      <c r="I6" s="13">
        <v>128</v>
      </c>
      <c r="J6" s="13">
        <v>1566134</v>
      </c>
      <c r="K6" s="13">
        <v>1747429</v>
      </c>
      <c r="L6" s="13">
        <v>1873265</v>
      </c>
      <c r="M6" s="13">
        <v>1.3</v>
      </c>
      <c r="N6" s="13">
        <v>2.6</v>
      </c>
      <c r="O6" s="13">
        <v>1051112</v>
      </c>
      <c r="P6" s="13">
        <v>1165988</v>
      </c>
      <c r="Q6" s="13">
        <v>1.3</v>
      </c>
      <c r="R6" s="13">
        <v>67.3</v>
      </c>
      <c r="S6" s="13">
        <v>65.400000000000006</v>
      </c>
      <c r="T6" s="13">
        <v>25.4</v>
      </c>
      <c r="U6" s="13">
        <v>25</v>
      </c>
      <c r="V6" s="13">
        <v>4.8</v>
      </c>
      <c r="W6" s="13">
        <v>6.5</v>
      </c>
      <c r="X6" s="13">
        <v>5.4</v>
      </c>
      <c r="Y6" s="13">
        <v>7.3</v>
      </c>
      <c r="Z6" s="13">
        <v>6.9</v>
      </c>
      <c r="AA6" s="13">
        <v>7.3</v>
      </c>
      <c r="AB6" s="13">
        <v>6.5</v>
      </c>
      <c r="AC6" s="13">
        <v>6.1</v>
      </c>
      <c r="AD6" s="13">
        <v>6.3</v>
      </c>
      <c r="AE6" s="13">
        <v>36.1</v>
      </c>
      <c r="AF6" s="13">
        <v>21.7</v>
      </c>
      <c r="AG6" s="13">
        <v>8.1999999999999993</v>
      </c>
      <c r="AH6" s="13">
        <v>0.9</v>
      </c>
      <c r="AI6" s="13">
        <v>75.8</v>
      </c>
      <c r="AJ6" s="13">
        <v>32.5</v>
      </c>
      <c r="AK6" s="13">
        <v>34.6</v>
      </c>
      <c r="AL6" s="13">
        <v>96</v>
      </c>
      <c r="AM6" s="13">
        <v>25213</v>
      </c>
      <c r="AN6" s="13">
        <v>1747376</v>
      </c>
      <c r="AO6" s="13">
        <v>7.6</v>
      </c>
      <c r="AP6" s="13">
        <v>8.3000000000000007</v>
      </c>
      <c r="AQ6" s="13">
        <v>28.8</v>
      </c>
      <c r="AR6" s="13">
        <v>39.299999999999997</v>
      </c>
      <c r="AS6" s="13">
        <v>11.1</v>
      </c>
      <c r="AT6" s="13">
        <v>4.9000000000000004</v>
      </c>
      <c r="AU6" s="13">
        <v>54366</v>
      </c>
      <c r="AV6" s="13">
        <v>60544</v>
      </c>
      <c r="AW6" s="13">
        <v>10</v>
      </c>
      <c r="AX6" s="13">
        <v>47313</v>
      </c>
      <c r="AY6" s="13">
        <v>39248</v>
      </c>
      <c r="AZ6" s="13">
        <v>48529</v>
      </c>
      <c r="BA6" s="13">
        <v>57542</v>
      </c>
      <c r="BB6" s="13">
        <v>52947</v>
      </c>
      <c r="BC6" s="13">
        <v>35073</v>
      </c>
      <c r="BD6" s="13">
        <v>104</v>
      </c>
      <c r="BE6" s="13">
        <v>122</v>
      </c>
      <c r="BF6" s="13">
        <v>111</v>
      </c>
      <c r="BG6" s="13">
        <v>117</v>
      </c>
      <c r="BH6" s="13">
        <v>110</v>
      </c>
      <c r="BI6" s="13">
        <v>114</v>
      </c>
      <c r="BJ6" s="13">
        <v>104</v>
      </c>
      <c r="BK6" s="13">
        <v>105</v>
      </c>
      <c r="BL6" s="13">
        <v>110</v>
      </c>
      <c r="BM6" s="13">
        <v>115</v>
      </c>
      <c r="BN6" s="13">
        <v>116</v>
      </c>
      <c r="BO6" s="13">
        <v>110</v>
      </c>
      <c r="BP6" s="13">
        <v>113</v>
      </c>
      <c r="BQ6" s="13">
        <v>108</v>
      </c>
      <c r="BR6" s="13">
        <v>109</v>
      </c>
      <c r="BS6" s="13">
        <v>103</v>
      </c>
      <c r="BT6" s="13">
        <v>116</v>
      </c>
      <c r="BU6" s="13">
        <v>113</v>
      </c>
      <c r="BV6" s="13">
        <v>101</v>
      </c>
      <c r="BW6" s="13">
        <v>106</v>
      </c>
      <c r="BX6" s="328">
        <f t="shared" si="2"/>
        <v>37044418</v>
      </c>
      <c r="BY6" s="328">
        <f t="shared" si="3"/>
        <v>13569912</v>
      </c>
      <c r="BZ6" s="329">
        <f t="shared" si="0"/>
        <v>0.16343382828274133</v>
      </c>
      <c r="CA6" s="329">
        <f t="shared" si="1"/>
        <v>0.15898533285769426</v>
      </c>
      <c r="CB6" s="334">
        <v>40</v>
      </c>
      <c r="CC6" s="335">
        <f t="shared" si="4"/>
        <v>0.54566111795727279</v>
      </c>
      <c r="CD6" s="335">
        <f t="shared" si="5"/>
        <v>0.54328761680635596</v>
      </c>
      <c r="CE6" s="336">
        <f t="shared" si="6"/>
        <v>46371354</v>
      </c>
      <c r="CF6" s="337">
        <f t="shared" si="7"/>
        <v>1136441.3782962454</v>
      </c>
    </row>
    <row r="7" spans="1:85" x14ac:dyDescent="0.25">
      <c r="A7" s="13">
        <v>6160</v>
      </c>
      <c r="B7" s="13">
        <v>6</v>
      </c>
      <c r="C7" s="13" t="s">
        <v>522</v>
      </c>
      <c r="D7" s="13">
        <v>4781235</v>
      </c>
      <c r="E7" s="13">
        <v>4922175</v>
      </c>
      <c r="F7" s="13">
        <v>4939422</v>
      </c>
      <c r="G7" s="13">
        <v>4954868</v>
      </c>
      <c r="H7" s="13">
        <v>0</v>
      </c>
      <c r="I7" s="13">
        <v>275</v>
      </c>
      <c r="J7" s="13">
        <v>1801159</v>
      </c>
      <c r="K7" s="13">
        <v>1825249</v>
      </c>
      <c r="L7" s="13">
        <v>1841628</v>
      </c>
      <c r="M7" s="13">
        <v>0.2</v>
      </c>
      <c r="N7" s="13">
        <v>2.63</v>
      </c>
      <c r="O7" s="13">
        <v>1259166</v>
      </c>
      <c r="P7" s="13">
        <v>1251078</v>
      </c>
      <c r="Q7" s="13">
        <v>-0.1</v>
      </c>
      <c r="R7" s="13">
        <v>76.599999999999994</v>
      </c>
      <c r="S7" s="13">
        <v>74.599999999999994</v>
      </c>
      <c r="T7" s="13">
        <v>19.100000000000001</v>
      </c>
      <c r="U7" s="13">
        <v>19.600000000000001</v>
      </c>
      <c r="V7" s="13">
        <v>2.1</v>
      </c>
      <c r="W7" s="13">
        <v>3.1</v>
      </c>
      <c r="X7" s="13">
        <v>3.6</v>
      </c>
      <c r="Y7" s="13">
        <v>4.5999999999999996</v>
      </c>
      <c r="Z7" s="13">
        <v>6.9</v>
      </c>
      <c r="AA7" s="13">
        <v>7.4</v>
      </c>
      <c r="AB7" s="13">
        <v>6.9</v>
      </c>
      <c r="AC7" s="13">
        <v>6.5</v>
      </c>
      <c r="AD7" s="13">
        <v>6</v>
      </c>
      <c r="AE7" s="13">
        <v>31.3</v>
      </c>
      <c r="AF7" s="13">
        <v>21.2</v>
      </c>
      <c r="AG7" s="13">
        <v>12.2</v>
      </c>
      <c r="AH7" s="13">
        <v>1.6</v>
      </c>
      <c r="AI7" s="13">
        <v>75.099999999999994</v>
      </c>
      <c r="AJ7" s="13">
        <v>33.700000000000003</v>
      </c>
      <c r="AK7" s="13">
        <v>36</v>
      </c>
      <c r="AL7" s="13">
        <v>92.5</v>
      </c>
      <c r="AM7" s="13">
        <v>22890</v>
      </c>
      <c r="AN7" s="13">
        <v>1825143</v>
      </c>
      <c r="AO7" s="13">
        <v>12</v>
      </c>
      <c r="AP7" s="13">
        <v>9.9</v>
      </c>
      <c r="AQ7" s="13">
        <v>30.3</v>
      </c>
      <c r="AR7" s="13">
        <v>33.5</v>
      </c>
      <c r="AS7" s="13">
        <v>9.3000000000000007</v>
      </c>
      <c r="AT7" s="13">
        <v>4.9000000000000004</v>
      </c>
      <c r="AU7" s="13">
        <v>47879</v>
      </c>
      <c r="AV7" s="13">
        <v>56285</v>
      </c>
      <c r="AW7" s="13">
        <v>25</v>
      </c>
      <c r="AX7" s="13">
        <v>43766</v>
      </c>
      <c r="AY7" s="13">
        <v>38930</v>
      </c>
      <c r="AZ7" s="13">
        <v>47623</v>
      </c>
      <c r="BA7" s="13">
        <v>55135</v>
      </c>
      <c r="BB7" s="13">
        <v>49353</v>
      </c>
      <c r="BC7" s="13">
        <v>28300</v>
      </c>
      <c r="BD7" s="13">
        <v>102</v>
      </c>
      <c r="BE7" s="13">
        <v>105</v>
      </c>
      <c r="BF7" s="13">
        <v>108</v>
      </c>
      <c r="BG7" s="13">
        <v>106</v>
      </c>
      <c r="BH7" s="13">
        <v>98</v>
      </c>
      <c r="BI7" s="13">
        <v>98</v>
      </c>
      <c r="BJ7" s="13">
        <v>92</v>
      </c>
      <c r="BK7" s="13">
        <v>100</v>
      </c>
      <c r="BL7" s="13">
        <v>100</v>
      </c>
      <c r="BM7" s="13">
        <v>105</v>
      </c>
      <c r="BN7" s="13">
        <v>104</v>
      </c>
      <c r="BO7" s="13">
        <v>104</v>
      </c>
      <c r="BP7" s="13">
        <v>106</v>
      </c>
      <c r="BQ7" s="13">
        <v>104</v>
      </c>
      <c r="BR7" s="13">
        <v>110</v>
      </c>
      <c r="BS7" s="13">
        <v>100</v>
      </c>
      <c r="BT7" s="13">
        <v>109</v>
      </c>
      <c r="BU7" s="13">
        <v>103</v>
      </c>
      <c r="BV7" s="13">
        <v>100</v>
      </c>
      <c r="BW7" s="13">
        <v>102</v>
      </c>
      <c r="BX7" s="328">
        <f t="shared" si="2"/>
        <v>41999286</v>
      </c>
      <c r="BY7" s="328">
        <f t="shared" si="3"/>
        <v>15411540</v>
      </c>
      <c r="BZ7" s="329">
        <f t="shared" si="0"/>
        <v>0.18529388411829664</v>
      </c>
      <c r="CA7" s="329">
        <f t="shared" si="1"/>
        <v>0.18056187960170036</v>
      </c>
      <c r="CB7" s="334">
        <v>50</v>
      </c>
      <c r="CC7" s="335">
        <f t="shared" si="4"/>
        <v>0.60630925636466304</v>
      </c>
      <c r="CD7" s="335">
        <f t="shared" si="5"/>
        <v>0.60433972787345647</v>
      </c>
      <c r="CE7" s="336">
        <f t="shared" si="6"/>
        <v>51582349</v>
      </c>
      <c r="CF7" s="337">
        <f t="shared" si="7"/>
        <v>1011319.4588765807</v>
      </c>
    </row>
    <row r="8" spans="1:85" x14ac:dyDescent="0.25">
      <c r="A8" s="13">
        <v>2160</v>
      </c>
      <c r="B8" s="13">
        <v>7</v>
      </c>
      <c r="C8" s="13" t="s">
        <v>523</v>
      </c>
      <c r="D8" s="13">
        <v>4387735</v>
      </c>
      <c r="E8" s="13">
        <v>4266654</v>
      </c>
      <c r="F8" s="13">
        <v>4485351</v>
      </c>
      <c r="G8" s="13">
        <v>4617294</v>
      </c>
      <c r="H8" s="13">
        <v>0.6</v>
      </c>
      <c r="I8" s="13">
        <v>208</v>
      </c>
      <c r="J8" s="13">
        <v>1580063</v>
      </c>
      <c r="K8" s="13">
        <v>1696753</v>
      </c>
      <c r="L8" s="13">
        <v>1770107</v>
      </c>
      <c r="M8" s="13">
        <v>0.9</v>
      </c>
      <c r="N8" s="13">
        <v>2.61</v>
      </c>
      <c r="O8" s="13">
        <v>1120599</v>
      </c>
      <c r="P8" s="13">
        <v>1179045</v>
      </c>
      <c r="Q8" s="13">
        <v>0.6</v>
      </c>
      <c r="R8" s="13">
        <v>75.400000000000006</v>
      </c>
      <c r="S8" s="13">
        <v>74.099999999999994</v>
      </c>
      <c r="T8" s="13">
        <v>22.1</v>
      </c>
      <c r="U8" s="13">
        <v>22.5</v>
      </c>
      <c r="V8" s="13">
        <v>1.3</v>
      </c>
      <c r="W8" s="13">
        <v>1.9</v>
      </c>
      <c r="X8" s="13">
        <v>2</v>
      </c>
      <c r="Y8" s="13">
        <v>3.1</v>
      </c>
      <c r="Z8" s="13">
        <v>6.8</v>
      </c>
      <c r="AA8" s="13">
        <v>7.5</v>
      </c>
      <c r="AB8" s="13">
        <v>7.1</v>
      </c>
      <c r="AC8" s="13">
        <v>6.9</v>
      </c>
      <c r="AD8" s="13">
        <v>6.1</v>
      </c>
      <c r="AE8" s="13">
        <v>31.6</v>
      </c>
      <c r="AF8" s="13">
        <v>21.5</v>
      </c>
      <c r="AG8" s="13">
        <v>11.1</v>
      </c>
      <c r="AH8" s="13">
        <v>1.3</v>
      </c>
      <c r="AI8" s="13">
        <v>74.400000000000006</v>
      </c>
      <c r="AJ8" s="13">
        <v>33</v>
      </c>
      <c r="AK8" s="13">
        <v>35.5</v>
      </c>
      <c r="AL8" s="13">
        <v>93.2</v>
      </c>
      <c r="AM8" s="13">
        <v>21340</v>
      </c>
      <c r="AN8" s="13">
        <v>1696687</v>
      </c>
      <c r="AO8" s="13">
        <v>15.4</v>
      </c>
      <c r="AP8" s="13">
        <v>10.199999999999999</v>
      </c>
      <c r="AQ8" s="13">
        <v>29.9</v>
      </c>
      <c r="AR8" s="13">
        <v>32.799999999999997</v>
      </c>
      <c r="AS8" s="13">
        <v>7.9</v>
      </c>
      <c r="AT8" s="13">
        <v>3.8</v>
      </c>
      <c r="AU8" s="13">
        <v>45165</v>
      </c>
      <c r="AV8" s="13">
        <v>51939</v>
      </c>
      <c r="AW8" s="13">
        <v>37</v>
      </c>
      <c r="AX8" s="13">
        <v>39158</v>
      </c>
      <c r="AY8" s="13">
        <v>33491</v>
      </c>
      <c r="AZ8" s="13">
        <v>42228</v>
      </c>
      <c r="BA8" s="13">
        <v>51267</v>
      </c>
      <c r="BB8" s="13">
        <v>44749</v>
      </c>
      <c r="BC8" s="13">
        <v>25396</v>
      </c>
      <c r="BD8" s="13">
        <v>99</v>
      </c>
      <c r="BE8" s="13">
        <v>104</v>
      </c>
      <c r="BF8" s="13">
        <v>104</v>
      </c>
      <c r="BG8" s="13">
        <v>104</v>
      </c>
      <c r="BH8" s="13">
        <v>105</v>
      </c>
      <c r="BI8" s="13">
        <v>104</v>
      </c>
      <c r="BJ8" s="13">
        <v>99</v>
      </c>
      <c r="BK8" s="13">
        <v>101</v>
      </c>
      <c r="BL8" s="13">
        <v>100</v>
      </c>
      <c r="BM8" s="13">
        <v>105</v>
      </c>
      <c r="BN8" s="13">
        <v>103</v>
      </c>
      <c r="BO8" s="13">
        <v>101</v>
      </c>
      <c r="BP8" s="13">
        <v>107</v>
      </c>
      <c r="BQ8" s="13">
        <v>101</v>
      </c>
      <c r="BR8" s="13">
        <v>110</v>
      </c>
      <c r="BS8" s="13">
        <v>103</v>
      </c>
      <c r="BT8" s="13">
        <v>105</v>
      </c>
      <c r="BU8" s="13">
        <v>103</v>
      </c>
      <c r="BV8" s="13">
        <v>98</v>
      </c>
      <c r="BW8" s="13">
        <v>100</v>
      </c>
      <c r="BX8" s="328">
        <f t="shared" si="2"/>
        <v>46616580</v>
      </c>
      <c r="BY8" s="328">
        <f t="shared" si="3"/>
        <v>17181647</v>
      </c>
      <c r="BZ8" s="329">
        <f t="shared" si="0"/>
        <v>0.20566461945356179</v>
      </c>
      <c r="CA8" s="329">
        <f t="shared" si="1"/>
        <v>0.20130048502439837</v>
      </c>
      <c r="CB8" s="334">
        <v>60</v>
      </c>
      <c r="CC8" s="335">
        <f t="shared" si="4"/>
        <v>0.65581956505412464</v>
      </c>
      <c r="CD8" s="335">
        <f t="shared" si="5"/>
        <v>0.65491733224583693</v>
      </c>
      <c r="CE8" s="336">
        <f t="shared" si="6"/>
        <v>55899311</v>
      </c>
      <c r="CF8" s="337">
        <f t="shared" si="7"/>
        <v>913297.8956311472</v>
      </c>
    </row>
    <row r="9" spans="1:85" x14ac:dyDescent="0.25">
      <c r="A9" s="13">
        <v>520</v>
      </c>
      <c r="B9" s="13">
        <v>8</v>
      </c>
      <c r="C9" s="13" t="s">
        <v>524</v>
      </c>
      <c r="D9" s="13">
        <v>2233229</v>
      </c>
      <c r="E9" s="13">
        <v>2959950</v>
      </c>
      <c r="F9" s="13">
        <v>3732336</v>
      </c>
      <c r="G9" s="13">
        <v>4199164</v>
      </c>
      <c r="H9" s="13">
        <v>2.9</v>
      </c>
      <c r="I9" s="13">
        <v>15</v>
      </c>
      <c r="J9" s="13">
        <v>1102578</v>
      </c>
      <c r="K9" s="13">
        <v>1410452</v>
      </c>
      <c r="L9" s="13">
        <v>1603861</v>
      </c>
      <c r="M9" s="13">
        <v>3</v>
      </c>
      <c r="N9" s="13">
        <v>2.61</v>
      </c>
      <c r="O9" s="13">
        <v>778182</v>
      </c>
      <c r="P9" s="13">
        <v>986998</v>
      </c>
      <c r="Q9" s="13">
        <v>2.9</v>
      </c>
      <c r="R9" s="13">
        <v>72.099999999999994</v>
      </c>
      <c r="S9" s="13">
        <v>70.3</v>
      </c>
      <c r="T9" s="13">
        <v>25.2</v>
      </c>
      <c r="U9" s="13">
        <v>25.5</v>
      </c>
      <c r="V9" s="13">
        <v>1.8</v>
      </c>
      <c r="W9" s="13">
        <v>2.8</v>
      </c>
      <c r="X9" s="13">
        <v>2</v>
      </c>
      <c r="Y9" s="13">
        <v>3.6</v>
      </c>
      <c r="Z9" s="13">
        <v>7.4</v>
      </c>
      <c r="AA9" s="13">
        <v>7.4</v>
      </c>
      <c r="AB9" s="13">
        <v>6.8</v>
      </c>
      <c r="AC9" s="13">
        <v>6.9</v>
      </c>
      <c r="AD9" s="13">
        <v>6.8</v>
      </c>
      <c r="AE9" s="13">
        <v>36.200000000000003</v>
      </c>
      <c r="AF9" s="13">
        <v>20.5</v>
      </c>
      <c r="AG9" s="13">
        <v>7</v>
      </c>
      <c r="AH9" s="13">
        <v>0.8</v>
      </c>
      <c r="AI9" s="13">
        <v>74.3</v>
      </c>
      <c r="AJ9" s="13">
        <v>31.5</v>
      </c>
      <c r="AK9" s="13">
        <v>33.4</v>
      </c>
      <c r="AL9" s="13">
        <v>95.8</v>
      </c>
      <c r="AM9" s="13">
        <v>20588</v>
      </c>
      <c r="AN9" s="13">
        <v>1410402</v>
      </c>
      <c r="AO9" s="13">
        <v>12.1</v>
      </c>
      <c r="AP9" s="13">
        <v>11.9</v>
      </c>
      <c r="AQ9" s="13">
        <v>33.700000000000003</v>
      </c>
      <c r="AR9" s="13">
        <v>32.200000000000003</v>
      </c>
      <c r="AS9" s="13">
        <v>6.9</v>
      </c>
      <c r="AT9" s="13">
        <v>3.2</v>
      </c>
      <c r="AU9" s="13">
        <v>43676</v>
      </c>
      <c r="AV9" s="13">
        <v>49743</v>
      </c>
      <c r="AW9" s="13">
        <v>50</v>
      </c>
      <c r="AX9" s="13">
        <v>40003</v>
      </c>
      <c r="AY9" s="13">
        <v>34276</v>
      </c>
      <c r="AZ9" s="13">
        <v>44240</v>
      </c>
      <c r="BA9" s="13">
        <v>50340</v>
      </c>
      <c r="BB9" s="13">
        <v>40789</v>
      </c>
      <c r="BC9" s="13">
        <v>25074</v>
      </c>
      <c r="BD9" s="13">
        <v>101</v>
      </c>
      <c r="BE9" s="13">
        <v>107</v>
      </c>
      <c r="BF9" s="13">
        <v>96</v>
      </c>
      <c r="BG9" s="13">
        <v>104</v>
      </c>
      <c r="BH9" s="13">
        <v>102</v>
      </c>
      <c r="BI9" s="13">
        <v>104</v>
      </c>
      <c r="BJ9" s="13">
        <v>103</v>
      </c>
      <c r="BK9" s="13">
        <v>102</v>
      </c>
      <c r="BL9" s="13">
        <v>104</v>
      </c>
      <c r="BM9" s="13">
        <v>106</v>
      </c>
      <c r="BN9" s="13">
        <v>106</v>
      </c>
      <c r="BO9" s="13">
        <v>106</v>
      </c>
      <c r="BP9" s="13">
        <v>103</v>
      </c>
      <c r="BQ9" s="13">
        <v>104</v>
      </c>
      <c r="BR9" s="13">
        <v>96</v>
      </c>
      <c r="BS9" s="13">
        <v>102</v>
      </c>
      <c r="BT9" s="13">
        <v>106</v>
      </c>
      <c r="BU9" s="13">
        <v>105</v>
      </c>
      <c r="BV9" s="13">
        <v>98</v>
      </c>
      <c r="BW9" s="13">
        <v>104</v>
      </c>
      <c r="BX9" s="328">
        <f t="shared" si="2"/>
        <v>50815744</v>
      </c>
      <c r="BY9" s="328">
        <f t="shared" si="3"/>
        <v>18785508</v>
      </c>
      <c r="BZ9" s="329">
        <f t="shared" si="0"/>
        <v>0.22419063457700275</v>
      </c>
      <c r="CA9" s="329">
        <f t="shared" si="1"/>
        <v>0.22009134932347962</v>
      </c>
      <c r="CB9" s="334">
        <v>70</v>
      </c>
      <c r="CC9" s="335">
        <f t="shared" si="4"/>
        <v>0.69713620654238029</v>
      </c>
      <c r="CD9" s="335">
        <f t="shared" si="5"/>
        <v>0.69732235798639708</v>
      </c>
      <c r="CE9" s="336">
        <f t="shared" si="6"/>
        <v>59518717</v>
      </c>
      <c r="CF9" s="337">
        <f t="shared" si="7"/>
        <v>833513.75915526494</v>
      </c>
    </row>
    <row r="10" spans="1:85" x14ac:dyDescent="0.25">
      <c r="A10" s="13">
        <v>3360</v>
      </c>
      <c r="B10" s="13">
        <v>9</v>
      </c>
      <c r="C10" s="13" t="s">
        <v>525</v>
      </c>
      <c r="D10" s="13">
        <v>2753155</v>
      </c>
      <c r="E10" s="13">
        <v>3322025</v>
      </c>
      <c r="F10" s="13">
        <v>3919766</v>
      </c>
      <c r="G10" s="13">
        <v>4275809</v>
      </c>
      <c r="H10" s="13">
        <v>2</v>
      </c>
      <c r="I10" s="13">
        <v>49</v>
      </c>
      <c r="J10" s="13">
        <v>1193305</v>
      </c>
      <c r="K10" s="13">
        <v>1422981</v>
      </c>
      <c r="L10" s="13">
        <v>1565159</v>
      </c>
      <c r="M10" s="13">
        <v>2.2000000000000002</v>
      </c>
      <c r="N10" s="13">
        <v>2.72</v>
      </c>
      <c r="O10" s="13">
        <v>835457</v>
      </c>
      <c r="P10" s="13">
        <v>987265</v>
      </c>
      <c r="Q10" s="13">
        <v>2</v>
      </c>
      <c r="R10" s="13">
        <v>66.400000000000006</v>
      </c>
      <c r="S10" s="13">
        <v>62.9</v>
      </c>
      <c r="T10" s="13">
        <v>18.5</v>
      </c>
      <c r="U10" s="13">
        <v>18.5</v>
      </c>
      <c r="V10" s="13">
        <v>3.8</v>
      </c>
      <c r="W10" s="13">
        <v>5.4</v>
      </c>
      <c r="X10" s="13">
        <v>21.3</v>
      </c>
      <c r="Y10" s="13">
        <v>25.2</v>
      </c>
      <c r="Z10" s="13">
        <v>8.4</v>
      </c>
      <c r="AA10" s="13">
        <v>8.1</v>
      </c>
      <c r="AB10" s="13">
        <v>7.7</v>
      </c>
      <c r="AC10" s="13">
        <v>7.5</v>
      </c>
      <c r="AD10" s="13">
        <v>6.9</v>
      </c>
      <c r="AE10" s="13">
        <v>34.299999999999997</v>
      </c>
      <c r="AF10" s="13">
        <v>19.8</v>
      </c>
      <c r="AG10" s="13">
        <v>6.5</v>
      </c>
      <c r="AH10" s="13">
        <v>0.7</v>
      </c>
      <c r="AI10" s="13">
        <v>71.3</v>
      </c>
      <c r="AJ10" s="13">
        <v>30.4</v>
      </c>
      <c r="AK10" s="13">
        <v>32.299999999999997</v>
      </c>
      <c r="AL10" s="13">
        <v>99.3</v>
      </c>
      <c r="AM10" s="13">
        <v>19047</v>
      </c>
      <c r="AN10" s="13">
        <v>1422938</v>
      </c>
      <c r="AO10" s="13">
        <v>15.4</v>
      </c>
      <c r="AP10" s="13">
        <v>13.7</v>
      </c>
      <c r="AQ10" s="13">
        <v>31.7</v>
      </c>
      <c r="AR10" s="13">
        <v>28.8</v>
      </c>
      <c r="AS10" s="13">
        <v>7</v>
      </c>
      <c r="AT10" s="13">
        <v>3.4</v>
      </c>
      <c r="AU10" s="13">
        <v>40472</v>
      </c>
      <c r="AV10" s="13">
        <v>46468</v>
      </c>
      <c r="AW10" s="13">
        <v>84</v>
      </c>
      <c r="AX10" s="13">
        <v>40955</v>
      </c>
      <c r="AY10" s="13">
        <v>32630</v>
      </c>
      <c r="AZ10" s="13">
        <v>44820</v>
      </c>
      <c r="BA10" s="13">
        <v>49678</v>
      </c>
      <c r="BB10" s="13">
        <v>43527</v>
      </c>
      <c r="BC10" s="13">
        <v>27827</v>
      </c>
      <c r="BD10" s="13">
        <v>100</v>
      </c>
      <c r="BE10" s="13">
        <v>109</v>
      </c>
      <c r="BF10" s="13">
        <v>97</v>
      </c>
      <c r="BG10" s="13">
        <v>103</v>
      </c>
      <c r="BH10" s="13">
        <v>102</v>
      </c>
      <c r="BI10" s="13">
        <v>103</v>
      </c>
      <c r="BJ10" s="13">
        <v>101</v>
      </c>
      <c r="BK10" s="13">
        <v>102</v>
      </c>
      <c r="BL10" s="13">
        <v>104</v>
      </c>
      <c r="BM10" s="13">
        <v>104</v>
      </c>
      <c r="BN10" s="13">
        <v>106</v>
      </c>
      <c r="BO10" s="13">
        <v>104</v>
      </c>
      <c r="BP10" s="13">
        <v>102</v>
      </c>
      <c r="BQ10" s="13">
        <v>103</v>
      </c>
      <c r="BR10" s="13">
        <v>97</v>
      </c>
      <c r="BS10" s="13">
        <v>101</v>
      </c>
      <c r="BT10" s="13">
        <v>103</v>
      </c>
      <c r="BU10" s="13">
        <v>105</v>
      </c>
      <c r="BV10" s="13">
        <v>98</v>
      </c>
      <c r="BW10" s="13">
        <v>104</v>
      </c>
      <c r="BX10" s="328">
        <f t="shared" si="2"/>
        <v>55091553</v>
      </c>
      <c r="BY10" s="328">
        <f t="shared" si="3"/>
        <v>20350667</v>
      </c>
      <c r="BZ10" s="329">
        <f t="shared" si="0"/>
        <v>0.24305479472862937</v>
      </c>
      <c r="CA10" s="329">
        <f t="shared" si="1"/>
        <v>0.23842878029504494</v>
      </c>
      <c r="CB10" s="334">
        <v>80</v>
      </c>
      <c r="CC10" s="335">
        <f t="shared" si="4"/>
        <v>0.72902389373931575</v>
      </c>
      <c r="CD10" s="335">
        <f t="shared" si="5"/>
        <v>0.72926260132715304</v>
      </c>
      <c r="CE10" s="336">
        <f t="shared" si="6"/>
        <v>62244920</v>
      </c>
      <c r="CF10" s="337">
        <f t="shared" si="7"/>
        <v>762730.6146456229</v>
      </c>
    </row>
    <row r="11" spans="1:85" x14ac:dyDescent="0.25">
      <c r="A11" s="13">
        <v>1920</v>
      </c>
      <c r="B11" s="13">
        <v>10</v>
      </c>
      <c r="C11" s="13" t="s">
        <v>526</v>
      </c>
      <c r="D11" s="13">
        <v>2055284</v>
      </c>
      <c r="E11" s="13">
        <v>2676248</v>
      </c>
      <c r="F11" s="13">
        <v>3202729</v>
      </c>
      <c r="G11" s="13">
        <v>3519791</v>
      </c>
      <c r="H11" s="13">
        <v>2.2000000000000002</v>
      </c>
      <c r="I11" s="13">
        <v>36</v>
      </c>
      <c r="J11" s="13">
        <v>1001750</v>
      </c>
      <c r="K11" s="13">
        <v>1222249</v>
      </c>
      <c r="L11" s="13">
        <v>1362291</v>
      </c>
      <c r="M11" s="13">
        <v>2.4</v>
      </c>
      <c r="N11" s="13">
        <v>2.58</v>
      </c>
      <c r="O11" s="13">
        <v>683612</v>
      </c>
      <c r="P11" s="13">
        <v>825676</v>
      </c>
      <c r="Q11" s="13">
        <v>2.2999999999999998</v>
      </c>
      <c r="R11" s="13">
        <v>73.3</v>
      </c>
      <c r="S11" s="13">
        <v>71.099999999999994</v>
      </c>
      <c r="T11" s="13">
        <v>15.8</v>
      </c>
      <c r="U11" s="13">
        <v>15.4</v>
      </c>
      <c r="V11" s="13">
        <v>2.5</v>
      </c>
      <c r="W11" s="13">
        <v>3.6</v>
      </c>
      <c r="X11" s="13">
        <v>14</v>
      </c>
      <c r="Y11" s="13">
        <v>16.8</v>
      </c>
      <c r="Z11" s="13">
        <v>8.1</v>
      </c>
      <c r="AA11" s="13">
        <v>7.6</v>
      </c>
      <c r="AB11" s="13">
        <v>7.2</v>
      </c>
      <c r="AC11" s="13">
        <v>7.2</v>
      </c>
      <c r="AD11" s="13">
        <v>7.2</v>
      </c>
      <c r="AE11" s="13">
        <v>34.6</v>
      </c>
      <c r="AF11" s="13">
        <v>20</v>
      </c>
      <c r="AG11" s="13">
        <v>7.2</v>
      </c>
      <c r="AH11" s="13">
        <v>0.9</v>
      </c>
      <c r="AI11" s="13">
        <v>72.900000000000006</v>
      </c>
      <c r="AJ11" s="13">
        <v>30.7</v>
      </c>
      <c r="AK11" s="13">
        <v>32.6</v>
      </c>
      <c r="AL11" s="13">
        <v>97.2</v>
      </c>
      <c r="AM11" s="13">
        <v>21072</v>
      </c>
      <c r="AN11" s="13">
        <v>1222166</v>
      </c>
      <c r="AO11" s="13">
        <v>12.4</v>
      </c>
      <c r="AP11" s="13">
        <v>13</v>
      </c>
      <c r="AQ11" s="13">
        <v>32.6</v>
      </c>
      <c r="AR11" s="13">
        <v>30.8</v>
      </c>
      <c r="AS11" s="13">
        <v>7.4</v>
      </c>
      <c r="AT11" s="13">
        <v>3.7</v>
      </c>
      <c r="AU11" s="13">
        <v>42729</v>
      </c>
      <c r="AV11" s="13">
        <v>50074</v>
      </c>
      <c r="AW11" s="13">
        <v>59</v>
      </c>
      <c r="AX11" s="13">
        <v>42923</v>
      </c>
      <c r="AY11" s="13">
        <v>34638</v>
      </c>
      <c r="AZ11" s="13">
        <v>47211</v>
      </c>
      <c r="BA11" s="13">
        <v>53460</v>
      </c>
      <c r="BB11" s="13">
        <v>45459</v>
      </c>
      <c r="BC11" s="13">
        <v>28694</v>
      </c>
      <c r="BD11" s="13">
        <v>101</v>
      </c>
      <c r="BE11" s="13">
        <v>109</v>
      </c>
      <c r="BF11" s="13">
        <v>98</v>
      </c>
      <c r="BG11" s="13">
        <v>105</v>
      </c>
      <c r="BH11" s="13">
        <v>103</v>
      </c>
      <c r="BI11" s="13">
        <v>104</v>
      </c>
      <c r="BJ11" s="13">
        <v>102</v>
      </c>
      <c r="BK11" s="13">
        <v>102</v>
      </c>
      <c r="BL11" s="13">
        <v>104</v>
      </c>
      <c r="BM11" s="13">
        <v>105</v>
      </c>
      <c r="BN11" s="13">
        <v>107</v>
      </c>
      <c r="BO11" s="13">
        <v>105</v>
      </c>
      <c r="BP11" s="13">
        <v>103</v>
      </c>
      <c r="BQ11" s="13">
        <v>104</v>
      </c>
      <c r="BR11" s="13">
        <v>98</v>
      </c>
      <c r="BS11" s="13">
        <v>101</v>
      </c>
      <c r="BT11" s="13">
        <v>105</v>
      </c>
      <c r="BU11" s="13">
        <v>105</v>
      </c>
      <c r="BV11" s="13">
        <v>99</v>
      </c>
      <c r="BW11" s="13">
        <v>103</v>
      </c>
      <c r="BX11" s="328">
        <f t="shared" si="2"/>
        <v>58611344</v>
      </c>
      <c r="BY11" s="328">
        <f t="shared" si="3"/>
        <v>21712958</v>
      </c>
      <c r="BZ11" s="329">
        <f t="shared" si="0"/>
        <v>0.25858352885221958</v>
      </c>
      <c r="CA11" s="329">
        <f t="shared" si="1"/>
        <v>0.25438940613285738</v>
      </c>
      <c r="CB11" s="334">
        <v>90</v>
      </c>
      <c r="CC11" s="335">
        <f t="shared" si="4"/>
        <v>0.75689497212777457</v>
      </c>
      <c r="CD11" s="335">
        <f t="shared" si="5"/>
        <v>0.75655140979312885</v>
      </c>
      <c r="CE11" s="336">
        <f t="shared" si="6"/>
        <v>64574108</v>
      </c>
      <c r="CF11" s="337">
        <f t="shared" si="7"/>
        <v>703352.69962639827</v>
      </c>
    </row>
    <row r="12" spans="1:85" x14ac:dyDescent="0.25">
      <c r="A12" s="13">
        <v>6200</v>
      </c>
      <c r="B12" s="13">
        <v>11</v>
      </c>
      <c r="C12" s="13" t="s">
        <v>527</v>
      </c>
      <c r="D12" s="13">
        <v>1600093</v>
      </c>
      <c r="E12" s="13">
        <v>2238480</v>
      </c>
      <c r="F12" s="13">
        <v>2931342</v>
      </c>
      <c r="G12" s="13">
        <v>3350662</v>
      </c>
      <c r="H12" s="13">
        <v>3.3</v>
      </c>
      <c r="I12" s="13">
        <v>6</v>
      </c>
      <c r="J12" s="13">
        <v>846714</v>
      </c>
      <c r="K12" s="13">
        <v>1146209</v>
      </c>
      <c r="L12" s="13">
        <v>1340889</v>
      </c>
      <c r="M12" s="13">
        <v>3.7</v>
      </c>
      <c r="N12" s="13">
        <v>2.5099999999999998</v>
      </c>
      <c r="O12" s="13">
        <v>576998</v>
      </c>
      <c r="P12" s="13">
        <v>769257</v>
      </c>
      <c r="Q12" s="13">
        <v>3.5</v>
      </c>
      <c r="R12" s="13">
        <v>84.3</v>
      </c>
      <c r="S12" s="13">
        <v>81.7</v>
      </c>
      <c r="T12" s="13">
        <v>3.5</v>
      </c>
      <c r="U12" s="13">
        <v>3.9</v>
      </c>
      <c r="V12" s="13">
        <v>1.6</v>
      </c>
      <c r="W12" s="13">
        <v>2.2000000000000002</v>
      </c>
      <c r="X12" s="13">
        <v>17</v>
      </c>
      <c r="Y12" s="13">
        <v>20.5</v>
      </c>
      <c r="Z12" s="13">
        <v>7.6</v>
      </c>
      <c r="AA12" s="13">
        <v>7.3</v>
      </c>
      <c r="AB12" s="13">
        <v>6.6</v>
      </c>
      <c r="AC12" s="13">
        <v>6.8</v>
      </c>
      <c r="AD12" s="13">
        <v>6.7</v>
      </c>
      <c r="AE12" s="13">
        <v>31.9</v>
      </c>
      <c r="AF12" s="13">
        <v>20.399999999999999</v>
      </c>
      <c r="AG12" s="13">
        <v>11.4</v>
      </c>
      <c r="AH12" s="13">
        <v>1.3</v>
      </c>
      <c r="AI12" s="13">
        <v>74.5</v>
      </c>
      <c r="AJ12" s="13">
        <v>32.1</v>
      </c>
      <c r="AK12" s="13">
        <v>34.700000000000003</v>
      </c>
      <c r="AL12" s="13">
        <v>98</v>
      </c>
      <c r="AM12" s="13">
        <v>17441</v>
      </c>
      <c r="AN12" s="13">
        <v>1146099</v>
      </c>
      <c r="AO12" s="13">
        <v>16.899999999999999</v>
      </c>
      <c r="AP12" s="13">
        <v>16.3</v>
      </c>
      <c r="AQ12" s="13">
        <v>35.4</v>
      </c>
      <c r="AR12" s="13">
        <v>25.1</v>
      </c>
      <c r="AS12" s="13">
        <v>4.3</v>
      </c>
      <c r="AT12" s="13">
        <v>1.9</v>
      </c>
      <c r="AU12" s="13">
        <v>35515</v>
      </c>
      <c r="AV12" s="13">
        <v>39166</v>
      </c>
      <c r="AW12" s="13">
        <v>171</v>
      </c>
      <c r="AX12" s="13">
        <v>34840</v>
      </c>
      <c r="AY12" s="13">
        <v>29854</v>
      </c>
      <c r="AZ12" s="13">
        <v>39472</v>
      </c>
      <c r="BA12" s="13">
        <v>44014</v>
      </c>
      <c r="BB12" s="13">
        <v>38049</v>
      </c>
      <c r="BC12" s="13">
        <v>25452</v>
      </c>
      <c r="BD12" s="13">
        <v>102</v>
      </c>
      <c r="BE12" s="13">
        <v>105</v>
      </c>
      <c r="BF12" s="13">
        <v>98</v>
      </c>
      <c r="BG12" s="13">
        <v>102</v>
      </c>
      <c r="BH12" s="13">
        <v>101</v>
      </c>
      <c r="BI12" s="13">
        <v>103</v>
      </c>
      <c r="BJ12" s="13">
        <v>100</v>
      </c>
      <c r="BK12" s="13">
        <v>102</v>
      </c>
      <c r="BL12" s="13">
        <v>103</v>
      </c>
      <c r="BM12" s="13">
        <v>103</v>
      </c>
      <c r="BN12" s="13">
        <v>105</v>
      </c>
      <c r="BO12" s="13">
        <v>99</v>
      </c>
      <c r="BP12" s="13">
        <v>99</v>
      </c>
      <c r="BQ12" s="13">
        <v>99</v>
      </c>
      <c r="BR12" s="13">
        <v>98</v>
      </c>
      <c r="BS12" s="13">
        <v>97</v>
      </c>
      <c r="BT12" s="13">
        <v>101</v>
      </c>
      <c r="BU12" s="13">
        <v>100</v>
      </c>
      <c r="BV12" s="13">
        <v>100</v>
      </c>
      <c r="BW12" s="13">
        <v>98</v>
      </c>
      <c r="BX12" s="328">
        <f t="shared" si="2"/>
        <v>61962006</v>
      </c>
      <c r="BY12" s="328">
        <f t="shared" si="3"/>
        <v>23053847</v>
      </c>
      <c r="BZ12" s="329">
        <f t="shared" si="0"/>
        <v>0.27336609387838645</v>
      </c>
      <c r="CA12" s="329">
        <f t="shared" si="1"/>
        <v>0.27009928575405323</v>
      </c>
      <c r="CB12" s="334">
        <v>100</v>
      </c>
      <c r="CC12" s="335">
        <f t="shared" si="4"/>
        <v>0.78111741073477514</v>
      </c>
      <c r="CD12" s="335">
        <f t="shared" si="5"/>
        <v>0.78123463444243091</v>
      </c>
      <c r="CE12" s="336">
        <f t="shared" si="6"/>
        <v>66680900.999999993</v>
      </c>
      <c r="CF12" s="337">
        <f t="shared" si="7"/>
        <v>653670.23821193993</v>
      </c>
    </row>
    <row r="13" spans="1:85" x14ac:dyDescent="0.25">
      <c r="A13" s="13">
        <v>6780</v>
      </c>
      <c r="B13" s="13">
        <v>12</v>
      </c>
      <c r="C13" s="13" t="s">
        <v>528</v>
      </c>
      <c r="D13" s="13">
        <v>1558215</v>
      </c>
      <c r="E13" s="13">
        <v>2588793</v>
      </c>
      <c r="F13" s="13">
        <v>3113465</v>
      </c>
      <c r="G13" s="13">
        <v>3413259</v>
      </c>
      <c r="H13" s="13">
        <v>2.2999999999999998</v>
      </c>
      <c r="I13" s="13">
        <v>33</v>
      </c>
      <c r="J13" s="13">
        <v>866804</v>
      </c>
      <c r="K13" s="13">
        <v>1042982</v>
      </c>
      <c r="L13" s="13">
        <v>1143490</v>
      </c>
      <c r="M13" s="13">
        <v>2.2999999999999998</v>
      </c>
      <c r="N13" s="13">
        <v>2.92</v>
      </c>
      <c r="O13" s="13">
        <v>647718</v>
      </c>
      <c r="P13" s="13">
        <v>766286</v>
      </c>
      <c r="Q13" s="13">
        <v>2.1</v>
      </c>
      <c r="R13" s="13">
        <v>74.599999999999994</v>
      </c>
      <c r="S13" s="13">
        <v>70</v>
      </c>
      <c r="T13" s="13">
        <v>6.9</v>
      </c>
      <c r="U13" s="13">
        <v>6.7</v>
      </c>
      <c r="V13" s="13">
        <v>3.9</v>
      </c>
      <c r="W13" s="13">
        <v>4.9000000000000004</v>
      </c>
      <c r="X13" s="13">
        <v>26.5</v>
      </c>
      <c r="Y13" s="13">
        <v>33.9</v>
      </c>
      <c r="Z13" s="13">
        <v>9.9</v>
      </c>
      <c r="AA13" s="13">
        <v>9.4</v>
      </c>
      <c r="AB13" s="13">
        <v>8</v>
      </c>
      <c r="AC13" s="13">
        <v>7.1</v>
      </c>
      <c r="AD13" s="13">
        <v>5.9</v>
      </c>
      <c r="AE13" s="13">
        <v>31.6</v>
      </c>
      <c r="AF13" s="13">
        <v>16.8</v>
      </c>
      <c r="AG13" s="13">
        <v>10.1</v>
      </c>
      <c r="AH13" s="13">
        <v>1.2</v>
      </c>
      <c r="AI13" s="13">
        <v>68.599999999999994</v>
      </c>
      <c r="AJ13" s="13">
        <v>30.3</v>
      </c>
      <c r="AK13" s="13">
        <v>31.5</v>
      </c>
      <c r="AL13" s="13">
        <v>100.1</v>
      </c>
      <c r="AM13" s="13">
        <v>16259</v>
      </c>
      <c r="AN13" s="13">
        <v>1042937</v>
      </c>
      <c r="AO13" s="13">
        <v>16.100000000000001</v>
      </c>
      <c r="AP13" s="13">
        <v>13.4</v>
      </c>
      <c r="AQ13" s="13">
        <v>34</v>
      </c>
      <c r="AR13" s="13">
        <v>29.2</v>
      </c>
      <c r="AS13" s="13">
        <v>5.0999999999999996</v>
      </c>
      <c r="AT13" s="13">
        <v>2.2000000000000002</v>
      </c>
      <c r="AU13" s="13">
        <v>39458</v>
      </c>
      <c r="AV13" s="13">
        <v>45097</v>
      </c>
      <c r="AW13" s="13">
        <v>101</v>
      </c>
      <c r="AX13" s="13">
        <v>36153</v>
      </c>
      <c r="AY13" s="13">
        <v>33605</v>
      </c>
      <c r="AZ13" s="13">
        <v>40406</v>
      </c>
      <c r="BA13" s="13">
        <v>45225</v>
      </c>
      <c r="BB13" s="13">
        <v>38767</v>
      </c>
      <c r="BC13" s="13">
        <v>24778</v>
      </c>
      <c r="BD13" s="13">
        <v>101</v>
      </c>
      <c r="BE13" s="13">
        <v>102</v>
      </c>
      <c r="BF13" s="13">
        <v>94</v>
      </c>
      <c r="BG13" s="13">
        <v>97</v>
      </c>
      <c r="BH13" s="13">
        <v>99</v>
      </c>
      <c r="BI13" s="13">
        <v>100</v>
      </c>
      <c r="BJ13" s="13">
        <v>99</v>
      </c>
      <c r="BK13" s="13">
        <v>101</v>
      </c>
      <c r="BL13" s="13">
        <v>102</v>
      </c>
      <c r="BM13" s="13">
        <v>101</v>
      </c>
      <c r="BN13" s="13">
        <v>102</v>
      </c>
      <c r="BO13" s="13">
        <v>97</v>
      </c>
      <c r="BP13" s="13">
        <v>96</v>
      </c>
      <c r="BQ13" s="13">
        <v>97</v>
      </c>
      <c r="BR13" s="13">
        <v>95</v>
      </c>
      <c r="BS13" s="13">
        <v>97</v>
      </c>
      <c r="BT13" s="13">
        <v>98</v>
      </c>
      <c r="BU13" s="13">
        <v>99</v>
      </c>
      <c r="BV13" s="13">
        <v>99</v>
      </c>
      <c r="BW13" s="13">
        <v>98</v>
      </c>
      <c r="BX13" s="328">
        <f t="shared" si="2"/>
        <v>65375265</v>
      </c>
      <c r="BY13" s="328">
        <f t="shared" si="3"/>
        <v>24197337</v>
      </c>
      <c r="BZ13" s="329">
        <f t="shared" si="0"/>
        <v>0.28842482648664397</v>
      </c>
      <c r="CA13" s="329">
        <f t="shared" si="1"/>
        <v>0.28349643514377992</v>
      </c>
      <c r="CB13" s="334">
        <v>110</v>
      </c>
      <c r="CC13" s="335">
        <f t="shared" si="4"/>
        <v>0.80283301429669418</v>
      </c>
      <c r="CD13" s="335">
        <f t="shared" si="5"/>
        <v>0.80297841562695604</v>
      </c>
      <c r="CE13" s="336">
        <f t="shared" si="6"/>
        <v>68536803</v>
      </c>
      <c r="CF13" s="337">
        <f t="shared" si="7"/>
        <v>610785.06563527638</v>
      </c>
    </row>
    <row r="14" spans="1:85" x14ac:dyDescent="0.25">
      <c r="A14" s="13">
        <v>5120</v>
      </c>
      <c r="B14" s="13">
        <v>13</v>
      </c>
      <c r="C14" s="13" t="s">
        <v>529</v>
      </c>
      <c r="D14" s="13">
        <v>2198190</v>
      </c>
      <c r="E14" s="13">
        <v>2538834</v>
      </c>
      <c r="F14" s="13">
        <v>2825422</v>
      </c>
      <c r="G14" s="13">
        <v>2997383</v>
      </c>
      <c r="H14" s="13">
        <v>1.3</v>
      </c>
      <c r="I14" s="13">
        <v>104</v>
      </c>
      <c r="J14" s="13">
        <v>960170</v>
      </c>
      <c r="K14" s="13">
        <v>1072221</v>
      </c>
      <c r="L14" s="13">
        <v>1141080</v>
      </c>
      <c r="M14" s="13">
        <v>1.3</v>
      </c>
      <c r="N14" s="13">
        <v>2.58</v>
      </c>
      <c r="O14" s="13">
        <v>648958</v>
      </c>
      <c r="P14" s="13">
        <v>718079</v>
      </c>
      <c r="Q14" s="13">
        <v>1.2</v>
      </c>
      <c r="R14" s="13">
        <v>92.3</v>
      </c>
      <c r="S14" s="13">
        <v>90</v>
      </c>
      <c r="T14" s="13">
        <v>3.5</v>
      </c>
      <c r="U14" s="13">
        <v>4.5999999999999996</v>
      </c>
      <c r="V14" s="13">
        <v>2.6</v>
      </c>
      <c r="W14" s="13">
        <v>3.6</v>
      </c>
      <c r="X14" s="13">
        <v>1.5</v>
      </c>
      <c r="Y14" s="13">
        <v>2.2000000000000002</v>
      </c>
      <c r="Z14" s="13">
        <v>7</v>
      </c>
      <c r="AA14" s="13">
        <v>7.7</v>
      </c>
      <c r="AB14" s="13">
        <v>7.6</v>
      </c>
      <c r="AC14" s="13">
        <v>7.1</v>
      </c>
      <c r="AD14" s="13">
        <v>6.2</v>
      </c>
      <c r="AE14" s="13">
        <v>34.700000000000003</v>
      </c>
      <c r="AF14" s="13">
        <v>20.100000000000001</v>
      </c>
      <c r="AG14" s="13">
        <v>8.4</v>
      </c>
      <c r="AH14" s="13">
        <v>1.3</v>
      </c>
      <c r="AI14" s="13">
        <v>73.599999999999994</v>
      </c>
      <c r="AJ14" s="13">
        <v>31.7</v>
      </c>
      <c r="AK14" s="13">
        <v>34</v>
      </c>
      <c r="AL14" s="13">
        <v>97.2</v>
      </c>
      <c r="AM14" s="13">
        <v>23942</v>
      </c>
      <c r="AN14" s="13">
        <v>1072183</v>
      </c>
      <c r="AO14" s="13">
        <v>8.6999999999999993</v>
      </c>
      <c r="AP14" s="13">
        <v>8.8000000000000007</v>
      </c>
      <c r="AQ14" s="13">
        <v>31.8</v>
      </c>
      <c r="AR14" s="13">
        <v>36.5</v>
      </c>
      <c r="AS14" s="13">
        <v>9.6</v>
      </c>
      <c r="AT14" s="13">
        <v>4.5</v>
      </c>
      <c r="AU14" s="13">
        <v>50466</v>
      </c>
      <c r="AV14" s="13">
        <v>61987</v>
      </c>
      <c r="AW14" s="13">
        <v>16</v>
      </c>
      <c r="AX14" s="13">
        <v>43682</v>
      </c>
      <c r="AY14" s="13">
        <v>37745</v>
      </c>
      <c r="AZ14" s="13">
        <v>48177</v>
      </c>
      <c r="BA14" s="13">
        <v>54882</v>
      </c>
      <c r="BB14" s="13">
        <v>49485</v>
      </c>
      <c r="BC14" s="13">
        <v>27506</v>
      </c>
      <c r="BD14" s="13">
        <v>100</v>
      </c>
      <c r="BE14" s="13">
        <v>107</v>
      </c>
      <c r="BF14" s="13">
        <v>96</v>
      </c>
      <c r="BG14" s="13">
        <v>102</v>
      </c>
      <c r="BH14" s="13">
        <v>102</v>
      </c>
      <c r="BI14" s="13">
        <v>102</v>
      </c>
      <c r="BJ14" s="13">
        <v>100</v>
      </c>
      <c r="BK14" s="13">
        <v>101</v>
      </c>
      <c r="BL14" s="13">
        <v>102</v>
      </c>
      <c r="BM14" s="13">
        <v>104</v>
      </c>
      <c r="BN14" s="13">
        <v>107</v>
      </c>
      <c r="BO14" s="13">
        <v>102</v>
      </c>
      <c r="BP14" s="13">
        <v>105</v>
      </c>
      <c r="BQ14" s="13">
        <v>103</v>
      </c>
      <c r="BR14" s="13">
        <v>106</v>
      </c>
      <c r="BS14" s="13">
        <v>103</v>
      </c>
      <c r="BT14" s="13">
        <v>106</v>
      </c>
      <c r="BU14" s="13">
        <v>104</v>
      </c>
      <c r="BV14" s="13">
        <v>98</v>
      </c>
      <c r="BW14" s="13">
        <v>101</v>
      </c>
      <c r="BX14" s="328">
        <f t="shared" si="2"/>
        <v>68372648</v>
      </c>
      <c r="BY14" s="328">
        <f t="shared" si="3"/>
        <v>25338417</v>
      </c>
      <c r="BZ14" s="329">
        <f t="shared" si="0"/>
        <v>0.3016487831572443</v>
      </c>
      <c r="CA14" s="329">
        <f t="shared" si="1"/>
        <v>0.29686534893019634</v>
      </c>
      <c r="CB14" s="334">
        <v>120</v>
      </c>
      <c r="CC14" s="335">
        <f t="shared" si="4"/>
        <v>0.82331388665960137</v>
      </c>
      <c r="CD14" s="335">
        <f t="shared" si="5"/>
        <v>0.82316944951774063</v>
      </c>
      <c r="CE14" s="336">
        <f t="shared" si="6"/>
        <v>70260173</v>
      </c>
      <c r="CF14" s="337">
        <f t="shared" si="7"/>
        <v>573964.75018789002</v>
      </c>
    </row>
    <row r="15" spans="1:85" x14ac:dyDescent="0.25">
      <c r="A15" s="13">
        <v>7320</v>
      </c>
      <c r="B15" s="13">
        <v>14</v>
      </c>
      <c r="C15" s="13" t="s">
        <v>530</v>
      </c>
      <c r="D15" s="13">
        <v>1861846</v>
      </c>
      <c r="E15" s="13">
        <v>2498016</v>
      </c>
      <c r="F15" s="13">
        <v>2755533</v>
      </c>
      <c r="G15" s="13">
        <v>2912503</v>
      </c>
      <c r="H15" s="13">
        <v>1.2</v>
      </c>
      <c r="I15" s="13">
        <v>124</v>
      </c>
      <c r="J15" s="13">
        <v>887403</v>
      </c>
      <c r="K15" s="13">
        <v>983963</v>
      </c>
      <c r="L15" s="13">
        <v>1040895</v>
      </c>
      <c r="M15" s="13">
        <v>1.3</v>
      </c>
      <c r="N15" s="13">
        <v>2.7</v>
      </c>
      <c r="O15" s="13">
        <v>599428</v>
      </c>
      <c r="P15" s="13">
        <v>652796</v>
      </c>
      <c r="Q15" s="13">
        <v>1</v>
      </c>
      <c r="R15" s="13">
        <v>74.900000000000006</v>
      </c>
      <c r="S15" s="13">
        <v>69.8</v>
      </c>
      <c r="T15" s="13">
        <v>6.4</v>
      </c>
      <c r="U15" s="13">
        <v>5.9</v>
      </c>
      <c r="V15" s="13">
        <v>7.9</v>
      </c>
      <c r="W15" s="13">
        <v>10.4</v>
      </c>
      <c r="X15" s="13">
        <v>20.399999999999999</v>
      </c>
      <c r="Y15" s="13">
        <v>26.9</v>
      </c>
      <c r="Z15" s="13">
        <v>8.1999999999999993</v>
      </c>
      <c r="AA15" s="13">
        <v>7.8</v>
      </c>
      <c r="AB15" s="13">
        <v>6.6</v>
      </c>
      <c r="AC15" s="13">
        <v>6.5</v>
      </c>
      <c r="AD15" s="13">
        <v>7.4</v>
      </c>
      <c r="AE15" s="13">
        <v>34.1</v>
      </c>
      <c r="AF15" s="13">
        <v>17.8</v>
      </c>
      <c r="AG15" s="13">
        <v>10.3</v>
      </c>
      <c r="AH15" s="13">
        <v>1.3</v>
      </c>
      <c r="AI15" s="13">
        <v>74.099999999999994</v>
      </c>
      <c r="AJ15" s="13">
        <v>30.9</v>
      </c>
      <c r="AK15" s="13">
        <v>32.700000000000003</v>
      </c>
      <c r="AL15" s="13">
        <v>101.3</v>
      </c>
      <c r="AM15" s="13">
        <v>19713</v>
      </c>
      <c r="AN15" s="13">
        <v>983820</v>
      </c>
      <c r="AO15" s="13">
        <v>12.7</v>
      </c>
      <c r="AP15" s="13">
        <v>13.2</v>
      </c>
      <c r="AQ15" s="13">
        <v>33.1</v>
      </c>
      <c r="AR15" s="13">
        <v>30.5</v>
      </c>
      <c r="AS15" s="13">
        <v>6.9</v>
      </c>
      <c r="AT15" s="13">
        <v>3.6</v>
      </c>
      <c r="AU15" s="13">
        <v>42176</v>
      </c>
      <c r="AV15" s="13">
        <v>47715</v>
      </c>
      <c r="AW15" s="13">
        <v>64</v>
      </c>
      <c r="AX15" s="13">
        <v>39984</v>
      </c>
      <c r="AY15" s="13">
        <v>34168</v>
      </c>
      <c r="AZ15" s="13">
        <v>43606</v>
      </c>
      <c r="BA15" s="13">
        <v>50176</v>
      </c>
      <c r="BB15" s="13">
        <v>44915</v>
      </c>
      <c r="BC15" s="13">
        <v>30964</v>
      </c>
      <c r="BD15" s="13">
        <v>102</v>
      </c>
      <c r="BE15" s="13">
        <v>113</v>
      </c>
      <c r="BF15" s="13">
        <v>104</v>
      </c>
      <c r="BG15" s="13">
        <v>106</v>
      </c>
      <c r="BH15" s="13">
        <v>103</v>
      </c>
      <c r="BI15" s="13">
        <v>105</v>
      </c>
      <c r="BJ15" s="13">
        <v>97</v>
      </c>
      <c r="BK15" s="13">
        <v>101</v>
      </c>
      <c r="BL15" s="13">
        <v>105</v>
      </c>
      <c r="BM15" s="13">
        <v>105</v>
      </c>
      <c r="BN15" s="13">
        <v>108</v>
      </c>
      <c r="BO15" s="13">
        <v>99</v>
      </c>
      <c r="BP15" s="13">
        <v>102</v>
      </c>
      <c r="BQ15" s="13">
        <v>98</v>
      </c>
      <c r="BR15" s="13">
        <v>103</v>
      </c>
      <c r="BS15" s="13">
        <v>98</v>
      </c>
      <c r="BT15" s="13">
        <v>104</v>
      </c>
      <c r="BU15" s="13">
        <v>104</v>
      </c>
      <c r="BV15" s="13">
        <v>99</v>
      </c>
      <c r="BW15" s="13">
        <v>100</v>
      </c>
      <c r="BX15" s="328">
        <f t="shared" si="2"/>
        <v>71285151</v>
      </c>
      <c r="BY15" s="328">
        <f t="shared" si="3"/>
        <v>26379312</v>
      </c>
      <c r="BZ15" s="329">
        <f t="shared" si="0"/>
        <v>0.31449826334545966</v>
      </c>
      <c r="CA15" s="329">
        <f t="shared" si="1"/>
        <v>0.30906049345618219</v>
      </c>
      <c r="CB15" s="334">
        <v>130</v>
      </c>
      <c r="CC15" s="335">
        <f t="shared" si="4"/>
        <v>0.84116180728650503</v>
      </c>
      <c r="CD15" s="335">
        <f t="shared" si="5"/>
        <v>0.84093663846261846</v>
      </c>
      <c r="CE15" s="336">
        <f t="shared" si="6"/>
        <v>71776660</v>
      </c>
      <c r="CF15" s="337">
        <f t="shared" si="7"/>
        <v>541249.04798172123</v>
      </c>
    </row>
    <row r="16" spans="1:85" x14ac:dyDescent="0.25">
      <c r="A16" s="13">
        <v>5945</v>
      </c>
      <c r="B16" s="13">
        <v>15</v>
      </c>
      <c r="C16" s="13" t="s">
        <v>531</v>
      </c>
      <c r="D16" s="13">
        <v>1932921</v>
      </c>
      <c r="E16" s="13">
        <v>2410556</v>
      </c>
      <c r="F16" s="13">
        <v>2717508</v>
      </c>
      <c r="G16" s="13">
        <v>2903732</v>
      </c>
      <c r="H16" s="13">
        <v>1.5</v>
      </c>
      <c r="I16" s="13">
        <v>84</v>
      </c>
      <c r="J16" s="13">
        <v>827066</v>
      </c>
      <c r="K16" s="13">
        <v>931556</v>
      </c>
      <c r="L16" s="13">
        <v>994537</v>
      </c>
      <c r="M16" s="13">
        <v>1.5</v>
      </c>
      <c r="N16" s="13">
        <v>2.88</v>
      </c>
      <c r="O16" s="13">
        <v>583162</v>
      </c>
      <c r="P16" s="13">
        <v>645611</v>
      </c>
      <c r="Q16" s="13">
        <v>1.2</v>
      </c>
      <c r="R16" s="13">
        <v>78.599999999999994</v>
      </c>
      <c r="S16" s="13">
        <v>73.5</v>
      </c>
      <c r="T16" s="13">
        <v>1.8</v>
      </c>
      <c r="U16" s="13">
        <v>1.7</v>
      </c>
      <c r="V16" s="13">
        <v>10.3</v>
      </c>
      <c r="W16" s="13">
        <v>13.2</v>
      </c>
      <c r="X16" s="13">
        <v>23.4</v>
      </c>
      <c r="Y16" s="13">
        <v>29.4</v>
      </c>
      <c r="Z16" s="13">
        <v>8.1</v>
      </c>
      <c r="AA16" s="13">
        <v>7.4</v>
      </c>
      <c r="AB16" s="13">
        <v>6.6</v>
      </c>
      <c r="AC16" s="13">
        <v>7.1</v>
      </c>
      <c r="AD16" s="13">
        <v>7.6</v>
      </c>
      <c r="AE16" s="13">
        <v>33.700000000000003</v>
      </c>
      <c r="AF16" s="13">
        <v>20.100000000000001</v>
      </c>
      <c r="AG16" s="13">
        <v>8.4</v>
      </c>
      <c r="AH16" s="13">
        <v>1.2</v>
      </c>
      <c r="AI16" s="13">
        <v>74</v>
      </c>
      <c r="AJ16" s="13">
        <v>31.4</v>
      </c>
      <c r="AK16" s="13">
        <v>32.799999999999997</v>
      </c>
      <c r="AL16" s="13">
        <v>101.7</v>
      </c>
      <c r="AM16" s="13">
        <v>23563</v>
      </c>
      <c r="AN16" s="13">
        <v>931536</v>
      </c>
      <c r="AO16" s="13">
        <v>8.1</v>
      </c>
      <c r="AP16" s="13">
        <v>8.8000000000000007</v>
      </c>
      <c r="AQ16" s="13">
        <v>28.5</v>
      </c>
      <c r="AR16" s="13">
        <v>37.4</v>
      </c>
      <c r="AS16" s="13">
        <v>11.1</v>
      </c>
      <c r="AT16" s="13">
        <v>6.1</v>
      </c>
      <c r="AU16" s="13">
        <v>53842</v>
      </c>
      <c r="AV16" s="13">
        <v>60629</v>
      </c>
      <c r="AW16" s="13">
        <v>12</v>
      </c>
      <c r="AX16" s="13">
        <v>48650</v>
      </c>
      <c r="AY16" s="13">
        <v>41942</v>
      </c>
      <c r="AZ16" s="13">
        <v>51598</v>
      </c>
      <c r="BA16" s="13">
        <v>59382</v>
      </c>
      <c r="BB16" s="13">
        <v>53716</v>
      </c>
      <c r="BC16" s="13">
        <v>33195</v>
      </c>
      <c r="BD16" s="13">
        <v>106</v>
      </c>
      <c r="BE16" s="13">
        <v>130</v>
      </c>
      <c r="BF16" s="13">
        <v>114</v>
      </c>
      <c r="BG16" s="13">
        <v>120</v>
      </c>
      <c r="BH16" s="13">
        <v>108</v>
      </c>
      <c r="BI16" s="13">
        <v>114</v>
      </c>
      <c r="BJ16" s="13">
        <v>99</v>
      </c>
      <c r="BK16" s="13">
        <v>106</v>
      </c>
      <c r="BL16" s="13">
        <v>113</v>
      </c>
      <c r="BM16" s="13">
        <v>114</v>
      </c>
      <c r="BN16" s="13">
        <v>119</v>
      </c>
      <c r="BO16" s="13">
        <v>107</v>
      </c>
      <c r="BP16" s="13">
        <v>113</v>
      </c>
      <c r="BQ16" s="13">
        <v>103</v>
      </c>
      <c r="BR16" s="13">
        <v>114</v>
      </c>
      <c r="BS16" s="13">
        <v>101</v>
      </c>
      <c r="BT16" s="13">
        <v>116</v>
      </c>
      <c r="BU16" s="13">
        <v>114</v>
      </c>
      <c r="BV16" s="13">
        <v>102</v>
      </c>
      <c r="BW16" s="13">
        <v>104</v>
      </c>
      <c r="BX16" s="328">
        <f>BX15+G16</f>
        <v>74188883</v>
      </c>
      <c r="BY16" s="328">
        <f>BY15+L16</f>
        <v>27373849</v>
      </c>
      <c r="BZ16" s="329">
        <f t="shared" si="0"/>
        <v>0.327309047336373</v>
      </c>
      <c r="CA16" s="329">
        <f t="shared" si="1"/>
        <v>0.32071250682106567</v>
      </c>
      <c r="CB16" s="334">
        <v>140</v>
      </c>
      <c r="CC16" s="335">
        <f t="shared" si="4"/>
        <v>0.85745675347004768</v>
      </c>
      <c r="CD16" s="335">
        <f t="shared" si="5"/>
        <v>0.85723937202518585</v>
      </c>
      <c r="CE16" s="336">
        <f t="shared" si="6"/>
        <v>73168151</v>
      </c>
      <c r="CF16" s="337">
        <f t="shared" si="7"/>
        <v>512331.78119792178</v>
      </c>
    </row>
    <row r="17" spans="1:84" x14ac:dyDescent="0.25">
      <c r="A17" s="13">
        <v>7600</v>
      </c>
      <c r="B17" s="13">
        <v>16</v>
      </c>
      <c r="C17" s="13" t="s">
        <v>532</v>
      </c>
      <c r="D17" s="13">
        <v>1651666</v>
      </c>
      <c r="E17" s="13">
        <v>2033156</v>
      </c>
      <c r="F17" s="13">
        <v>2301582</v>
      </c>
      <c r="G17" s="13">
        <v>2459014</v>
      </c>
      <c r="H17" s="13">
        <v>1.5</v>
      </c>
      <c r="I17" s="13">
        <v>76</v>
      </c>
      <c r="J17" s="13">
        <v>809292</v>
      </c>
      <c r="K17" s="13">
        <v>923407</v>
      </c>
      <c r="L17" s="13">
        <v>991914</v>
      </c>
      <c r="M17" s="13">
        <v>1.6</v>
      </c>
      <c r="N17" s="13">
        <v>2.4500000000000002</v>
      </c>
      <c r="O17" s="13">
        <v>519037</v>
      </c>
      <c r="P17" s="13">
        <v>579175</v>
      </c>
      <c r="Q17" s="13">
        <v>1.3</v>
      </c>
      <c r="R17" s="13">
        <v>87</v>
      </c>
      <c r="S17" s="13">
        <v>83.9</v>
      </c>
      <c r="T17" s="13">
        <v>4.0999999999999996</v>
      </c>
      <c r="U17" s="13">
        <v>4.5999999999999996</v>
      </c>
      <c r="V17" s="13">
        <v>6.8</v>
      </c>
      <c r="W17" s="13">
        <v>8.9</v>
      </c>
      <c r="X17" s="13">
        <v>2.8</v>
      </c>
      <c r="Y17" s="13">
        <v>4.2</v>
      </c>
      <c r="Z17" s="13">
        <v>6.5</v>
      </c>
      <c r="AA17" s="13">
        <v>7.1</v>
      </c>
      <c r="AB17" s="13">
        <v>6.7</v>
      </c>
      <c r="AC17" s="13">
        <v>6.3</v>
      </c>
      <c r="AD17" s="13">
        <v>6</v>
      </c>
      <c r="AE17" s="13">
        <v>35.299999999999997</v>
      </c>
      <c r="AF17" s="13">
        <v>21.6</v>
      </c>
      <c r="AG17" s="13">
        <v>9.3000000000000007</v>
      </c>
      <c r="AH17" s="13">
        <v>1.2</v>
      </c>
      <c r="AI17" s="13">
        <v>76.099999999999994</v>
      </c>
      <c r="AJ17" s="13">
        <v>33.299999999999997</v>
      </c>
      <c r="AK17" s="13">
        <v>35.6</v>
      </c>
      <c r="AL17" s="13">
        <v>98.8</v>
      </c>
      <c r="AM17" s="13">
        <v>22064</v>
      </c>
      <c r="AN17" s="13">
        <v>923389</v>
      </c>
      <c r="AO17" s="13">
        <v>10.9</v>
      </c>
      <c r="AP17" s="13">
        <v>11.9</v>
      </c>
      <c r="AQ17" s="13">
        <v>34.700000000000003</v>
      </c>
      <c r="AR17" s="13">
        <v>32.4</v>
      </c>
      <c r="AS17" s="13">
        <v>6.9</v>
      </c>
      <c r="AT17" s="13">
        <v>3.2</v>
      </c>
      <c r="AU17" s="13">
        <v>44041</v>
      </c>
      <c r="AV17" s="13">
        <v>49139</v>
      </c>
      <c r="AW17" s="13">
        <v>46</v>
      </c>
      <c r="AX17" s="13">
        <v>42351</v>
      </c>
      <c r="AY17" s="13">
        <v>34929</v>
      </c>
      <c r="AZ17" s="13">
        <v>45903</v>
      </c>
      <c r="BA17" s="13">
        <v>53040</v>
      </c>
      <c r="BB17" s="13">
        <v>48003</v>
      </c>
      <c r="BC17" s="13">
        <v>28944</v>
      </c>
      <c r="BD17" s="13">
        <v>102</v>
      </c>
      <c r="BE17" s="13">
        <v>109</v>
      </c>
      <c r="BF17" s="13">
        <v>103</v>
      </c>
      <c r="BG17" s="13">
        <v>105</v>
      </c>
      <c r="BH17" s="13">
        <v>103</v>
      </c>
      <c r="BI17" s="13">
        <v>105</v>
      </c>
      <c r="BJ17" s="13">
        <v>100</v>
      </c>
      <c r="BK17" s="13">
        <v>102</v>
      </c>
      <c r="BL17" s="13">
        <v>104</v>
      </c>
      <c r="BM17" s="13">
        <v>106</v>
      </c>
      <c r="BN17" s="13">
        <v>108</v>
      </c>
      <c r="BO17" s="13">
        <v>99</v>
      </c>
      <c r="BP17" s="13">
        <v>101</v>
      </c>
      <c r="BQ17" s="13">
        <v>99</v>
      </c>
      <c r="BR17" s="13">
        <v>101</v>
      </c>
      <c r="BS17" s="13">
        <v>98</v>
      </c>
      <c r="BT17" s="13">
        <v>106</v>
      </c>
      <c r="BU17" s="13">
        <v>103</v>
      </c>
      <c r="BV17" s="13">
        <v>99</v>
      </c>
      <c r="BW17" s="13">
        <v>99</v>
      </c>
      <c r="BX17" s="328">
        <f t="shared" si="2"/>
        <v>76647897</v>
      </c>
      <c r="BY17" s="328">
        <f t="shared" si="3"/>
        <v>28365763</v>
      </c>
      <c r="BZ17" s="329">
        <f t="shared" si="0"/>
        <v>0.33815780926916561</v>
      </c>
      <c r="CA17" s="329">
        <f t="shared" si="1"/>
        <v>0.33233378907081107</v>
      </c>
      <c r="CB17" s="334">
        <v>150</v>
      </c>
      <c r="CC17" s="335">
        <f t="shared" si="4"/>
        <v>0.87222155645193922</v>
      </c>
      <c r="CD17" s="335">
        <f t="shared" si="5"/>
        <v>0.87239677110293845</v>
      </c>
      <c r="CE17" s="336">
        <f t="shared" si="6"/>
        <v>74461884</v>
      </c>
      <c r="CF17" s="337">
        <f t="shared" si="7"/>
        <v>486631.27144397603</v>
      </c>
    </row>
    <row r="18" spans="1:84" x14ac:dyDescent="0.25">
      <c r="A18" s="13">
        <v>7040</v>
      </c>
      <c r="B18" s="13">
        <v>17</v>
      </c>
      <c r="C18" s="13" t="s">
        <v>533</v>
      </c>
      <c r="D18" s="13">
        <v>2414061</v>
      </c>
      <c r="E18" s="13">
        <v>2492525</v>
      </c>
      <c r="F18" s="13">
        <v>2567391</v>
      </c>
      <c r="G18" s="13">
        <v>2616021</v>
      </c>
      <c r="H18" s="13">
        <v>0.4</v>
      </c>
      <c r="I18" s="13">
        <v>242</v>
      </c>
      <c r="J18" s="13">
        <v>942119</v>
      </c>
      <c r="K18" s="13">
        <v>966842</v>
      </c>
      <c r="L18" s="13">
        <v>983554</v>
      </c>
      <c r="M18" s="13">
        <v>0.3</v>
      </c>
      <c r="N18" s="13">
        <v>2.61</v>
      </c>
      <c r="O18" s="13">
        <v>659696</v>
      </c>
      <c r="P18" s="13">
        <v>667491</v>
      </c>
      <c r="Q18" s="13">
        <v>0.1</v>
      </c>
      <c r="R18" s="13">
        <v>81.5</v>
      </c>
      <c r="S18" s="13">
        <v>80.599999999999994</v>
      </c>
      <c r="T18" s="13">
        <v>17</v>
      </c>
      <c r="U18" s="13">
        <v>17.5</v>
      </c>
      <c r="V18" s="13">
        <v>1</v>
      </c>
      <c r="W18" s="13">
        <v>1.3</v>
      </c>
      <c r="X18" s="13">
        <v>1.1000000000000001</v>
      </c>
      <c r="Y18" s="13">
        <v>1.5</v>
      </c>
      <c r="Z18" s="13">
        <v>7.2</v>
      </c>
      <c r="AA18" s="13">
        <v>7.7</v>
      </c>
      <c r="AB18" s="13">
        <v>7.5</v>
      </c>
      <c r="AC18" s="13">
        <v>7.1</v>
      </c>
      <c r="AD18" s="13">
        <v>5.9</v>
      </c>
      <c r="AE18" s="13">
        <v>31.3</v>
      </c>
      <c r="AF18" s="13">
        <v>20.8</v>
      </c>
      <c r="AG18" s="13">
        <v>10.9</v>
      </c>
      <c r="AH18" s="13">
        <v>1.6</v>
      </c>
      <c r="AI18" s="13">
        <v>73.400000000000006</v>
      </c>
      <c r="AJ18" s="13">
        <v>33.200000000000003</v>
      </c>
      <c r="AK18" s="13">
        <v>35.200000000000003</v>
      </c>
      <c r="AL18" s="13">
        <v>93</v>
      </c>
      <c r="AM18" s="13">
        <v>19033</v>
      </c>
      <c r="AN18" s="13">
        <v>966775</v>
      </c>
      <c r="AO18" s="13">
        <v>13.9</v>
      </c>
      <c r="AP18" s="13">
        <v>12.6</v>
      </c>
      <c r="AQ18" s="13">
        <v>34.6</v>
      </c>
      <c r="AR18" s="13">
        <v>30.7</v>
      </c>
      <c r="AS18" s="13">
        <v>6</v>
      </c>
      <c r="AT18" s="13">
        <v>2.2999999999999998</v>
      </c>
      <c r="AU18" s="13">
        <v>41306</v>
      </c>
      <c r="AV18" s="13">
        <v>48652</v>
      </c>
      <c r="AW18" s="13">
        <v>75</v>
      </c>
      <c r="AX18" s="13">
        <v>38190</v>
      </c>
      <c r="AY18" s="13">
        <v>33258</v>
      </c>
      <c r="AZ18" s="13">
        <v>43017</v>
      </c>
      <c r="BA18" s="13">
        <v>48761</v>
      </c>
      <c r="BB18" s="13">
        <v>41740</v>
      </c>
      <c r="BC18" s="13">
        <v>24676</v>
      </c>
      <c r="BD18" s="13">
        <v>99</v>
      </c>
      <c r="BE18" s="13">
        <v>100</v>
      </c>
      <c r="BF18" s="13">
        <v>100</v>
      </c>
      <c r="BG18" s="13">
        <v>100</v>
      </c>
      <c r="BH18" s="13">
        <v>103</v>
      </c>
      <c r="BI18" s="13">
        <v>102</v>
      </c>
      <c r="BJ18" s="13">
        <v>101</v>
      </c>
      <c r="BK18" s="13">
        <v>100</v>
      </c>
      <c r="BL18" s="13">
        <v>100</v>
      </c>
      <c r="BM18" s="13">
        <v>102</v>
      </c>
      <c r="BN18" s="13">
        <v>102</v>
      </c>
      <c r="BO18" s="13">
        <v>100</v>
      </c>
      <c r="BP18" s="13">
        <v>104</v>
      </c>
      <c r="BQ18" s="13">
        <v>101</v>
      </c>
      <c r="BR18" s="13">
        <v>105</v>
      </c>
      <c r="BS18" s="13">
        <v>103</v>
      </c>
      <c r="BT18" s="13">
        <v>102</v>
      </c>
      <c r="BU18" s="13">
        <v>101</v>
      </c>
      <c r="BV18" s="13">
        <v>99</v>
      </c>
      <c r="BW18" s="13">
        <v>100</v>
      </c>
      <c r="BX18" s="328">
        <f t="shared" si="2"/>
        <v>79263918</v>
      </c>
      <c r="BY18" s="328">
        <f t="shared" si="3"/>
        <v>29349317</v>
      </c>
      <c r="BZ18" s="329">
        <f t="shared" si="0"/>
        <v>0.34969926004585333</v>
      </c>
      <c r="CA18" s="329">
        <f t="shared" si="1"/>
        <v>0.34385712541031838</v>
      </c>
      <c r="CB18" s="334">
        <v>160</v>
      </c>
      <c r="CC18" s="335">
        <f t="shared" si="4"/>
        <v>0.88645378046295931</v>
      </c>
      <c r="CD18" s="335">
        <f t="shared" si="5"/>
        <v>0.88584114776110645</v>
      </c>
      <c r="CE18" s="336">
        <f t="shared" si="6"/>
        <v>75609405</v>
      </c>
      <c r="CF18" s="337">
        <f t="shared" si="7"/>
        <v>463247.5063719243</v>
      </c>
    </row>
    <row r="19" spans="1:84" x14ac:dyDescent="0.25">
      <c r="A19" s="13">
        <v>8280</v>
      </c>
      <c r="B19" s="13">
        <v>18</v>
      </c>
      <c r="C19" s="13" t="s">
        <v>534</v>
      </c>
      <c r="D19" s="13">
        <v>1613600</v>
      </c>
      <c r="E19" s="13">
        <v>2067959</v>
      </c>
      <c r="F19" s="13">
        <v>2255107</v>
      </c>
      <c r="G19" s="13">
        <v>2366784</v>
      </c>
      <c r="H19" s="13">
        <v>1.1000000000000001</v>
      </c>
      <c r="I19" s="13">
        <v>152</v>
      </c>
      <c r="J19" s="13">
        <v>869481</v>
      </c>
      <c r="K19" s="13">
        <v>935742</v>
      </c>
      <c r="L19" s="13">
        <v>974385</v>
      </c>
      <c r="M19" s="13">
        <v>0.9</v>
      </c>
      <c r="N19" s="13">
        <v>2.36</v>
      </c>
      <c r="O19" s="13">
        <v>574378</v>
      </c>
      <c r="P19" s="13">
        <v>603768</v>
      </c>
      <c r="Q19" s="13">
        <v>0.6</v>
      </c>
      <c r="R19" s="13">
        <v>88.4</v>
      </c>
      <c r="S19" s="13">
        <v>85.7</v>
      </c>
      <c r="T19" s="13">
        <v>9</v>
      </c>
      <c r="U19" s="13">
        <v>10.4</v>
      </c>
      <c r="V19" s="13">
        <v>1.1000000000000001</v>
      </c>
      <c r="W19" s="13">
        <v>1.7</v>
      </c>
      <c r="X19" s="13">
        <v>6.7</v>
      </c>
      <c r="Y19" s="13">
        <v>9.4</v>
      </c>
      <c r="Z19" s="13">
        <v>5.9</v>
      </c>
      <c r="AA19" s="13">
        <v>6.4</v>
      </c>
      <c r="AB19" s="13">
        <v>6.1</v>
      </c>
      <c r="AC19" s="13">
        <v>5.6</v>
      </c>
      <c r="AD19" s="13">
        <v>5.2</v>
      </c>
      <c r="AE19" s="13">
        <v>27.6</v>
      </c>
      <c r="AF19" s="13">
        <v>21.5</v>
      </c>
      <c r="AG19" s="13">
        <v>19.100000000000001</v>
      </c>
      <c r="AH19" s="13">
        <v>2.5</v>
      </c>
      <c r="AI19" s="13">
        <v>78.400000000000006</v>
      </c>
      <c r="AJ19" s="13">
        <v>38.6</v>
      </c>
      <c r="AK19" s="13">
        <v>40.4</v>
      </c>
      <c r="AL19" s="13">
        <v>92.3</v>
      </c>
      <c r="AM19" s="13">
        <v>17736</v>
      </c>
      <c r="AN19" s="13">
        <v>935721</v>
      </c>
      <c r="AO19" s="13">
        <v>18.2</v>
      </c>
      <c r="AP19" s="13">
        <v>18.3</v>
      </c>
      <c r="AQ19" s="13">
        <v>35.5</v>
      </c>
      <c r="AR19" s="13">
        <v>22.1</v>
      </c>
      <c r="AS19" s="13">
        <v>4.0999999999999996</v>
      </c>
      <c r="AT19" s="13">
        <v>1.8</v>
      </c>
      <c r="AU19" s="13">
        <v>32608</v>
      </c>
      <c r="AV19" s="13">
        <v>37014</v>
      </c>
      <c r="AW19" s="13">
        <v>219</v>
      </c>
      <c r="AX19" s="13">
        <v>34053</v>
      </c>
      <c r="AY19" s="13">
        <v>31530</v>
      </c>
      <c r="AZ19" s="13">
        <v>39663</v>
      </c>
      <c r="BA19" s="13">
        <v>44544</v>
      </c>
      <c r="BB19" s="13">
        <v>36771</v>
      </c>
      <c r="BC19" s="13">
        <v>24827</v>
      </c>
      <c r="BD19" s="13">
        <v>99</v>
      </c>
      <c r="BE19" s="13">
        <v>97</v>
      </c>
      <c r="BF19" s="13">
        <v>106</v>
      </c>
      <c r="BG19" s="13">
        <v>98</v>
      </c>
      <c r="BH19" s="13">
        <v>106</v>
      </c>
      <c r="BI19" s="13">
        <v>107</v>
      </c>
      <c r="BJ19" s="13">
        <v>103</v>
      </c>
      <c r="BK19" s="13">
        <v>101</v>
      </c>
      <c r="BL19" s="13">
        <v>97</v>
      </c>
      <c r="BM19" s="13">
        <v>99</v>
      </c>
      <c r="BN19" s="13">
        <v>98</v>
      </c>
      <c r="BO19" s="13">
        <v>99</v>
      </c>
      <c r="BP19" s="13">
        <v>99</v>
      </c>
      <c r="BQ19" s="13">
        <v>101</v>
      </c>
      <c r="BR19" s="13">
        <v>96</v>
      </c>
      <c r="BS19" s="13">
        <v>99</v>
      </c>
      <c r="BT19" s="13">
        <v>95</v>
      </c>
      <c r="BU19" s="13">
        <v>98</v>
      </c>
      <c r="BV19" s="13">
        <v>104</v>
      </c>
      <c r="BW19" s="13">
        <v>101</v>
      </c>
      <c r="BX19" s="328">
        <f t="shared" si="2"/>
        <v>81630702</v>
      </c>
      <c r="BY19" s="328">
        <f t="shared" si="3"/>
        <v>30323702</v>
      </c>
      <c r="BZ19" s="329">
        <f t="shared" si="0"/>
        <v>0.36014111851528158</v>
      </c>
      <c r="CA19" s="329">
        <f t="shared" si="1"/>
        <v>0.35527303758104906</v>
      </c>
      <c r="CB19" s="334">
        <v>170</v>
      </c>
      <c r="CC19" s="335">
        <f t="shared" si="4"/>
        <v>0.89879449676102774</v>
      </c>
      <c r="CD19" s="335">
        <f t="shared" si="5"/>
        <v>0.8980406389297596</v>
      </c>
      <c r="CE19" s="336">
        <f t="shared" si="6"/>
        <v>76650671</v>
      </c>
      <c r="CF19" s="337">
        <f>CE19/(CB19* (1.01^2))</f>
        <v>442002.05862170376</v>
      </c>
    </row>
    <row r="20" spans="1:84" x14ac:dyDescent="0.25">
      <c r="A20" s="13">
        <v>720</v>
      </c>
      <c r="B20" s="13">
        <v>19</v>
      </c>
      <c r="C20" s="13" t="s">
        <v>535</v>
      </c>
      <c r="D20" s="13">
        <v>2199497</v>
      </c>
      <c r="E20" s="13">
        <v>2382172</v>
      </c>
      <c r="F20" s="13">
        <v>2483939</v>
      </c>
      <c r="G20" s="13">
        <v>2548550</v>
      </c>
      <c r="H20" s="13">
        <v>0.5</v>
      </c>
      <c r="I20" s="13">
        <v>223</v>
      </c>
      <c r="J20" s="13">
        <v>880145</v>
      </c>
      <c r="K20" s="13">
        <v>929575</v>
      </c>
      <c r="L20" s="13">
        <v>961399</v>
      </c>
      <c r="M20" s="13">
        <v>0.7</v>
      </c>
      <c r="N20" s="13">
        <v>2.61</v>
      </c>
      <c r="O20" s="13">
        <v>620591</v>
      </c>
      <c r="P20" s="13">
        <v>645622</v>
      </c>
      <c r="Q20" s="13">
        <v>0.5</v>
      </c>
      <c r="R20" s="13">
        <v>71.8</v>
      </c>
      <c r="S20" s="13">
        <v>69.3</v>
      </c>
      <c r="T20" s="13">
        <v>25.9</v>
      </c>
      <c r="U20" s="13">
        <v>27.4</v>
      </c>
      <c r="V20" s="13">
        <v>1.8</v>
      </c>
      <c r="W20" s="13">
        <v>2.5</v>
      </c>
      <c r="X20" s="13">
        <v>1.3</v>
      </c>
      <c r="Y20" s="13">
        <v>1.9</v>
      </c>
      <c r="Z20" s="13">
        <v>6.9</v>
      </c>
      <c r="AA20" s="13">
        <v>7.4</v>
      </c>
      <c r="AB20" s="13">
        <v>6.8</v>
      </c>
      <c r="AC20" s="13">
        <v>6.4</v>
      </c>
      <c r="AD20" s="13">
        <v>5.8</v>
      </c>
      <c r="AE20" s="13">
        <v>33.1</v>
      </c>
      <c r="AF20" s="13">
        <v>21.4</v>
      </c>
      <c r="AG20" s="13">
        <v>10.9</v>
      </c>
      <c r="AH20" s="13">
        <v>1.3</v>
      </c>
      <c r="AI20" s="13">
        <v>75.3</v>
      </c>
      <c r="AJ20" s="13">
        <v>33.4</v>
      </c>
      <c r="AK20" s="13">
        <v>35.700000000000003</v>
      </c>
      <c r="AL20" s="13">
        <v>94.5</v>
      </c>
      <c r="AM20" s="13">
        <v>20573</v>
      </c>
      <c r="AN20" s="13">
        <v>929538</v>
      </c>
      <c r="AO20" s="13">
        <v>12.6</v>
      </c>
      <c r="AP20" s="13">
        <v>11</v>
      </c>
      <c r="AQ20" s="13">
        <v>32.299999999999997</v>
      </c>
      <c r="AR20" s="13">
        <v>33.799999999999997</v>
      </c>
      <c r="AS20" s="13">
        <v>7.4</v>
      </c>
      <c r="AT20" s="13">
        <v>2.9</v>
      </c>
      <c r="AU20" s="13">
        <v>45064</v>
      </c>
      <c r="AV20" s="13">
        <v>50892</v>
      </c>
      <c r="AW20" s="13">
        <v>39</v>
      </c>
      <c r="AX20" s="13">
        <v>39592</v>
      </c>
      <c r="AY20" s="13">
        <v>35387</v>
      </c>
      <c r="AZ20" s="13">
        <v>43009</v>
      </c>
      <c r="BA20" s="13">
        <v>49507</v>
      </c>
      <c r="BB20" s="13">
        <v>44166</v>
      </c>
      <c r="BC20" s="13">
        <v>26100</v>
      </c>
      <c r="BD20" s="13">
        <v>100</v>
      </c>
      <c r="BE20" s="13">
        <v>107</v>
      </c>
      <c r="BF20" s="13">
        <v>105</v>
      </c>
      <c r="BG20" s="13">
        <v>105</v>
      </c>
      <c r="BH20" s="13">
        <v>107</v>
      </c>
      <c r="BI20" s="13">
        <v>107</v>
      </c>
      <c r="BJ20" s="13">
        <v>101</v>
      </c>
      <c r="BK20" s="13">
        <v>102</v>
      </c>
      <c r="BL20" s="13">
        <v>102</v>
      </c>
      <c r="BM20" s="13">
        <v>107</v>
      </c>
      <c r="BN20" s="13">
        <v>105</v>
      </c>
      <c r="BO20" s="13">
        <v>104</v>
      </c>
      <c r="BP20" s="13">
        <v>105</v>
      </c>
      <c r="BQ20" s="13">
        <v>104</v>
      </c>
      <c r="BR20" s="13">
        <v>100</v>
      </c>
      <c r="BS20" s="13">
        <v>101</v>
      </c>
      <c r="BT20" s="13">
        <v>105</v>
      </c>
      <c r="BU20" s="13">
        <v>105</v>
      </c>
      <c r="BV20" s="13">
        <v>99</v>
      </c>
      <c r="BW20" s="13">
        <v>102</v>
      </c>
      <c r="BX20" s="328">
        <f t="shared" si="2"/>
        <v>84179252</v>
      </c>
      <c r="BY20" s="328">
        <f t="shared" si="3"/>
        <v>31285101</v>
      </c>
      <c r="BZ20" s="329">
        <f t="shared" si="0"/>
        <v>0.37138489843024691</v>
      </c>
      <c r="CA20" s="329">
        <f t="shared" si="1"/>
        <v>0.36653680554240758</v>
      </c>
      <c r="CB20" s="334">
        <v>180</v>
      </c>
      <c r="CC20" s="335">
        <f t="shared" si="4"/>
        <v>0.90994064278632314</v>
      </c>
      <c r="CD20" s="335">
        <f t="shared" si="5"/>
        <v>0.90943752428730529</v>
      </c>
      <c r="CE20" s="336">
        <f t="shared" si="6"/>
        <v>77623432</v>
      </c>
      <c r="CF20" s="337">
        <f>CE20/(CB20* (1.01^2))</f>
        <v>422744.13183892646</v>
      </c>
    </row>
    <row r="21" spans="1:84" x14ac:dyDescent="0.25">
      <c r="A21" s="13">
        <v>6280</v>
      </c>
      <c r="B21" s="13">
        <v>20</v>
      </c>
      <c r="C21" s="13" t="s">
        <v>536</v>
      </c>
      <c r="D21" s="13">
        <v>2571223</v>
      </c>
      <c r="E21" s="13">
        <v>2394811</v>
      </c>
      <c r="F21" s="13">
        <v>2353443</v>
      </c>
      <c r="G21" s="13">
        <v>2326988</v>
      </c>
      <c r="H21" s="13">
        <v>-0.2</v>
      </c>
      <c r="I21" s="13">
        <v>292</v>
      </c>
      <c r="J21" s="13">
        <v>947248</v>
      </c>
      <c r="K21" s="13">
        <v>945117</v>
      </c>
      <c r="L21" s="13">
        <v>944082</v>
      </c>
      <c r="M21" s="13">
        <v>0</v>
      </c>
      <c r="N21" s="13">
        <v>2.4300000000000002</v>
      </c>
      <c r="O21" s="13">
        <v>656278</v>
      </c>
      <c r="P21" s="13">
        <v>638760</v>
      </c>
      <c r="Q21" s="13">
        <v>-0.3</v>
      </c>
      <c r="R21" s="13">
        <v>91.5</v>
      </c>
      <c r="S21" s="13">
        <v>90.2</v>
      </c>
      <c r="T21" s="13">
        <v>7.5</v>
      </c>
      <c r="U21" s="13">
        <v>8.4</v>
      </c>
      <c r="V21" s="13">
        <v>0.7</v>
      </c>
      <c r="W21" s="13">
        <v>1</v>
      </c>
      <c r="X21" s="13">
        <v>0.6</v>
      </c>
      <c r="Y21" s="13">
        <v>0.8</v>
      </c>
      <c r="Z21" s="13">
        <v>5.6</v>
      </c>
      <c r="AA21" s="13">
        <v>6.5</v>
      </c>
      <c r="AB21" s="13">
        <v>6.5</v>
      </c>
      <c r="AC21" s="13">
        <v>6.3</v>
      </c>
      <c r="AD21" s="13">
        <v>5.5</v>
      </c>
      <c r="AE21" s="13">
        <v>29.4</v>
      </c>
      <c r="AF21" s="13">
        <v>22.4</v>
      </c>
      <c r="AG21" s="13">
        <v>15.9</v>
      </c>
      <c r="AH21" s="13">
        <v>1.9</v>
      </c>
      <c r="AI21" s="13">
        <v>77.900000000000006</v>
      </c>
      <c r="AJ21" s="13">
        <v>36.799999999999997</v>
      </c>
      <c r="AK21" s="13">
        <v>39.1</v>
      </c>
      <c r="AL21" s="13">
        <v>90.7</v>
      </c>
      <c r="AM21" s="13">
        <v>16745</v>
      </c>
      <c r="AN21" s="13">
        <v>945087</v>
      </c>
      <c r="AO21" s="13">
        <v>21.6</v>
      </c>
      <c r="AP21" s="13">
        <v>16.7</v>
      </c>
      <c r="AQ21" s="13">
        <v>34.4</v>
      </c>
      <c r="AR21" s="13">
        <v>21.7</v>
      </c>
      <c r="AS21" s="13">
        <v>3.7</v>
      </c>
      <c r="AT21" s="13">
        <v>1.9</v>
      </c>
      <c r="AU21" s="13">
        <v>32087</v>
      </c>
      <c r="AV21" s="13">
        <v>35558</v>
      </c>
      <c r="AW21" s="13">
        <v>233</v>
      </c>
      <c r="AX21" s="13">
        <v>31314</v>
      </c>
      <c r="AY21" s="13">
        <v>28117</v>
      </c>
      <c r="AZ21" s="13">
        <v>36725</v>
      </c>
      <c r="BA21" s="13">
        <v>41188</v>
      </c>
      <c r="BB21" s="13">
        <v>35467</v>
      </c>
      <c r="BC21" s="13">
        <v>20291</v>
      </c>
      <c r="BD21" s="13">
        <v>99</v>
      </c>
      <c r="BE21" s="13">
        <v>92</v>
      </c>
      <c r="BF21" s="13">
        <v>103</v>
      </c>
      <c r="BG21" s="13">
        <v>96</v>
      </c>
      <c r="BH21" s="13">
        <v>96</v>
      </c>
      <c r="BI21" s="13">
        <v>95</v>
      </c>
      <c r="BJ21" s="13">
        <v>92</v>
      </c>
      <c r="BK21" s="13">
        <v>98</v>
      </c>
      <c r="BL21" s="13">
        <v>94</v>
      </c>
      <c r="BM21" s="13">
        <v>97</v>
      </c>
      <c r="BN21" s="13">
        <v>96</v>
      </c>
      <c r="BO21" s="13">
        <v>98</v>
      </c>
      <c r="BP21" s="13">
        <v>99</v>
      </c>
      <c r="BQ21" s="13">
        <v>100</v>
      </c>
      <c r="BR21" s="13">
        <v>103</v>
      </c>
      <c r="BS21" s="13">
        <v>98</v>
      </c>
      <c r="BT21" s="13">
        <v>99</v>
      </c>
      <c r="BU21" s="13">
        <v>96</v>
      </c>
      <c r="BV21" s="13">
        <v>101</v>
      </c>
      <c r="BW21" s="13">
        <v>98</v>
      </c>
      <c r="BX21" s="328">
        <f t="shared" si="2"/>
        <v>86506240</v>
      </c>
      <c r="BY21" s="328">
        <f t="shared" si="3"/>
        <v>32229183</v>
      </c>
      <c r="BZ21" s="329">
        <f t="shared" si="0"/>
        <v>0.38165118354796695</v>
      </c>
      <c r="CA21" s="329">
        <f t="shared" si="1"/>
        <v>0.37759768722056125</v>
      </c>
      <c r="CB21" s="334">
        <v>185</v>
      </c>
      <c r="CC21" s="335">
        <f t="shared" si="4"/>
        <v>0.91527450615152839</v>
      </c>
      <c r="CD21" s="335">
        <f t="shared" si="5"/>
        <v>0.91485346448275096</v>
      </c>
      <c r="CE21" s="336">
        <f t="shared" si="6"/>
        <v>78085700</v>
      </c>
      <c r="CF21" s="337">
        <f>CE21/(CB21* (1.01^2))</f>
        <v>413768.12554148107</v>
      </c>
    </row>
    <row r="22" spans="1:84" x14ac:dyDescent="0.25">
      <c r="A22" s="13">
        <v>5380</v>
      </c>
      <c r="B22" s="13">
        <v>21</v>
      </c>
      <c r="C22" s="13" t="s">
        <v>537</v>
      </c>
      <c r="D22" s="13">
        <v>2605813</v>
      </c>
      <c r="E22" s="13">
        <v>2609212</v>
      </c>
      <c r="F22" s="13">
        <v>2674996</v>
      </c>
      <c r="G22" s="13">
        <v>2717831</v>
      </c>
      <c r="H22" s="13">
        <v>0.3</v>
      </c>
      <c r="I22" s="13">
        <v>246</v>
      </c>
      <c r="J22" s="13">
        <v>856234</v>
      </c>
      <c r="K22" s="13">
        <v>892411</v>
      </c>
      <c r="L22" s="13">
        <v>915093</v>
      </c>
      <c r="M22" s="13">
        <v>0.5</v>
      </c>
      <c r="N22" s="13">
        <v>2.95</v>
      </c>
      <c r="O22" s="13">
        <v>685095</v>
      </c>
      <c r="P22" s="13">
        <v>700421</v>
      </c>
      <c r="Q22" s="13">
        <v>0.3</v>
      </c>
      <c r="R22" s="13">
        <v>88.4</v>
      </c>
      <c r="S22" s="13">
        <v>85.9</v>
      </c>
      <c r="T22" s="13">
        <v>7.4</v>
      </c>
      <c r="U22" s="13">
        <v>8.3000000000000007</v>
      </c>
      <c r="V22" s="13">
        <v>2.4</v>
      </c>
      <c r="W22" s="13">
        <v>3.6</v>
      </c>
      <c r="X22" s="13">
        <v>6.3</v>
      </c>
      <c r="Y22" s="13">
        <v>8.1</v>
      </c>
      <c r="Z22" s="13">
        <v>6.6</v>
      </c>
      <c r="AA22" s="13">
        <v>7.4</v>
      </c>
      <c r="AB22" s="13">
        <v>6.6</v>
      </c>
      <c r="AC22" s="13">
        <v>6.1</v>
      </c>
      <c r="AD22" s="13">
        <v>5.0999999999999996</v>
      </c>
      <c r="AE22" s="13">
        <v>31</v>
      </c>
      <c r="AF22" s="13">
        <v>23.7</v>
      </c>
      <c r="AG22" s="13">
        <v>12</v>
      </c>
      <c r="AH22" s="13">
        <v>1.4</v>
      </c>
      <c r="AI22" s="13">
        <v>75.8</v>
      </c>
      <c r="AJ22" s="13">
        <v>34.9</v>
      </c>
      <c r="AK22" s="13">
        <v>37.1</v>
      </c>
      <c r="AL22" s="13">
        <v>94.7</v>
      </c>
      <c r="AM22" s="13">
        <v>25254</v>
      </c>
      <c r="AN22" s="13">
        <v>892329</v>
      </c>
      <c r="AO22" s="13">
        <v>7.9</v>
      </c>
      <c r="AP22" s="13">
        <v>6.8</v>
      </c>
      <c r="AQ22" s="13">
        <v>24</v>
      </c>
      <c r="AR22" s="13">
        <v>40.5</v>
      </c>
      <c r="AS22" s="13">
        <v>13.3</v>
      </c>
      <c r="AT22" s="13">
        <v>7.6</v>
      </c>
      <c r="AU22" s="13">
        <v>60274</v>
      </c>
      <c r="AV22" s="13">
        <v>66756</v>
      </c>
      <c r="AW22" s="13">
        <v>3</v>
      </c>
      <c r="AX22" s="13">
        <v>50209</v>
      </c>
      <c r="AY22" s="13">
        <v>45453</v>
      </c>
      <c r="AZ22" s="13">
        <v>51557</v>
      </c>
      <c r="BA22" s="13">
        <v>59757</v>
      </c>
      <c r="BB22" s="13">
        <v>57993</v>
      </c>
      <c r="BC22" s="13">
        <v>32914</v>
      </c>
      <c r="BD22" s="13">
        <v>107</v>
      </c>
      <c r="BE22" s="13">
        <v>125</v>
      </c>
      <c r="BF22" s="13">
        <v>125</v>
      </c>
      <c r="BG22" s="13">
        <v>125</v>
      </c>
      <c r="BH22" s="13">
        <v>105</v>
      </c>
      <c r="BI22" s="13">
        <v>112</v>
      </c>
      <c r="BJ22" s="13">
        <v>97</v>
      </c>
      <c r="BK22" s="13">
        <v>105</v>
      </c>
      <c r="BL22" s="13">
        <v>112</v>
      </c>
      <c r="BM22" s="13">
        <v>118</v>
      </c>
      <c r="BN22" s="13">
        <v>123</v>
      </c>
      <c r="BO22" s="13">
        <v>113</v>
      </c>
      <c r="BP22" s="13">
        <v>123</v>
      </c>
      <c r="BQ22" s="13">
        <v>112</v>
      </c>
      <c r="BR22" s="13">
        <v>128</v>
      </c>
      <c r="BS22" s="13">
        <v>104</v>
      </c>
      <c r="BT22" s="13">
        <v>129</v>
      </c>
      <c r="BU22" s="13">
        <v>118</v>
      </c>
      <c r="BV22" s="13">
        <v>107</v>
      </c>
      <c r="BW22" s="13">
        <v>109</v>
      </c>
      <c r="BX22" s="328">
        <f t="shared" si="2"/>
        <v>89224071</v>
      </c>
      <c r="BY22" s="328">
        <f t="shared" si="3"/>
        <v>33144276</v>
      </c>
      <c r="BZ22" s="329">
        <f t="shared" si="0"/>
        <v>0.39364180315914588</v>
      </c>
      <c r="CA22" s="329">
        <f t="shared" si="1"/>
        <v>0.38831893325375189</v>
      </c>
      <c r="CB22" s="334">
        <v>190</v>
      </c>
      <c r="CC22" s="335">
        <f t="shared" si="4"/>
        <v>0.92047408652080598</v>
      </c>
      <c r="CD22" s="335">
        <f t="shared" si="5"/>
        <v>0.92008683397015356</v>
      </c>
      <c r="CE22" s="336">
        <f t="shared" si="6"/>
        <v>78532385</v>
      </c>
      <c r="CF22" s="337">
        <f>CE22/(CB22* (1.01^2))</f>
        <v>405184.14087370178</v>
      </c>
    </row>
    <row r="23" spans="1:84" x14ac:dyDescent="0.25">
      <c r="A23" s="13">
        <v>5775</v>
      </c>
      <c r="B23" s="13">
        <v>22</v>
      </c>
      <c r="C23" s="13" t="s">
        <v>538</v>
      </c>
      <c r="D23" s="13">
        <v>1761710</v>
      </c>
      <c r="E23" s="13">
        <v>2082914</v>
      </c>
      <c r="F23" s="13">
        <v>2299682</v>
      </c>
      <c r="G23" s="13">
        <v>2412771</v>
      </c>
      <c r="H23" s="13">
        <v>1.2</v>
      </c>
      <c r="I23" s="13">
        <v>121</v>
      </c>
      <c r="J23" s="13">
        <v>779806</v>
      </c>
      <c r="K23" s="13">
        <v>861648</v>
      </c>
      <c r="L23" s="13">
        <v>904273</v>
      </c>
      <c r="M23" s="13">
        <v>1.2</v>
      </c>
      <c r="N23" s="13">
        <v>2.61</v>
      </c>
      <c r="O23" s="13">
        <v>521515</v>
      </c>
      <c r="P23" s="13">
        <v>566077</v>
      </c>
      <c r="Q23" s="13">
        <v>1</v>
      </c>
      <c r="R23" s="13">
        <v>65.900000000000006</v>
      </c>
      <c r="S23" s="13">
        <v>60.8</v>
      </c>
      <c r="T23" s="13">
        <v>14.6</v>
      </c>
      <c r="U23" s="13">
        <v>14.4</v>
      </c>
      <c r="V23" s="13">
        <v>12.9</v>
      </c>
      <c r="W23" s="13">
        <v>16.5</v>
      </c>
      <c r="X23" s="13">
        <v>13.1</v>
      </c>
      <c r="Y23" s="13">
        <v>17.2</v>
      </c>
      <c r="Z23" s="13">
        <v>7.4</v>
      </c>
      <c r="AA23" s="13">
        <v>7.9</v>
      </c>
      <c r="AB23" s="13">
        <v>6.8</v>
      </c>
      <c r="AC23" s="13">
        <v>6.2</v>
      </c>
      <c r="AD23" s="13">
        <v>5.9</v>
      </c>
      <c r="AE23" s="13">
        <v>33.1</v>
      </c>
      <c r="AF23" s="13">
        <v>21.2</v>
      </c>
      <c r="AG23" s="13">
        <v>10.199999999999999</v>
      </c>
      <c r="AH23" s="13">
        <v>1.3</v>
      </c>
      <c r="AI23" s="13">
        <v>74.400000000000006</v>
      </c>
      <c r="AJ23" s="13">
        <v>33.200000000000003</v>
      </c>
      <c r="AK23" s="13">
        <v>35.200000000000003</v>
      </c>
      <c r="AL23" s="13">
        <v>96.1</v>
      </c>
      <c r="AM23" s="13">
        <v>23703</v>
      </c>
      <c r="AN23" s="13">
        <v>861581</v>
      </c>
      <c r="AO23" s="13">
        <v>11.3</v>
      </c>
      <c r="AP23" s="13">
        <v>9.1999999999999993</v>
      </c>
      <c r="AQ23" s="13">
        <v>28.2</v>
      </c>
      <c r="AR23" s="13">
        <v>36.4</v>
      </c>
      <c r="AS23" s="13">
        <v>10.1</v>
      </c>
      <c r="AT23" s="13">
        <v>4.7</v>
      </c>
      <c r="AU23" s="13">
        <v>50991</v>
      </c>
      <c r="AV23" s="13">
        <v>57238</v>
      </c>
      <c r="AW23" s="13">
        <v>15</v>
      </c>
      <c r="AX23" s="13">
        <v>45235</v>
      </c>
      <c r="AY23" s="13">
        <v>39732</v>
      </c>
      <c r="AZ23" s="13">
        <v>49248</v>
      </c>
      <c r="BA23" s="13">
        <v>55381</v>
      </c>
      <c r="BB23" s="13">
        <v>48904</v>
      </c>
      <c r="BC23" s="13">
        <v>31096</v>
      </c>
      <c r="BD23" s="13">
        <v>104</v>
      </c>
      <c r="BE23" s="13">
        <v>122</v>
      </c>
      <c r="BF23" s="13">
        <v>112</v>
      </c>
      <c r="BG23" s="13">
        <v>115</v>
      </c>
      <c r="BH23" s="13">
        <v>107</v>
      </c>
      <c r="BI23" s="13">
        <v>111</v>
      </c>
      <c r="BJ23" s="13">
        <v>99</v>
      </c>
      <c r="BK23" s="13">
        <v>104</v>
      </c>
      <c r="BL23" s="13">
        <v>109</v>
      </c>
      <c r="BM23" s="13">
        <v>112</v>
      </c>
      <c r="BN23" s="13">
        <v>113</v>
      </c>
      <c r="BO23" s="13">
        <v>103</v>
      </c>
      <c r="BP23" s="13">
        <v>109</v>
      </c>
      <c r="BQ23" s="13">
        <v>101</v>
      </c>
      <c r="BR23" s="13">
        <v>111</v>
      </c>
      <c r="BS23" s="13">
        <v>100</v>
      </c>
      <c r="BT23" s="13">
        <v>112</v>
      </c>
      <c r="BU23" s="13">
        <v>110</v>
      </c>
      <c r="BV23" s="13">
        <v>100</v>
      </c>
      <c r="BW23" s="13">
        <v>101</v>
      </c>
      <c r="BX23" s="328">
        <f t="shared" si="2"/>
        <v>91636842</v>
      </c>
      <c r="BY23" s="328">
        <f t="shared" si="3"/>
        <v>34048549</v>
      </c>
      <c r="BZ23" s="329">
        <f t="shared" si="0"/>
        <v>0.40428654864548552</v>
      </c>
      <c r="CA23" s="329">
        <f t="shared" si="1"/>
        <v>0.39891341197249569</v>
      </c>
      <c r="CB23" s="339">
        <v>195</v>
      </c>
      <c r="CC23" s="340">
        <f t="shared" si="4"/>
        <v>0.92540002728895898</v>
      </c>
      <c r="CD23" s="340">
        <f t="shared" si="5"/>
        <v>0.92511408355339142</v>
      </c>
      <c r="CE23" s="341">
        <f t="shared" si="6"/>
        <v>78961477</v>
      </c>
      <c r="CF23" s="342">
        <f>CE23/(CB23* (1.01^2))</f>
        <v>396951.91773556639</v>
      </c>
    </row>
    <row r="24" spans="1:84" x14ac:dyDescent="0.25">
      <c r="A24" s="13">
        <v>1680</v>
      </c>
      <c r="B24" s="13">
        <v>23</v>
      </c>
      <c r="C24" s="13" t="s">
        <v>539</v>
      </c>
      <c r="D24" s="13">
        <v>2277949</v>
      </c>
      <c r="E24" s="13">
        <v>2202069</v>
      </c>
      <c r="F24" s="13">
        <v>2226312</v>
      </c>
      <c r="G24" s="13">
        <v>2238869</v>
      </c>
      <c r="H24" s="13">
        <v>0.1</v>
      </c>
      <c r="I24" s="13">
        <v>265</v>
      </c>
      <c r="J24" s="13">
        <v>845186</v>
      </c>
      <c r="K24" s="13">
        <v>868399</v>
      </c>
      <c r="L24" s="13">
        <v>882868</v>
      </c>
      <c r="M24" s="13">
        <v>0.3</v>
      </c>
      <c r="N24" s="13">
        <v>2.52</v>
      </c>
      <c r="O24" s="13">
        <v>585787</v>
      </c>
      <c r="P24" s="13">
        <v>589439</v>
      </c>
      <c r="Q24" s="13">
        <v>0.1</v>
      </c>
      <c r="R24" s="13">
        <v>80.5</v>
      </c>
      <c r="S24" s="13">
        <v>79</v>
      </c>
      <c r="T24" s="13">
        <v>17.3</v>
      </c>
      <c r="U24" s="13">
        <v>18.100000000000001</v>
      </c>
      <c r="V24" s="13">
        <v>1</v>
      </c>
      <c r="W24" s="13">
        <v>1.4</v>
      </c>
      <c r="X24" s="13">
        <v>2.2999999999999998</v>
      </c>
      <c r="Y24" s="13">
        <v>2.9</v>
      </c>
      <c r="Z24" s="13">
        <v>6.6</v>
      </c>
      <c r="AA24" s="13">
        <v>7.1</v>
      </c>
      <c r="AB24" s="13">
        <v>6.9</v>
      </c>
      <c r="AC24" s="13">
        <v>6.9</v>
      </c>
      <c r="AD24" s="13">
        <v>5.8</v>
      </c>
      <c r="AE24" s="13">
        <v>30.3</v>
      </c>
      <c r="AF24" s="13">
        <v>21.8</v>
      </c>
      <c r="AG24" s="13">
        <v>13</v>
      </c>
      <c r="AH24" s="13">
        <v>1.6</v>
      </c>
      <c r="AI24" s="13">
        <v>75.3</v>
      </c>
      <c r="AJ24" s="13">
        <v>34.4</v>
      </c>
      <c r="AK24" s="13">
        <v>36.799999999999997</v>
      </c>
      <c r="AL24" s="13">
        <v>91.7</v>
      </c>
      <c r="AM24" s="13">
        <v>17439</v>
      </c>
      <c r="AN24" s="13">
        <v>868380</v>
      </c>
      <c r="AO24" s="13">
        <v>19</v>
      </c>
      <c r="AP24" s="13">
        <v>14.4</v>
      </c>
      <c r="AQ24" s="13">
        <v>34.5</v>
      </c>
      <c r="AR24" s="13">
        <v>25.8</v>
      </c>
      <c r="AS24" s="13">
        <v>4.4000000000000004</v>
      </c>
      <c r="AT24" s="13">
        <v>1.9</v>
      </c>
      <c r="AU24" s="13">
        <v>35960</v>
      </c>
      <c r="AV24" s="13">
        <v>40353</v>
      </c>
      <c r="AW24" s="13">
        <v>160</v>
      </c>
      <c r="AX24" s="13">
        <v>33700</v>
      </c>
      <c r="AY24" s="13">
        <v>29133</v>
      </c>
      <c r="AZ24" s="13">
        <v>38482</v>
      </c>
      <c r="BA24" s="13">
        <v>44244</v>
      </c>
      <c r="BB24" s="13">
        <v>38174</v>
      </c>
      <c r="BC24" s="13">
        <v>22475</v>
      </c>
      <c r="BD24" s="13">
        <v>98</v>
      </c>
      <c r="BE24" s="13">
        <v>101</v>
      </c>
      <c r="BF24" s="13">
        <v>105</v>
      </c>
      <c r="BG24" s="13">
        <v>101</v>
      </c>
      <c r="BH24" s="13">
        <v>106</v>
      </c>
      <c r="BI24" s="13">
        <v>104</v>
      </c>
      <c r="BJ24" s="13">
        <v>99</v>
      </c>
      <c r="BK24" s="13">
        <v>100</v>
      </c>
      <c r="BL24" s="13">
        <v>98</v>
      </c>
      <c r="BM24" s="13">
        <v>103</v>
      </c>
      <c r="BN24" s="13">
        <v>100</v>
      </c>
      <c r="BO24" s="13">
        <v>99</v>
      </c>
      <c r="BP24" s="13">
        <v>105</v>
      </c>
      <c r="BQ24" s="13">
        <v>100</v>
      </c>
      <c r="BR24" s="13">
        <v>109</v>
      </c>
      <c r="BS24" s="13">
        <v>102</v>
      </c>
      <c r="BT24" s="13">
        <v>102</v>
      </c>
      <c r="BU24" s="13">
        <v>101</v>
      </c>
      <c r="BV24" s="13">
        <v>99</v>
      </c>
      <c r="BW24" s="13">
        <v>99</v>
      </c>
      <c r="BX24" s="328">
        <f t="shared" si="2"/>
        <v>93875711</v>
      </c>
      <c r="BY24" s="328">
        <f t="shared" si="3"/>
        <v>34931417</v>
      </c>
      <c r="BZ24" s="329">
        <f t="shared" si="0"/>
        <v>0.41416406735001887</v>
      </c>
      <c r="CA24" s="329">
        <f t="shared" si="1"/>
        <v>0.40925710932656889</v>
      </c>
      <c r="CE24" s="13">
        <f>CE23/CD23</f>
        <v>85353232</v>
      </c>
    </row>
    <row r="25" spans="1:84" x14ac:dyDescent="0.25">
      <c r="A25" s="13">
        <v>2080</v>
      </c>
      <c r="B25" s="13">
        <v>24</v>
      </c>
      <c r="C25" s="13" t="s">
        <v>540</v>
      </c>
      <c r="D25" s="13">
        <v>1428836</v>
      </c>
      <c r="E25" s="13">
        <v>1622980</v>
      </c>
      <c r="F25" s="13">
        <v>1938091</v>
      </c>
      <c r="G25" s="13">
        <v>2131594</v>
      </c>
      <c r="H25" s="13">
        <v>2.2000000000000002</v>
      </c>
      <c r="I25" s="13">
        <v>38</v>
      </c>
      <c r="J25" s="13">
        <v>649404</v>
      </c>
      <c r="K25" s="13">
        <v>784399</v>
      </c>
      <c r="L25" s="13">
        <v>869661</v>
      </c>
      <c r="M25" s="13">
        <v>2.2999999999999998</v>
      </c>
      <c r="N25" s="13">
        <v>2.44</v>
      </c>
      <c r="O25" s="13">
        <v>420379</v>
      </c>
      <c r="P25" s="13">
        <v>503141</v>
      </c>
      <c r="Q25" s="13">
        <v>2.2000000000000002</v>
      </c>
      <c r="R25" s="13">
        <v>85.6</v>
      </c>
      <c r="S25" s="13">
        <v>84.5</v>
      </c>
      <c r="T25" s="13">
        <v>5.9</v>
      </c>
      <c r="U25" s="13">
        <v>6.1</v>
      </c>
      <c r="V25" s="13">
        <v>2.2999999999999998</v>
      </c>
      <c r="W25" s="13">
        <v>2.9</v>
      </c>
      <c r="X25" s="13">
        <v>13</v>
      </c>
      <c r="Y25" s="13">
        <v>14.4</v>
      </c>
      <c r="Z25" s="13">
        <v>7</v>
      </c>
      <c r="AA25" s="13">
        <v>7.4</v>
      </c>
      <c r="AB25" s="13">
        <v>7.3</v>
      </c>
      <c r="AC25" s="13">
        <v>6.8</v>
      </c>
      <c r="AD25" s="13">
        <v>5.7</v>
      </c>
      <c r="AE25" s="13">
        <v>33.5</v>
      </c>
      <c r="AF25" s="13">
        <v>23</v>
      </c>
      <c r="AG25" s="13">
        <v>8.3000000000000007</v>
      </c>
      <c r="AH25" s="13">
        <v>1</v>
      </c>
      <c r="AI25" s="13">
        <v>74.2</v>
      </c>
      <c r="AJ25" s="13">
        <v>32.799999999999997</v>
      </c>
      <c r="AK25" s="13">
        <v>35.700000000000003</v>
      </c>
      <c r="AL25" s="13">
        <v>96.7</v>
      </c>
      <c r="AM25" s="13">
        <v>24423</v>
      </c>
      <c r="AN25" s="13">
        <v>784368</v>
      </c>
      <c r="AO25" s="13">
        <v>10.1</v>
      </c>
      <c r="AP25" s="13">
        <v>10.8</v>
      </c>
      <c r="AQ25" s="13">
        <v>31.6</v>
      </c>
      <c r="AR25" s="13">
        <v>33.9</v>
      </c>
      <c r="AS25" s="13">
        <v>9.4</v>
      </c>
      <c r="AT25" s="13">
        <v>4.2</v>
      </c>
      <c r="AU25" s="13">
        <v>47662</v>
      </c>
      <c r="AV25" s="13">
        <v>59153</v>
      </c>
      <c r="AW25" s="13">
        <v>27</v>
      </c>
      <c r="AX25" s="13">
        <v>44102</v>
      </c>
      <c r="AY25" s="13">
        <v>34509</v>
      </c>
      <c r="AZ25" s="13">
        <v>47394</v>
      </c>
      <c r="BA25" s="13">
        <v>54834</v>
      </c>
      <c r="BB25" s="13">
        <v>48119</v>
      </c>
      <c r="BC25" s="13">
        <v>29788</v>
      </c>
      <c r="BD25" s="13">
        <v>102</v>
      </c>
      <c r="BE25" s="13">
        <v>107</v>
      </c>
      <c r="BF25" s="13">
        <v>99</v>
      </c>
      <c r="BG25" s="13">
        <v>103</v>
      </c>
      <c r="BH25" s="13">
        <v>102</v>
      </c>
      <c r="BI25" s="13">
        <v>103</v>
      </c>
      <c r="BJ25" s="13">
        <v>99</v>
      </c>
      <c r="BK25" s="13">
        <v>102</v>
      </c>
      <c r="BL25" s="13">
        <v>103</v>
      </c>
      <c r="BM25" s="13">
        <v>106</v>
      </c>
      <c r="BN25" s="13">
        <v>106</v>
      </c>
      <c r="BO25" s="13">
        <v>99</v>
      </c>
      <c r="BP25" s="13">
        <v>100</v>
      </c>
      <c r="BQ25" s="13">
        <v>99</v>
      </c>
      <c r="BR25" s="13">
        <v>99</v>
      </c>
      <c r="BS25" s="13">
        <v>98</v>
      </c>
      <c r="BT25" s="13">
        <v>104</v>
      </c>
      <c r="BU25" s="13">
        <v>102</v>
      </c>
      <c r="BV25" s="13">
        <v>98</v>
      </c>
      <c r="BW25" s="13">
        <v>98</v>
      </c>
      <c r="BX25" s="328">
        <f t="shared" si="2"/>
        <v>96007305</v>
      </c>
      <c r="BY25" s="328">
        <f t="shared" si="3"/>
        <v>35801078</v>
      </c>
      <c r="BZ25" s="329">
        <f t="shared" si="0"/>
        <v>0.4235683065464485</v>
      </c>
      <c r="CA25" s="329">
        <f t="shared" si="1"/>
        <v>0.4194460732312984</v>
      </c>
    </row>
    <row r="26" spans="1:84" x14ac:dyDescent="0.25">
      <c r="A26" s="13">
        <v>6440</v>
      </c>
      <c r="B26" s="13">
        <v>25</v>
      </c>
      <c r="C26" s="13" t="s">
        <v>541</v>
      </c>
      <c r="D26" s="13">
        <v>1333623</v>
      </c>
      <c r="E26" s="13">
        <v>1515452</v>
      </c>
      <c r="F26" s="13">
        <v>1823589</v>
      </c>
      <c r="G26" s="13">
        <v>2008428</v>
      </c>
      <c r="H26" s="13">
        <v>2.2999999999999998</v>
      </c>
      <c r="I26" s="13">
        <v>31</v>
      </c>
      <c r="J26" s="13">
        <v>589441</v>
      </c>
      <c r="K26" s="13">
        <v>712265</v>
      </c>
      <c r="L26" s="13">
        <v>787097</v>
      </c>
      <c r="M26" s="13">
        <v>2.2999999999999998</v>
      </c>
      <c r="N26" s="13">
        <v>2.52</v>
      </c>
      <c r="O26" s="13">
        <v>394237</v>
      </c>
      <c r="P26" s="13">
        <v>468921</v>
      </c>
      <c r="Q26" s="13">
        <v>2.1</v>
      </c>
      <c r="R26" s="13">
        <v>91.5</v>
      </c>
      <c r="S26" s="13">
        <v>89.7</v>
      </c>
      <c r="T26" s="13">
        <v>2.8</v>
      </c>
      <c r="U26" s="13">
        <v>2.9</v>
      </c>
      <c r="V26" s="13">
        <v>3.5</v>
      </c>
      <c r="W26" s="13">
        <v>4.4000000000000004</v>
      </c>
      <c r="X26" s="13">
        <v>3.3</v>
      </c>
      <c r="Y26" s="13">
        <v>5.2</v>
      </c>
      <c r="Z26" s="13">
        <v>6.6</v>
      </c>
      <c r="AA26" s="13">
        <v>7.2</v>
      </c>
      <c r="AB26" s="13">
        <v>7.2</v>
      </c>
      <c r="AC26" s="13">
        <v>7.1</v>
      </c>
      <c r="AD26" s="13">
        <v>6</v>
      </c>
      <c r="AE26" s="13">
        <v>32.200000000000003</v>
      </c>
      <c r="AF26" s="13">
        <v>22</v>
      </c>
      <c r="AG26" s="13">
        <v>10.1</v>
      </c>
      <c r="AH26" s="13">
        <v>1.5</v>
      </c>
      <c r="AI26" s="13">
        <v>74.7</v>
      </c>
      <c r="AJ26" s="13">
        <v>33.799999999999997</v>
      </c>
      <c r="AK26" s="13">
        <v>35.9</v>
      </c>
      <c r="AL26" s="13">
        <v>97.3</v>
      </c>
      <c r="AM26" s="13">
        <v>20158</v>
      </c>
      <c r="AN26" s="13">
        <v>712251</v>
      </c>
      <c r="AO26" s="13">
        <v>12</v>
      </c>
      <c r="AP26" s="13">
        <v>12.9</v>
      </c>
      <c r="AQ26" s="13">
        <v>35.299999999999997</v>
      </c>
      <c r="AR26" s="13">
        <v>30.9</v>
      </c>
      <c r="AS26" s="13">
        <v>6.4</v>
      </c>
      <c r="AT26" s="13">
        <v>2.4</v>
      </c>
      <c r="AU26" s="13">
        <v>41802</v>
      </c>
      <c r="AV26" s="13">
        <v>49092</v>
      </c>
      <c r="AW26" s="13">
        <v>69</v>
      </c>
      <c r="AX26" s="13">
        <v>36074</v>
      </c>
      <c r="AY26" s="13">
        <v>30420</v>
      </c>
      <c r="AZ26" s="13">
        <v>39744</v>
      </c>
      <c r="BA26" s="13">
        <v>45162</v>
      </c>
      <c r="BB26" s="13">
        <v>40336</v>
      </c>
      <c r="BC26" s="13">
        <v>24453</v>
      </c>
      <c r="BD26" s="13">
        <v>101</v>
      </c>
      <c r="BE26" s="13">
        <v>99</v>
      </c>
      <c r="BF26" s="13">
        <v>97</v>
      </c>
      <c r="BG26" s="13">
        <v>97</v>
      </c>
      <c r="BH26" s="13">
        <v>100</v>
      </c>
      <c r="BI26" s="13">
        <v>100</v>
      </c>
      <c r="BJ26" s="13">
        <v>101</v>
      </c>
      <c r="BK26" s="13">
        <v>100</v>
      </c>
      <c r="BL26" s="13">
        <v>100</v>
      </c>
      <c r="BM26" s="13">
        <v>100</v>
      </c>
      <c r="BN26" s="13">
        <v>101</v>
      </c>
      <c r="BO26" s="13">
        <v>96</v>
      </c>
      <c r="BP26" s="13">
        <v>96</v>
      </c>
      <c r="BQ26" s="13">
        <v>97</v>
      </c>
      <c r="BR26" s="13">
        <v>95</v>
      </c>
      <c r="BS26" s="13">
        <v>97</v>
      </c>
      <c r="BT26" s="13">
        <v>99</v>
      </c>
      <c r="BU26" s="13">
        <v>98</v>
      </c>
      <c r="BV26" s="13">
        <v>98</v>
      </c>
      <c r="BW26" s="13">
        <v>96</v>
      </c>
      <c r="BX26" s="328">
        <f t="shared" si="2"/>
        <v>98015733</v>
      </c>
      <c r="BY26" s="328">
        <f t="shared" si="3"/>
        <v>36588175</v>
      </c>
      <c r="BZ26" s="329">
        <f t="shared" si="0"/>
        <v>0.43242915777834662</v>
      </c>
      <c r="CA26" s="329">
        <f t="shared" si="1"/>
        <v>0.42866771582826529</v>
      </c>
    </row>
    <row r="27" spans="1:84" x14ac:dyDescent="0.25">
      <c r="A27" s="13">
        <v>5000</v>
      </c>
      <c r="B27" s="13">
        <v>26</v>
      </c>
      <c r="C27" s="13" t="s">
        <v>542</v>
      </c>
      <c r="D27" s="13">
        <v>1625509</v>
      </c>
      <c r="E27" s="13">
        <v>1937094</v>
      </c>
      <c r="F27" s="13">
        <v>2054297</v>
      </c>
      <c r="G27" s="13">
        <v>2124715</v>
      </c>
      <c r="H27" s="13">
        <v>0.7</v>
      </c>
      <c r="I27" s="13">
        <v>196</v>
      </c>
      <c r="J27" s="13">
        <v>692355</v>
      </c>
      <c r="K27" s="13">
        <v>735582</v>
      </c>
      <c r="L27" s="13">
        <v>761568</v>
      </c>
      <c r="M27" s="13">
        <v>0.7</v>
      </c>
      <c r="N27" s="13">
        <v>2.75</v>
      </c>
      <c r="O27" s="13">
        <v>481263</v>
      </c>
      <c r="P27" s="13">
        <v>510370</v>
      </c>
      <c r="Q27" s="13">
        <v>0.7</v>
      </c>
      <c r="R27" s="13">
        <v>72.900000000000006</v>
      </c>
      <c r="S27" s="13">
        <v>71.5</v>
      </c>
      <c r="T27" s="13">
        <v>20.5</v>
      </c>
      <c r="U27" s="13">
        <v>20.8</v>
      </c>
      <c r="V27" s="13">
        <v>1.4</v>
      </c>
      <c r="W27" s="13">
        <v>1.8</v>
      </c>
      <c r="X27" s="13">
        <v>49.2</v>
      </c>
      <c r="Y27" s="13">
        <v>55.9</v>
      </c>
      <c r="Z27" s="13">
        <v>7.1</v>
      </c>
      <c r="AA27" s="13">
        <v>7.1</v>
      </c>
      <c r="AB27" s="13">
        <v>6.6</v>
      </c>
      <c r="AC27" s="13">
        <v>6.7</v>
      </c>
      <c r="AD27" s="13">
        <v>6.3</v>
      </c>
      <c r="AE27" s="13">
        <v>30.4</v>
      </c>
      <c r="AF27" s="13">
        <v>21.6</v>
      </c>
      <c r="AG27" s="13">
        <v>12.3</v>
      </c>
      <c r="AH27" s="13">
        <v>1.8</v>
      </c>
      <c r="AI27" s="13">
        <v>75.2</v>
      </c>
      <c r="AJ27" s="13">
        <v>34.200000000000003</v>
      </c>
      <c r="AK27" s="13">
        <v>36</v>
      </c>
      <c r="AL27" s="13">
        <v>92.8</v>
      </c>
      <c r="AM27" s="13">
        <v>16308</v>
      </c>
      <c r="AN27" s="13">
        <v>735571</v>
      </c>
      <c r="AO27" s="13">
        <v>22.9</v>
      </c>
      <c r="AP27" s="13">
        <v>15.9</v>
      </c>
      <c r="AQ27" s="13">
        <v>31.3</v>
      </c>
      <c r="AR27" s="13">
        <v>21.8</v>
      </c>
      <c r="AS27" s="13">
        <v>4.8</v>
      </c>
      <c r="AT27" s="13">
        <v>3.3</v>
      </c>
      <c r="AU27" s="13">
        <v>32151</v>
      </c>
      <c r="AV27" s="13">
        <v>36816</v>
      </c>
      <c r="AW27" s="13">
        <v>231</v>
      </c>
      <c r="AX27" s="13">
        <v>35979</v>
      </c>
      <c r="AY27" s="13">
        <v>31366</v>
      </c>
      <c r="AZ27" s="13">
        <v>38150</v>
      </c>
      <c r="BA27" s="13">
        <v>43278</v>
      </c>
      <c r="BB27" s="13">
        <v>39281</v>
      </c>
      <c r="BC27" s="13">
        <v>25922</v>
      </c>
      <c r="BD27" s="13">
        <v>98</v>
      </c>
      <c r="BE27" s="13">
        <v>108</v>
      </c>
      <c r="BF27" s="13">
        <v>104</v>
      </c>
      <c r="BG27" s="13">
        <v>100</v>
      </c>
      <c r="BH27" s="13">
        <v>108</v>
      </c>
      <c r="BI27" s="13">
        <v>105</v>
      </c>
      <c r="BJ27" s="13">
        <v>101</v>
      </c>
      <c r="BK27" s="13">
        <v>100</v>
      </c>
      <c r="BL27" s="13">
        <v>97</v>
      </c>
      <c r="BM27" s="13">
        <v>111</v>
      </c>
      <c r="BN27" s="13">
        <v>99</v>
      </c>
      <c r="BO27" s="13">
        <v>103</v>
      </c>
      <c r="BP27" s="13">
        <v>102</v>
      </c>
      <c r="BQ27" s="13">
        <v>95</v>
      </c>
      <c r="BR27" s="13">
        <v>107</v>
      </c>
      <c r="BS27" s="13">
        <v>101</v>
      </c>
      <c r="BT27" s="13">
        <v>100</v>
      </c>
      <c r="BU27" s="13">
        <v>104</v>
      </c>
      <c r="BV27" s="13">
        <v>96</v>
      </c>
      <c r="BW27" s="13">
        <v>98</v>
      </c>
      <c r="BX27" s="328">
        <f t="shared" si="2"/>
        <v>100140448</v>
      </c>
      <c r="BY27" s="328">
        <f t="shared" si="3"/>
        <v>37349743</v>
      </c>
      <c r="BZ27" s="329">
        <f t="shared" si="0"/>
        <v>0.44180304796768</v>
      </c>
      <c r="CA27" s="329">
        <f t="shared" si="1"/>
        <v>0.43759026020244907</v>
      </c>
    </row>
    <row r="28" spans="1:84" x14ac:dyDescent="0.25">
      <c r="A28" s="13">
        <v>5640</v>
      </c>
      <c r="B28" s="13">
        <v>27</v>
      </c>
      <c r="C28" s="13" t="s">
        <v>543</v>
      </c>
      <c r="D28" s="13">
        <v>1963576</v>
      </c>
      <c r="E28" s="13">
        <v>1915928</v>
      </c>
      <c r="F28" s="13">
        <v>1948974</v>
      </c>
      <c r="G28" s="13">
        <v>1969230</v>
      </c>
      <c r="H28" s="13">
        <v>0.2</v>
      </c>
      <c r="I28" s="13">
        <v>255</v>
      </c>
      <c r="J28" s="13">
        <v>686032</v>
      </c>
      <c r="K28" s="13">
        <v>699694</v>
      </c>
      <c r="L28" s="13">
        <v>708328</v>
      </c>
      <c r="M28" s="13">
        <v>0.2</v>
      </c>
      <c r="N28" s="13">
        <v>2.73</v>
      </c>
      <c r="O28" s="13">
        <v>496224</v>
      </c>
      <c r="P28" s="13">
        <v>497893</v>
      </c>
      <c r="Q28" s="13">
        <v>0</v>
      </c>
      <c r="R28" s="13">
        <v>71.5</v>
      </c>
      <c r="S28" s="13">
        <v>68.900000000000006</v>
      </c>
      <c r="T28" s="13">
        <v>22.1</v>
      </c>
      <c r="U28" s="13">
        <v>22.4</v>
      </c>
      <c r="V28" s="13">
        <v>2.8</v>
      </c>
      <c r="W28" s="13">
        <v>4.3</v>
      </c>
      <c r="X28" s="13">
        <v>9.9</v>
      </c>
      <c r="Y28" s="13">
        <v>12.5</v>
      </c>
      <c r="Z28" s="13">
        <v>7</v>
      </c>
      <c r="AA28" s="13">
        <v>7.3</v>
      </c>
      <c r="AB28" s="13">
        <v>6.6</v>
      </c>
      <c r="AC28" s="13">
        <v>6.5</v>
      </c>
      <c r="AD28" s="13">
        <v>5.8</v>
      </c>
      <c r="AE28" s="13">
        <v>31.5</v>
      </c>
      <c r="AF28" s="13">
        <v>22.5</v>
      </c>
      <c r="AG28" s="13">
        <v>11.2</v>
      </c>
      <c r="AH28" s="13">
        <v>1.5</v>
      </c>
      <c r="AI28" s="13">
        <v>75.2</v>
      </c>
      <c r="AJ28" s="13">
        <v>34.4</v>
      </c>
      <c r="AK28" s="13">
        <v>36.4</v>
      </c>
      <c r="AL28" s="13">
        <v>93.3</v>
      </c>
      <c r="AM28" s="13">
        <v>25729</v>
      </c>
      <c r="AN28" s="13">
        <v>699631</v>
      </c>
      <c r="AO28" s="13">
        <v>11</v>
      </c>
      <c r="AP28" s="13">
        <v>8.1</v>
      </c>
      <c r="AQ28" s="13">
        <v>25.8</v>
      </c>
      <c r="AR28" s="13">
        <v>35.5</v>
      </c>
      <c r="AS28" s="13">
        <v>11.9</v>
      </c>
      <c r="AT28" s="13">
        <v>7.6</v>
      </c>
      <c r="AU28" s="13">
        <v>54695</v>
      </c>
      <c r="AV28" s="13">
        <v>62325</v>
      </c>
      <c r="AW28" s="13">
        <v>9</v>
      </c>
      <c r="AX28" s="13">
        <v>47000</v>
      </c>
      <c r="AY28" s="13">
        <v>43165</v>
      </c>
      <c r="AZ28" s="13">
        <v>49158</v>
      </c>
      <c r="BA28" s="13">
        <v>58239</v>
      </c>
      <c r="BB28" s="13">
        <v>52095</v>
      </c>
      <c r="BC28" s="13">
        <v>30187</v>
      </c>
      <c r="BD28" s="13">
        <v>104</v>
      </c>
      <c r="BE28" s="13">
        <v>118</v>
      </c>
      <c r="BF28" s="13">
        <v>118</v>
      </c>
      <c r="BG28" s="13">
        <v>118</v>
      </c>
      <c r="BH28" s="13">
        <v>103</v>
      </c>
      <c r="BI28" s="13">
        <v>106</v>
      </c>
      <c r="BJ28" s="13">
        <v>94</v>
      </c>
      <c r="BK28" s="13">
        <v>103</v>
      </c>
      <c r="BL28" s="13">
        <v>106</v>
      </c>
      <c r="BM28" s="13">
        <v>114</v>
      </c>
      <c r="BN28" s="13">
        <v>113</v>
      </c>
      <c r="BO28" s="13">
        <v>110</v>
      </c>
      <c r="BP28" s="13">
        <v>116</v>
      </c>
      <c r="BQ28" s="13">
        <v>107</v>
      </c>
      <c r="BR28" s="13">
        <v>123</v>
      </c>
      <c r="BS28" s="13">
        <v>103</v>
      </c>
      <c r="BT28" s="13">
        <v>120</v>
      </c>
      <c r="BU28" s="13">
        <v>112</v>
      </c>
      <c r="BV28" s="13">
        <v>102</v>
      </c>
      <c r="BW28" s="13">
        <v>105</v>
      </c>
      <c r="BX28" s="328">
        <f t="shared" si="2"/>
        <v>102109678</v>
      </c>
      <c r="BY28" s="328">
        <f t="shared" si="3"/>
        <v>38058071</v>
      </c>
      <c r="BZ28" s="329">
        <f t="shared" si="0"/>
        <v>0.45049096412468975</v>
      </c>
      <c r="CA28" s="329">
        <f t="shared" si="1"/>
        <v>0.44588904377985361</v>
      </c>
    </row>
    <row r="29" spans="1:84" x14ac:dyDescent="0.25">
      <c r="A29" s="13">
        <v>3760</v>
      </c>
      <c r="B29" s="13">
        <v>28</v>
      </c>
      <c r="C29" s="13" t="s">
        <v>544</v>
      </c>
      <c r="D29" s="13">
        <v>1449380</v>
      </c>
      <c r="E29" s="13">
        <v>1582875</v>
      </c>
      <c r="F29" s="13">
        <v>1728195</v>
      </c>
      <c r="G29" s="13">
        <v>1816677</v>
      </c>
      <c r="H29" s="13">
        <v>1.1000000000000001</v>
      </c>
      <c r="I29" s="13">
        <v>149</v>
      </c>
      <c r="J29" s="13">
        <v>608459</v>
      </c>
      <c r="K29" s="13">
        <v>666522</v>
      </c>
      <c r="L29" s="13">
        <v>701977</v>
      </c>
      <c r="M29" s="13">
        <v>1.1000000000000001</v>
      </c>
      <c r="N29" s="13">
        <v>2.5499999999999998</v>
      </c>
      <c r="O29" s="13">
        <v>421893</v>
      </c>
      <c r="P29" s="13">
        <v>453945</v>
      </c>
      <c r="Q29" s="13">
        <v>0.9</v>
      </c>
      <c r="R29" s="13">
        <v>84.4</v>
      </c>
      <c r="S29" s="13">
        <v>83.2</v>
      </c>
      <c r="T29" s="13">
        <v>12.7</v>
      </c>
      <c r="U29" s="13">
        <v>13.3</v>
      </c>
      <c r="V29" s="13">
        <v>1.1000000000000001</v>
      </c>
      <c r="W29" s="13">
        <v>1.5</v>
      </c>
      <c r="X29" s="13">
        <v>2.9</v>
      </c>
      <c r="Y29" s="13">
        <v>3.8</v>
      </c>
      <c r="Z29" s="13">
        <v>7</v>
      </c>
      <c r="AA29" s="13">
        <v>7.6</v>
      </c>
      <c r="AB29" s="13">
        <v>7.4</v>
      </c>
      <c r="AC29" s="13">
        <v>7</v>
      </c>
      <c r="AD29" s="13">
        <v>5.9</v>
      </c>
      <c r="AE29" s="13">
        <v>32.299999999999997</v>
      </c>
      <c r="AF29" s="13">
        <v>21.1</v>
      </c>
      <c r="AG29" s="13">
        <v>10.199999999999999</v>
      </c>
      <c r="AH29" s="13">
        <v>1.4</v>
      </c>
      <c r="AI29" s="13">
        <v>73.7</v>
      </c>
      <c r="AJ29" s="13">
        <v>32.9</v>
      </c>
      <c r="AK29" s="13">
        <v>35.200000000000003</v>
      </c>
      <c r="AL29" s="13">
        <v>94.2</v>
      </c>
      <c r="AM29" s="13">
        <v>19421</v>
      </c>
      <c r="AN29" s="13">
        <v>666488</v>
      </c>
      <c r="AO29" s="13">
        <v>13.3</v>
      </c>
      <c r="AP29" s="13">
        <v>12.9</v>
      </c>
      <c r="AQ29" s="13">
        <v>35.1</v>
      </c>
      <c r="AR29" s="13">
        <v>30.9</v>
      </c>
      <c r="AS29" s="13">
        <v>5.7</v>
      </c>
      <c r="AT29" s="13">
        <v>2.2000000000000002</v>
      </c>
      <c r="AU29" s="13">
        <v>41183</v>
      </c>
      <c r="AV29" s="13">
        <v>47450</v>
      </c>
      <c r="AW29" s="13">
        <v>77</v>
      </c>
      <c r="AX29" s="13">
        <v>38034</v>
      </c>
      <c r="AY29" s="13">
        <v>32365</v>
      </c>
      <c r="AZ29" s="13">
        <v>42755</v>
      </c>
      <c r="BA29" s="13">
        <v>48411</v>
      </c>
      <c r="BB29" s="13">
        <v>41260</v>
      </c>
      <c r="BC29" s="13">
        <v>24846</v>
      </c>
      <c r="BD29" s="13">
        <v>100</v>
      </c>
      <c r="BE29" s="13">
        <v>103</v>
      </c>
      <c r="BF29" s="13">
        <v>97</v>
      </c>
      <c r="BG29" s="13">
        <v>101</v>
      </c>
      <c r="BH29" s="13">
        <v>102</v>
      </c>
      <c r="BI29" s="13">
        <v>101</v>
      </c>
      <c r="BJ29" s="13">
        <v>100</v>
      </c>
      <c r="BK29" s="13">
        <v>100</v>
      </c>
      <c r="BL29" s="13">
        <v>101</v>
      </c>
      <c r="BM29" s="13">
        <v>103</v>
      </c>
      <c r="BN29" s="13">
        <v>103</v>
      </c>
      <c r="BO29" s="13">
        <v>101</v>
      </c>
      <c r="BP29" s="13">
        <v>104</v>
      </c>
      <c r="BQ29" s="13">
        <v>102</v>
      </c>
      <c r="BR29" s="13">
        <v>105</v>
      </c>
      <c r="BS29" s="13">
        <v>103</v>
      </c>
      <c r="BT29" s="13">
        <v>104</v>
      </c>
      <c r="BU29" s="13">
        <v>102</v>
      </c>
      <c r="BV29" s="13">
        <v>98</v>
      </c>
      <c r="BW29" s="13">
        <v>100</v>
      </c>
      <c r="BX29" s="328">
        <f t="shared" si="2"/>
        <v>103926355</v>
      </c>
      <c r="BY29" s="328">
        <f t="shared" si="3"/>
        <v>38760048</v>
      </c>
      <c r="BZ29" s="329">
        <f t="shared" si="0"/>
        <v>0.45850584174709447</v>
      </c>
      <c r="CA29" s="329">
        <f t="shared" si="1"/>
        <v>0.45411341892712392</v>
      </c>
    </row>
    <row r="30" spans="1:84" x14ac:dyDescent="0.25">
      <c r="A30" s="13">
        <v>7360</v>
      </c>
      <c r="B30" s="13">
        <v>29</v>
      </c>
      <c r="C30" s="13" t="s">
        <v>545</v>
      </c>
      <c r="D30" s="13">
        <v>1488895</v>
      </c>
      <c r="E30" s="13">
        <v>1603678</v>
      </c>
      <c r="F30" s="13">
        <v>1672679</v>
      </c>
      <c r="G30" s="13">
        <v>1716959</v>
      </c>
      <c r="H30" s="13">
        <v>0.5</v>
      </c>
      <c r="I30" s="13">
        <v>222</v>
      </c>
      <c r="J30" s="13">
        <v>642504</v>
      </c>
      <c r="K30" s="13">
        <v>668946</v>
      </c>
      <c r="L30" s="13">
        <v>685535</v>
      </c>
      <c r="M30" s="13">
        <v>0.5</v>
      </c>
      <c r="N30" s="13">
        <v>2.44</v>
      </c>
      <c r="O30" s="13">
        <v>362319</v>
      </c>
      <c r="P30" s="13">
        <v>370641</v>
      </c>
      <c r="Q30" s="13">
        <v>0.3</v>
      </c>
      <c r="R30" s="13">
        <v>66</v>
      </c>
      <c r="S30" s="13">
        <v>60.1</v>
      </c>
      <c r="T30" s="13">
        <v>7.6</v>
      </c>
      <c r="U30" s="13">
        <v>7.3</v>
      </c>
      <c r="V30" s="13">
        <v>20.6</v>
      </c>
      <c r="W30" s="13">
        <v>25.6</v>
      </c>
      <c r="X30" s="13">
        <v>14.5</v>
      </c>
      <c r="Y30" s="13">
        <v>18.100000000000001</v>
      </c>
      <c r="Z30" s="13">
        <v>5.9</v>
      </c>
      <c r="AA30" s="13">
        <v>6</v>
      </c>
      <c r="AB30" s="13">
        <v>5.3</v>
      </c>
      <c r="AC30" s="13">
        <v>5</v>
      </c>
      <c r="AD30" s="13">
        <v>5.6</v>
      </c>
      <c r="AE30" s="13">
        <v>35.1</v>
      </c>
      <c r="AF30" s="13">
        <v>22.9</v>
      </c>
      <c r="AG30" s="13">
        <v>12.3</v>
      </c>
      <c r="AH30" s="13">
        <v>1.7</v>
      </c>
      <c r="AI30" s="13">
        <v>79.900000000000006</v>
      </c>
      <c r="AJ30" s="13">
        <v>35.799999999999997</v>
      </c>
      <c r="AK30" s="13">
        <v>37.9</v>
      </c>
      <c r="AL30" s="13">
        <v>98.1</v>
      </c>
      <c r="AM30" s="13">
        <v>27906</v>
      </c>
      <c r="AN30" s="13">
        <v>668896</v>
      </c>
      <c r="AO30" s="13">
        <v>10.7</v>
      </c>
      <c r="AP30" s="13">
        <v>9.4</v>
      </c>
      <c r="AQ30" s="13">
        <v>28.4</v>
      </c>
      <c r="AR30" s="13">
        <v>33.299999999999997</v>
      </c>
      <c r="AS30" s="13">
        <v>10.8</v>
      </c>
      <c r="AT30" s="13">
        <v>7.5</v>
      </c>
      <c r="AU30" s="13">
        <v>51389</v>
      </c>
      <c r="AV30" s="13">
        <v>56793</v>
      </c>
      <c r="AW30" s="13">
        <v>14</v>
      </c>
      <c r="AX30" s="13">
        <v>48742</v>
      </c>
      <c r="AY30" s="13">
        <v>43088</v>
      </c>
      <c r="AZ30" s="13">
        <v>51606</v>
      </c>
      <c r="BA30" s="13">
        <v>57064</v>
      </c>
      <c r="BB30" s="13">
        <v>52699</v>
      </c>
      <c r="BC30" s="13">
        <v>36661</v>
      </c>
      <c r="BD30" s="13">
        <v>104</v>
      </c>
      <c r="BE30" s="13">
        <v>132</v>
      </c>
      <c r="BF30" s="13">
        <v>120</v>
      </c>
      <c r="BG30" s="13">
        <v>120</v>
      </c>
      <c r="BH30" s="13">
        <v>110</v>
      </c>
      <c r="BI30" s="13">
        <v>114</v>
      </c>
      <c r="BJ30" s="13">
        <v>99</v>
      </c>
      <c r="BK30" s="13">
        <v>103</v>
      </c>
      <c r="BL30" s="13">
        <v>113</v>
      </c>
      <c r="BM30" s="13">
        <v>113</v>
      </c>
      <c r="BN30" s="13">
        <v>119</v>
      </c>
      <c r="BO30" s="13">
        <v>103</v>
      </c>
      <c r="BP30" s="13">
        <v>111</v>
      </c>
      <c r="BQ30" s="13">
        <v>99</v>
      </c>
      <c r="BR30" s="13">
        <v>118</v>
      </c>
      <c r="BS30" s="13">
        <v>104</v>
      </c>
      <c r="BT30" s="13">
        <v>114</v>
      </c>
      <c r="BU30" s="13">
        <v>113</v>
      </c>
      <c r="BV30" s="13">
        <v>101</v>
      </c>
      <c r="BW30" s="13">
        <v>102</v>
      </c>
      <c r="BX30" s="328">
        <f t="shared" si="2"/>
        <v>105643314</v>
      </c>
      <c r="BY30" s="328">
        <f t="shared" si="3"/>
        <v>39445583</v>
      </c>
      <c r="BZ30" s="329">
        <f t="shared" si="0"/>
        <v>0.46608078009204312</v>
      </c>
      <c r="CA30" s="329">
        <f t="shared" si="1"/>
        <v>0.46214515930691413</v>
      </c>
    </row>
    <row r="31" spans="1:84" x14ac:dyDescent="0.25">
      <c r="A31" s="13">
        <v>2680</v>
      </c>
      <c r="B31" s="13">
        <v>30</v>
      </c>
      <c r="C31" s="13" t="s">
        <v>546</v>
      </c>
      <c r="D31" s="13">
        <v>1018257</v>
      </c>
      <c r="E31" s="13">
        <v>1255488</v>
      </c>
      <c r="F31" s="13">
        <v>1499477</v>
      </c>
      <c r="G31" s="13">
        <v>1647820</v>
      </c>
      <c r="H31" s="13">
        <v>2.2000000000000002</v>
      </c>
      <c r="I31" s="13">
        <v>37</v>
      </c>
      <c r="J31" s="13">
        <v>528442</v>
      </c>
      <c r="K31" s="13">
        <v>625419</v>
      </c>
      <c r="L31" s="13">
        <v>683284</v>
      </c>
      <c r="M31" s="13">
        <v>2.1</v>
      </c>
      <c r="N31" s="13">
        <v>2.37</v>
      </c>
      <c r="O31" s="13">
        <v>335022</v>
      </c>
      <c r="P31" s="13">
        <v>387489</v>
      </c>
      <c r="Q31" s="13">
        <v>1.8</v>
      </c>
      <c r="R31" s="13">
        <v>81.7</v>
      </c>
      <c r="S31" s="13">
        <v>78.099999999999994</v>
      </c>
      <c r="T31" s="13">
        <v>15.4</v>
      </c>
      <c r="U31" s="13">
        <v>17.7</v>
      </c>
      <c r="V31" s="13">
        <v>1.4</v>
      </c>
      <c r="W31" s="13">
        <v>2.1</v>
      </c>
      <c r="X31" s="13">
        <v>8.6</v>
      </c>
      <c r="Y31" s="13">
        <v>11.7</v>
      </c>
      <c r="Z31" s="13">
        <v>6.2</v>
      </c>
      <c r="AA31" s="13">
        <v>6.7</v>
      </c>
      <c r="AB31" s="13">
        <v>6.1</v>
      </c>
      <c r="AC31" s="13">
        <v>5.3</v>
      </c>
      <c r="AD31" s="13">
        <v>5</v>
      </c>
      <c r="AE31" s="13">
        <v>30.1</v>
      </c>
      <c r="AF31" s="13">
        <v>20.7</v>
      </c>
      <c r="AG31" s="13">
        <v>17.2</v>
      </c>
      <c r="AH31" s="13">
        <v>2.6</v>
      </c>
      <c r="AI31" s="13">
        <v>77.8</v>
      </c>
      <c r="AJ31" s="13">
        <v>37.700000000000003</v>
      </c>
      <c r="AK31" s="13">
        <v>39.1</v>
      </c>
      <c r="AL31" s="13">
        <v>92.6</v>
      </c>
      <c r="AM31" s="13">
        <v>19833</v>
      </c>
      <c r="AN31" s="13">
        <v>625375</v>
      </c>
      <c r="AO31" s="13">
        <v>17</v>
      </c>
      <c r="AP31" s="13">
        <v>16.2</v>
      </c>
      <c r="AQ31" s="13">
        <v>33.700000000000003</v>
      </c>
      <c r="AR31" s="13">
        <v>25.3</v>
      </c>
      <c r="AS31" s="13">
        <v>5.0999999999999996</v>
      </c>
      <c r="AT31" s="13">
        <v>2.8</v>
      </c>
      <c r="AU31" s="13">
        <v>36058</v>
      </c>
      <c r="AV31" s="13">
        <v>40520</v>
      </c>
      <c r="AW31" s="13">
        <v>157</v>
      </c>
      <c r="AX31" s="13">
        <v>37710</v>
      </c>
      <c r="AY31" s="13">
        <v>35075</v>
      </c>
      <c r="AZ31" s="13">
        <v>42369</v>
      </c>
      <c r="BA31" s="13">
        <v>48314</v>
      </c>
      <c r="BB31" s="13">
        <v>40735</v>
      </c>
      <c r="BC31" s="13">
        <v>26741</v>
      </c>
      <c r="BD31" s="13">
        <v>100</v>
      </c>
      <c r="BE31" s="13">
        <v>104</v>
      </c>
      <c r="BF31" s="13">
        <v>107</v>
      </c>
      <c r="BG31" s="13">
        <v>101</v>
      </c>
      <c r="BH31" s="13">
        <v>107</v>
      </c>
      <c r="BI31" s="13">
        <v>108</v>
      </c>
      <c r="BJ31" s="13">
        <v>100</v>
      </c>
      <c r="BK31" s="13">
        <v>101</v>
      </c>
      <c r="BL31" s="13">
        <v>99</v>
      </c>
      <c r="BM31" s="13">
        <v>103</v>
      </c>
      <c r="BN31" s="13">
        <v>103</v>
      </c>
      <c r="BO31" s="13">
        <v>102</v>
      </c>
      <c r="BP31" s="13">
        <v>102</v>
      </c>
      <c r="BQ31" s="13">
        <v>102</v>
      </c>
      <c r="BR31" s="13">
        <v>99</v>
      </c>
      <c r="BS31" s="13">
        <v>100</v>
      </c>
      <c r="BT31" s="13">
        <v>99</v>
      </c>
      <c r="BU31" s="13">
        <v>101</v>
      </c>
      <c r="BV31" s="13">
        <v>103</v>
      </c>
      <c r="BW31" s="13">
        <v>102</v>
      </c>
      <c r="BX31" s="328">
        <f t="shared" si="2"/>
        <v>107291134</v>
      </c>
      <c r="BY31" s="328">
        <f t="shared" si="3"/>
        <v>40128867</v>
      </c>
      <c r="BZ31" s="329">
        <f t="shared" si="0"/>
        <v>0.47335068863591245</v>
      </c>
      <c r="CA31" s="329">
        <f t="shared" si="1"/>
        <v>0.47015052693025144</v>
      </c>
    </row>
    <row r="32" spans="1:84" x14ac:dyDescent="0.25">
      <c r="A32" s="13">
        <v>2800</v>
      </c>
      <c r="B32" s="13">
        <v>31</v>
      </c>
      <c r="C32" s="13" t="s">
        <v>547</v>
      </c>
      <c r="D32" s="13">
        <v>990852</v>
      </c>
      <c r="E32" s="13">
        <v>1361034</v>
      </c>
      <c r="F32" s="13">
        <v>1588869</v>
      </c>
      <c r="G32" s="13">
        <v>1726412</v>
      </c>
      <c r="H32" s="13">
        <v>1.9</v>
      </c>
      <c r="I32" s="13">
        <v>56</v>
      </c>
      <c r="J32" s="13">
        <v>506281</v>
      </c>
      <c r="K32" s="13">
        <v>603524</v>
      </c>
      <c r="L32" s="13">
        <v>664132</v>
      </c>
      <c r="M32" s="13">
        <v>2.2000000000000002</v>
      </c>
      <c r="N32" s="13">
        <v>2.59</v>
      </c>
      <c r="O32" s="13">
        <v>360454</v>
      </c>
      <c r="P32" s="13">
        <v>419942</v>
      </c>
      <c r="Q32" s="13">
        <v>1.9</v>
      </c>
      <c r="R32" s="13">
        <v>80.7</v>
      </c>
      <c r="S32" s="13">
        <v>77.7</v>
      </c>
      <c r="T32" s="13">
        <v>10.6</v>
      </c>
      <c r="U32" s="13">
        <v>11</v>
      </c>
      <c r="V32" s="13">
        <v>2.2000000000000002</v>
      </c>
      <c r="W32" s="13">
        <v>3.2</v>
      </c>
      <c r="X32" s="13">
        <v>11.1</v>
      </c>
      <c r="Y32" s="13">
        <v>14.1</v>
      </c>
      <c r="Z32" s="13">
        <v>8.1</v>
      </c>
      <c r="AA32" s="13">
        <v>7.7</v>
      </c>
      <c r="AB32" s="13">
        <v>7.2</v>
      </c>
      <c r="AC32" s="13">
        <v>7.1</v>
      </c>
      <c r="AD32" s="13">
        <v>7.1</v>
      </c>
      <c r="AE32" s="13">
        <v>33.1</v>
      </c>
      <c r="AF32" s="13">
        <v>20.6</v>
      </c>
      <c r="AG32" s="13">
        <v>8</v>
      </c>
      <c r="AH32" s="13">
        <v>1</v>
      </c>
      <c r="AI32" s="13">
        <v>72.8</v>
      </c>
      <c r="AJ32" s="13">
        <v>30.8</v>
      </c>
      <c r="AK32" s="13">
        <v>33</v>
      </c>
      <c r="AL32" s="13">
        <v>97.8</v>
      </c>
      <c r="AM32" s="13">
        <v>20200</v>
      </c>
      <c r="AN32" s="13">
        <v>603511</v>
      </c>
      <c r="AO32" s="13">
        <v>12</v>
      </c>
      <c r="AP32" s="13">
        <v>12.6</v>
      </c>
      <c r="AQ32" s="13">
        <v>33.4</v>
      </c>
      <c r="AR32" s="13">
        <v>32.200000000000003</v>
      </c>
      <c r="AS32" s="13">
        <v>7.1</v>
      </c>
      <c r="AT32" s="13">
        <v>2.6</v>
      </c>
      <c r="AU32" s="13">
        <v>43120</v>
      </c>
      <c r="AV32" s="13">
        <v>52630</v>
      </c>
      <c r="AW32" s="13">
        <v>55</v>
      </c>
      <c r="AX32" s="13">
        <v>41481</v>
      </c>
      <c r="AY32" s="13">
        <v>34494</v>
      </c>
      <c r="AZ32" s="13">
        <v>46044</v>
      </c>
      <c r="BA32" s="13">
        <v>51610</v>
      </c>
      <c r="BB32" s="13">
        <v>45199</v>
      </c>
      <c r="BC32" s="13">
        <v>28179</v>
      </c>
      <c r="BD32" s="13">
        <v>100</v>
      </c>
      <c r="BE32" s="13">
        <v>105</v>
      </c>
      <c r="BF32" s="13">
        <v>96</v>
      </c>
      <c r="BG32" s="13">
        <v>101</v>
      </c>
      <c r="BH32" s="13">
        <v>102</v>
      </c>
      <c r="BI32" s="13">
        <v>103</v>
      </c>
      <c r="BJ32" s="13">
        <v>102</v>
      </c>
      <c r="BK32" s="13">
        <v>101</v>
      </c>
      <c r="BL32" s="13">
        <v>103</v>
      </c>
      <c r="BM32" s="13">
        <v>104</v>
      </c>
      <c r="BN32" s="13">
        <v>105</v>
      </c>
      <c r="BO32" s="13">
        <v>104</v>
      </c>
      <c r="BP32" s="13">
        <v>101</v>
      </c>
      <c r="BQ32" s="13">
        <v>103</v>
      </c>
      <c r="BR32" s="13">
        <v>95</v>
      </c>
      <c r="BS32" s="13">
        <v>101</v>
      </c>
      <c r="BT32" s="13">
        <v>102</v>
      </c>
      <c r="BU32" s="13">
        <v>103</v>
      </c>
      <c r="BV32" s="13">
        <v>99</v>
      </c>
      <c r="BW32" s="13">
        <v>103</v>
      </c>
      <c r="BX32" s="328">
        <f t="shared" si="2"/>
        <v>109017546</v>
      </c>
      <c r="BY32" s="328">
        <f t="shared" si="3"/>
        <v>40792999</v>
      </c>
      <c r="BZ32" s="329">
        <f t="shared" si="0"/>
        <v>0.48096733204905134</v>
      </c>
      <c r="CA32" s="329">
        <f t="shared" si="1"/>
        <v>0.47793150937740708</v>
      </c>
    </row>
    <row r="33" spans="1:82" x14ac:dyDescent="0.25">
      <c r="A33" s="13">
        <v>1640</v>
      </c>
      <c r="B33" s="13">
        <v>32</v>
      </c>
      <c r="C33" s="13" t="s">
        <v>548</v>
      </c>
      <c r="D33" s="13">
        <v>1467643</v>
      </c>
      <c r="E33" s="13">
        <v>1526092</v>
      </c>
      <c r="F33" s="13">
        <v>1618573</v>
      </c>
      <c r="G33" s="13">
        <v>1673886</v>
      </c>
      <c r="H33" s="13">
        <v>0.7</v>
      </c>
      <c r="I33" s="13">
        <v>195</v>
      </c>
      <c r="J33" s="13">
        <v>574602</v>
      </c>
      <c r="K33" s="13">
        <v>619285</v>
      </c>
      <c r="L33" s="13">
        <v>647109</v>
      </c>
      <c r="M33" s="13">
        <v>0.9</v>
      </c>
      <c r="N33" s="13">
        <v>2.56</v>
      </c>
      <c r="O33" s="13">
        <v>400931</v>
      </c>
      <c r="P33" s="13">
        <v>426709</v>
      </c>
      <c r="Q33" s="13">
        <v>0.8</v>
      </c>
      <c r="R33" s="13">
        <v>86.4</v>
      </c>
      <c r="S33" s="13">
        <v>85.8</v>
      </c>
      <c r="T33" s="13">
        <v>12.5</v>
      </c>
      <c r="U33" s="13">
        <v>12.8</v>
      </c>
      <c r="V33" s="13">
        <v>0.8</v>
      </c>
      <c r="W33" s="13">
        <v>1</v>
      </c>
      <c r="X33" s="13">
        <v>0.5</v>
      </c>
      <c r="Y33" s="13">
        <v>0.7</v>
      </c>
      <c r="Z33" s="13">
        <v>7.3</v>
      </c>
      <c r="AA33" s="13">
        <v>7.5</v>
      </c>
      <c r="AB33" s="13">
        <v>7.2</v>
      </c>
      <c r="AC33" s="13">
        <v>7.1</v>
      </c>
      <c r="AD33" s="13">
        <v>6.5</v>
      </c>
      <c r="AE33" s="13">
        <v>31.2</v>
      </c>
      <c r="AF33" s="13">
        <v>20.9</v>
      </c>
      <c r="AG33" s="13">
        <v>10.8</v>
      </c>
      <c r="AH33" s="13">
        <v>1.5</v>
      </c>
      <c r="AI33" s="13">
        <v>73.8</v>
      </c>
      <c r="AJ33" s="13">
        <v>32.4</v>
      </c>
      <c r="AK33" s="13">
        <v>34.700000000000003</v>
      </c>
      <c r="AL33" s="13">
        <v>93.3</v>
      </c>
      <c r="AM33" s="13">
        <v>18989</v>
      </c>
      <c r="AN33" s="13">
        <v>619267</v>
      </c>
      <c r="AO33" s="13">
        <v>15.8</v>
      </c>
      <c r="AP33" s="13">
        <v>13.1</v>
      </c>
      <c r="AQ33" s="13">
        <v>33.700000000000003</v>
      </c>
      <c r="AR33" s="13">
        <v>28.8</v>
      </c>
      <c r="AS33" s="13">
        <v>6.1</v>
      </c>
      <c r="AT33" s="13">
        <v>2.5</v>
      </c>
      <c r="AU33" s="13">
        <v>39973</v>
      </c>
      <c r="AV33" s="13">
        <v>47172</v>
      </c>
      <c r="AW33" s="13">
        <v>98</v>
      </c>
      <c r="AX33" s="13">
        <v>37168</v>
      </c>
      <c r="AY33" s="13">
        <v>31772</v>
      </c>
      <c r="AZ33" s="13">
        <v>42961</v>
      </c>
      <c r="BA33" s="13">
        <v>48553</v>
      </c>
      <c r="BB33" s="13">
        <v>40429</v>
      </c>
      <c r="BC33" s="13">
        <v>24548</v>
      </c>
      <c r="BD33" s="13">
        <v>99</v>
      </c>
      <c r="BE33" s="13">
        <v>99</v>
      </c>
      <c r="BF33" s="13">
        <v>99</v>
      </c>
      <c r="BG33" s="13">
        <v>99</v>
      </c>
      <c r="BH33" s="13">
        <v>103</v>
      </c>
      <c r="BI33" s="13">
        <v>101</v>
      </c>
      <c r="BJ33" s="13">
        <v>101</v>
      </c>
      <c r="BK33" s="13">
        <v>100</v>
      </c>
      <c r="BL33" s="13">
        <v>99</v>
      </c>
      <c r="BM33" s="13">
        <v>100</v>
      </c>
      <c r="BN33" s="13">
        <v>100</v>
      </c>
      <c r="BO33" s="13">
        <v>99</v>
      </c>
      <c r="BP33" s="13">
        <v>102</v>
      </c>
      <c r="BQ33" s="13">
        <v>100</v>
      </c>
      <c r="BR33" s="13">
        <v>104</v>
      </c>
      <c r="BS33" s="13">
        <v>102</v>
      </c>
      <c r="BT33" s="13">
        <v>101</v>
      </c>
      <c r="BU33" s="13">
        <v>100</v>
      </c>
      <c r="BV33" s="13">
        <v>99</v>
      </c>
      <c r="BW33" s="13">
        <v>99</v>
      </c>
      <c r="BX33" s="328">
        <f t="shared" si="2"/>
        <v>110691432</v>
      </c>
      <c r="BY33" s="328">
        <f t="shared" si="3"/>
        <v>41440108</v>
      </c>
      <c r="BZ33" s="329">
        <f t="shared" si="0"/>
        <v>0.48835223946179257</v>
      </c>
      <c r="CA33" s="329">
        <f t="shared" si="1"/>
        <v>0.48551305005064133</v>
      </c>
    </row>
    <row r="34" spans="1:82" x14ac:dyDescent="0.25">
      <c r="A34" s="13">
        <v>3480</v>
      </c>
      <c r="B34" s="13">
        <v>33</v>
      </c>
      <c r="C34" s="13" t="s">
        <v>549</v>
      </c>
      <c r="D34" s="13">
        <v>1305911</v>
      </c>
      <c r="E34" s="13">
        <v>1380491</v>
      </c>
      <c r="F34" s="13">
        <v>1519589</v>
      </c>
      <c r="G34" s="13">
        <v>1603347</v>
      </c>
      <c r="H34" s="13">
        <v>1.2</v>
      </c>
      <c r="I34" s="13">
        <v>132</v>
      </c>
      <c r="J34" s="13">
        <v>529814</v>
      </c>
      <c r="K34" s="13">
        <v>593649</v>
      </c>
      <c r="L34" s="13">
        <v>633099</v>
      </c>
      <c r="M34" s="13">
        <v>1.4</v>
      </c>
      <c r="N34" s="13">
        <v>2.5099999999999998</v>
      </c>
      <c r="O34" s="13">
        <v>368546</v>
      </c>
      <c r="P34" s="13">
        <v>407097</v>
      </c>
      <c r="Q34" s="13">
        <v>1.2</v>
      </c>
      <c r="R34" s="13">
        <v>85.5</v>
      </c>
      <c r="S34" s="13">
        <v>84.8</v>
      </c>
      <c r="T34" s="13">
        <v>13.2</v>
      </c>
      <c r="U34" s="13">
        <v>13.5</v>
      </c>
      <c r="V34" s="13">
        <v>0.8</v>
      </c>
      <c r="W34" s="13">
        <v>1.1000000000000001</v>
      </c>
      <c r="X34" s="13">
        <v>0.9</v>
      </c>
      <c r="Y34" s="13">
        <v>1.3</v>
      </c>
      <c r="Z34" s="13">
        <v>7.2</v>
      </c>
      <c r="AA34" s="13">
        <v>7.3</v>
      </c>
      <c r="AB34" s="13">
        <v>7</v>
      </c>
      <c r="AC34" s="13">
        <v>6.8</v>
      </c>
      <c r="AD34" s="13">
        <v>6.2</v>
      </c>
      <c r="AE34" s="13">
        <v>33.1</v>
      </c>
      <c r="AF34" s="13">
        <v>21.1</v>
      </c>
      <c r="AG34" s="13">
        <v>10</v>
      </c>
      <c r="AH34" s="13">
        <v>1.3</v>
      </c>
      <c r="AI34" s="13">
        <v>74.5</v>
      </c>
      <c r="AJ34" s="13">
        <v>32.5</v>
      </c>
      <c r="AK34" s="13">
        <v>34.9</v>
      </c>
      <c r="AL34" s="13">
        <v>93.9</v>
      </c>
      <c r="AM34" s="13">
        <v>20323</v>
      </c>
      <c r="AN34" s="13">
        <v>593631</v>
      </c>
      <c r="AO34" s="13">
        <v>13</v>
      </c>
      <c r="AP34" s="13">
        <v>13</v>
      </c>
      <c r="AQ34" s="13">
        <v>33.9</v>
      </c>
      <c r="AR34" s="13">
        <v>31.2</v>
      </c>
      <c r="AS34" s="13">
        <v>6.3</v>
      </c>
      <c r="AT34" s="13">
        <v>2.7</v>
      </c>
      <c r="AU34" s="13">
        <v>41910</v>
      </c>
      <c r="AV34" s="13">
        <v>49229</v>
      </c>
      <c r="AW34" s="13">
        <v>68</v>
      </c>
      <c r="AX34" s="13">
        <v>39270</v>
      </c>
      <c r="AY34" s="13">
        <v>33091</v>
      </c>
      <c r="AZ34" s="13">
        <v>44380</v>
      </c>
      <c r="BA34" s="13">
        <v>50674</v>
      </c>
      <c r="BB34" s="13">
        <v>41297</v>
      </c>
      <c r="BC34" s="13">
        <v>24186</v>
      </c>
      <c r="BD34" s="13">
        <v>99</v>
      </c>
      <c r="BE34" s="13">
        <v>100</v>
      </c>
      <c r="BF34" s="13">
        <v>96</v>
      </c>
      <c r="BG34" s="13">
        <v>99</v>
      </c>
      <c r="BH34" s="13">
        <v>102</v>
      </c>
      <c r="BI34" s="13">
        <v>101</v>
      </c>
      <c r="BJ34" s="13">
        <v>101</v>
      </c>
      <c r="BK34" s="13">
        <v>100</v>
      </c>
      <c r="BL34" s="13">
        <v>100</v>
      </c>
      <c r="BM34" s="13">
        <v>101</v>
      </c>
      <c r="BN34" s="13">
        <v>102</v>
      </c>
      <c r="BO34" s="13">
        <v>100</v>
      </c>
      <c r="BP34" s="13">
        <v>103</v>
      </c>
      <c r="BQ34" s="13">
        <v>101</v>
      </c>
      <c r="BR34" s="13">
        <v>104</v>
      </c>
      <c r="BS34" s="13">
        <v>103</v>
      </c>
      <c r="BT34" s="13">
        <v>102</v>
      </c>
      <c r="BU34" s="13">
        <v>101</v>
      </c>
      <c r="BV34" s="13">
        <v>98</v>
      </c>
      <c r="BW34" s="13">
        <v>100</v>
      </c>
      <c r="BX34" s="328">
        <f t="shared" si="2"/>
        <v>112294779</v>
      </c>
      <c r="BY34" s="328">
        <f t="shared" si="3"/>
        <v>42073207</v>
      </c>
      <c r="BZ34" s="329">
        <f t="shared" si="0"/>
        <v>0.49542594050564887</v>
      </c>
      <c r="CA34" s="329">
        <f t="shared" si="1"/>
        <v>0.49293044931210106</v>
      </c>
    </row>
    <row r="35" spans="1:82" x14ac:dyDescent="0.25">
      <c r="A35" s="13">
        <v>4120</v>
      </c>
      <c r="B35" s="13">
        <v>34</v>
      </c>
      <c r="C35" s="13" t="s">
        <v>550</v>
      </c>
      <c r="D35" s="13">
        <v>528000</v>
      </c>
      <c r="E35" s="13">
        <v>852737</v>
      </c>
      <c r="F35" s="13">
        <v>1323894</v>
      </c>
      <c r="G35" s="13">
        <v>1607794</v>
      </c>
      <c r="H35" s="13">
        <v>5.5</v>
      </c>
      <c r="I35" s="13">
        <v>1</v>
      </c>
      <c r="J35" s="13">
        <v>330490</v>
      </c>
      <c r="K35" s="13">
        <v>514866</v>
      </c>
      <c r="L35" s="13">
        <v>625999</v>
      </c>
      <c r="M35" s="13">
        <v>5.5</v>
      </c>
      <c r="N35" s="13">
        <v>2.54</v>
      </c>
      <c r="O35" s="13">
        <v>220027</v>
      </c>
      <c r="P35" s="13">
        <v>339860</v>
      </c>
      <c r="Q35" s="13">
        <v>5.4</v>
      </c>
      <c r="R35" s="13">
        <v>83</v>
      </c>
      <c r="S35" s="13">
        <v>79.099999999999994</v>
      </c>
      <c r="T35" s="13">
        <v>8.4</v>
      </c>
      <c r="U35" s="13">
        <v>9</v>
      </c>
      <c r="V35" s="13">
        <v>3.1</v>
      </c>
      <c r="W35" s="13">
        <v>4.2</v>
      </c>
      <c r="X35" s="13">
        <v>10.4</v>
      </c>
      <c r="Y35" s="13">
        <v>15.8</v>
      </c>
      <c r="Z35" s="13">
        <v>7.4</v>
      </c>
      <c r="AA35" s="13">
        <v>7.3</v>
      </c>
      <c r="AB35" s="13">
        <v>6.7</v>
      </c>
      <c r="AC35" s="13">
        <v>6.3</v>
      </c>
      <c r="AD35" s="13">
        <v>5.8</v>
      </c>
      <c r="AE35" s="13">
        <v>31.3</v>
      </c>
      <c r="AF35" s="13">
        <v>23.1</v>
      </c>
      <c r="AG35" s="13">
        <v>11.4</v>
      </c>
      <c r="AH35" s="13">
        <v>0.8</v>
      </c>
      <c r="AI35" s="13">
        <v>74.900000000000006</v>
      </c>
      <c r="AJ35" s="13">
        <v>33.799999999999997</v>
      </c>
      <c r="AK35" s="13">
        <v>35.9</v>
      </c>
      <c r="AL35" s="13">
        <v>103.1</v>
      </c>
      <c r="AM35" s="13">
        <v>19005</v>
      </c>
      <c r="AN35" s="13">
        <v>514810</v>
      </c>
      <c r="AO35" s="13">
        <v>13.5</v>
      </c>
      <c r="AP35" s="13">
        <v>14.7</v>
      </c>
      <c r="AQ35" s="13">
        <v>35.6</v>
      </c>
      <c r="AR35" s="13">
        <v>28.6</v>
      </c>
      <c r="AS35" s="13">
        <v>5.6</v>
      </c>
      <c r="AT35" s="13">
        <v>2.1</v>
      </c>
      <c r="AU35" s="13">
        <v>39332</v>
      </c>
      <c r="AV35" s="13">
        <v>45730</v>
      </c>
      <c r="AW35" s="13">
        <v>104</v>
      </c>
      <c r="AX35" s="13">
        <v>38765</v>
      </c>
      <c r="AY35" s="13">
        <v>34292</v>
      </c>
      <c r="AZ35" s="13">
        <v>43301</v>
      </c>
      <c r="BA35" s="13">
        <v>48066</v>
      </c>
      <c r="BB35" s="13">
        <v>40338</v>
      </c>
      <c r="BC35" s="13">
        <v>27289</v>
      </c>
      <c r="BD35" s="13">
        <v>101</v>
      </c>
      <c r="BE35" s="13">
        <v>101</v>
      </c>
      <c r="BF35" s="13">
        <v>95</v>
      </c>
      <c r="BG35" s="13">
        <v>97</v>
      </c>
      <c r="BH35" s="13">
        <v>100</v>
      </c>
      <c r="BI35" s="13">
        <v>100</v>
      </c>
      <c r="BJ35" s="13">
        <v>99</v>
      </c>
      <c r="BK35" s="13">
        <v>101</v>
      </c>
      <c r="BL35" s="13">
        <v>101</v>
      </c>
      <c r="BM35" s="13">
        <v>101</v>
      </c>
      <c r="BN35" s="13">
        <v>102</v>
      </c>
      <c r="BO35" s="13">
        <v>97</v>
      </c>
      <c r="BP35" s="13">
        <v>96</v>
      </c>
      <c r="BQ35" s="13">
        <v>97</v>
      </c>
      <c r="BR35" s="13">
        <v>95</v>
      </c>
      <c r="BS35" s="13">
        <v>97</v>
      </c>
      <c r="BT35" s="13">
        <v>99</v>
      </c>
      <c r="BU35" s="13">
        <v>98</v>
      </c>
      <c r="BV35" s="13">
        <v>98</v>
      </c>
      <c r="BW35" s="13">
        <v>97</v>
      </c>
      <c r="BX35" s="328">
        <f t="shared" si="2"/>
        <v>113902573</v>
      </c>
      <c r="BY35" s="328">
        <f t="shared" si="3"/>
        <v>42699206</v>
      </c>
      <c r="BZ35" s="329">
        <f t="shared" si="0"/>
        <v>0.50251926097595623</v>
      </c>
      <c r="CA35" s="329">
        <f t="shared" si="1"/>
        <v>0.50026466484596621</v>
      </c>
    </row>
    <row r="36" spans="1:82" x14ac:dyDescent="0.25">
      <c r="A36" s="13">
        <v>5960</v>
      </c>
      <c r="B36" s="13">
        <v>35</v>
      </c>
      <c r="C36" s="13" t="s">
        <v>551</v>
      </c>
      <c r="D36" s="13">
        <v>804774</v>
      </c>
      <c r="E36" s="13">
        <v>1224852</v>
      </c>
      <c r="F36" s="13">
        <v>1503810</v>
      </c>
      <c r="G36" s="13">
        <v>1667871</v>
      </c>
      <c r="H36" s="13">
        <v>2.5</v>
      </c>
      <c r="I36" s="13">
        <v>24</v>
      </c>
      <c r="J36" s="13">
        <v>465275</v>
      </c>
      <c r="K36" s="13">
        <v>566428</v>
      </c>
      <c r="L36" s="13">
        <v>625086</v>
      </c>
      <c r="M36" s="13">
        <v>2.4</v>
      </c>
      <c r="N36" s="13">
        <v>2.59</v>
      </c>
      <c r="O36" s="13">
        <v>323858</v>
      </c>
      <c r="P36" s="13">
        <v>385596</v>
      </c>
      <c r="Q36" s="13">
        <v>2.1</v>
      </c>
      <c r="R36" s="13">
        <v>83.6</v>
      </c>
      <c r="S36" s="13">
        <v>79.8</v>
      </c>
      <c r="T36" s="13">
        <v>12</v>
      </c>
      <c r="U36" s="13">
        <v>14</v>
      </c>
      <c r="V36" s="13">
        <v>1.7</v>
      </c>
      <c r="W36" s="13">
        <v>2.7</v>
      </c>
      <c r="X36" s="13">
        <v>8.1999999999999993</v>
      </c>
      <c r="Y36" s="13">
        <v>11.7</v>
      </c>
      <c r="Z36" s="13">
        <v>7</v>
      </c>
      <c r="AA36" s="13">
        <v>7.4</v>
      </c>
      <c r="AB36" s="13">
        <v>7.1</v>
      </c>
      <c r="AC36" s="13">
        <v>6.6</v>
      </c>
      <c r="AD36" s="13">
        <v>6.7</v>
      </c>
      <c r="AE36" s="13">
        <v>31.4</v>
      </c>
      <c r="AF36" s="13">
        <v>20.5</v>
      </c>
      <c r="AG36" s="13">
        <v>11.9</v>
      </c>
      <c r="AH36" s="13">
        <v>1.4</v>
      </c>
      <c r="AI36" s="13">
        <v>74.7</v>
      </c>
      <c r="AJ36" s="13">
        <v>33.1</v>
      </c>
      <c r="AK36" s="13">
        <v>35</v>
      </c>
      <c r="AL36" s="13">
        <v>96.3</v>
      </c>
      <c r="AM36" s="13">
        <v>17466</v>
      </c>
      <c r="AN36" s="13">
        <v>566412</v>
      </c>
      <c r="AO36" s="13">
        <v>13.8</v>
      </c>
      <c r="AP36" s="13">
        <v>16.2</v>
      </c>
      <c r="AQ36" s="13">
        <v>36.9</v>
      </c>
      <c r="AR36" s="13">
        <v>26.8</v>
      </c>
      <c r="AS36" s="13">
        <v>4.5999999999999996</v>
      </c>
      <c r="AT36" s="13">
        <v>1.7</v>
      </c>
      <c r="AU36" s="13">
        <v>36960</v>
      </c>
      <c r="AV36" s="13">
        <v>42135</v>
      </c>
      <c r="AW36" s="13">
        <v>140</v>
      </c>
      <c r="AX36" s="13">
        <v>36739</v>
      </c>
      <c r="AY36" s="13">
        <v>33087</v>
      </c>
      <c r="AZ36" s="13">
        <v>40589</v>
      </c>
      <c r="BA36" s="13">
        <v>46548</v>
      </c>
      <c r="BB36" s="13">
        <v>39558</v>
      </c>
      <c r="BC36" s="13">
        <v>25670</v>
      </c>
      <c r="BD36" s="13">
        <v>100</v>
      </c>
      <c r="BE36" s="13">
        <v>103</v>
      </c>
      <c r="BF36" s="13">
        <v>96</v>
      </c>
      <c r="BG36" s="13">
        <v>99</v>
      </c>
      <c r="BH36" s="13">
        <v>102</v>
      </c>
      <c r="BI36" s="13">
        <v>103</v>
      </c>
      <c r="BJ36" s="13">
        <v>101</v>
      </c>
      <c r="BK36" s="13">
        <v>101</v>
      </c>
      <c r="BL36" s="13">
        <v>101</v>
      </c>
      <c r="BM36" s="13">
        <v>102</v>
      </c>
      <c r="BN36" s="13">
        <v>103</v>
      </c>
      <c r="BO36" s="13">
        <v>102</v>
      </c>
      <c r="BP36" s="13">
        <v>100</v>
      </c>
      <c r="BQ36" s="13">
        <v>103</v>
      </c>
      <c r="BR36" s="13">
        <v>94</v>
      </c>
      <c r="BS36" s="13">
        <v>100</v>
      </c>
      <c r="BT36" s="13">
        <v>100</v>
      </c>
      <c r="BU36" s="13">
        <v>101</v>
      </c>
      <c r="BV36" s="13">
        <v>100</v>
      </c>
      <c r="BW36" s="13">
        <v>102</v>
      </c>
      <c r="BX36" s="328">
        <f t="shared" si="2"/>
        <v>115570444</v>
      </c>
      <c r="BY36" s="328">
        <f t="shared" si="3"/>
        <v>43324292</v>
      </c>
      <c r="BZ36" s="329">
        <f t="shared" si="0"/>
        <v>0.50987763120630414</v>
      </c>
      <c r="CA36" s="329">
        <f t="shared" si="1"/>
        <v>0.5075881836554238</v>
      </c>
    </row>
    <row r="37" spans="1:82" x14ac:dyDescent="0.25">
      <c r="A37" s="13">
        <v>6920</v>
      </c>
      <c r="B37" s="13">
        <v>36</v>
      </c>
      <c r="C37" s="13" t="s">
        <v>552</v>
      </c>
      <c r="D37" s="13">
        <v>986440</v>
      </c>
      <c r="E37" s="13">
        <v>1340010</v>
      </c>
      <c r="F37" s="13">
        <v>1525153</v>
      </c>
      <c r="G37" s="13">
        <v>1632936</v>
      </c>
      <c r="H37" s="13">
        <v>1.6</v>
      </c>
      <c r="I37" s="13">
        <v>72</v>
      </c>
      <c r="J37" s="13">
        <v>505476</v>
      </c>
      <c r="K37" s="13">
        <v>576013</v>
      </c>
      <c r="L37" s="13">
        <v>616908</v>
      </c>
      <c r="M37" s="13">
        <v>1.6</v>
      </c>
      <c r="N37" s="13">
        <v>2.6</v>
      </c>
      <c r="O37" s="13">
        <v>345702</v>
      </c>
      <c r="P37" s="13">
        <v>386783</v>
      </c>
      <c r="Q37" s="13">
        <v>1.4</v>
      </c>
      <c r="R37" s="13">
        <v>79.400000000000006</v>
      </c>
      <c r="S37" s="13">
        <v>75.8</v>
      </c>
      <c r="T37" s="13">
        <v>7.4</v>
      </c>
      <c r="U37" s="13">
        <v>7.3</v>
      </c>
      <c r="V37" s="13">
        <v>7.7</v>
      </c>
      <c r="W37" s="13">
        <v>9.9</v>
      </c>
      <c r="X37" s="13">
        <v>10.8</v>
      </c>
      <c r="Y37" s="13">
        <v>14.3</v>
      </c>
      <c r="Z37" s="13">
        <v>8</v>
      </c>
      <c r="AA37" s="13">
        <v>8.3000000000000007</v>
      </c>
      <c r="AB37" s="13">
        <v>7.4</v>
      </c>
      <c r="AC37" s="13">
        <v>6.5</v>
      </c>
      <c r="AD37" s="13">
        <v>5.5</v>
      </c>
      <c r="AE37" s="13">
        <v>32.5</v>
      </c>
      <c r="AF37" s="13">
        <v>20.100000000000001</v>
      </c>
      <c r="AG37" s="13">
        <v>10.5</v>
      </c>
      <c r="AH37" s="13">
        <v>1.2</v>
      </c>
      <c r="AI37" s="13">
        <v>72.5</v>
      </c>
      <c r="AJ37" s="13">
        <v>32.6</v>
      </c>
      <c r="AK37" s="13">
        <v>34.6</v>
      </c>
      <c r="AL37" s="13">
        <v>96.2</v>
      </c>
      <c r="AM37" s="13">
        <v>19398</v>
      </c>
      <c r="AN37" s="13">
        <v>575996</v>
      </c>
      <c r="AO37" s="13">
        <v>13.7</v>
      </c>
      <c r="AP37" s="13">
        <v>12.8</v>
      </c>
      <c r="AQ37" s="13">
        <v>34.1</v>
      </c>
      <c r="AR37" s="13">
        <v>30.8</v>
      </c>
      <c r="AS37" s="13">
        <v>6.1</v>
      </c>
      <c r="AT37" s="13">
        <v>2.6</v>
      </c>
      <c r="AU37" s="13">
        <v>41507</v>
      </c>
      <c r="AV37" s="13">
        <v>46299</v>
      </c>
      <c r="AW37" s="13">
        <v>74</v>
      </c>
      <c r="AX37" s="13">
        <v>38099</v>
      </c>
      <c r="AY37" s="13">
        <v>33201</v>
      </c>
      <c r="AZ37" s="13">
        <v>42210</v>
      </c>
      <c r="BA37" s="13">
        <v>47505</v>
      </c>
      <c r="BB37" s="13">
        <v>41871</v>
      </c>
      <c r="BC37" s="13">
        <v>27095</v>
      </c>
      <c r="BD37" s="13">
        <v>102</v>
      </c>
      <c r="BE37" s="13">
        <v>105</v>
      </c>
      <c r="BF37" s="13">
        <v>99</v>
      </c>
      <c r="BG37" s="13">
        <v>101</v>
      </c>
      <c r="BH37" s="13">
        <v>101</v>
      </c>
      <c r="BI37" s="13">
        <v>102</v>
      </c>
      <c r="BJ37" s="13">
        <v>99</v>
      </c>
      <c r="BK37" s="13">
        <v>101</v>
      </c>
      <c r="BL37" s="13">
        <v>103</v>
      </c>
      <c r="BM37" s="13">
        <v>104</v>
      </c>
      <c r="BN37" s="13">
        <v>104</v>
      </c>
      <c r="BO37" s="13">
        <v>98</v>
      </c>
      <c r="BP37" s="13">
        <v>99</v>
      </c>
      <c r="BQ37" s="13">
        <v>98</v>
      </c>
      <c r="BR37" s="13">
        <v>98</v>
      </c>
      <c r="BS37" s="13">
        <v>98</v>
      </c>
      <c r="BT37" s="13">
        <v>102</v>
      </c>
      <c r="BU37" s="13">
        <v>101</v>
      </c>
      <c r="BV37" s="13">
        <v>99</v>
      </c>
      <c r="BW37" s="13">
        <v>98</v>
      </c>
      <c r="BX37" s="328">
        <f t="shared" si="2"/>
        <v>117203380</v>
      </c>
      <c r="BY37" s="328">
        <f t="shared" si="3"/>
        <v>43941200</v>
      </c>
      <c r="BZ37" s="329">
        <f t="shared" si="0"/>
        <v>0.51708187401073169</v>
      </c>
      <c r="CA37" s="329">
        <f t="shared" si="1"/>
        <v>0.51481588886991414</v>
      </c>
    </row>
    <row r="38" spans="1:82" x14ac:dyDescent="0.25">
      <c r="A38" s="13">
        <v>5483</v>
      </c>
      <c r="B38" s="13">
        <v>37</v>
      </c>
      <c r="C38" s="13" t="s">
        <v>553</v>
      </c>
      <c r="D38" s="13">
        <v>1568468</v>
      </c>
      <c r="E38" s="13">
        <v>1631864</v>
      </c>
      <c r="F38" s="13">
        <v>1627194</v>
      </c>
      <c r="G38" s="13">
        <v>1624243</v>
      </c>
      <c r="H38" s="13">
        <v>0</v>
      </c>
      <c r="I38" s="13">
        <v>281</v>
      </c>
      <c r="J38" s="13">
        <v>609741</v>
      </c>
      <c r="K38" s="13">
        <v>612444</v>
      </c>
      <c r="L38" s="13">
        <v>613559</v>
      </c>
      <c r="M38" s="13">
        <v>0.1</v>
      </c>
      <c r="N38" s="13">
        <v>2.59</v>
      </c>
      <c r="O38" s="13">
        <v>428919</v>
      </c>
      <c r="P38" s="13">
        <v>420437</v>
      </c>
      <c r="Q38" s="13">
        <v>-0.2</v>
      </c>
      <c r="R38" s="13">
        <v>85</v>
      </c>
      <c r="S38" s="13">
        <v>82.5</v>
      </c>
      <c r="T38" s="13">
        <v>10</v>
      </c>
      <c r="U38" s="13">
        <v>10.8</v>
      </c>
      <c r="V38" s="13">
        <v>1.7</v>
      </c>
      <c r="W38" s="13">
        <v>2.7</v>
      </c>
      <c r="X38" s="13">
        <v>7.5</v>
      </c>
      <c r="Y38" s="13">
        <v>9.5</v>
      </c>
      <c r="Z38" s="13">
        <v>6.6</v>
      </c>
      <c r="AA38" s="13">
        <v>7.3</v>
      </c>
      <c r="AB38" s="13">
        <v>6.5</v>
      </c>
      <c r="AC38" s="13">
        <v>6.1</v>
      </c>
      <c r="AD38" s="13">
        <v>5.3</v>
      </c>
      <c r="AE38" s="13">
        <v>31.5</v>
      </c>
      <c r="AF38" s="13">
        <v>22</v>
      </c>
      <c r="AG38" s="13">
        <v>12.8</v>
      </c>
      <c r="AH38" s="13">
        <v>1.9</v>
      </c>
      <c r="AI38" s="13">
        <v>76.2</v>
      </c>
      <c r="AJ38" s="13">
        <v>34.799999999999997</v>
      </c>
      <c r="AK38" s="13">
        <v>37.1</v>
      </c>
      <c r="AL38" s="13">
        <v>93.5</v>
      </c>
      <c r="AM38" s="13">
        <v>23224</v>
      </c>
      <c r="AN38" s="13">
        <v>612435</v>
      </c>
      <c r="AO38" s="13">
        <v>14</v>
      </c>
      <c r="AP38" s="13">
        <v>10.7</v>
      </c>
      <c r="AQ38" s="13">
        <v>29.4</v>
      </c>
      <c r="AR38" s="13">
        <v>32.1</v>
      </c>
      <c r="AS38" s="13">
        <v>7.9</v>
      </c>
      <c r="AT38" s="13">
        <v>5.9</v>
      </c>
      <c r="AU38" s="13">
        <v>46135</v>
      </c>
      <c r="AV38" s="13">
        <v>47519</v>
      </c>
      <c r="AW38" s="13">
        <v>34</v>
      </c>
      <c r="AX38" s="13">
        <v>43588</v>
      </c>
      <c r="AY38" s="13">
        <v>37886</v>
      </c>
      <c r="AZ38" s="13">
        <v>46612</v>
      </c>
      <c r="BA38" s="13">
        <v>56252</v>
      </c>
      <c r="BB38" s="13">
        <v>49654</v>
      </c>
      <c r="BC38" s="13">
        <v>26195</v>
      </c>
      <c r="BD38" s="13">
        <v>105</v>
      </c>
      <c r="BE38" s="13">
        <v>119</v>
      </c>
      <c r="BF38" s="13">
        <v>120</v>
      </c>
      <c r="BG38" s="13">
        <v>121</v>
      </c>
      <c r="BH38" s="13">
        <v>103</v>
      </c>
      <c r="BI38" s="13">
        <v>108</v>
      </c>
      <c r="BJ38" s="13">
        <v>96</v>
      </c>
      <c r="BK38" s="13">
        <v>103</v>
      </c>
      <c r="BL38" s="13">
        <v>107</v>
      </c>
      <c r="BM38" s="13">
        <v>114</v>
      </c>
      <c r="BN38" s="13">
        <v>115</v>
      </c>
      <c r="BO38" s="13">
        <v>110</v>
      </c>
      <c r="BP38" s="13">
        <v>117</v>
      </c>
      <c r="BQ38" s="13">
        <v>108</v>
      </c>
      <c r="BR38" s="13">
        <v>123</v>
      </c>
      <c r="BS38" s="13">
        <v>102</v>
      </c>
      <c r="BT38" s="13">
        <v>120</v>
      </c>
      <c r="BU38" s="13">
        <v>111</v>
      </c>
      <c r="BV38" s="13">
        <v>104</v>
      </c>
      <c r="BW38" s="13">
        <v>105</v>
      </c>
      <c r="BX38" s="328">
        <f t="shared" si="2"/>
        <v>118827623</v>
      </c>
      <c r="BY38" s="328">
        <f t="shared" si="3"/>
        <v>44554759</v>
      </c>
      <c r="BZ38" s="329">
        <f t="shared" si="0"/>
        <v>0.52424776474092061</v>
      </c>
      <c r="CA38" s="329">
        <f t="shared" si="1"/>
        <v>0.52200435714021931</v>
      </c>
    </row>
    <row r="39" spans="1:82" x14ac:dyDescent="0.25">
      <c r="A39" s="13">
        <v>1840</v>
      </c>
      <c r="B39" s="13">
        <v>38</v>
      </c>
      <c r="C39" s="13" t="s">
        <v>554</v>
      </c>
      <c r="D39" s="13">
        <v>1214291</v>
      </c>
      <c r="E39" s="13">
        <v>1345450</v>
      </c>
      <c r="F39" s="13">
        <v>1473863</v>
      </c>
      <c r="G39" s="13">
        <v>1549635</v>
      </c>
      <c r="H39" s="13">
        <v>1.1000000000000001</v>
      </c>
      <c r="I39" s="13">
        <v>145</v>
      </c>
      <c r="J39" s="13">
        <v>513498</v>
      </c>
      <c r="K39" s="13">
        <v>572351</v>
      </c>
      <c r="L39" s="13">
        <v>608746</v>
      </c>
      <c r="M39" s="13">
        <v>1.3</v>
      </c>
      <c r="N39" s="13">
        <v>2.5</v>
      </c>
      <c r="O39" s="13">
        <v>346124</v>
      </c>
      <c r="P39" s="13">
        <v>379412</v>
      </c>
      <c r="Q39" s="13">
        <v>1.1000000000000001</v>
      </c>
      <c r="R39" s="13">
        <v>85.8</v>
      </c>
      <c r="S39" s="13">
        <v>84.1</v>
      </c>
      <c r="T39" s="13">
        <v>12.1</v>
      </c>
      <c r="U39" s="13">
        <v>13.2</v>
      </c>
      <c r="V39" s="13">
        <v>1.6</v>
      </c>
      <c r="W39" s="13">
        <v>2</v>
      </c>
      <c r="X39" s="13">
        <v>0.8</v>
      </c>
      <c r="Y39" s="13">
        <v>1.1000000000000001</v>
      </c>
      <c r="Z39" s="13">
        <v>6.8</v>
      </c>
      <c r="AA39" s="13">
        <v>7.2</v>
      </c>
      <c r="AB39" s="13">
        <v>6.8</v>
      </c>
      <c r="AC39" s="13">
        <v>7.1</v>
      </c>
      <c r="AD39" s="13">
        <v>7.8</v>
      </c>
      <c r="AE39" s="13">
        <v>33.4</v>
      </c>
      <c r="AF39" s="13">
        <v>20.3</v>
      </c>
      <c r="AG39" s="13">
        <v>9.3000000000000007</v>
      </c>
      <c r="AH39" s="13">
        <v>1.2</v>
      </c>
      <c r="AI39" s="13">
        <v>75.400000000000006</v>
      </c>
      <c r="AJ39" s="13">
        <v>31.5</v>
      </c>
      <c r="AK39" s="13">
        <v>33.799999999999997</v>
      </c>
      <c r="AL39" s="13">
        <v>96.1</v>
      </c>
      <c r="AM39" s="13">
        <v>18749</v>
      </c>
      <c r="AN39" s="13">
        <v>572343</v>
      </c>
      <c r="AO39" s="13">
        <v>14.7</v>
      </c>
      <c r="AP39" s="13">
        <v>14</v>
      </c>
      <c r="AQ39" s="13">
        <v>35.299999999999997</v>
      </c>
      <c r="AR39" s="13">
        <v>28.7</v>
      </c>
      <c r="AS39" s="13">
        <v>5.3</v>
      </c>
      <c r="AT39" s="13">
        <v>2</v>
      </c>
      <c r="AU39" s="13">
        <v>39186</v>
      </c>
      <c r="AV39" s="13">
        <v>44943</v>
      </c>
      <c r="AW39" s="13">
        <v>106</v>
      </c>
      <c r="AX39" s="13">
        <v>35990</v>
      </c>
      <c r="AY39" s="13">
        <v>30334</v>
      </c>
      <c r="AZ39" s="13">
        <v>41742</v>
      </c>
      <c r="BA39" s="13">
        <v>46895</v>
      </c>
      <c r="BB39" s="13">
        <v>39029</v>
      </c>
      <c r="BC39" s="13">
        <v>24075</v>
      </c>
      <c r="BD39" s="13">
        <v>99</v>
      </c>
      <c r="BE39" s="13">
        <v>102</v>
      </c>
      <c r="BF39" s="13">
        <v>97</v>
      </c>
      <c r="BG39" s="13">
        <v>101</v>
      </c>
      <c r="BH39" s="13">
        <v>102</v>
      </c>
      <c r="BI39" s="13">
        <v>101</v>
      </c>
      <c r="BJ39" s="13">
        <v>100</v>
      </c>
      <c r="BK39" s="13">
        <v>100</v>
      </c>
      <c r="BL39" s="13">
        <v>100</v>
      </c>
      <c r="BM39" s="13">
        <v>101</v>
      </c>
      <c r="BN39" s="13">
        <v>102</v>
      </c>
      <c r="BO39" s="13">
        <v>100</v>
      </c>
      <c r="BP39" s="13">
        <v>103</v>
      </c>
      <c r="BQ39" s="13">
        <v>101</v>
      </c>
      <c r="BR39" s="13">
        <v>105</v>
      </c>
      <c r="BS39" s="13">
        <v>102</v>
      </c>
      <c r="BT39" s="13">
        <v>103</v>
      </c>
      <c r="BU39" s="13">
        <v>101</v>
      </c>
      <c r="BV39" s="13">
        <v>98</v>
      </c>
      <c r="BW39" s="13">
        <v>100</v>
      </c>
      <c r="BX39" s="328">
        <f t="shared" si="2"/>
        <v>120377258</v>
      </c>
      <c r="BY39" s="328">
        <f t="shared" si="3"/>
        <v>45163505</v>
      </c>
      <c r="BZ39" s="329">
        <f t="shared" si="0"/>
        <v>0.53108449734908103</v>
      </c>
      <c r="CA39" s="329">
        <f t="shared" si="1"/>
        <v>0.5291364362160299</v>
      </c>
    </row>
    <row r="40" spans="1:82" x14ac:dyDescent="0.25">
      <c r="A40" s="13">
        <v>7240</v>
      </c>
      <c r="B40" s="13">
        <v>39</v>
      </c>
      <c r="C40" s="13" t="s">
        <v>555</v>
      </c>
      <c r="D40" s="13">
        <v>1088881</v>
      </c>
      <c r="E40" s="13">
        <v>1324749</v>
      </c>
      <c r="F40" s="13">
        <v>1538550</v>
      </c>
      <c r="G40" s="13">
        <v>1672273</v>
      </c>
      <c r="H40" s="13">
        <v>1.8</v>
      </c>
      <c r="I40" s="13">
        <v>62</v>
      </c>
      <c r="J40" s="13">
        <v>458502</v>
      </c>
      <c r="K40" s="13">
        <v>549251</v>
      </c>
      <c r="L40" s="13">
        <v>607082</v>
      </c>
      <c r="M40" s="13">
        <v>2.2000000000000002</v>
      </c>
      <c r="N40" s="13">
        <v>2.75</v>
      </c>
      <c r="O40" s="13">
        <v>335617</v>
      </c>
      <c r="P40" s="13">
        <v>395755</v>
      </c>
      <c r="Q40" s="13">
        <v>2</v>
      </c>
      <c r="R40" s="13">
        <v>75.3</v>
      </c>
      <c r="S40" s="13">
        <v>73.099999999999994</v>
      </c>
      <c r="T40" s="13">
        <v>6.7</v>
      </c>
      <c r="U40" s="13">
        <v>6.4</v>
      </c>
      <c r="V40" s="13">
        <v>1.2</v>
      </c>
      <c r="W40" s="13">
        <v>1.7</v>
      </c>
      <c r="X40" s="13">
        <v>47.4</v>
      </c>
      <c r="Y40" s="13">
        <v>53.5</v>
      </c>
      <c r="Z40" s="13">
        <v>8.3000000000000007</v>
      </c>
      <c r="AA40" s="13">
        <v>8</v>
      </c>
      <c r="AB40" s="13">
        <v>7.7</v>
      </c>
      <c r="AC40" s="13">
        <v>7.8</v>
      </c>
      <c r="AD40" s="13">
        <v>7.1</v>
      </c>
      <c r="AE40" s="13">
        <v>30.5</v>
      </c>
      <c r="AF40" s="13">
        <v>19.899999999999999</v>
      </c>
      <c r="AG40" s="13">
        <v>9.5</v>
      </c>
      <c r="AH40" s="13">
        <v>1.1000000000000001</v>
      </c>
      <c r="AI40" s="13">
        <v>71.400000000000006</v>
      </c>
      <c r="AJ40" s="13">
        <v>30.4</v>
      </c>
      <c r="AK40" s="13">
        <v>32.6</v>
      </c>
      <c r="AL40" s="13">
        <v>94.8</v>
      </c>
      <c r="AM40" s="13">
        <v>15324</v>
      </c>
      <c r="AN40" s="13">
        <v>549235</v>
      </c>
      <c r="AO40" s="13">
        <v>19.399999999999999</v>
      </c>
      <c r="AP40" s="13">
        <v>16.8</v>
      </c>
      <c r="AQ40" s="13">
        <v>34.200000000000003</v>
      </c>
      <c r="AR40" s="13">
        <v>23.6</v>
      </c>
      <c r="AS40" s="13">
        <v>4.2</v>
      </c>
      <c r="AT40" s="13">
        <v>1.7</v>
      </c>
      <c r="AU40" s="13">
        <v>33595</v>
      </c>
      <c r="AV40" s="13">
        <v>38848</v>
      </c>
      <c r="AW40" s="13">
        <v>206</v>
      </c>
      <c r="AX40" s="13">
        <v>34016</v>
      </c>
      <c r="AY40" s="13">
        <v>27429</v>
      </c>
      <c r="AZ40" s="13">
        <v>37520</v>
      </c>
      <c r="BA40" s="13">
        <v>42005</v>
      </c>
      <c r="BB40" s="13">
        <v>36828</v>
      </c>
      <c r="BC40" s="13">
        <v>26511</v>
      </c>
      <c r="BD40" s="13">
        <v>99</v>
      </c>
      <c r="BE40" s="13">
        <v>101</v>
      </c>
      <c r="BF40" s="13">
        <v>96</v>
      </c>
      <c r="BG40" s="13">
        <v>97</v>
      </c>
      <c r="BH40" s="13">
        <v>100</v>
      </c>
      <c r="BI40" s="13">
        <v>101</v>
      </c>
      <c r="BJ40" s="13">
        <v>101</v>
      </c>
      <c r="BK40" s="13">
        <v>101</v>
      </c>
      <c r="BL40" s="13">
        <v>101</v>
      </c>
      <c r="BM40" s="13">
        <v>100</v>
      </c>
      <c r="BN40" s="13">
        <v>101</v>
      </c>
      <c r="BO40" s="13">
        <v>100</v>
      </c>
      <c r="BP40" s="13">
        <v>98</v>
      </c>
      <c r="BQ40" s="13">
        <v>101</v>
      </c>
      <c r="BR40" s="13">
        <v>93</v>
      </c>
      <c r="BS40" s="13">
        <v>100</v>
      </c>
      <c r="BT40" s="13">
        <v>97</v>
      </c>
      <c r="BU40" s="13">
        <v>101</v>
      </c>
      <c r="BV40" s="13">
        <v>99</v>
      </c>
      <c r="BW40" s="13">
        <v>102</v>
      </c>
      <c r="BX40" s="328">
        <f t="shared" si="2"/>
        <v>122049531</v>
      </c>
      <c r="BY40" s="328">
        <f t="shared" si="3"/>
        <v>45770587</v>
      </c>
      <c r="BZ40" s="329">
        <f t="shared" si="0"/>
        <v>0.53846228847334343</v>
      </c>
      <c r="CA40" s="329">
        <f t="shared" si="1"/>
        <v>0.53624901983793649</v>
      </c>
    </row>
    <row r="41" spans="1:82" x14ac:dyDescent="0.25">
      <c r="A41" s="13">
        <v>5720</v>
      </c>
      <c r="B41" s="13">
        <v>40</v>
      </c>
      <c r="C41" s="13" t="s">
        <v>556</v>
      </c>
      <c r="D41" s="13">
        <v>1200998</v>
      </c>
      <c r="E41" s="13">
        <v>1443244</v>
      </c>
      <c r="F41" s="13">
        <v>1555210</v>
      </c>
      <c r="G41" s="13">
        <v>1631709</v>
      </c>
      <c r="H41" s="13">
        <v>0.9</v>
      </c>
      <c r="I41" s="13">
        <v>179</v>
      </c>
      <c r="J41" s="13">
        <v>511136</v>
      </c>
      <c r="K41" s="13">
        <v>566348</v>
      </c>
      <c r="L41" s="13">
        <v>600767</v>
      </c>
      <c r="M41" s="13">
        <v>1.3</v>
      </c>
      <c r="N41" s="13">
        <v>2.65</v>
      </c>
      <c r="O41" s="13">
        <v>371603</v>
      </c>
      <c r="P41" s="13">
        <v>406715</v>
      </c>
      <c r="Q41" s="13">
        <v>1.1000000000000001</v>
      </c>
      <c r="R41" s="13">
        <v>68.099999999999994</v>
      </c>
      <c r="S41" s="13">
        <v>65.2</v>
      </c>
      <c r="T41" s="13">
        <v>28.3</v>
      </c>
      <c r="U41" s="13">
        <v>30.1</v>
      </c>
      <c r="V41" s="13">
        <v>2.4</v>
      </c>
      <c r="W41" s="13">
        <v>3.3</v>
      </c>
      <c r="X41" s="13">
        <v>2.2999999999999998</v>
      </c>
      <c r="Y41" s="13">
        <v>3.1</v>
      </c>
      <c r="Z41" s="13">
        <v>7.8</v>
      </c>
      <c r="AA41" s="13">
        <v>7.8</v>
      </c>
      <c r="AB41" s="13">
        <v>7</v>
      </c>
      <c r="AC41" s="13">
        <v>7</v>
      </c>
      <c r="AD41" s="13">
        <v>8.1999999999999993</v>
      </c>
      <c r="AE41" s="13">
        <v>33.700000000000003</v>
      </c>
      <c r="AF41" s="13">
        <v>18.7</v>
      </c>
      <c r="AG41" s="13">
        <v>8.8000000000000007</v>
      </c>
      <c r="AH41" s="13">
        <v>0.9</v>
      </c>
      <c r="AI41" s="13">
        <v>73.599999999999994</v>
      </c>
      <c r="AJ41" s="13">
        <v>29.8</v>
      </c>
      <c r="AK41" s="13">
        <v>32.1</v>
      </c>
      <c r="AL41" s="13">
        <v>98</v>
      </c>
      <c r="AM41" s="13">
        <v>16320</v>
      </c>
      <c r="AN41" s="13">
        <v>566337</v>
      </c>
      <c r="AO41" s="13">
        <v>14.5</v>
      </c>
      <c r="AP41" s="13">
        <v>15.6</v>
      </c>
      <c r="AQ41" s="13">
        <v>37.799999999999997</v>
      </c>
      <c r="AR41" s="13">
        <v>27.2</v>
      </c>
      <c r="AS41" s="13">
        <v>3.7</v>
      </c>
      <c r="AT41" s="13">
        <v>1.2</v>
      </c>
      <c r="AU41" s="13">
        <v>36850</v>
      </c>
      <c r="AV41" s="13">
        <v>41290</v>
      </c>
      <c r="AW41" s="13">
        <v>142</v>
      </c>
      <c r="AX41" s="13">
        <v>33192</v>
      </c>
      <c r="AY41" s="13">
        <v>28006</v>
      </c>
      <c r="AZ41" s="13">
        <v>36344</v>
      </c>
      <c r="BA41" s="13">
        <v>42911</v>
      </c>
      <c r="BB41" s="13">
        <v>38188</v>
      </c>
      <c r="BC41" s="13">
        <v>23801</v>
      </c>
      <c r="BD41" s="13">
        <v>98</v>
      </c>
      <c r="BE41" s="13">
        <v>100</v>
      </c>
      <c r="BF41" s="13">
        <v>94</v>
      </c>
      <c r="BG41" s="13">
        <v>95</v>
      </c>
      <c r="BH41" s="13">
        <v>101</v>
      </c>
      <c r="BI41" s="13">
        <v>99</v>
      </c>
      <c r="BJ41" s="13">
        <v>98</v>
      </c>
      <c r="BK41" s="13">
        <v>99</v>
      </c>
      <c r="BL41" s="13">
        <v>100</v>
      </c>
      <c r="BM41" s="13">
        <v>99</v>
      </c>
      <c r="BN41" s="13">
        <v>100</v>
      </c>
      <c r="BO41" s="13">
        <v>99</v>
      </c>
      <c r="BP41" s="13">
        <v>97</v>
      </c>
      <c r="BQ41" s="13">
        <v>100</v>
      </c>
      <c r="BR41" s="13">
        <v>92</v>
      </c>
      <c r="BS41" s="13">
        <v>100</v>
      </c>
      <c r="BT41" s="13">
        <v>98</v>
      </c>
      <c r="BU41" s="13">
        <v>100</v>
      </c>
      <c r="BV41" s="13">
        <v>96</v>
      </c>
      <c r="BW41" s="13">
        <v>100</v>
      </c>
      <c r="BX41" s="328">
        <f t="shared" si="2"/>
        <v>123681240</v>
      </c>
      <c r="BY41" s="328">
        <f t="shared" si="3"/>
        <v>46371354</v>
      </c>
      <c r="BZ41" s="329">
        <f t="shared" si="0"/>
        <v>0.54566111795727279</v>
      </c>
      <c r="CA41" s="329">
        <f t="shared" si="1"/>
        <v>0.54328761680635596</v>
      </c>
    </row>
    <row r="42" spans="1:82" x14ac:dyDescent="0.25">
      <c r="A42" s="13">
        <v>7400</v>
      </c>
      <c r="B42" s="13">
        <v>41</v>
      </c>
      <c r="C42" s="13" t="s">
        <v>557</v>
      </c>
      <c r="D42" s="13">
        <v>1295071</v>
      </c>
      <c r="E42" s="13">
        <v>1497577</v>
      </c>
      <c r="F42" s="13">
        <v>1629029</v>
      </c>
      <c r="G42" s="13">
        <v>1711789</v>
      </c>
      <c r="H42" s="13">
        <v>1</v>
      </c>
      <c r="I42" s="13">
        <v>159</v>
      </c>
      <c r="J42" s="13">
        <v>520180</v>
      </c>
      <c r="K42" s="13">
        <v>566531</v>
      </c>
      <c r="L42" s="13">
        <v>595500</v>
      </c>
      <c r="M42" s="13">
        <v>1</v>
      </c>
      <c r="N42" s="13">
        <v>2.82</v>
      </c>
      <c r="O42" s="13">
        <v>359677</v>
      </c>
      <c r="P42" s="13">
        <v>385467</v>
      </c>
      <c r="Q42" s="13">
        <v>0.8</v>
      </c>
      <c r="R42" s="13">
        <v>68.900000000000006</v>
      </c>
      <c r="S42" s="13">
        <v>62.5</v>
      </c>
      <c r="T42" s="13">
        <v>3.8</v>
      </c>
      <c r="U42" s="13">
        <v>3.6</v>
      </c>
      <c r="V42" s="13">
        <v>17.5</v>
      </c>
      <c r="W42" s="13">
        <v>21.7</v>
      </c>
      <c r="X42" s="13">
        <v>21</v>
      </c>
      <c r="Y42" s="13">
        <v>26.1</v>
      </c>
      <c r="Z42" s="13">
        <v>7.8</v>
      </c>
      <c r="AA42" s="13">
        <v>7.4</v>
      </c>
      <c r="AB42" s="13">
        <v>6.5</v>
      </c>
      <c r="AC42" s="13">
        <v>6.6</v>
      </c>
      <c r="AD42" s="13">
        <v>6.8</v>
      </c>
      <c r="AE42" s="13">
        <v>35.299999999999997</v>
      </c>
      <c r="AF42" s="13">
        <v>20.5</v>
      </c>
      <c r="AG42" s="13">
        <v>8.1999999999999993</v>
      </c>
      <c r="AH42" s="13">
        <v>1</v>
      </c>
      <c r="AI42" s="13">
        <v>74.8</v>
      </c>
      <c r="AJ42" s="13">
        <v>31.9</v>
      </c>
      <c r="AK42" s="13">
        <v>33.4</v>
      </c>
      <c r="AL42" s="13">
        <v>102.2</v>
      </c>
      <c r="AM42" s="13">
        <v>26920</v>
      </c>
      <c r="AN42" s="13">
        <v>566489</v>
      </c>
      <c r="AO42" s="13">
        <v>6.9</v>
      </c>
      <c r="AP42" s="13">
        <v>6.1</v>
      </c>
      <c r="AQ42" s="13">
        <v>23.7</v>
      </c>
      <c r="AR42" s="13">
        <v>40.9</v>
      </c>
      <c r="AS42" s="13">
        <v>14.9</v>
      </c>
      <c r="AT42" s="13">
        <v>7.5</v>
      </c>
      <c r="AU42" s="13">
        <v>62528</v>
      </c>
      <c r="AV42" s="13">
        <v>69576</v>
      </c>
      <c r="AW42" s="13">
        <v>2</v>
      </c>
      <c r="AX42" s="13">
        <v>53689</v>
      </c>
      <c r="AY42" s="13">
        <v>47355</v>
      </c>
      <c r="AZ42" s="13">
        <v>56783</v>
      </c>
      <c r="BA42" s="13">
        <v>64298</v>
      </c>
      <c r="BB42" s="13">
        <v>58340</v>
      </c>
      <c r="BC42" s="13">
        <v>36457</v>
      </c>
      <c r="BD42" s="13">
        <v>105</v>
      </c>
      <c r="BE42" s="13">
        <v>132</v>
      </c>
      <c r="BF42" s="13">
        <v>117</v>
      </c>
      <c r="BG42" s="13">
        <v>120</v>
      </c>
      <c r="BH42" s="13">
        <v>108</v>
      </c>
      <c r="BI42" s="13">
        <v>114</v>
      </c>
      <c r="BJ42" s="13">
        <v>99</v>
      </c>
      <c r="BK42" s="13">
        <v>105</v>
      </c>
      <c r="BL42" s="13">
        <v>114</v>
      </c>
      <c r="BM42" s="13">
        <v>113</v>
      </c>
      <c r="BN42" s="13">
        <v>120</v>
      </c>
      <c r="BO42" s="13">
        <v>105</v>
      </c>
      <c r="BP42" s="13">
        <v>113</v>
      </c>
      <c r="BQ42" s="13">
        <v>102</v>
      </c>
      <c r="BR42" s="13">
        <v>116</v>
      </c>
      <c r="BS42" s="13">
        <v>102</v>
      </c>
      <c r="BT42" s="13">
        <v>116</v>
      </c>
      <c r="BU42" s="13">
        <v>115</v>
      </c>
      <c r="BV42" s="13">
        <v>102</v>
      </c>
      <c r="BW42" s="13">
        <v>104</v>
      </c>
      <c r="BX42" s="328">
        <f t="shared" si="2"/>
        <v>125393029</v>
      </c>
      <c r="BY42" s="328">
        <f t="shared" si="3"/>
        <v>46966854</v>
      </c>
      <c r="BZ42" s="329">
        <f t="shared" si="0"/>
        <v>0.55321324711968223</v>
      </c>
      <c r="CA42" s="329">
        <f t="shared" si="1"/>
        <v>0.55026450550812178</v>
      </c>
      <c r="CC42" s="13" t="s">
        <v>558</v>
      </c>
      <c r="CD42" s="328" t="s">
        <v>559</v>
      </c>
    </row>
    <row r="43" spans="1:82" x14ac:dyDescent="0.25">
      <c r="A43" s="13">
        <v>1520</v>
      </c>
      <c r="B43" s="13">
        <v>42</v>
      </c>
      <c r="C43" s="13" t="s">
        <v>560</v>
      </c>
      <c r="D43" s="13">
        <v>971447</v>
      </c>
      <c r="E43" s="13">
        <v>1162093</v>
      </c>
      <c r="F43" s="13">
        <v>1383071</v>
      </c>
      <c r="G43" s="13">
        <v>1515306</v>
      </c>
      <c r="H43" s="13">
        <v>2.1</v>
      </c>
      <c r="I43" s="13">
        <v>43</v>
      </c>
      <c r="J43" s="13">
        <v>440670</v>
      </c>
      <c r="K43" s="13">
        <v>531956</v>
      </c>
      <c r="L43" s="13">
        <v>588321</v>
      </c>
      <c r="M43" s="13">
        <v>2.2999999999999998</v>
      </c>
      <c r="N43" s="13">
        <v>2.5499999999999998</v>
      </c>
      <c r="O43" s="13">
        <v>317636</v>
      </c>
      <c r="P43" s="13">
        <v>375725</v>
      </c>
      <c r="Q43" s="13">
        <v>2.1</v>
      </c>
      <c r="R43" s="13">
        <v>78.5</v>
      </c>
      <c r="S43" s="13">
        <v>77</v>
      </c>
      <c r="T43" s="13">
        <v>19.899999999999999</v>
      </c>
      <c r="U43" s="13">
        <v>20.5</v>
      </c>
      <c r="V43" s="13">
        <v>1</v>
      </c>
      <c r="W43" s="13">
        <v>1.6</v>
      </c>
      <c r="X43" s="13">
        <v>0.9</v>
      </c>
      <c r="Y43" s="13">
        <v>2</v>
      </c>
      <c r="Z43" s="13">
        <v>7.1</v>
      </c>
      <c r="AA43" s="13">
        <v>7.6</v>
      </c>
      <c r="AB43" s="13">
        <v>6.8</v>
      </c>
      <c r="AC43" s="13">
        <v>6.5</v>
      </c>
      <c r="AD43" s="13">
        <v>6.3</v>
      </c>
      <c r="AE43" s="13">
        <v>32.799999999999997</v>
      </c>
      <c r="AF43" s="13">
        <v>21.7</v>
      </c>
      <c r="AG43" s="13">
        <v>10.1</v>
      </c>
      <c r="AH43" s="13">
        <v>1.1000000000000001</v>
      </c>
      <c r="AI43" s="13">
        <v>74.900000000000006</v>
      </c>
      <c r="AJ43" s="13">
        <v>32.799999999999997</v>
      </c>
      <c r="AK43" s="13">
        <v>34.9</v>
      </c>
      <c r="AL43" s="13">
        <v>93.8</v>
      </c>
      <c r="AM43" s="13">
        <v>19902</v>
      </c>
      <c r="AN43" s="13">
        <v>531937</v>
      </c>
      <c r="AO43" s="13">
        <v>12.6</v>
      </c>
      <c r="AP43" s="13">
        <v>12.9</v>
      </c>
      <c r="AQ43" s="13">
        <v>34.4</v>
      </c>
      <c r="AR43" s="13">
        <v>31.2</v>
      </c>
      <c r="AS43" s="13">
        <v>6.5</v>
      </c>
      <c r="AT43" s="13">
        <v>2.5</v>
      </c>
      <c r="AU43" s="13">
        <v>41964</v>
      </c>
      <c r="AV43" s="13">
        <v>50625</v>
      </c>
      <c r="AW43" s="13">
        <v>66</v>
      </c>
      <c r="AX43" s="13">
        <v>38468</v>
      </c>
      <c r="AY43" s="13">
        <v>34427</v>
      </c>
      <c r="AZ43" s="13">
        <v>44284</v>
      </c>
      <c r="BA43" s="13">
        <v>48152</v>
      </c>
      <c r="BB43" s="13">
        <v>40373</v>
      </c>
      <c r="BC43" s="13">
        <v>23646</v>
      </c>
      <c r="BD43" s="13">
        <v>100</v>
      </c>
      <c r="BE43" s="13">
        <v>97</v>
      </c>
      <c r="BF43" s="13">
        <v>95</v>
      </c>
      <c r="BG43" s="13">
        <v>97</v>
      </c>
      <c r="BH43" s="13">
        <v>102</v>
      </c>
      <c r="BI43" s="13">
        <v>101</v>
      </c>
      <c r="BJ43" s="13">
        <v>106</v>
      </c>
      <c r="BK43" s="13">
        <v>100</v>
      </c>
      <c r="BL43" s="13">
        <v>100</v>
      </c>
      <c r="BM43" s="13">
        <v>99</v>
      </c>
      <c r="BN43" s="13">
        <v>99</v>
      </c>
      <c r="BO43" s="13">
        <v>101</v>
      </c>
      <c r="BP43" s="13">
        <v>98</v>
      </c>
      <c r="BQ43" s="13">
        <v>102</v>
      </c>
      <c r="BR43" s="13">
        <v>91</v>
      </c>
      <c r="BS43" s="13">
        <v>100</v>
      </c>
      <c r="BT43" s="13">
        <v>98</v>
      </c>
      <c r="BU43" s="13">
        <v>100</v>
      </c>
      <c r="BV43" s="13">
        <v>99</v>
      </c>
      <c r="BW43" s="13">
        <v>101</v>
      </c>
      <c r="BX43" s="328">
        <f t="shared" si="2"/>
        <v>126908335</v>
      </c>
      <c r="BY43" s="328">
        <f t="shared" si="3"/>
        <v>47555175</v>
      </c>
      <c r="BZ43" s="329">
        <f t="shared" si="0"/>
        <v>0.55989852587341538</v>
      </c>
      <c r="CA43" s="329">
        <f t="shared" si="1"/>
        <v>0.55715728491687344</v>
      </c>
      <c r="CB43" s="49" t="s">
        <v>561</v>
      </c>
      <c r="CC43" s="328">
        <f>SUM(G2:G320)</f>
        <v>226663099</v>
      </c>
      <c r="CD43" s="328">
        <f>SUM(L2:L320)</f>
        <v>85353232</v>
      </c>
    </row>
    <row r="44" spans="1:82" x14ac:dyDescent="0.25">
      <c r="A44" s="13">
        <v>5080</v>
      </c>
      <c r="B44" s="13">
        <v>43</v>
      </c>
      <c r="C44" s="13" t="s">
        <v>562</v>
      </c>
      <c r="D44" s="13">
        <v>1397020</v>
      </c>
      <c r="E44" s="13">
        <v>1432149</v>
      </c>
      <c r="F44" s="13">
        <v>1451562</v>
      </c>
      <c r="G44" s="13">
        <v>1463658</v>
      </c>
      <c r="H44" s="13">
        <v>0.2</v>
      </c>
      <c r="I44" s="13">
        <v>260</v>
      </c>
      <c r="J44" s="13">
        <v>537722</v>
      </c>
      <c r="K44" s="13">
        <v>552655</v>
      </c>
      <c r="L44" s="13">
        <v>562103</v>
      </c>
      <c r="M44" s="13">
        <v>0.3</v>
      </c>
      <c r="N44" s="13">
        <v>2.57</v>
      </c>
      <c r="O44" s="13">
        <v>369799</v>
      </c>
      <c r="P44" s="13">
        <v>375207</v>
      </c>
      <c r="Q44" s="13">
        <v>0.2</v>
      </c>
      <c r="R44" s="13">
        <v>82.6</v>
      </c>
      <c r="S44" s="13">
        <v>80.2</v>
      </c>
      <c r="T44" s="13">
        <v>13.8</v>
      </c>
      <c r="U44" s="13">
        <v>15.3</v>
      </c>
      <c r="V44" s="13">
        <v>1.3</v>
      </c>
      <c r="W44" s="13">
        <v>1.8</v>
      </c>
      <c r="X44" s="13">
        <v>3.6</v>
      </c>
      <c r="Y44" s="13">
        <v>4.7</v>
      </c>
      <c r="Z44" s="13">
        <v>6.6</v>
      </c>
      <c r="AA44" s="13">
        <v>7.3</v>
      </c>
      <c r="AB44" s="13">
        <v>7.4</v>
      </c>
      <c r="AC44" s="13">
        <v>7.3</v>
      </c>
      <c r="AD44" s="13">
        <v>6.3</v>
      </c>
      <c r="AE44" s="13">
        <v>31.4</v>
      </c>
      <c r="AF44" s="13">
        <v>21.1</v>
      </c>
      <c r="AG44" s="13">
        <v>10.9</v>
      </c>
      <c r="AH44" s="13">
        <v>1.6</v>
      </c>
      <c r="AI44" s="13">
        <v>74.3</v>
      </c>
      <c r="AJ44" s="13">
        <v>32.799999999999997</v>
      </c>
      <c r="AK44" s="13">
        <v>35.200000000000003</v>
      </c>
      <c r="AL44" s="13">
        <v>93.9</v>
      </c>
      <c r="AM44" s="13">
        <v>20528</v>
      </c>
      <c r="AN44" s="13">
        <v>552631</v>
      </c>
      <c r="AO44" s="13">
        <v>13</v>
      </c>
      <c r="AP44" s="13">
        <v>11.2</v>
      </c>
      <c r="AQ44" s="13">
        <v>34</v>
      </c>
      <c r="AR44" s="13">
        <v>31.9</v>
      </c>
      <c r="AS44" s="13">
        <v>7</v>
      </c>
      <c r="AT44" s="13">
        <v>3</v>
      </c>
      <c r="AU44" s="13">
        <v>43722</v>
      </c>
      <c r="AV44" s="13">
        <v>50972</v>
      </c>
      <c r="AW44" s="13">
        <v>48</v>
      </c>
      <c r="AX44" s="13">
        <v>36254</v>
      </c>
      <c r="AY44" s="13">
        <v>30324</v>
      </c>
      <c r="AZ44" s="13">
        <v>40235</v>
      </c>
      <c r="BA44" s="13">
        <v>46719</v>
      </c>
      <c r="BB44" s="13">
        <v>41614</v>
      </c>
      <c r="BC44" s="13">
        <v>24791</v>
      </c>
      <c r="BD44" s="13">
        <v>99</v>
      </c>
      <c r="BE44" s="13">
        <v>103</v>
      </c>
      <c r="BF44" s="13">
        <v>104</v>
      </c>
      <c r="BG44" s="13">
        <v>102</v>
      </c>
      <c r="BH44" s="13">
        <v>105</v>
      </c>
      <c r="BI44" s="13">
        <v>104</v>
      </c>
      <c r="BJ44" s="13">
        <v>100</v>
      </c>
      <c r="BK44" s="13">
        <v>100</v>
      </c>
      <c r="BL44" s="13">
        <v>99</v>
      </c>
      <c r="BM44" s="13">
        <v>103</v>
      </c>
      <c r="BN44" s="13">
        <v>103</v>
      </c>
      <c r="BO44" s="13">
        <v>100</v>
      </c>
      <c r="BP44" s="13">
        <v>105</v>
      </c>
      <c r="BQ44" s="13">
        <v>101</v>
      </c>
      <c r="BR44" s="13">
        <v>108</v>
      </c>
      <c r="BS44" s="13">
        <v>102</v>
      </c>
      <c r="BT44" s="13">
        <v>104</v>
      </c>
      <c r="BU44" s="13">
        <v>102</v>
      </c>
      <c r="BV44" s="13">
        <v>99</v>
      </c>
      <c r="BW44" s="13">
        <v>99</v>
      </c>
      <c r="BX44" s="328">
        <f t="shared" si="2"/>
        <v>128371993</v>
      </c>
      <c r="BY44" s="328">
        <f t="shared" si="3"/>
        <v>48117278</v>
      </c>
      <c r="BZ44" s="329">
        <f t="shared" si="0"/>
        <v>0.5663559422171317</v>
      </c>
      <c r="CA44" s="329">
        <f t="shared" si="1"/>
        <v>0.56374289376645981</v>
      </c>
    </row>
    <row r="45" spans="1:82" x14ac:dyDescent="0.25">
      <c r="A45" s="13">
        <v>640</v>
      </c>
      <c r="B45" s="13">
        <v>44</v>
      </c>
      <c r="C45" s="13" t="s">
        <v>563</v>
      </c>
      <c r="D45" s="13">
        <v>585051</v>
      </c>
      <c r="E45" s="13">
        <v>846227</v>
      </c>
      <c r="F45" s="13">
        <v>1104514</v>
      </c>
      <c r="G45" s="13">
        <v>1261079</v>
      </c>
      <c r="H45" s="13">
        <v>3.3</v>
      </c>
      <c r="I45" s="13">
        <v>7</v>
      </c>
      <c r="J45" s="13">
        <v>325995</v>
      </c>
      <c r="K45" s="13">
        <v>436515</v>
      </c>
      <c r="L45" s="13">
        <v>507069</v>
      </c>
      <c r="M45" s="13">
        <v>3.6</v>
      </c>
      <c r="N45" s="13">
        <v>2.4500000000000002</v>
      </c>
      <c r="O45" s="13">
        <v>203994</v>
      </c>
      <c r="P45" s="13">
        <v>270740</v>
      </c>
      <c r="Q45" s="13">
        <v>3.5</v>
      </c>
      <c r="R45" s="13">
        <v>76.599999999999994</v>
      </c>
      <c r="S45" s="13">
        <v>73.3</v>
      </c>
      <c r="T45" s="13">
        <v>9.4</v>
      </c>
      <c r="U45" s="13">
        <v>9.6</v>
      </c>
      <c r="V45" s="13">
        <v>2.2000000000000002</v>
      </c>
      <c r="W45" s="13">
        <v>3</v>
      </c>
      <c r="X45" s="13">
        <v>20.9</v>
      </c>
      <c r="Y45" s="13">
        <v>25.6</v>
      </c>
      <c r="Z45" s="13">
        <v>7.8</v>
      </c>
      <c r="AA45" s="13">
        <v>7.5</v>
      </c>
      <c r="AB45" s="13">
        <v>6.9</v>
      </c>
      <c r="AC45" s="13">
        <v>8.1</v>
      </c>
      <c r="AD45" s="13">
        <v>9.4</v>
      </c>
      <c r="AE45" s="13">
        <v>34.6</v>
      </c>
      <c r="AF45" s="13">
        <v>17.600000000000001</v>
      </c>
      <c r="AG45" s="13">
        <v>7.1</v>
      </c>
      <c r="AH45" s="13">
        <v>1</v>
      </c>
      <c r="AI45" s="13">
        <v>73.8</v>
      </c>
      <c r="AJ45" s="13">
        <v>29.6</v>
      </c>
      <c r="AK45" s="13">
        <v>31.2</v>
      </c>
      <c r="AL45" s="13">
        <v>99.4</v>
      </c>
      <c r="AM45" s="13">
        <v>19360</v>
      </c>
      <c r="AN45" s="13">
        <v>436479</v>
      </c>
      <c r="AO45" s="13">
        <v>16.8</v>
      </c>
      <c r="AP45" s="13">
        <v>14.6</v>
      </c>
      <c r="AQ45" s="13">
        <v>32.5</v>
      </c>
      <c r="AR45" s="13">
        <v>27.5</v>
      </c>
      <c r="AS45" s="13">
        <v>6.1</v>
      </c>
      <c r="AT45" s="13">
        <v>2.5</v>
      </c>
      <c r="AU45" s="13">
        <v>38152</v>
      </c>
      <c r="AV45" s="13">
        <v>45519</v>
      </c>
      <c r="AW45" s="13">
        <v>122</v>
      </c>
      <c r="AX45" s="13">
        <v>38267</v>
      </c>
      <c r="AY45" s="13">
        <v>28842</v>
      </c>
      <c r="AZ45" s="13">
        <v>43242</v>
      </c>
      <c r="BA45" s="13">
        <v>50313</v>
      </c>
      <c r="BB45" s="13">
        <v>42968</v>
      </c>
      <c r="BC45" s="13">
        <v>29761</v>
      </c>
      <c r="BD45" s="13">
        <v>100</v>
      </c>
      <c r="BE45" s="13">
        <v>106</v>
      </c>
      <c r="BF45" s="13">
        <v>94</v>
      </c>
      <c r="BG45" s="13">
        <v>100</v>
      </c>
      <c r="BH45" s="13">
        <v>100</v>
      </c>
      <c r="BI45" s="13">
        <v>100</v>
      </c>
      <c r="BJ45" s="13">
        <v>101</v>
      </c>
      <c r="BK45" s="13">
        <v>99</v>
      </c>
      <c r="BL45" s="13">
        <v>101</v>
      </c>
      <c r="BM45" s="13">
        <v>100</v>
      </c>
      <c r="BN45" s="13">
        <v>103</v>
      </c>
      <c r="BO45" s="13">
        <v>102</v>
      </c>
      <c r="BP45" s="13">
        <v>98</v>
      </c>
      <c r="BQ45" s="13">
        <v>101</v>
      </c>
      <c r="BR45" s="13">
        <v>93</v>
      </c>
      <c r="BS45" s="13">
        <v>100</v>
      </c>
      <c r="BT45" s="13">
        <v>100</v>
      </c>
      <c r="BU45" s="13">
        <v>102</v>
      </c>
      <c r="BV45" s="13">
        <v>97</v>
      </c>
      <c r="BW45" s="13">
        <v>102</v>
      </c>
      <c r="BX45" s="328">
        <f t="shared" si="2"/>
        <v>129633072</v>
      </c>
      <c r="BY45" s="328">
        <f t="shared" si="3"/>
        <v>48624347</v>
      </c>
      <c r="BZ45" s="329">
        <f t="shared" si="0"/>
        <v>0.57191961361121246</v>
      </c>
      <c r="CA45" s="329">
        <f t="shared" si="1"/>
        <v>0.56968372328302697</v>
      </c>
    </row>
    <row r="46" spans="1:82" x14ac:dyDescent="0.25">
      <c r="A46" s="13">
        <v>5560</v>
      </c>
      <c r="B46" s="13">
        <v>45</v>
      </c>
      <c r="C46" s="13" t="s">
        <v>564</v>
      </c>
      <c r="D46" s="13">
        <v>1304212</v>
      </c>
      <c r="E46" s="13">
        <v>1285270</v>
      </c>
      <c r="F46" s="13">
        <v>1308930</v>
      </c>
      <c r="G46" s="13">
        <v>1325010</v>
      </c>
      <c r="H46" s="13">
        <v>0.2</v>
      </c>
      <c r="I46" s="13">
        <v>253</v>
      </c>
      <c r="J46" s="13">
        <v>469823</v>
      </c>
      <c r="K46" s="13">
        <v>489273</v>
      </c>
      <c r="L46" s="13">
        <v>502208</v>
      </c>
      <c r="M46" s="13">
        <v>0.5</v>
      </c>
      <c r="N46" s="13">
        <v>2.63</v>
      </c>
      <c r="O46" s="13">
        <v>327669</v>
      </c>
      <c r="P46" s="13">
        <v>336037</v>
      </c>
      <c r="Q46" s="13">
        <v>0.3</v>
      </c>
      <c r="R46" s="13">
        <v>62.2</v>
      </c>
      <c r="S46" s="13">
        <v>61.4</v>
      </c>
      <c r="T46" s="13">
        <v>34.799999999999997</v>
      </c>
      <c r="U46" s="13">
        <v>34.9</v>
      </c>
      <c r="V46" s="13">
        <v>1.7</v>
      </c>
      <c r="W46" s="13">
        <v>2.2000000000000002</v>
      </c>
      <c r="X46" s="13">
        <v>4.2</v>
      </c>
      <c r="Y46" s="13">
        <v>5</v>
      </c>
      <c r="Z46" s="13">
        <v>7.2</v>
      </c>
      <c r="AA46" s="13">
        <v>7.5</v>
      </c>
      <c r="AB46" s="13">
        <v>7.7</v>
      </c>
      <c r="AC46" s="13">
        <v>7.9</v>
      </c>
      <c r="AD46" s="13">
        <v>6.8</v>
      </c>
      <c r="AE46" s="13">
        <v>30.7</v>
      </c>
      <c r="AF46" s="13">
        <v>21</v>
      </c>
      <c r="AG46" s="13">
        <v>10.1</v>
      </c>
      <c r="AH46" s="13">
        <v>1.2</v>
      </c>
      <c r="AI46" s="13">
        <v>72.900000000000006</v>
      </c>
      <c r="AJ46" s="13">
        <v>31.8</v>
      </c>
      <c r="AK46" s="13">
        <v>34.200000000000003</v>
      </c>
      <c r="AL46" s="13">
        <v>91.6</v>
      </c>
      <c r="AM46" s="13">
        <v>16429</v>
      </c>
      <c r="AN46" s="13">
        <v>489259</v>
      </c>
      <c r="AO46" s="13">
        <v>22.4</v>
      </c>
      <c r="AP46" s="13">
        <v>15.5</v>
      </c>
      <c r="AQ46" s="13">
        <v>32.299999999999997</v>
      </c>
      <c r="AR46" s="13">
        <v>22.8</v>
      </c>
      <c r="AS46" s="13">
        <v>4.5999999999999996</v>
      </c>
      <c r="AT46" s="13">
        <v>2.5</v>
      </c>
      <c r="AU46" s="13">
        <v>32768</v>
      </c>
      <c r="AV46" s="13">
        <v>40026</v>
      </c>
      <c r="AW46" s="13">
        <v>215</v>
      </c>
      <c r="AX46" s="13">
        <v>34853</v>
      </c>
      <c r="AY46" s="13">
        <v>28638</v>
      </c>
      <c r="AZ46" s="13">
        <v>39350</v>
      </c>
      <c r="BA46" s="13">
        <v>42954</v>
      </c>
      <c r="BB46" s="13">
        <v>36585</v>
      </c>
      <c r="BC46" s="13">
        <v>23946</v>
      </c>
      <c r="BD46" s="13">
        <v>98</v>
      </c>
      <c r="BE46" s="13">
        <v>99</v>
      </c>
      <c r="BF46" s="13">
        <v>99</v>
      </c>
      <c r="BG46" s="13">
        <v>98</v>
      </c>
      <c r="BH46" s="13">
        <v>104</v>
      </c>
      <c r="BI46" s="13">
        <v>102</v>
      </c>
      <c r="BJ46" s="13">
        <v>100</v>
      </c>
      <c r="BK46" s="13">
        <v>100</v>
      </c>
      <c r="BL46" s="13">
        <v>99</v>
      </c>
      <c r="BM46" s="13">
        <v>101</v>
      </c>
      <c r="BN46" s="13">
        <v>97</v>
      </c>
      <c r="BO46" s="13">
        <v>100</v>
      </c>
      <c r="BP46" s="13">
        <v>99</v>
      </c>
      <c r="BQ46" s="13">
        <v>100</v>
      </c>
      <c r="BR46" s="13">
        <v>95</v>
      </c>
      <c r="BS46" s="13">
        <v>100</v>
      </c>
      <c r="BT46" s="13">
        <v>99</v>
      </c>
      <c r="BU46" s="13">
        <v>100</v>
      </c>
      <c r="BV46" s="13">
        <v>96</v>
      </c>
      <c r="BW46" s="13">
        <v>100</v>
      </c>
      <c r="BX46" s="328">
        <f t="shared" si="2"/>
        <v>130958082</v>
      </c>
      <c r="BY46" s="328">
        <f t="shared" si="3"/>
        <v>49126555</v>
      </c>
      <c r="BZ46" s="329">
        <f t="shared" si="0"/>
        <v>0.57776533797413576</v>
      </c>
      <c r="CA46" s="329">
        <f t="shared" si="1"/>
        <v>0.57556760123623674</v>
      </c>
    </row>
    <row r="47" spans="1:82" x14ac:dyDescent="0.25">
      <c r="A47" s="13">
        <v>875</v>
      </c>
      <c r="B47" s="13">
        <v>46</v>
      </c>
      <c r="C47" s="13" t="s">
        <v>565</v>
      </c>
      <c r="D47" s="13">
        <v>1292970</v>
      </c>
      <c r="E47" s="13">
        <v>1278440</v>
      </c>
      <c r="F47" s="13">
        <v>1343090</v>
      </c>
      <c r="G47" s="13">
        <v>1372088</v>
      </c>
      <c r="H47" s="13">
        <v>0.6</v>
      </c>
      <c r="I47" s="13">
        <v>210</v>
      </c>
      <c r="J47" s="13">
        <v>464149</v>
      </c>
      <c r="K47" s="13">
        <v>489253</v>
      </c>
      <c r="L47" s="13">
        <v>500904</v>
      </c>
      <c r="M47" s="13">
        <v>0.6</v>
      </c>
      <c r="N47" s="13">
        <v>2.71</v>
      </c>
      <c r="O47" s="13">
        <v>340323</v>
      </c>
      <c r="P47" s="13">
        <v>352133</v>
      </c>
      <c r="Q47" s="13">
        <v>0.4</v>
      </c>
      <c r="R47" s="13">
        <v>81.599999999999994</v>
      </c>
      <c r="S47" s="13">
        <v>76.5</v>
      </c>
      <c r="T47" s="13">
        <v>8.3000000000000007</v>
      </c>
      <c r="U47" s="13">
        <v>9.1</v>
      </c>
      <c r="V47" s="13">
        <v>5.2</v>
      </c>
      <c r="W47" s="13">
        <v>7.9</v>
      </c>
      <c r="X47" s="13">
        <v>11.6</v>
      </c>
      <c r="Y47" s="13">
        <v>15.5</v>
      </c>
      <c r="Z47" s="13">
        <v>6.5</v>
      </c>
      <c r="AA47" s="13">
        <v>6.9</v>
      </c>
      <c r="AB47" s="13">
        <v>6.2</v>
      </c>
      <c r="AC47" s="13">
        <v>6</v>
      </c>
      <c r="AD47" s="13">
        <v>5.5</v>
      </c>
      <c r="AE47" s="13">
        <v>30.9</v>
      </c>
      <c r="AF47" s="13">
        <v>23.2</v>
      </c>
      <c r="AG47" s="13">
        <v>13</v>
      </c>
      <c r="AH47" s="13">
        <v>1.7</v>
      </c>
      <c r="AI47" s="13">
        <v>76.8</v>
      </c>
      <c r="AJ47" s="13">
        <v>36.1</v>
      </c>
      <c r="AK47" s="13">
        <v>37.700000000000003</v>
      </c>
      <c r="AL47" s="13">
        <v>93.4</v>
      </c>
      <c r="AM47" s="13">
        <v>25836</v>
      </c>
      <c r="AN47" s="13">
        <v>489222</v>
      </c>
      <c r="AO47" s="13">
        <v>10.1</v>
      </c>
      <c r="AP47" s="13">
        <v>8.1999999999999993</v>
      </c>
      <c r="AQ47" s="13">
        <v>26.3</v>
      </c>
      <c r="AR47" s="13">
        <v>36.5</v>
      </c>
      <c r="AS47" s="13">
        <v>11.7</v>
      </c>
      <c r="AT47" s="13">
        <v>7.2</v>
      </c>
      <c r="AU47" s="13">
        <v>54984</v>
      </c>
      <c r="AV47" s="13">
        <v>62222</v>
      </c>
      <c r="AW47" s="13">
        <v>8</v>
      </c>
      <c r="AX47" s="13">
        <v>46728</v>
      </c>
      <c r="AY47" s="13">
        <v>44242</v>
      </c>
      <c r="AZ47" s="13">
        <v>48869</v>
      </c>
      <c r="BA47" s="13">
        <v>58998</v>
      </c>
      <c r="BB47" s="13">
        <v>53160</v>
      </c>
      <c r="BC47" s="13">
        <v>30011</v>
      </c>
      <c r="BD47" s="13">
        <v>105</v>
      </c>
      <c r="BE47" s="13">
        <v>125</v>
      </c>
      <c r="BF47" s="13">
        <v>125</v>
      </c>
      <c r="BG47" s="13">
        <v>122</v>
      </c>
      <c r="BH47" s="13">
        <v>106</v>
      </c>
      <c r="BI47" s="13">
        <v>110</v>
      </c>
      <c r="BJ47" s="13">
        <v>95</v>
      </c>
      <c r="BK47" s="13">
        <v>103</v>
      </c>
      <c r="BL47" s="13">
        <v>109</v>
      </c>
      <c r="BM47" s="13">
        <v>117</v>
      </c>
      <c r="BN47" s="13">
        <v>118</v>
      </c>
      <c r="BO47" s="13">
        <v>111</v>
      </c>
      <c r="BP47" s="13">
        <v>120</v>
      </c>
      <c r="BQ47" s="13">
        <v>108</v>
      </c>
      <c r="BR47" s="13">
        <v>128</v>
      </c>
      <c r="BS47" s="13">
        <v>104</v>
      </c>
      <c r="BT47" s="13">
        <v>123</v>
      </c>
      <c r="BU47" s="13">
        <v>115</v>
      </c>
      <c r="BV47" s="13">
        <v>105</v>
      </c>
      <c r="BW47" s="13">
        <v>106</v>
      </c>
      <c r="BX47" s="328">
        <f t="shared" si="2"/>
        <v>132330170</v>
      </c>
      <c r="BY47" s="328">
        <f t="shared" si="3"/>
        <v>49627459</v>
      </c>
      <c r="BZ47" s="329">
        <f t="shared" si="0"/>
        <v>0.58381876266502475</v>
      </c>
      <c r="CA47" s="329">
        <f t="shared" si="1"/>
        <v>0.58143620150201225</v>
      </c>
    </row>
    <row r="48" spans="1:82" x14ac:dyDescent="0.25">
      <c r="A48" s="13">
        <v>3120</v>
      </c>
      <c r="B48" s="13">
        <v>47</v>
      </c>
      <c r="C48" s="13" t="s">
        <v>566</v>
      </c>
      <c r="D48" s="13">
        <v>950763</v>
      </c>
      <c r="E48" s="13">
        <v>1050304</v>
      </c>
      <c r="F48" s="13">
        <v>1168116</v>
      </c>
      <c r="G48" s="13">
        <v>1237940</v>
      </c>
      <c r="H48" s="13">
        <v>1.3</v>
      </c>
      <c r="I48" s="13">
        <v>105</v>
      </c>
      <c r="J48" s="13">
        <v>414793</v>
      </c>
      <c r="K48" s="13">
        <v>466387</v>
      </c>
      <c r="L48" s="13">
        <v>498277</v>
      </c>
      <c r="M48" s="13">
        <v>1.4</v>
      </c>
      <c r="N48" s="13">
        <v>2.44</v>
      </c>
      <c r="O48" s="13">
        <v>293261</v>
      </c>
      <c r="P48" s="13">
        <v>322546</v>
      </c>
      <c r="Q48" s="13">
        <v>1.2</v>
      </c>
      <c r="R48" s="13">
        <v>79.400000000000006</v>
      </c>
      <c r="S48" s="13">
        <v>78.5</v>
      </c>
      <c r="T48" s="13">
        <v>19.3</v>
      </c>
      <c r="U48" s="13">
        <v>19.600000000000001</v>
      </c>
      <c r="V48" s="13">
        <v>0.7</v>
      </c>
      <c r="W48" s="13">
        <v>1</v>
      </c>
      <c r="X48" s="13">
        <v>0.7</v>
      </c>
      <c r="Y48" s="13">
        <v>1.5</v>
      </c>
      <c r="Z48" s="13">
        <v>6.4</v>
      </c>
      <c r="AA48" s="13">
        <v>7</v>
      </c>
      <c r="AB48" s="13">
        <v>6.5</v>
      </c>
      <c r="AC48" s="13">
        <v>6.7</v>
      </c>
      <c r="AD48" s="13">
        <v>6.2</v>
      </c>
      <c r="AE48" s="13">
        <v>31.5</v>
      </c>
      <c r="AF48" s="13">
        <v>22.8</v>
      </c>
      <c r="AG48" s="13">
        <v>11.5</v>
      </c>
      <c r="AH48" s="13">
        <v>1.4</v>
      </c>
      <c r="AI48" s="13">
        <v>76.599999999999994</v>
      </c>
      <c r="AJ48" s="13">
        <v>34.200000000000003</v>
      </c>
      <c r="AK48" s="13">
        <v>36.299999999999997</v>
      </c>
      <c r="AL48" s="13">
        <v>92.2</v>
      </c>
      <c r="AM48" s="13">
        <v>18745</v>
      </c>
      <c r="AN48" s="13">
        <v>466377</v>
      </c>
      <c r="AO48" s="13">
        <v>15.5</v>
      </c>
      <c r="AP48" s="13">
        <v>14.8</v>
      </c>
      <c r="AQ48" s="13">
        <v>36</v>
      </c>
      <c r="AR48" s="13">
        <v>26.4</v>
      </c>
      <c r="AS48" s="13">
        <v>5.0999999999999996</v>
      </c>
      <c r="AT48" s="13">
        <v>2.2000000000000002</v>
      </c>
      <c r="AU48" s="13">
        <v>37274</v>
      </c>
      <c r="AV48" s="13">
        <v>44448</v>
      </c>
      <c r="AW48" s="13">
        <v>136</v>
      </c>
      <c r="AX48" s="13">
        <v>35220</v>
      </c>
      <c r="AY48" s="13">
        <v>30604</v>
      </c>
      <c r="AZ48" s="13">
        <v>41049</v>
      </c>
      <c r="BA48" s="13">
        <v>44820</v>
      </c>
      <c r="BB48" s="13">
        <v>37612</v>
      </c>
      <c r="BC48" s="13">
        <v>22508</v>
      </c>
      <c r="BD48" s="13">
        <v>99</v>
      </c>
      <c r="BE48" s="13">
        <v>92</v>
      </c>
      <c r="BF48" s="13">
        <v>96</v>
      </c>
      <c r="BG48" s="13">
        <v>95</v>
      </c>
      <c r="BH48" s="13">
        <v>102</v>
      </c>
      <c r="BI48" s="13">
        <v>100</v>
      </c>
      <c r="BJ48" s="13">
        <v>107</v>
      </c>
      <c r="BK48" s="13">
        <v>100</v>
      </c>
      <c r="BL48" s="13">
        <v>98</v>
      </c>
      <c r="BM48" s="13">
        <v>96</v>
      </c>
      <c r="BN48" s="13">
        <v>95</v>
      </c>
      <c r="BO48" s="13">
        <v>100</v>
      </c>
      <c r="BP48" s="13">
        <v>96</v>
      </c>
      <c r="BQ48" s="13">
        <v>101</v>
      </c>
      <c r="BR48" s="13">
        <v>90</v>
      </c>
      <c r="BS48" s="13">
        <v>99</v>
      </c>
      <c r="BT48" s="13">
        <v>95</v>
      </c>
      <c r="BU48" s="13">
        <v>98</v>
      </c>
      <c r="BV48" s="13">
        <v>100</v>
      </c>
      <c r="BW48" s="13">
        <v>100</v>
      </c>
      <c r="BX48" s="328">
        <f t="shared" si="2"/>
        <v>133568110</v>
      </c>
      <c r="BY48" s="328">
        <f t="shared" si="3"/>
        <v>50125736</v>
      </c>
      <c r="BZ48" s="329">
        <f t="shared" si="0"/>
        <v>0.58928034862878143</v>
      </c>
      <c r="CA48" s="329">
        <f t="shared" si="1"/>
        <v>0.58727402378857785</v>
      </c>
    </row>
    <row r="49" spans="1:79" x14ac:dyDescent="0.25">
      <c r="A49" s="13">
        <v>5360</v>
      </c>
      <c r="B49" s="13">
        <v>48</v>
      </c>
      <c r="C49" s="13" t="s">
        <v>567</v>
      </c>
      <c r="D49" s="13">
        <v>850505</v>
      </c>
      <c r="E49" s="13">
        <v>985026</v>
      </c>
      <c r="F49" s="13">
        <v>1156272</v>
      </c>
      <c r="G49" s="13">
        <v>1260769</v>
      </c>
      <c r="H49" s="13">
        <v>2</v>
      </c>
      <c r="I49" s="13">
        <v>53</v>
      </c>
      <c r="J49" s="13">
        <v>375831</v>
      </c>
      <c r="K49" s="13">
        <v>445879</v>
      </c>
      <c r="L49" s="13">
        <v>489604</v>
      </c>
      <c r="M49" s="13">
        <v>2.1</v>
      </c>
      <c r="N49" s="13">
        <v>2.5299999999999998</v>
      </c>
      <c r="O49" s="13">
        <v>264570</v>
      </c>
      <c r="P49" s="13">
        <v>310783</v>
      </c>
      <c r="Q49" s="13">
        <v>2</v>
      </c>
      <c r="R49" s="13">
        <v>83.1</v>
      </c>
      <c r="S49" s="13">
        <v>82.3</v>
      </c>
      <c r="T49" s="13">
        <v>15.5</v>
      </c>
      <c r="U49" s="13">
        <v>15.7</v>
      </c>
      <c r="V49" s="13">
        <v>1</v>
      </c>
      <c r="W49" s="13">
        <v>1.5</v>
      </c>
      <c r="X49" s="13">
        <v>0.8</v>
      </c>
      <c r="Y49" s="13">
        <v>1.4</v>
      </c>
      <c r="Z49" s="13">
        <v>7.1</v>
      </c>
      <c r="AA49" s="13">
        <v>7.1</v>
      </c>
      <c r="AB49" s="13">
        <v>6.8</v>
      </c>
      <c r="AC49" s="13">
        <v>7.1</v>
      </c>
      <c r="AD49" s="13">
        <v>6.9</v>
      </c>
      <c r="AE49" s="13">
        <v>33.1</v>
      </c>
      <c r="AF49" s="13">
        <v>21.5</v>
      </c>
      <c r="AG49" s="13">
        <v>9.1</v>
      </c>
      <c r="AH49" s="13">
        <v>1.2</v>
      </c>
      <c r="AI49" s="13">
        <v>75</v>
      </c>
      <c r="AJ49" s="13">
        <v>32.5</v>
      </c>
      <c r="AK49" s="13">
        <v>34.4</v>
      </c>
      <c r="AL49" s="13">
        <v>94.1</v>
      </c>
      <c r="AM49" s="13">
        <v>21086</v>
      </c>
      <c r="AN49" s="13">
        <v>445867</v>
      </c>
      <c r="AO49" s="13">
        <v>12.3</v>
      </c>
      <c r="AP49" s="13">
        <v>12</v>
      </c>
      <c r="AQ49" s="13">
        <v>33.799999999999997</v>
      </c>
      <c r="AR49" s="13">
        <v>31.3</v>
      </c>
      <c r="AS49" s="13">
        <v>7.4</v>
      </c>
      <c r="AT49" s="13">
        <v>3.3</v>
      </c>
      <c r="AU49" s="13">
        <v>43301</v>
      </c>
      <c r="AV49" s="13">
        <v>52077</v>
      </c>
      <c r="AW49" s="13">
        <v>53</v>
      </c>
      <c r="AX49" s="13">
        <v>43242</v>
      </c>
      <c r="AY49" s="13">
        <v>35713</v>
      </c>
      <c r="AZ49" s="13">
        <v>49509</v>
      </c>
      <c r="BA49" s="13">
        <v>53920</v>
      </c>
      <c r="BB49" s="13">
        <v>47410</v>
      </c>
      <c r="BC49" s="13">
        <v>27749</v>
      </c>
      <c r="BD49" s="13">
        <v>100</v>
      </c>
      <c r="BE49" s="13">
        <v>100</v>
      </c>
      <c r="BF49" s="13">
        <v>97</v>
      </c>
      <c r="BG49" s="13">
        <v>100</v>
      </c>
      <c r="BH49" s="13">
        <v>103</v>
      </c>
      <c r="BI49" s="13">
        <v>102</v>
      </c>
      <c r="BJ49" s="13">
        <v>105</v>
      </c>
      <c r="BK49" s="13">
        <v>101</v>
      </c>
      <c r="BL49" s="13">
        <v>101</v>
      </c>
      <c r="BM49" s="13">
        <v>101</v>
      </c>
      <c r="BN49" s="13">
        <v>101</v>
      </c>
      <c r="BO49" s="13">
        <v>102</v>
      </c>
      <c r="BP49" s="13">
        <v>100</v>
      </c>
      <c r="BQ49" s="13">
        <v>103</v>
      </c>
      <c r="BR49" s="13">
        <v>94</v>
      </c>
      <c r="BS49" s="13">
        <v>100</v>
      </c>
      <c r="BT49" s="13">
        <v>100</v>
      </c>
      <c r="BU49" s="13">
        <v>101</v>
      </c>
      <c r="BV49" s="13">
        <v>99</v>
      </c>
      <c r="BW49" s="13">
        <v>102</v>
      </c>
      <c r="BX49" s="328">
        <f t="shared" si="2"/>
        <v>134828879</v>
      </c>
      <c r="BY49" s="328">
        <f t="shared" si="3"/>
        <v>50615340</v>
      </c>
      <c r="BZ49" s="329">
        <f t="shared" si="0"/>
        <v>0.59484265235427669</v>
      </c>
      <c r="CA49" s="329">
        <f t="shared" si="1"/>
        <v>0.59301023305128031</v>
      </c>
    </row>
    <row r="50" spans="1:79" x14ac:dyDescent="0.25">
      <c r="A50" s="13">
        <v>6640</v>
      </c>
      <c r="B50" s="13">
        <v>49</v>
      </c>
      <c r="C50" s="13" t="s">
        <v>568</v>
      </c>
      <c r="D50" s="13">
        <v>664788</v>
      </c>
      <c r="E50" s="13">
        <v>855545</v>
      </c>
      <c r="F50" s="13">
        <v>1078629</v>
      </c>
      <c r="G50" s="13">
        <v>1211143</v>
      </c>
      <c r="H50" s="13">
        <v>2.8</v>
      </c>
      <c r="I50" s="13">
        <v>16</v>
      </c>
      <c r="J50" s="13">
        <v>334506</v>
      </c>
      <c r="K50" s="13">
        <v>427357</v>
      </c>
      <c r="L50" s="13">
        <v>484733</v>
      </c>
      <c r="M50" s="13">
        <v>3</v>
      </c>
      <c r="N50" s="13">
        <v>2.4300000000000002</v>
      </c>
      <c r="O50" s="13">
        <v>221142</v>
      </c>
      <c r="P50" s="13">
        <v>277383</v>
      </c>
      <c r="Q50" s="13">
        <v>2.8</v>
      </c>
      <c r="R50" s="13">
        <v>73.400000000000006</v>
      </c>
      <c r="S50" s="13">
        <v>72</v>
      </c>
      <c r="T50" s="13">
        <v>24.2</v>
      </c>
      <c r="U50" s="13">
        <v>24.1</v>
      </c>
      <c r="V50" s="13">
        <v>1.6</v>
      </c>
      <c r="W50" s="13">
        <v>2.6</v>
      </c>
      <c r="X50" s="13">
        <v>1.3</v>
      </c>
      <c r="Y50" s="13">
        <v>2.6</v>
      </c>
      <c r="Z50" s="13">
        <v>6.9</v>
      </c>
      <c r="AA50" s="13">
        <v>6.9</v>
      </c>
      <c r="AB50" s="13">
        <v>6.2</v>
      </c>
      <c r="AC50" s="13">
        <v>7</v>
      </c>
      <c r="AD50" s="13">
        <v>8.1</v>
      </c>
      <c r="AE50" s="13">
        <v>35.6</v>
      </c>
      <c r="AF50" s="13">
        <v>19.7</v>
      </c>
      <c r="AG50" s="13">
        <v>8.6</v>
      </c>
      <c r="AH50" s="13">
        <v>1.1000000000000001</v>
      </c>
      <c r="AI50" s="13">
        <v>76.599999999999994</v>
      </c>
      <c r="AJ50" s="13">
        <v>31.7</v>
      </c>
      <c r="AK50" s="13">
        <v>33.4</v>
      </c>
      <c r="AL50" s="13">
        <v>94.3</v>
      </c>
      <c r="AM50" s="13">
        <v>21702</v>
      </c>
      <c r="AN50" s="13">
        <v>427345</v>
      </c>
      <c r="AO50" s="13">
        <v>12.4</v>
      </c>
      <c r="AP50" s="13">
        <v>11.7</v>
      </c>
      <c r="AQ50" s="13">
        <v>32.700000000000003</v>
      </c>
      <c r="AR50" s="13">
        <v>32.6</v>
      </c>
      <c r="AS50" s="13">
        <v>7.7</v>
      </c>
      <c r="AT50" s="13">
        <v>2.9</v>
      </c>
      <c r="AU50" s="13">
        <v>44391</v>
      </c>
      <c r="AV50" s="13">
        <v>53324</v>
      </c>
      <c r="AW50" s="13">
        <v>44</v>
      </c>
      <c r="AX50" s="13">
        <v>40203</v>
      </c>
      <c r="AY50" s="13">
        <v>33784</v>
      </c>
      <c r="AZ50" s="13">
        <v>46039</v>
      </c>
      <c r="BA50" s="13">
        <v>51526</v>
      </c>
      <c r="BB50" s="13">
        <v>43043</v>
      </c>
      <c r="BC50" s="13">
        <v>26427</v>
      </c>
      <c r="BD50" s="13">
        <v>100</v>
      </c>
      <c r="BE50" s="13">
        <v>102</v>
      </c>
      <c r="BF50" s="13">
        <v>95</v>
      </c>
      <c r="BG50" s="13">
        <v>100</v>
      </c>
      <c r="BH50" s="13">
        <v>101</v>
      </c>
      <c r="BI50" s="13">
        <v>101</v>
      </c>
      <c r="BJ50" s="13">
        <v>104</v>
      </c>
      <c r="BK50" s="13">
        <v>100</v>
      </c>
      <c r="BL50" s="13">
        <v>101</v>
      </c>
      <c r="BM50" s="13">
        <v>101</v>
      </c>
      <c r="BN50" s="13">
        <v>101</v>
      </c>
      <c r="BO50" s="13">
        <v>102</v>
      </c>
      <c r="BP50" s="13">
        <v>99</v>
      </c>
      <c r="BQ50" s="13">
        <v>102</v>
      </c>
      <c r="BR50" s="13">
        <v>93</v>
      </c>
      <c r="BS50" s="13">
        <v>100</v>
      </c>
      <c r="BT50" s="13">
        <v>100</v>
      </c>
      <c r="BU50" s="13">
        <v>101</v>
      </c>
      <c r="BV50" s="13">
        <v>98</v>
      </c>
      <c r="BW50" s="13">
        <v>102</v>
      </c>
      <c r="BX50" s="328">
        <f t="shared" si="2"/>
        <v>136040022</v>
      </c>
      <c r="BY50" s="328">
        <f t="shared" si="3"/>
        <v>51100073</v>
      </c>
      <c r="BZ50" s="329">
        <f t="shared" si="0"/>
        <v>0.60018601439840014</v>
      </c>
      <c r="CA50" s="329">
        <f t="shared" si="1"/>
        <v>0.59868937359044583</v>
      </c>
    </row>
    <row r="51" spans="1:79" x14ac:dyDescent="0.25">
      <c r="A51" s="13">
        <v>7160</v>
      </c>
      <c r="B51" s="13">
        <v>50</v>
      </c>
      <c r="C51" s="13" t="s">
        <v>569</v>
      </c>
      <c r="D51" s="13">
        <v>910222</v>
      </c>
      <c r="E51" s="13">
        <v>1072227</v>
      </c>
      <c r="F51" s="13">
        <v>1268805</v>
      </c>
      <c r="G51" s="13">
        <v>1387913</v>
      </c>
      <c r="H51" s="13">
        <v>2.1</v>
      </c>
      <c r="I51" s="13">
        <v>46</v>
      </c>
      <c r="J51" s="13">
        <v>347531</v>
      </c>
      <c r="K51" s="13">
        <v>429330</v>
      </c>
      <c r="L51" s="13">
        <v>482276</v>
      </c>
      <c r="M51" s="13">
        <v>2.6</v>
      </c>
      <c r="N51" s="13">
        <v>2.92</v>
      </c>
      <c r="O51" s="13">
        <v>260479</v>
      </c>
      <c r="P51" s="13">
        <v>318788</v>
      </c>
      <c r="Q51" s="13">
        <v>2.5</v>
      </c>
      <c r="R51" s="13">
        <v>93.3</v>
      </c>
      <c r="S51" s="13">
        <v>91.5</v>
      </c>
      <c r="T51" s="13">
        <v>1</v>
      </c>
      <c r="U51" s="13">
        <v>1.2</v>
      </c>
      <c r="V51" s="13">
        <v>2.4</v>
      </c>
      <c r="W51" s="13">
        <v>3</v>
      </c>
      <c r="X51" s="13">
        <v>5.8</v>
      </c>
      <c r="Y51" s="13">
        <v>8</v>
      </c>
      <c r="Z51" s="13">
        <v>9.1</v>
      </c>
      <c r="AA51" s="13">
        <v>8.9</v>
      </c>
      <c r="AB51" s="13">
        <v>9.1</v>
      </c>
      <c r="AC51" s="13">
        <v>9.9</v>
      </c>
      <c r="AD51" s="13">
        <v>8</v>
      </c>
      <c r="AE51" s="13">
        <v>29.6</v>
      </c>
      <c r="AF51" s="13">
        <v>17.2</v>
      </c>
      <c r="AG51" s="13">
        <v>7.5</v>
      </c>
      <c r="AH51" s="13">
        <v>0.9</v>
      </c>
      <c r="AI51" s="13">
        <v>66.8</v>
      </c>
      <c r="AJ51" s="13">
        <v>27.4</v>
      </c>
      <c r="AK51" s="13">
        <v>28.4</v>
      </c>
      <c r="AL51" s="13">
        <v>99.3</v>
      </c>
      <c r="AM51" s="13">
        <v>17072</v>
      </c>
      <c r="AN51" s="13">
        <v>429329</v>
      </c>
      <c r="AO51" s="13">
        <v>11</v>
      </c>
      <c r="AP51" s="13">
        <v>12.6</v>
      </c>
      <c r="AQ51" s="13">
        <v>37.200000000000003</v>
      </c>
      <c r="AR51" s="13">
        <v>31.5</v>
      </c>
      <c r="AS51" s="13">
        <v>5.9</v>
      </c>
      <c r="AT51" s="13">
        <v>1.8</v>
      </c>
      <c r="AU51" s="13">
        <v>41801</v>
      </c>
      <c r="AV51" s="13">
        <v>50054</v>
      </c>
      <c r="AW51" s="13">
        <v>70</v>
      </c>
      <c r="AX51" s="13">
        <v>37426</v>
      </c>
      <c r="AY51" s="13">
        <v>30129</v>
      </c>
      <c r="AZ51" s="13">
        <v>42061</v>
      </c>
      <c r="BA51" s="13">
        <v>48557</v>
      </c>
      <c r="BB51" s="13">
        <v>43127</v>
      </c>
      <c r="BC51" s="13">
        <v>26374</v>
      </c>
      <c r="BD51" s="13">
        <v>101</v>
      </c>
      <c r="BE51" s="13">
        <v>102</v>
      </c>
      <c r="BF51" s="13">
        <v>94</v>
      </c>
      <c r="BG51" s="13">
        <v>98</v>
      </c>
      <c r="BH51" s="13">
        <v>100</v>
      </c>
      <c r="BI51" s="13">
        <v>99</v>
      </c>
      <c r="BJ51" s="13">
        <v>99</v>
      </c>
      <c r="BK51" s="13">
        <v>100</v>
      </c>
      <c r="BL51" s="13">
        <v>102</v>
      </c>
      <c r="BM51" s="13">
        <v>103</v>
      </c>
      <c r="BN51" s="13">
        <v>103</v>
      </c>
      <c r="BO51" s="13">
        <v>97</v>
      </c>
      <c r="BP51" s="13">
        <v>97</v>
      </c>
      <c r="BQ51" s="13">
        <v>98</v>
      </c>
      <c r="BR51" s="13">
        <v>95</v>
      </c>
      <c r="BS51" s="13">
        <v>97</v>
      </c>
      <c r="BT51" s="13">
        <v>101</v>
      </c>
      <c r="BU51" s="13">
        <v>99</v>
      </c>
      <c r="BV51" s="13">
        <v>97</v>
      </c>
      <c r="BW51" s="13">
        <v>97</v>
      </c>
      <c r="BX51" s="328">
        <f t="shared" si="2"/>
        <v>137427935</v>
      </c>
      <c r="BY51" s="328">
        <f t="shared" si="3"/>
        <v>51582349</v>
      </c>
      <c r="BZ51" s="329">
        <f t="shared" si="0"/>
        <v>0.60630925636466304</v>
      </c>
      <c r="CA51" s="329">
        <f t="shared" si="1"/>
        <v>0.60433972787345647</v>
      </c>
    </row>
    <row r="52" spans="1:79" x14ac:dyDescent="0.25">
      <c r="A52" s="13">
        <v>8960</v>
      </c>
      <c r="B52" s="13">
        <v>51</v>
      </c>
      <c r="C52" s="13" t="s">
        <v>570</v>
      </c>
      <c r="D52" s="13">
        <v>576758</v>
      </c>
      <c r="E52" s="13">
        <v>863518</v>
      </c>
      <c r="F52" s="13">
        <v>1038852</v>
      </c>
      <c r="G52" s="13">
        <v>1144072</v>
      </c>
      <c r="H52" s="13">
        <v>2.2999999999999998</v>
      </c>
      <c r="I52" s="13">
        <v>32</v>
      </c>
      <c r="J52" s="13">
        <v>365558</v>
      </c>
      <c r="K52" s="13">
        <v>435445</v>
      </c>
      <c r="L52" s="13">
        <v>476517</v>
      </c>
      <c r="M52" s="13">
        <v>2.1</v>
      </c>
      <c r="N52" s="13">
        <v>2.35</v>
      </c>
      <c r="O52" s="13">
        <v>242273</v>
      </c>
      <c r="P52" s="13">
        <v>282416</v>
      </c>
      <c r="Q52" s="13">
        <v>1.9</v>
      </c>
      <c r="R52" s="13">
        <v>84.8</v>
      </c>
      <c r="S52" s="13">
        <v>81.599999999999994</v>
      </c>
      <c r="T52" s="13">
        <v>12.5</v>
      </c>
      <c r="U52" s="13">
        <v>14.5</v>
      </c>
      <c r="V52" s="13">
        <v>1</v>
      </c>
      <c r="W52" s="13">
        <v>1.6</v>
      </c>
      <c r="X52" s="13">
        <v>7.7</v>
      </c>
      <c r="Y52" s="13">
        <v>10.6</v>
      </c>
      <c r="Z52" s="13">
        <v>6.2</v>
      </c>
      <c r="AA52" s="13">
        <v>6.6</v>
      </c>
      <c r="AB52" s="13">
        <v>5.8</v>
      </c>
      <c r="AC52" s="13">
        <v>5.0999999999999996</v>
      </c>
      <c r="AD52" s="13">
        <v>4.5999999999999996</v>
      </c>
      <c r="AE52" s="13">
        <v>27.7</v>
      </c>
      <c r="AF52" s="13">
        <v>20.2</v>
      </c>
      <c r="AG52" s="13">
        <v>21</v>
      </c>
      <c r="AH52" s="13">
        <v>2.9</v>
      </c>
      <c r="AI52" s="13">
        <v>78.5</v>
      </c>
      <c r="AJ52" s="13">
        <v>39.9</v>
      </c>
      <c r="AK52" s="13">
        <v>41</v>
      </c>
      <c r="AL52" s="13">
        <v>93</v>
      </c>
      <c r="AM52" s="13">
        <v>21527</v>
      </c>
      <c r="AN52" s="13">
        <v>435441</v>
      </c>
      <c r="AO52" s="13">
        <v>16.100000000000001</v>
      </c>
      <c r="AP52" s="13">
        <v>15.2</v>
      </c>
      <c r="AQ52" s="13">
        <v>33.799999999999997</v>
      </c>
      <c r="AR52" s="13">
        <v>25.1</v>
      </c>
      <c r="AS52" s="13">
        <v>5.8</v>
      </c>
      <c r="AT52" s="13">
        <v>4.0999999999999996</v>
      </c>
      <c r="AU52" s="13">
        <v>37152</v>
      </c>
      <c r="AV52" s="13">
        <v>39565</v>
      </c>
      <c r="AW52" s="13">
        <v>137</v>
      </c>
      <c r="AX52" s="13">
        <v>40546</v>
      </c>
      <c r="AY52" s="13">
        <v>35900</v>
      </c>
      <c r="AZ52" s="13">
        <v>42932</v>
      </c>
      <c r="BA52" s="13">
        <v>50393</v>
      </c>
      <c r="BB52" s="13">
        <v>45129</v>
      </c>
      <c r="BC52" s="13">
        <v>32899</v>
      </c>
      <c r="BD52" s="13">
        <v>101</v>
      </c>
      <c r="BE52" s="13">
        <v>105</v>
      </c>
      <c r="BF52" s="13">
        <v>110</v>
      </c>
      <c r="BG52" s="13">
        <v>106</v>
      </c>
      <c r="BH52" s="13">
        <v>108</v>
      </c>
      <c r="BI52" s="13">
        <v>112</v>
      </c>
      <c r="BJ52" s="13">
        <v>104</v>
      </c>
      <c r="BK52" s="13">
        <v>104</v>
      </c>
      <c r="BL52" s="13">
        <v>101</v>
      </c>
      <c r="BM52" s="13">
        <v>104</v>
      </c>
      <c r="BN52" s="13">
        <v>104</v>
      </c>
      <c r="BO52" s="13">
        <v>104</v>
      </c>
      <c r="BP52" s="13">
        <v>104</v>
      </c>
      <c r="BQ52" s="13">
        <v>104</v>
      </c>
      <c r="BR52" s="13">
        <v>102</v>
      </c>
      <c r="BS52" s="13">
        <v>100</v>
      </c>
      <c r="BT52" s="13">
        <v>102</v>
      </c>
      <c r="BU52" s="13">
        <v>103</v>
      </c>
      <c r="BV52" s="13">
        <v>105</v>
      </c>
      <c r="BW52" s="13">
        <v>103</v>
      </c>
      <c r="BX52" s="328">
        <f t="shared" si="2"/>
        <v>138572007</v>
      </c>
      <c r="BY52" s="328">
        <f t="shared" si="3"/>
        <v>52058866</v>
      </c>
      <c r="BZ52" s="329">
        <f t="shared" si="0"/>
        <v>0.61135671228072286</v>
      </c>
      <c r="CA52" s="329">
        <f t="shared" si="1"/>
        <v>0.60992260960897182</v>
      </c>
    </row>
    <row r="53" spans="1:79" x14ac:dyDescent="0.25">
      <c r="A53" s="13">
        <v>1280</v>
      </c>
      <c r="B53" s="13">
        <v>52</v>
      </c>
      <c r="C53" s="13" t="s">
        <v>571</v>
      </c>
      <c r="D53" s="13">
        <v>1242826</v>
      </c>
      <c r="E53" s="13">
        <v>1189288</v>
      </c>
      <c r="F53" s="13">
        <v>1158073</v>
      </c>
      <c r="G53" s="13">
        <v>1138564</v>
      </c>
      <c r="H53" s="13">
        <v>-0.3</v>
      </c>
      <c r="I53" s="13">
        <v>303</v>
      </c>
      <c r="J53" s="13">
        <v>461803</v>
      </c>
      <c r="K53" s="13">
        <v>458842</v>
      </c>
      <c r="L53" s="13">
        <v>456574</v>
      </c>
      <c r="M53" s="13">
        <v>-0.1</v>
      </c>
      <c r="N53" s="13">
        <v>2.46</v>
      </c>
      <c r="O53" s="13">
        <v>314204</v>
      </c>
      <c r="P53" s="13">
        <v>304857</v>
      </c>
      <c r="Q53" s="13">
        <v>-0.4</v>
      </c>
      <c r="R53" s="13">
        <v>87.2</v>
      </c>
      <c r="S53" s="13">
        <v>85.2</v>
      </c>
      <c r="T53" s="13">
        <v>10.3</v>
      </c>
      <c r="U53" s="13">
        <v>11.5</v>
      </c>
      <c r="V53" s="13">
        <v>0.9</v>
      </c>
      <c r="W53" s="13">
        <v>1.4</v>
      </c>
      <c r="X53" s="13">
        <v>2</v>
      </c>
      <c r="Y53" s="13">
        <v>2.7</v>
      </c>
      <c r="Z53" s="13">
        <v>6.9</v>
      </c>
      <c r="AA53" s="13">
        <v>7.3</v>
      </c>
      <c r="AB53" s="13">
        <v>6.7</v>
      </c>
      <c r="AC53" s="13">
        <v>6.4</v>
      </c>
      <c r="AD53" s="13">
        <v>5.8</v>
      </c>
      <c r="AE53" s="13">
        <v>29.6</v>
      </c>
      <c r="AF53" s="13">
        <v>21.5</v>
      </c>
      <c r="AG53" s="13">
        <v>14.1</v>
      </c>
      <c r="AH53" s="13">
        <v>1.7</v>
      </c>
      <c r="AI53" s="13">
        <v>75.599999999999994</v>
      </c>
      <c r="AJ53" s="13">
        <v>34.700000000000003</v>
      </c>
      <c r="AK53" s="13">
        <v>37</v>
      </c>
      <c r="AL53" s="13">
        <v>91.7</v>
      </c>
      <c r="AM53" s="13">
        <v>15549</v>
      </c>
      <c r="AN53" s="13">
        <v>458806</v>
      </c>
      <c r="AO53" s="13">
        <v>22.7</v>
      </c>
      <c r="AP53" s="13">
        <v>16.2</v>
      </c>
      <c r="AQ53" s="13">
        <v>35.200000000000003</v>
      </c>
      <c r="AR53" s="13">
        <v>21.7</v>
      </c>
      <c r="AS53" s="13">
        <v>2.9</v>
      </c>
      <c r="AT53" s="13">
        <v>1.2</v>
      </c>
      <c r="AU53" s="13">
        <v>31717</v>
      </c>
      <c r="AV53" s="13">
        <v>34027</v>
      </c>
      <c r="AW53" s="13">
        <v>241</v>
      </c>
      <c r="AX53" s="13">
        <v>28233</v>
      </c>
      <c r="AY53" s="13">
        <v>25365</v>
      </c>
      <c r="AZ53" s="13">
        <v>32875</v>
      </c>
      <c r="BA53" s="13">
        <v>37612</v>
      </c>
      <c r="BB53" s="13">
        <v>32700</v>
      </c>
      <c r="BC53" s="13">
        <v>17447</v>
      </c>
      <c r="BD53" s="13">
        <v>98</v>
      </c>
      <c r="BE53" s="13">
        <v>94</v>
      </c>
      <c r="BF53" s="13">
        <v>102</v>
      </c>
      <c r="BG53" s="13">
        <v>95</v>
      </c>
      <c r="BH53" s="13">
        <v>96</v>
      </c>
      <c r="BI53" s="13">
        <v>93</v>
      </c>
      <c r="BJ53" s="13">
        <v>89</v>
      </c>
      <c r="BK53" s="13">
        <v>97</v>
      </c>
      <c r="BL53" s="13">
        <v>94</v>
      </c>
      <c r="BM53" s="13">
        <v>98</v>
      </c>
      <c r="BN53" s="13">
        <v>96</v>
      </c>
      <c r="BO53" s="13">
        <v>97</v>
      </c>
      <c r="BP53" s="13">
        <v>98</v>
      </c>
      <c r="BQ53" s="13">
        <v>100</v>
      </c>
      <c r="BR53" s="13">
        <v>102</v>
      </c>
      <c r="BS53" s="13">
        <v>98</v>
      </c>
      <c r="BT53" s="13">
        <v>99</v>
      </c>
      <c r="BU53" s="13">
        <v>96</v>
      </c>
      <c r="BV53" s="13">
        <v>99</v>
      </c>
      <c r="BW53" s="13">
        <v>98</v>
      </c>
      <c r="BX53" s="328">
        <f t="shared" si="2"/>
        <v>139710571</v>
      </c>
      <c r="BY53" s="328">
        <f t="shared" si="3"/>
        <v>52515440</v>
      </c>
      <c r="BZ53" s="329">
        <f t="shared" si="0"/>
        <v>0.61637986781430176</v>
      </c>
      <c r="CA53" s="329">
        <f t="shared" si="1"/>
        <v>0.61527183879809022</v>
      </c>
    </row>
    <row r="54" spans="1:79" x14ac:dyDescent="0.25">
      <c r="A54" s="13">
        <v>5190</v>
      </c>
      <c r="B54" s="13">
        <v>53</v>
      </c>
      <c r="C54" s="13" t="s">
        <v>572</v>
      </c>
      <c r="D54" s="13">
        <v>849211</v>
      </c>
      <c r="E54" s="13">
        <v>986327</v>
      </c>
      <c r="F54" s="13">
        <v>1092442</v>
      </c>
      <c r="G54" s="13">
        <v>1157681</v>
      </c>
      <c r="H54" s="13">
        <v>1.2</v>
      </c>
      <c r="I54" s="13">
        <v>113</v>
      </c>
      <c r="J54" s="13">
        <v>365717</v>
      </c>
      <c r="K54" s="13">
        <v>407832</v>
      </c>
      <c r="L54" s="13">
        <v>433809</v>
      </c>
      <c r="M54" s="13">
        <v>1.3</v>
      </c>
      <c r="N54" s="13">
        <v>2.64</v>
      </c>
      <c r="O54" s="13">
        <v>266675</v>
      </c>
      <c r="P54" s="13">
        <v>290608</v>
      </c>
      <c r="Q54" s="13">
        <v>1</v>
      </c>
      <c r="R54" s="13">
        <v>90.8</v>
      </c>
      <c r="S54" s="13">
        <v>88.5</v>
      </c>
      <c r="T54" s="13">
        <v>6</v>
      </c>
      <c r="U54" s="13">
        <v>6.8</v>
      </c>
      <c r="V54" s="13">
        <v>1.9</v>
      </c>
      <c r="W54" s="13">
        <v>3</v>
      </c>
      <c r="X54" s="13">
        <v>3.7</v>
      </c>
      <c r="Y54" s="13">
        <v>5.2</v>
      </c>
      <c r="Z54" s="13">
        <v>6.8</v>
      </c>
      <c r="AA54" s="13">
        <v>7.4</v>
      </c>
      <c r="AB54" s="13">
        <v>6.7</v>
      </c>
      <c r="AC54" s="13">
        <v>6.1</v>
      </c>
      <c r="AD54" s="13">
        <v>4.7</v>
      </c>
      <c r="AE54" s="13">
        <v>28.8</v>
      </c>
      <c r="AF54" s="13">
        <v>21.3</v>
      </c>
      <c r="AG54" s="13">
        <v>16.100000000000001</v>
      </c>
      <c r="AH54" s="13">
        <v>2.1</v>
      </c>
      <c r="AI54" s="13">
        <v>75.400000000000006</v>
      </c>
      <c r="AJ54" s="13">
        <v>36.4</v>
      </c>
      <c r="AK54" s="13">
        <v>38.5</v>
      </c>
      <c r="AL54" s="13">
        <v>92.7</v>
      </c>
      <c r="AM54" s="13">
        <v>23783</v>
      </c>
      <c r="AN54" s="13">
        <v>407805</v>
      </c>
      <c r="AO54" s="13">
        <v>11.3</v>
      </c>
      <c r="AP54" s="13">
        <v>9.9</v>
      </c>
      <c r="AQ54" s="13">
        <v>28.7</v>
      </c>
      <c r="AR54" s="13">
        <v>35.299999999999997</v>
      </c>
      <c r="AS54" s="13">
        <v>9.5</v>
      </c>
      <c r="AT54" s="13">
        <v>5.3</v>
      </c>
      <c r="AU54" s="13">
        <v>50080</v>
      </c>
      <c r="AV54" s="13">
        <v>58210</v>
      </c>
      <c r="AW54" s="13">
        <v>17</v>
      </c>
      <c r="AX54" s="13">
        <v>42267</v>
      </c>
      <c r="AY54" s="13">
        <v>43148</v>
      </c>
      <c r="AZ54" s="13">
        <v>48254</v>
      </c>
      <c r="BA54" s="13">
        <v>57209</v>
      </c>
      <c r="BB54" s="13">
        <v>47334</v>
      </c>
      <c r="BC54" s="13">
        <v>24271</v>
      </c>
      <c r="BD54" s="13">
        <v>104</v>
      </c>
      <c r="BE54" s="13">
        <v>109</v>
      </c>
      <c r="BF54" s="13">
        <v>111</v>
      </c>
      <c r="BG54" s="13">
        <v>111</v>
      </c>
      <c r="BH54" s="13">
        <v>98</v>
      </c>
      <c r="BI54" s="13">
        <v>102</v>
      </c>
      <c r="BJ54" s="13">
        <v>95</v>
      </c>
      <c r="BK54" s="13">
        <v>103</v>
      </c>
      <c r="BL54" s="13">
        <v>103</v>
      </c>
      <c r="BM54" s="13">
        <v>108</v>
      </c>
      <c r="BN54" s="13">
        <v>110</v>
      </c>
      <c r="BO54" s="13">
        <v>107</v>
      </c>
      <c r="BP54" s="13">
        <v>110</v>
      </c>
      <c r="BQ54" s="13">
        <v>108</v>
      </c>
      <c r="BR54" s="13">
        <v>112</v>
      </c>
      <c r="BS54" s="13">
        <v>101</v>
      </c>
      <c r="BT54" s="13">
        <v>112</v>
      </c>
      <c r="BU54" s="13">
        <v>106</v>
      </c>
      <c r="BV54" s="13">
        <v>105</v>
      </c>
      <c r="BW54" s="13">
        <v>105</v>
      </c>
      <c r="BX54" s="328">
        <f t="shared" si="2"/>
        <v>140868252</v>
      </c>
      <c r="BY54" s="328">
        <f t="shared" si="3"/>
        <v>52949249</v>
      </c>
      <c r="BZ54" s="329">
        <f t="shared" si="0"/>
        <v>0.62148736438126617</v>
      </c>
      <c r="CA54" s="329">
        <f t="shared" si="1"/>
        <v>0.62035435283809759</v>
      </c>
    </row>
    <row r="55" spans="1:79" x14ac:dyDescent="0.25">
      <c r="A55" s="13">
        <v>5015</v>
      </c>
      <c r="B55" s="13">
        <v>54</v>
      </c>
      <c r="C55" s="13" t="s">
        <v>573</v>
      </c>
      <c r="D55" s="13">
        <v>886383</v>
      </c>
      <c r="E55" s="13">
        <v>1019835</v>
      </c>
      <c r="F55" s="13">
        <v>1119842</v>
      </c>
      <c r="G55" s="13">
        <v>1180705</v>
      </c>
      <c r="H55" s="13">
        <v>1.1000000000000001</v>
      </c>
      <c r="I55" s="13">
        <v>140</v>
      </c>
      <c r="J55" s="13">
        <v>365085</v>
      </c>
      <c r="K55" s="13">
        <v>404519</v>
      </c>
      <c r="L55" s="13">
        <v>428566</v>
      </c>
      <c r="M55" s="13">
        <v>1.3</v>
      </c>
      <c r="N55" s="13">
        <v>2.69</v>
      </c>
      <c r="O55" s="13">
        <v>270114</v>
      </c>
      <c r="P55" s="13">
        <v>291645</v>
      </c>
      <c r="Q55" s="13">
        <v>0.9</v>
      </c>
      <c r="R55" s="13">
        <v>84.8</v>
      </c>
      <c r="S55" s="13">
        <v>80.400000000000006</v>
      </c>
      <c r="T55" s="13">
        <v>6.9</v>
      </c>
      <c r="U55" s="13">
        <v>7.6</v>
      </c>
      <c r="V55" s="13">
        <v>5.6</v>
      </c>
      <c r="W55" s="13">
        <v>8.4</v>
      </c>
      <c r="X55" s="13">
        <v>7</v>
      </c>
      <c r="Y55" s="13">
        <v>9.5</v>
      </c>
      <c r="Z55" s="13">
        <v>6.9</v>
      </c>
      <c r="AA55" s="13">
        <v>7</v>
      </c>
      <c r="AB55" s="13">
        <v>6.1</v>
      </c>
      <c r="AC55" s="13">
        <v>6.3</v>
      </c>
      <c r="AD55" s="13">
        <v>6.3</v>
      </c>
      <c r="AE55" s="13">
        <v>33.799999999999997</v>
      </c>
      <c r="AF55" s="13">
        <v>22.2</v>
      </c>
      <c r="AG55" s="13">
        <v>10.4</v>
      </c>
      <c r="AH55" s="13">
        <v>1.1000000000000001</v>
      </c>
      <c r="AI55" s="13">
        <v>76.599999999999994</v>
      </c>
      <c r="AJ55" s="13">
        <v>33.9</v>
      </c>
      <c r="AK55" s="13">
        <v>36</v>
      </c>
      <c r="AL55" s="13">
        <v>97.9</v>
      </c>
      <c r="AM55" s="13">
        <v>27781</v>
      </c>
      <c r="AN55" s="13">
        <v>404512</v>
      </c>
      <c r="AO55" s="13">
        <v>6.4</v>
      </c>
      <c r="AP55" s="13">
        <v>5.4</v>
      </c>
      <c r="AQ55" s="13">
        <v>23.6</v>
      </c>
      <c r="AR55" s="13">
        <v>42.5</v>
      </c>
      <c r="AS55" s="13">
        <v>15.1</v>
      </c>
      <c r="AT55" s="13">
        <v>6.9</v>
      </c>
      <c r="AU55" s="13">
        <v>62889</v>
      </c>
      <c r="AV55" s="13">
        <v>73106</v>
      </c>
      <c r="AW55" s="13">
        <v>1</v>
      </c>
      <c r="AX55" s="13">
        <v>50491</v>
      </c>
      <c r="AY55" s="13">
        <v>48651</v>
      </c>
      <c r="AZ55" s="13">
        <v>53149</v>
      </c>
      <c r="BA55" s="13">
        <v>62715</v>
      </c>
      <c r="BB55" s="13">
        <v>53818</v>
      </c>
      <c r="BC55" s="13">
        <v>30518</v>
      </c>
      <c r="BD55" s="13">
        <v>105</v>
      </c>
      <c r="BE55" s="13">
        <v>118</v>
      </c>
      <c r="BF55" s="13">
        <v>111</v>
      </c>
      <c r="BG55" s="13">
        <v>116</v>
      </c>
      <c r="BH55" s="13">
        <v>99</v>
      </c>
      <c r="BI55" s="13">
        <v>104</v>
      </c>
      <c r="BJ55" s="13">
        <v>94</v>
      </c>
      <c r="BK55" s="13">
        <v>103</v>
      </c>
      <c r="BL55" s="13">
        <v>107</v>
      </c>
      <c r="BM55" s="13">
        <v>113</v>
      </c>
      <c r="BN55" s="13">
        <v>116</v>
      </c>
      <c r="BO55" s="13">
        <v>110</v>
      </c>
      <c r="BP55" s="13">
        <v>114</v>
      </c>
      <c r="BQ55" s="13">
        <v>109</v>
      </c>
      <c r="BR55" s="13">
        <v>117</v>
      </c>
      <c r="BS55" s="13">
        <v>103</v>
      </c>
      <c r="BT55" s="13">
        <v>119</v>
      </c>
      <c r="BU55" s="13">
        <v>111</v>
      </c>
      <c r="BV55" s="13">
        <v>103</v>
      </c>
      <c r="BW55" s="13">
        <v>106</v>
      </c>
      <c r="BX55" s="328">
        <f t="shared" si="2"/>
        <v>142048957</v>
      </c>
      <c r="BY55" s="328">
        <f t="shared" si="3"/>
        <v>53377815</v>
      </c>
      <c r="BZ55" s="329">
        <f t="shared" si="0"/>
        <v>0.62669643901762762</v>
      </c>
      <c r="CA55" s="329">
        <f t="shared" si="1"/>
        <v>0.62537543979588262</v>
      </c>
    </row>
    <row r="56" spans="1:79" x14ac:dyDescent="0.25">
      <c r="A56" s="13">
        <v>3600</v>
      </c>
      <c r="B56" s="13">
        <v>55</v>
      </c>
      <c r="C56" s="13" t="s">
        <v>574</v>
      </c>
      <c r="D56" s="13">
        <v>722252</v>
      </c>
      <c r="E56" s="13">
        <v>906727</v>
      </c>
      <c r="F56" s="13">
        <v>1054609</v>
      </c>
      <c r="G56" s="13">
        <v>1145928</v>
      </c>
      <c r="H56" s="13">
        <v>1.8</v>
      </c>
      <c r="I56" s="13">
        <v>61</v>
      </c>
      <c r="J56" s="13">
        <v>343526</v>
      </c>
      <c r="K56" s="13">
        <v>396022</v>
      </c>
      <c r="L56" s="13">
        <v>426502</v>
      </c>
      <c r="M56" s="13">
        <v>1.7</v>
      </c>
      <c r="N56" s="13">
        <v>2.62</v>
      </c>
      <c r="O56" s="13">
        <v>240414</v>
      </c>
      <c r="P56" s="13">
        <v>272287</v>
      </c>
      <c r="Q56" s="13">
        <v>1.5</v>
      </c>
      <c r="R56" s="13">
        <v>77.400000000000006</v>
      </c>
      <c r="S56" s="13">
        <v>73.7</v>
      </c>
      <c r="T56" s="13">
        <v>20</v>
      </c>
      <c r="U56" s="13">
        <v>22.4</v>
      </c>
      <c r="V56" s="13">
        <v>1.7</v>
      </c>
      <c r="W56" s="13">
        <v>2.6</v>
      </c>
      <c r="X56" s="13">
        <v>2.5</v>
      </c>
      <c r="Y56" s="13">
        <v>3.8</v>
      </c>
      <c r="Z56" s="13">
        <v>7.6</v>
      </c>
      <c r="AA56" s="13">
        <v>8</v>
      </c>
      <c r="AB56" s="13">
        <v>7.5</v>
      </c>
      <c r="AC56" s="13">
        <v>6.8</v>
      </c>
      <c r="AD56" s="13">
        <v>6.4</v>
      </c>
      <c r="AE56" s="13">
        <v>32</v>
      </c>
      <c r="AF56" s="13">
        <v>20.3</v>
      </c>
      <c r="AG56" s="13">
        <v>10.199999999999999</v>
      </c>
      <c r="AH56" s="13">
        <v>1.1000000000000001</v>
      </c>
      <c r="AI56" s="13">
        <v>72.8</v>
      </c>
      <c r="AJ56" s="13">
        <v>32.1</v>
      </c>
      <c r="AK56" s="13">
        <v>34</v>
      </c>
      <c r="AL56" s="13">
        <v>95.3</v>
      </c>
      <c r="AM56" s="13">
        <v>17139</v>
      </c>
      <c r="AN56" s="13">
        <v>395991</v>
      </c>
      <c r="AO56" s="13">
        <v>15.9</v>
      </c>
      <c r="AP56" s="13">
        <v>15.2</v>
      </c>
      <c r="AQ56" s="13">
        <v>36.1</v>
      </c>
      <c r="AR56" s="13">
        <v>26.7</v>
      </c>
      <c r="AS56" s="13">
        <v>4.4000000000000004</v>
      </c>
      <c r="AT56" s="13">
        <v>1.8</v>
      </c>
      <c r="AU56" s="13">
        <v>36764</v>
      </c>
      <c r="AV56" s="13">
        <v>41111</v>
      </c>
      <c r="AW56" s="13">
        <v>145</v>
      </c>
      <c r="AX56" s="13">
        <v>36279</v>
      </c>
      <c r="AY56" s="13">
        <v>31253</v>
      </c>
      <c r="AZ56" s="13">
        <v>39264</v>
      </c>
      <c r="BA56" s="13">
        <v>46428</v>
      </c>
      <c r="BB56" s="13">
        <v>39658</v>
      </c>
      <c r="BC56" s="13">
        <v>25302</v>
      </c>
      <c r="BD56" s="13">
        <v>98</v>
      </c>
      <c r="BE56" s="13">
        <v>99</v>
      </c>
      <c r="BF56" s="13">
        <v>95</v>
      </c>
      <c r="BG56" s="13">
        <v>95</v>
      </c>
      <c r="BH56" s="13">
        <v>101</v>
      </c>
      <c r="BI56" s="13">
        <v>101</v>
      </c>
      <c r="BJ56" s="13">
        <v>101</v>
      </c>
      <c r="BK56" s="13">
        <v>100</v>
      </c>
      <c r="BL56" s="13">
        <v>99</v>
      </c>
      <c r="BM56" s="13">
        <v>100</v>
      </c>
      <c r="BN56" s="13">
        <v>99</v>
      </c>
      <c r="BO56" s="13">
        <v>100</v>
      </c>
      <c r="BP56" s="13">
        <v>97</v>
      </c>
      <c r="BQ56" s="13">
        <v>101</v>
      </c>
      <c r="BR56" s="13">
        <v>92</v>
      </c>
      <c r="BS56" s="13">
        <v>100</v>
      </c>
      <c r="BT56" s="13">
        <v>98</v>
      </c>
      <c r="BU56" s="13">
        <v>100</v>
      </c>
      <c r="BV56" s="13">
        <v>98</v>
      </c>
      <c r="BW56" s="13">
        <v>101</v>
      </c>
      <c r="BX56" s="328">
        <f t="shared" si="2"/>
        <v>143194885</v>
      </c>
      <c r="BY56" s="328">
        <f t="shared" si="3"/>
        <v>53804317</v>
      </c>
      <c r="BZ56" s="329">
        <f t="shared" si="0"/>
        <v>0.63175208329786403</v>
      </c>
      <c r="CA56" s="329">
        <f t="shared" si="1"/>
        <v>0.63037234489257532</v>
      </c>
    </row>
    <row r="57" spans="1:79" x14ac:dyDescent="0.25">
      <c r="A57" s="13">
        <v>4920</v>
      </c>
      <c r="B57" s="13">
        <v>56</v>
      </c>
      <c r="C57" s="13" t="s">
        <v>575</v>
      </c>
      <c r="D57" s="13">
        <v>938777</v>
      </c>
      <c r="E57" s="13">
        <v>1007306</v>
      </c>
      <c r="F57" s="13">
        <v>1093024</v>
      </c>
      <c r="G57" s="13">
        <v>1144982</v>
      </c>
      <c r="H57" s="13">
        <v>1</v>
      </c>
      <c r="I57" s="13">
        <v>167</v>
      </c>
      <c r="J57" s="13">
        <v>365450</v>
      </c>
      <c r="K57" s="13">
        <v>402709</v>
      </c>
      <c r="L57" s="13">
        <v>425946</v>
      </c>
      <c r="M57" s="13">
        <v>1.2</v>
      </c>
      <c r="N57" s="13">
        <v>2.65</v>
      </c>
      <c r="O57" s="13">
        <v>261463</v>
      </c>
      <c r="P57" s="13">
        <v>284537</v>
      </c>
      <c r="Q57" s="13">
        <v>1</v>
      </c>
      <c r="R57" s="13">
        <v>58</v>
      </c>
      <c r="S57" s="13">
        <v>56.3</v>
      </c>
      <c r="T57" s="13">
        <v>40.700000000000003</v>
      </c>
      <c r="U57" s="13">
        <v>42</v>
      </c>
      <c r="V57" s="13">
        <v>0.8</v>
      </c>
      <c r="W57" s="13">
        <v>1.2</v>
      </c>
      <c r="X57" s="13">
        <v>0.8</v>
      </c>
      <c r="Y57" s="13">
        <v>1.3</v>
      </c>
      <c r="Z57" s="13">
        <v>7.9</v>
      </c>
      <c r="AA57" s="13">
        <v>8</v>
      </c>
      <c r="AB57" s="13">
        <v>7.4</v>
      </c>
      <c r="AC57" s="13">
        <v>7.6</v>
      </c>
      <c r="AD57" s="13">
        <v>6.9</v>
      </c>
      <c r="AE57" s="13">
        <v>32.1</v>
      </c>
      <c r="AF57" s="13">
        <v>20</v>
      </c>
      <c r="AG57" s="13">
        <v>9</v>
      </c>
      <c r="AH57" s="13">
        <v>1.1000000000000001</v>
      </c>
      <c r="AI57" s="13">
        <v>72.3</v>
      </c>
      <c r="AJ57" s="13">
        <v>31.3</v>
      </c>
      <c r="AK57" s="13">
        <v>33.1</v>
      </c>
      <c r="AL57" s="13">
        <v>92</v>
      </c>
      <c r="AM57" s="13">
        <v>18486</v>
      </c>
      <c r="AN57" s="13">
        <v>402687</v>
      </c>
      <c r="AO57" s="13">
        <v>17</v>
      </c>
      <c r="AP57" s="13">
        <v>13.2</v>
      </c>
      <c r="AQ57" s="13">
        <v>32.299999999999997</v>
      </c>
      <c r="AR57" s="13">
        <v>28.1</v>
      </c>
      <c r="AS57" s="13">
        <v>6.6</v>
      </c>
      <c r="AT57" s="13">
        <v>2.8</v>
      </c>
      <c r="AU57" s="13">
        <v>39381</v>
      </c>
      <c r="AV57" s="13">
        <v>46840</v>
      </c>
      <c r="AW57" s="13">
        <v>103</v>
      </c>
      <c r="AX57" s="13">
        <v>39718</v>
      </c>
      <c r="AY57" s="13">
        <v>34085</v>
      </c>
      <c r="AZ57" s="13">
        <v>45607</v>
      </c>
      <c r="BA57" s="13">
        <v>49851</v>
      </c>
      <c r="BB57" s="13">
        <v>41487</v>
      </c>
      <c r="BC57" s="13">
        <v>24763</v>
      </c>
      <c r="BD57" s="13">
        <v>99</v>
      </c>
      <c r="BE57" s="13">
        <v>99</v>
      </c>
      <c r="BF57" s="13">
        <v>97</v>
      </c>
      <c r="BG57" s="13">
        <v>99</v>
      </c>
      <c r="BH57" s="13">
        <v>103</v>
      </c>
      <c r="BI57" s="13">
        <v>101</v>
      </c>
      <c r="BJ57" s="13">
        <v>100</v>
      </c>
      <c r="BK57" s="13">
        <v>101</v>
      </c>
      <c r="BL57" s="13">
        <v>100</v>
      </c>
      <c r="BM57" s="13">
        <v>102</v>
      </c>
      <c r="BN57" s="13">
        <v>98</v>
      </c>
      <c r="BO57" s="13">
        <v>102</v>
      </c>
      <c r="BP57" s="13">
        <v>99</v>
      </c>
      <c r="BQ57" s="13">
        <v>101</v>
      </c>
      <c r="BR57" s="13">
        <v>94</v>
      </c>
      <c r="BS57" s="13">
        <v>100</v>
      </c>
      <c r="BT57" s="13">
        <v>100</v>
      </c>
      <c r="BU57" s="13">
        <v>101</v>
      </c>
      <c r="BV57" s="13">
        <v>96</v>
      </c>
      <c r="BW57" s="13">
        <v>100</v>
      </c>
      <c r="BX57" s="328">
        <f t="shared" si="2"/>
        <v>144339867</v>
      </c>
      <c r="BY57" s="328">
        <f t="shared" si="3"/>
        <v>54230263</v>
      </c>
      <c r="BZ57" s="329">
        <f t="shared" si="0"/>
        <v>0.63680355398299748</v>
      </c>
      <c r="CA57" s="329">
        <f t="shared" si="1"/>
        <v>0.63536273588327619</v>
      </c>
    </row>
    <row r="58" spans="1:79" x14ac:dyDescent="0.25">
      <c r="A58" s="13">
        <v>6840</v>
      </c>
      <c r="B58" s="13">
        <v>57</v>
      </c>
      <c r="C58" s="13" t="s">
        <v>576</v>
      </c>
      <c r="D58" s="13">
        <v>1030630</v>
      </c>
      <c r="E58" s="13">
        <v>1062470</v>
      </c>
      <c r="F58" s="13">
        <v>1086703</v>
      </c>
      <c r="G58" s="13">
        <v>1099022</v>
      </c>
      <c r="H58" s="13">
        <v>0.3</v>
      </c>
      <c r="I58" s="13">
        <v>247</v>
      </c>
      <c r="J58" s="13">
        <v>396089</v>
      </c>
      <c r="K58" s="13">
        <v>410958</v>
      </c>
      <c r="L58" s="13">
        <v>419762</v>
      </c>
      <c r="M58" s="13">
        <v>0.4</v>
      </c>
      <c r="N58" s="13">
        <v>2.5499999999999998</v>
      </c>
      <c r="O58" s="13">
        <v>273830</v>
      </c>
      <c r="P58" s="13">
        <v>278533</v>
      </c>
      <c r="Q58" s="13">
        <v>0.2</v>
      </c>
      <c r="R58" s="13">
        <v>87.9</v>
      </c>
      <c r="S58" s="13">
        <v>85.8</v>
      </c>
      <c r="T58" s="13">
        <v>8.9</v>
      </c>
      <c r="U58" s="13">
        <v>9.9</v>
      </c>
      <c r="V58" s="13">
        <v>1.3</v>
      </c>
      <c r="W58" s="13">
        <v>2</v>
      </c>
      <c r="X58" s="13">
        <v>3</v>
      </c>
      <c r="Y58" s="13">
        <v>4</v>
      </c>
      <c r="Z58" s="13">
        <v>7.4</v>
      </c>
      <c r="AA58" s="13">
        <v>8</v>
      </c>
      <c r="AB58" s="13">
        <v>7</v>
      </c>
      <c r="AC58" s="13">
        <v>6.8</v>
      </c>
      <c r="AD58" s="13">
        <v>6.2</v>
      </c>
      <c r="AE58" s="13">
        <v>31</v>
      </c>
      <c r="AF58" s="13">
        <v>21</v>
      </c>
      <c r="AG58" s="13">
        <v>11.1</v>
      </c>
      <c r="AH58" s="13">
        <v>1.6</v>
      </c>
      <c r="AI58" s="13">
        <v>74</v>
      </c>
      <c r="AJ58" s="13">
        <v>33</v>
      </c>
      <c r="AK58" s="13">
        <v>35.1</v>
      </c>
      <c r="AL58" s="13">
        <v>94.3</v>
      </c>
      <c r="AM58" s="13">
        <v>17645</v>
      </c>
      <c r="AN58" s="13">
        <v>410945</v>
      </c>
      <c r="AO58" s="13">
        <v>16.2</v>
      </c>
      <c r="AP58" s="13">
        <v>13.5</v>
      </c>
      <c r="AQ58" s="13">
        <v>35.1</v>
      </c>
      <c r="AR58" s="13">
        <v>28.9</v>
      </c>
      <c r="AS58" s="13">
        <v>4.7</v>
      </c>
      <c r="AT58" s="13">
        <v>1.6</v>
      </c>
      <c r="AU58" s="13">
        <v>38745</v>
      </c>
      <c r="AV58" s="13">
        <v>42003</v>
      </c>
      <c r="AW58" s="13">
        <v>114</v>
      </c>
      <c r="AX58" s="13">
        <v>32880</v>
      </c>
      <c r="AY58" s="13">
        <v>29671</v>
      </c>
      <c r="AZ58" s="13">
        <v>36817</v>
      </c>
      <c r="BA58" s="13">
        <v>42896</v>
      </c>
      <c r="BB58" s="13">
        <v>36891</v>
      </c>
      <c r="BC58" s="13">
        <v>19802</v>
      </c>
      <c r="BD58" s="13">
        <v>100</v>
      </c>
      <c r="BE58" s="13">
        <v>97</v>
      </c>
      <c r="BF58" s="13">
        <v>100</v>
      </c>
      <c r="BG58" s="13">
        <v>98</v>
      </c>
      <c r="BH58" s="13">
        <v>94</v>
      </c>
      <c r="BI58" s="13">
        <v>93</v>
      </c>
      <c r="BJ58" s="13">
        <v>93</v>
      </c>
      <c r="BK58" s="13">
        <v>98</v>
      </c>
      <c r="BL58" s="13">
        <v>97</v>
      </c>
      <c r="BM58" s="13">
        <v>99</v>
      </c>
      <c r="BN58" s="13">
        <v>99</v>
      </c>
      <c r="BO58" s="13">
        <v>100</v>
      </c>
      <c r="BP58" s="13">
        <v>100</v>
      </c>
      <c r="BQ58" s="13">
        <v>102</v>
      </c>
      <c r="BR58" s="13">
        <v>101</v>
      </c>
      <c r="BS58" s="13">
        <v>99</v>
      </c>
      <c r="BT58" s="13">
        <v>102</v>
      </c>
      <c r="BU58" s="13">
        <v>98</v>
      </c>
      <c r="BV58" s="13">
        <v>100</v>
      </c>
      <c r="BW58" s="13">
        <v>101</v>
      </c>
      <c r="BX58" s="328">
        <f t="shared" si="2"/>
        <v>145438889</v>
      </c>
      <c r="BY58" s="328">
        <f t="shared" si="3"/>
        <v>54650025</v>
      </c>
      <c r="BZ58" s="329">
        <f t="shared" si="0"/>
        <v>0.64165225677074145</v>
      </c>
      <c r="CA58" s="329">
        <f t="shared" si="1"/>
        <v>0.640280675018844</v>
      </c>
    </row>
    <row r="59" spans="1:79" x14ac:dyDescent="0.25">
      <c r="A59" s="13">
        <v>5880</v>
      </c>
      <c r="B59" s="13">
        <v>58</v>
      </c>
      <c r="C59" s="13" t="s">
        <v>577</v>
      </c>
      <c r="D59" s="13">
        <v>860969</v>
      </c>
      <c r="E59" s="13">
        <v>958839</v>
      </c>
      <c r="F59" s="13">
        <v>1040313</v>
      </c>
      <c r="G59" s="13">
        <v>1088997</v>
      </c>
      <c r="H59" s="13">
        <v>1</v>
      </c>
      <c r="I59" s="13">
        <v>168</v>
      </c>
      <c r="J59" s="13">
        <v>367775</v>
      </c>
      <c r="K59" s="13">
        <v>399526</v>
      </c>
      <c r="L59" s="13">
        <v>419265</v>
      </c>
      <c r="M59" s="13">
        <v>1</v>
      </c>
      <c r="N59" s="13">
        <v>2.5299999999999998</v>
      </c>
      <c r="O59" s="13">
        <v>254582</v>
      </c>
      <c r="P59" s="13">
        <v>270553</v>
      </c>
      <c r="Q59" s="13">
        <v>0.7</v>
      </c>
      <c r="R59" s="13">
        <v>81.099999999999994</v>
      </c>
      <c r="S59" s="13">
        <v>80.3</v>
      </c>
      <c r="T59" s="13">
        <v>10.5</v>
      </c>
      <c r="U59" s="13">
        <v>10.8</v>
      </c>
      <c r="V59" s="13">
        <v>1.9</v>
      </c>
      <c r="W59" s="13">
        <v>2.2000000000000002</v>
      </c>
      <c r="X59" s="13">
        <v>3.6</v>
      </c>
      <c r="Y59" s="13">
        <v>5</v>
      </c>
      <c r="Z59" s="13">
        <v>7</v>
      </c>
      <c r="AA59" s="13">
        <v>7.5</v>
      </c>
      <c r="AB59" s="13">
        <v>7.7</v>
      </c>
      <c r="AC59" s="13">
        <v>7.8</v>
      </c>
      <c r="AD59" s="13">
        <v>7.5</v>
      </c>
      <c r="AE59" s="13">
        <v>30.8</v>
      </c>
      <c r="AF59" s="13">
        <v>20.9</v>
      </c>
      <c r="AG59" s="13">
        <v>9.6</v>
      </c>
      <c r="AH59" s="13">
        <v>1.3</v>
      </c>
      <c r="AI59" s="13">
        <v>73.400000000000006</v>
      </c>
      <c r="AJ59" s="13">
        <v>32</v>
      </c>
      <c r="AK59" s="13">
        <v>33.799999999999997</v>
      </c>
      <c r="AL59" s="13">
        <v>95.9</v>
      </c>
      <c r="AM59" s="13">
        <v>15655</v>
      </c>
      <c r="AN59" s="13">
        <v>399512</v>
      </c>
      <c r="AO59" s="13">
        <v>20.100000000000001</v>
      </c>
      <c r="AP59" s="13">
        <v>17.2</v>
      </c>
      <c r="AQ59" s="13">
        <v>35.299999999999997</v>
      </c>
      <c r="AR59" s="13">
        <v>22.7</v>
      </c>
      <c r="AS59" s="13">
        <v>3.3</v>
      </c>
      <c r="AT59" s="13">
        <v>1.4</v>
      </c>
      <c r="AU59" s="13">
        <v>32286</v>
      </c>
      <c r="AV59" s="13">
        <v>36407</v>
      </c>
      <c r="AW59" s="13">
        <v>227</v>
      </c>
      <c r="AX59" s="13">
        <v>31173</v>
      </c>
      <c r="AY59" s="13">
        <v>25160</v>
      </c>
      <c r="AZ59" s="13">
        <v>35983</v>
      </c>
      <c r="BA59" s="13">
        <v>39740</v>
      </c>
      <c r="BB59" s="13">
        <v>35258</v>
      </c>
      <c r="BC59" s="13">
        <v>21912</v>
      </c>
      <c r="BD59" s="13">
        <v>98</v>
      </c>
      <c r="BE59" s="13">
        <v>99</v>
      </c>
      <c r="BF59" s="13">
        <v>96</v>
      </c>
      <c r="BG59" s="13">
        <v>97</v>
      </c>
      <c r="BH59" s="13">
        <v>102</v>
      </c>
      <c r="BI59" s="13">
        <v>101</v>
      </c>
      <c r="BJ59" s="13">
        <v>102</v>
      </c>
      <c r="BK59" s="13">
        <v>99</v>
      </c>
      <c r="BL59" s="13">
        <v>99</v>
      </c>
      <c r="BM59" s="13">
        <v>99</v>
      </c>
      <c r="BN59" s="13">
        <v>100</v>
      </c>
      <c r="BO59" s="13">
        <v>100</v>
      </c>
      <c r="BP59" s="13">
        <v>98</v>
      </c>
      <c r="BQ59" s="13">
        <v>101</v>
      </c>
      <c r="BR59" s="13">
        <v>93</v>
      </c>
      <c r="BS59" s="13">
        <v>99</v>
      </c>
      <c r="BT59" s="13">
        <v>97</v>
      </c>
      <c r="BU59" s="13">
        <v>99</v>
      </c>
      <c r="BV59" s="13">
        <v>99</v>
      </c>
      <c r="BW59" s="13">
        <v>100</v>
      </c>
      <c r="BX59" s="328">
        <f t="shared" si="2"/>
        <v>146527886</v>
      </c>
      <c r="BY59" s="328">
        <f t="shared" si="3"/>
        <v>55069290</v>
      </c>
      <c r="BZ59" s="329">
        <f t="shared" si="0"/>
        <v>0.64645673092116329</v>
      </c>
      <c r="CA59" s="329">
        <f t="shared" si="1"/>
        <v>0.64519279129348028</v>
      </c>
    </row>
    <row r="60" spans="1:79" x14ac:dyDescent="0.25">
      <c r="A60" s="13">
        <v>3283</v>
      </c>
      <c r="B60" s="13">
        <v>59</v>
      </c>
      <c r="C60" s="13" t="s">
        <v>578</v>
      </c>
      <c r="D60" s="13">
        <v>1051606</v>
      </c>
      <c r="E60" s="13">
        <v>1123678</v>
      </c>
      <c r="F60" s="13">
        <v>1103993</v>
      </c>
      <c r="G60" s="13">
        <v>1094016</v>
      </c>
      <c r="H60" s="13">
        <v>-0.2</v>
      </c>
      <c r="I60" s="13">
        <v>293</v>
      </c>
      <c r="J60" s="13">
        <v>423651</v>
      </c>
      <c r="K60" s="13">
        <v>420283</v>
      </c>
      <c r="L60" s="13">
        <v>418179</v>
      </c>
      <c r="M60" s="13">
        <v>-0.1</v>
      </c>
      <c r="N60" s="13">
        <v>2.54</v>
      </c>
      <c r="O60" s="13">
        <v>294375</v>
      </c>
      <c r="P60" s="13">
        <v>284929</v>
      </c>
      <c r="Q60" s="13">
        <v>-0.4</v>
      </c>
      <c r="R60" s="13">
        <v>86.2</v>
      </c>
      <c r="S60" s="13">
        <v>83.9</v>
      </c>
      <c r="T60" s="13">
        <v>8.5</v>
      </c>
      <c r="U60" s="13">
        <v>9.1</v>
      </c>
      <c r="V60" s="13">
        <v>1.5</v>
      </c>
      <c r="W60" s="13">
        <v>2.4</v>
      </c>
      <c r="X60" s="13">
        <v>6.8</v>
      </c>
      <c r="Y60" s="13">
        <v>8.6</v>
      </c>
      <c r="Z60" s="13">
        <v>6.5</v>
      </c>
      <c r="AA60" s="13">
        <v>7</v>
      </c>
      <c r="AB60" s="13">
        <v>6.5</v>
      </c>
      <c r="AC60" s="13">
        <v>6.2</v>
      </c>
      <c r="AD60" s="13">
        <v>5.9</v>
      </c>
      <c r="AE60" s="13">
        <v>32.1</v>
      </c>
      <c r="AF60" s="13">
        <v>21.6</v>
      </c>
      <c r="AG60" s="13">
        <v>12.3</v>
      </c>
      <c r="AH60" s="13">
        <v>1.8</v>
      </c>
      <c r="AI60" s="13">
        <v>76.599999999999994</v>
      </c>
      <c r="AJ60" s="13">
        <v>34.200000000000003</v>
      </c>
      <c r="AK60" s="13">
        <v>36.6</v>
      </c>
      <c r="AL60" s="13">
        <v>94.4</v>
      </c>
      <c r="AM60" s="13">
        <v>19823</v>
      </c>
      <c r="AN60" s="13">
        <v>420275</v>
      </c>
      <c r="AO60" s="13">
        <v>13.9</v>
      </c>
      <c r="AP60" s="13">
        <v>11.6</v>
      </c>
      <c r="AQ60" s="13">
        <v>32.700000000000003</v>
      </c>
      <c r="AR60" s="13">
        <v>33.6</v>
      </c>
      <c r="AS60" s="13">
        <v>5.7</v>
      </c>
      <c r="AT60" s="13">
        <v>2.5</v>
      </c>
      <c r="AU60" s="13">
        <v>43233</v>
      </c>
      <c r="AV60" s="13">
        <v>44616</v>
      </c>
      <c r="AW60" s="13">
        <v>54</v>
      </c>
      <c r="AX60" s="13">
        <v>37762</v>
      </c>
      <c r="AY60" s="13">
        <v>35106</v>
      </c>
      <c r="AZ60" s="13">
        <v>41409</v>
      </c>
      <c r="BA60" s="13">
        <v>48691</v>
      </c>
      <c r="BB60" s="13">
        <v>42711</v>
      </c>
      <c r="BC60" s="13">
        <v>22904</v>
      </c>
      <c r="BD60" s="13">
        <v>103</v>
      </c>
      <c r="BE60" s="13">
        <v>109</v>
      </c>
      <c r="BF60" s="13">
        <v>109</v>
      </c>
      <c r="BG60" s="13">
        <v>108</v>
      </c>
      <c r="BH60" s="13">
        <v>98</v>
      </c>
      <c r="BI60" s="13">
        <v>100</v>
      </c>
      <c r="BJ60" s="13">
        <v>93</v>
      </c>
      <c r="BK60" s="13">
        <v>100</v>
      </c>
      <c r="BL60" s="13">
        <v>102</v>
      </c>
      <c r="BM60" s="13">
        <v>108</v>
      </c>
      <c r="BN60" s="13">
        <v>108</v>
      </c>
      <c r="BO60" s="13">
        <v>105</v>
      </c>
      <c r="BP60" s="13">
        <v>108</v>
      </c>
      <c r="BQ60" s="13">
        <v>105</v>
      </c>
      <c r="BR60" s="13">
        <v>112</v>
      </c>
      <c r="BS60" s="13">
        <v>101</v>
      </c>
      <c r="BT60" s="13">
        <v>111</v>
      </c>
      <c r="BU60" s="13">
        <v>105</v>
      </c>
      <c r="BV60" s="13">
        <v>102</v>
      </c>
      <c r="BW60" s="13">
        <v>103</v>
      </c>
      <c r="BX60" s="328">
        <f t="shared" si="2"/>
        <v>147621902</v>
      </c>
      <c r="BY60" s="328">
        <f t="shared" si="3"/>
        <v>55487469</v>
      </c>
      <c r="BZ60" s="329">
        <f t="shared" si="0"/>
        <v>0.65128334806716814</v>
      </c>
      <c r="CA60" s="329">
        <f t="shared" si="1"/>
        <v>0.65009218397259994</v>
      </c>
    </row>
    <row r="61" spans="1:79" x14ac:dyDescent="0.25">
      <c r="A61" s="13">
        <v>4520</v>
      </c>
      <c r="B61" s="13">
        <v>60</v>
      </c>
      <c r="C61" s="13" t="s">
        <v>579</v>
      </c>
      <c r="D61" s="13">
        <v>953520</v>
      </c>
      <c r="E61" s="13">
        <v>948829</v>
      </c>
      <c r="F61" s="13">
        <v>998525</v>
      </c>
      <c r="G61" s="13">
        <v>1028193</v>
      </c>
      <c r="H61" s="13">
        <v>0.6</v>
      </c>
      <c r="I61" s="13">
        <v>207</v>
      </c>
      <c r="J61" s="13">
        <v>366364</v>
      </c>
      <c r="K61" s="13">
        <v>394322</v>
      </c>
      <c r="L61" s="13">
        <v>411842</v>
      </c>
      <c r="M61" s="13">
        <v>0.9</v>
      </c>
      <c r="N61" s="13">
        <v>2.4900000000000002</v>
      </c>
      <c r="O61" s="13">
        <v>258803</v>
      </c>
      <c r="P61" s="13">
        <v>274418</v>
      </c>
      <c r="Q61" s="13">
        <v>0.7</v>
      </c>
      <c r="R61" s="13">
        <v>86.2</v>
      </c>
      <c r="S61" s="13">
        <v>85.8</v>
      </c>
      <c r="T61" s="13">
        <v>12.9</v>
      </c>
      <c r="U61" s="13">
        <v>13</v>
      </c>
      <c r="V61" s="13">
        <v>0.6</v>
      </c>
      <c r="W61" s="13">
        <v>0.8</v>
      </c>
      <c r="X61" s="13">
        <v>0.6</v>
      </c>
      <c r="Y61" s="13">
        <v>0.8</v>
      </c>
      <c r="Z61" s="13">
        <v>6.4</v>
      </c>
      <c r="AA61" s="13">
        <v>6.8</v>
      </c>
      <c r="AB61" s="13">
        <v>6.8</v>
      </c>
      <c r="AC61" s="13">
        <v>7.1</v>
      </c>
      <c r="AD61" s="13">
        <v>6.4</v>
      </c>
      <c r="AE61" s="13">
        <v>31.5</v>
      </c>
      <c r="AF61" s="13">
        <v>22.4</v>
      </c>
      <c r="AG61" s="13">
        <v>11.2</v>
      </c>
      <c r="AH61" s="13">
        <v>1.4</v>
      </c>
      <c r="AI61" s="13">
        <v>75.7</v>
      </c>
      <c r="AJ61" s="13">
        <v>33.799999999999997</v>
      </c>
      <c r="AK61" s="13">
        <v>36.299999999999997</v>
      </c>
      <c r="AL61" s="13">
        <v>92.1</v>
      </c>
      <c r="AM61" s="13">
        <v>18736</v>
      </c>
      <c r="AN61" s="13">
        <v>394319</v>
      </c>
      <c r="AO61" s="13">
        <v>16.3</v>
      </c>
      <c r="AP61" s="13">
        <v>14.2</v>
      </c>
      <c r="AQ61" s="13">
        <v>34.700000000000003</v>
      </c>
      <c r="AR61" s="13">
        <v>27.5</v>
      </c>
      <c r="AS61" s="13">
        <v>5.3</v>
      </c>
      <c r="AT61" s="13">
        <v>2.1</v>
      </c>
      <c r="AU61" s="13">
        <v>37990</v>
      </c>
      <c r="AV61" s="13">
        <v>45406</v>
      </c>
      <c r="AW61" s="13">
        <v>126</v>
      </c>
      <c r="AX61" s="13">
        <v>36260</v>
      </c>
      <c r="AY61" s="13">
        <v>30211</v>
      </c>
      <c r="AZ61" s="13">
        <v>41160</v>
      </c>
      <c r="BA61" s="13">
        <v>46032</v>
      </c>
      <c r="BB61" s="13">
        <v>37645</v>
      </c>
      <c r="BC61" s="13">
        <v>24656</v>
      </c>
      <c r="BD61" s="13">
        <v>99</v>
      </c>
      <c r="BE61" s="13">
        <v>98</v>
      </c>
      <c r="BF61" s="13">
        <v>101</v>
      </c>
      <c r="BG61" s="13">
        <v>98</v>
      </c>
      <c r="BH61" s="13">
        <v>105</v>
      </c>
      <c r="BI61" s="13">
        <v>103</v>
      </c>
      <c r="BJ61" s="13">
        <v>103</v>
      </c>
      <c r="BK61" s="13">
        <v>100</v>
      </c>
      <c r="BL61" s="13">
        <v>98</v>
      </c>
      <c r="BM61" s="13">
        <v>100</v>
      </c>
      <c r="BN61" s="13">
        <v>98</v>
      </c>
      <c r="BO61" s="13">
        <v>100</v>
      </c>
      <c r="BP61" s="13">
        <v>99</v>
      </c>
      <c r="BQ61" s="13">
        <v>101</v>
      </c>
      <c r="BR61" s="13">
        <v>95</v>
      </c>
      <c r="BS61" s="13">
        <v>99</v>
      </c>
      <c r="BT61" s="13">
        <v>98</v>
      </c>
      <c r="BU61" s="13">
        <v>99</v>
      </c>
      <c r="BV61" s="13">
        <v>100</v>
      </c>
      <c r="BW61" s="13">
        <v>100</v>
      </c>
      <c r="BX61" s="328">
        <f t="shared" si="2"/>
        <v>148650095</v>
      </c>
      <c r="BY61" s="328">
        <f t="shared" si="3"/>
        <v>55899311</v>
      </c>
      <c r="BZ61" s="329">
        <f t="shared" si="0"/>
        <v>0.65581956505412464</v>
      </c>
      <c r="CA61" s="329">
        <f t="shared" si="1"/>
        <v>0.65491733224583693</v>
      </c>
    </row>
    <row r="62" spans="1:79" x14ac:dyDescent="0.25">
      <c r="A62" s="13">
        <v>3000</v>
      </c>
      <c r="B62" s="13">
        <v>61</v>
      </c>
      <c r="C62" s="13" t="s">
        <v>580</v>
      </c>
      <c r="D62" s="13">
        <v>840824</v>
      </c>
      <c r="E62" s="13">
        <v>937891</v>
      </c>
      <c r="F62" s="13">
        <v>1038232</v>
      </c>
      <c r="G62" s="13">
        <v>1097868</v>
      </c>
      <c r="H62" s="13">
        <v>1.2</v>
      </c>
      <c r="I62" s="13">
        <v>115</v>
      </c>
      <c r="J62" s="13">
        <v>333911</v>
      </c>
      <c r="K62" s="13">
        <v>376056</v>
      </c>
      <c r="L62" s="13">
        <v>401989</v>
      </c>
      <c r="M62" s="13">
        <v>1.5</v>
      </c>
      <c r="N62" s="13">
        <v>2.69</v>
      </c>
      <c r="O62" s="13">
        <v>245075</v>
      </c>
      <c r="P62" s="13">
        <v>271123</v>
      </c>
      <c r="Q62" s="13">
        <v>1.2</v>
      </c>
      <c r="R62" s="13">
        <v>90</v>
      </c>
      <c r="S62" s="13">
        <v>88.8</v>
      </c>
      <c r="T62" s="13">
        <v>6.9</v>
      </c>
      <c r="U62" s="13">
        <v>7.4</v>
      </c>
      <c r="V62" s="13">
        <v>0.9</v>
      </c>
      <c r="W62" s="13">
        <v>1.3</v>
      </c>
      <c r="X62" s="13">
        <v>3.1</v>
      </c>
      <c r="Y62" s="13">
        <v>3.9</v>
      </c>
      <c r="Z62" s="13">
        <v>7.8</v>
      </c>
      <c r="AA62" s="13">
        <v>8.4</v>
      </c>
      <c r="AB62" s="13">
        <v>8.1</v>
      </c>
      <c r="AC62" s="13">
        <v>7.6</v>
      </c>
      <c r="AD62" s="13">
        <v>6.2</v>
      </c>
      <c r="AE62" s="13">
        <v>31.7</v>
      </c>
      <c r="AF62" s="13">
        <v>19</v>
      </c>
      <c r="AG62" s="13">
        <v>9.9</v>
      </c>
      <c r="AH62" s="13">
        <v>1.3</v>
      </c>
      <c r="AI62" s="13">
        <v>71.400000000000006</v>
      </c>
      <c r="AJ62" s="13">
        <v>31.1</v>
      </c>
      <c r="AK62" s="13">
        <v>33.1</v>
      </c>
      <c r="AL62" s="13">
        <v>96.1</v>
      </c>
      <c r="AM62" s="13">
        <v>20847</v>
      </c>
      <c r="AN62" s="13">
        <v>376054</v>
      </c>
      <c r="AO62" s="13">
        <v>9.6999999999999993</v>
      </c>
      <c r="AP62" s="13">
        <v>9.6</v>
      </c>
      <c r="AQ62" s="13">
        <v>34.4</v>
      </c>
      <c r="AR62" s="13">
        <v>34.799999999999997</v>
      </c>
      <c r="AS62" s="13">
        <v>8.6999999999999993</v>
      </c>
      <c r="AT62" s="13">
        <v>2.9</v>
      </c>
      <c r="AU62" s="13">
        <v>47090</v>
      </c>
      <c r="AV62" s="13">
        <v>58896</v>
      </c>
      <c r="AW62" s="13">
        <v>29</v>
      </c>
      <c r="AX62" s="13">
        <v>39932</v>
      </c>
      <c r="AY62" s="13">
        <v>35668</v>
      </c>
      <c r="AZ62" s="13">
        <v>44192</v>
      </c>
      <c r="BA62" s="13">
        <v>52762</v>
      </c>
      <c r="BB62" s="13">
        <v>44883</v>
      </c>
      <c r="BC62" s="13">
        <v>25001</v>
      </c>
      <c r="BD62" s="13">
        <v>99</v>
      </c>
      <c r="BE62" s="13">
        <v>96</v>
      </c>
      <c r="BF62" s="13">
        <v>93</v>
      </c>
      <c r="BG62" s="13">
        <v>95</v>
      </c>
      <c r="BH62" s="13">
        <v>100</v>
      </c>
      <c r="BI62" s="13">
        <v>98</v>
      </c>
      <c r="BJ62" s="13">
        <v>103</v>
      </c>
      <c r="BK62" s="13">
        <v>99</v>
      </c>
      <c r="BL62" s="13">
        <v>98</v>
      </c>
      <c r="BM62" s="13">
        <v>98</v>
      </c>
      <c r="BN62" s="13">
        <v>99</v>
      </c>
      <c r="BO62" s="13">
        <v>98</v>
      </c>
      <c r="BP62" s="13">
        <v>99</v>
      </c>
      <c r="BQ62" s="13">
        <v>100</v>
      </c>
      <c r="BR62" s="13">
        <v>99</v>
      </c>
      <c r="BS62" s="13">
        <v>102</v>
      </c>
      <c r="BT62" s="13">
        <v>98</v>
      </c>
      <c r="BU62" s="13">
        <v>99</v>
      </c>
      <c r="BV62" s="13">
        <v>99</v>
      </c>
      <c r="BW62" s="13">
        <v>99</v>
      </c>
      <c r="BX62" s="328">
        <f t="shared" si="2"/>
        <v>149747963</v>
      </c>
      <c r="BY62" s="328">
        <f t="shared" si="3"/>
        <v>56301300</v>
      </c>
      <c r="BZ62" s="329">
        <f t="shared" si="0"/>
        <v>0.66066317658526319</v>
      </c>
      <c r="CA62" s="329">
        <f t="shared" si="1"/>
        <v>0.65962704259400506</v>
      </c>
    </row>
    <row r="63" spans="1:79" x14ac:dyDescent="0.25">
      <c r="A63" s="13">
        <v>6760</v>
      </c>
      <c r="B63" s="13">
        <v>62</v>
      </c>
      <c r="C63" s="13" t="s">
        <v>581</v>
      </c>
      <c r="D63" s="13">
        <v>761311</v>
      </c>
      <c r="E63" s="13">
        <v>865640</v>
      </c>
      <c r="F63" s="13">
        <v>952831</v>
      </c>
      <c r="G63" s="13">
        <v>1007403</v>
      </c>
      <c r="H63" s="13">
        <v>1.2</v>
      </c>
      <c r="I63" s="13">
        <v>133</v>
      </c>
      <c r="J63" s="13">
        <v>331824</v>
      </c>
      <c r="K63" s="13">
        <v>371591</v>
      </c>
      <c r="L63" s="13">
        <v>397972</v>
      </c>
      <c r="M63" s="13">
        <v>1.4</v>
      </c>
      <c r="N63" s="13">
        <v>2.4900000000000002</v>
      </c>
      <c r="O63" s="13">
        <v>228797</v>
      </c>
      <c r="P63" s="13">
        <v>253359</v>
      </c>
      <c r="Q63" s="13">
        <v>1.2</v>
      </c>
      <c r="R63" s="13">
        <v>68.8</v>
      </c>
      <c r="S63" s="13">
        <v>67.5</v>
      </c>
      <c r="T63" s="13">
        <v>29.2</v>
      </c>
      <c r="U63" s="13">
        <v>29.7</v>
      </c>
      <c r="V63" s="13">
        <v>1.4</v>
      </c>
      <c r="W63" s="13">
        <v>1.9</v>
      </c>
      <c r="X63" s="13">
        <v>1.1000000000000001</v>
      </c>
      <c r="Y63" s="13">
        <v>1.9</v>
      </c>
      <c r="Z63" s="13">
        <v>6.6</v>
      </c>
      <c r="AA63" s="13">
        <v>7.1</v>
      </c>
      <c r="AB63" s="13">
        <v>6.6</v>
      </c>
      <c r="AC63" s="13">
        <v>6.6</v>
      </c>
      <c r="AD63" s="13">
        <v>6.3</v>
      </c>
      <c r="AE63" s="13">
        <v>33.9</v>
      </c>
      <c r="AF63" s="13">
        <v>21.3</v>
      </c>
      <c r="AG63" s="13">
        <v>10.3</v>
      </c>
      <c r="AH63" s="13">
        <v>1.3</v>
      </c>
      <c r="AI63" s="13">
        <v>76</v>
      </c>
      <c r="AJ63" s="13">
        <v>33.200000000000003</v>
      </c>
      <c r="AK63" s="13">
        <v>35.6</v>
      </c>
      <c r="AL63" s="13">
        <v>91.6</v>
      </c>
      <c r="AM63" s="13">
        <v>18531</v>
      </c>
      <c r="AN63" s="13">
        <v>371577</v>
      </c>
      <c r="AO63" s="13">
        <v>15</v>
      </c>
      <c r="AP63" s="13">
        <v>14</v>
      </c>
      <c r="AQ63" s="13">
        <v>35.200000000000003</v>
      </c>
      <c r="AR63" s="13">
        <v>29.3</v>
      </c>
      <c r="AS63" s="13">
        <v>4.7</v>
      </c>
      <c r="AT63" s="13">
        <v>1.9</v>
      </c>
      <c r="AU63" s="13">
        <v>39186</v>
      </c>
      <c r="AV63" s="13">
        <v>42938</v>
      </c>
      <c r="AW63" s="13">
        <v>107</v>
      </c>
      <c r="AX63" s="13">
        <v>35204</v>
      </c>
      <c r="AY63" s="13">
        <v>30081</v>
      </c>
      <c r="AZ63" s="13">
        <v>39543</v>
      </c>
      <c r="BA63" s="13">
        <v>44723</v>
      </c>
      <c r="BB63" s="13">
        <v>38408</v>
      </c>
      <c r="BC63" s="13">
        <v>23249</v>
      </c>
      <c r="BD63" s="13">
        <v>100</v>
      </c>
      <c r="BE63" s="13">
        <v>103</v>
      </c>
      <c r="BF63" s="13">
        <v>98</v>
      </c>
      <c r="BG63" s="13">
        <v>100</v>
      </c>
      <c r="BH63" s="13">
        <v>104</v>
      </c>
      <c r="BI63" s="13">
        <v>103</v>
      </c>
      <c r="BJ63" s="13">
        <v>101</v>
      </c>
      <c r="BK63" s="13">
        <v>101</v>
      </c>
      <c r="BL63" s="13">
        <v>101</v>
      </c>
      <c r="BM63" s="13">
        <v>103</v>
      </c>
      <c r="BN63" s="13">
        <v>102</v>
      </c>
      <c r="BO63" s="13">
        <v>102</v>
      </c>
      <c r="BP63" s="13">
        <v>101</v>
      </c>
      <c r="BQ63" s="13">
        <v>103</v>
      </c>
      <c r="BR63" s="13">
        <v>96</v>
      </c>
      <c r="BS63" s="13">
        <v>101</v>
      </c>
      <c r="BT63" s="13">
        <v>102</v>
      </c>
      <c r="BU63" s="13">
        <v>102</v>
      </c>
      <c r="BV63" s="13">
        <v>98</v>
      </c>
      <c r="BW63" s="13">
        <v>102</v>
      </c>
      <c r="BX63" s="328">
        <f t="shared" si="2"/>
        <v>150755366</v>
      </c>
      <c r="BY63" s="328">
        <f t="shared" si="3"/>
        <v>56699272</v>
      </c>
      <c r="BZ63" s="329">
        <f t="shared" si="0"/>
        <v>0.66510767154030659</v>
      </c>
      <c r="CA63" s="329">
        <f t="shared" si="1"/>
        <v>0.66428968969798352</v>
      </c>
    </row>
    <row r="64" spans="1:79" x14ac:dyDescent="0.25">
      <c r="A64" s="13">
        <v>3160</v>
      </c>
      <c r="B64" s="13">
        <v>63</v>
      </c>
      <c r="C64" s="13" t="s">
        <v>582</v>
      </c>
      <c r="D64" s="13">
        <v>744428</v>
      </c>
      <c r="E64" s="13">
        <v>830563</v>
      </c>
      <c r="F64" s="13">
        <v>915696</v>
      </c>
      <c r="G64" s="13">
        <v>966908</v>
      </c>
      <c r="H64" s="13">
        <v>1.2</v>
      </c>
      <c r="I64" s="13">
        <v>127</v>
      </c>
      <c r="J64" s="13">
        <v>312740</v>
      </c>
      <c r="K64" s="13">
        <v>358069</v>
      </c>
      <c r="L64" s="13">
        <v>386701</v>
      </c>
      <c r="M64" s="13">
        <v>1.7</v>
      </c>
      <c r="N64" s="13">
        <v>2.4900000000000002</v>
      </c>
      <c r="O64" s="13">
        <v>228567</v>
      </c>
      <c r="P64" s="13">
        <v>256821</v>
      </c>
      <c r="Q64" s="13">
        <v>1.4</v>
      </c>
      <c r="R64" s="13">
        <v>81.599999999999994</v>
      </c>
      <c r="S64" s="13">
        <v>80.7</v>
      </c>
      <c r="T64" s="13">
        <v>17.399999999999999</v>
      </c>
      <c r="U64" s="13">
        <v>18.100000000000001</v>
      </c>
      <c r="V64" s="13">
        <v>0.6</v>
      </c>
      <c r="W64" s="13">
        <v>0.8</v>
      </c>
      <c r="X64" s="13">
        <v>0.7</v>
      </c>
      <c r="Y64" s="13">
        <v>1.1000000000000001</v>
      </c>
      <c r="Z64" s="13">
        <v>6.1</v>
      </c>
      <c r="AA64" s="13">
        <v>6.7</v>
      </c>
      <c r="AB64" s="13">
        <v>6.5</v>
      </c>
      <c r="AC64" s="13">
        <v>7.3</v>
      </c>
      <c r="AD64" s="13">
        <v>6.9</v>
      </c>
      <c r="AE64" s="13">
        <v>30.1</v>
      </c>
      <c r="AF64" s="13">
        <v>23.2</v>
      </c>
      <c r="AG64" s="13">
        <v>11.8</v>
      </c>
      <c r="AH64" s="13">
        <v>1.4</v>
      </c>
      <c r="AI64" s="13">
        <v>76.8</v>
      </c>
      <c r="AJ64" s="13">
        <v>33.5</v>
      </c>
      <c r="AK64" s="13">
        <v>36.5</v>
      </c>
      <c r="AL64" s="13">
        <v>93.2</v>
      </c>
      <c r="AM64" s="13">
        <v>17210</v>
      </c>
      <c r="AN64" s="13">
        <v>358061</v>
      </c>
      <c r="AO64" s="13">
        <v>17.899999999999999</v>
      </c>
      <c r="AP64" s="13">
        <v>15</v>
      </c>
      <c r="AQ64" s="13">
        <v>36.1</v>
      </c>
      <c r="AR64" s="13">
        <v>25.1</v>
      </c>
      <c r="AS64" s="13">
        <v>4.4000000000000004</v>
      </c>
      <c r="AT64" s="13">
        <v>1.6</v>
      </c>
      <c r="AU64" s="13">
        <v>35616</v>
      </c>
      <c r="AV64" s="13">
        <v>41486</v>
      </c>
      <c r="AW64" s="13">
        <v>169</v>
      </c>
      <c r="AX64" s="13">
        <v>33439</v>
      </c>
      <c r="AY64" s="13">
        <v>29798</v>
      </c>
      <c r="AZ64" s="13">
        <v>38979</v>
      </c>
      <c r="BA64" s="13">
        <v>42536</v>
      </c>
      <c r="BB64" s="13">
        <v>35237</v>
      </c>
      <c r="BC64" s="13">
        <v>21312</v>
      </c>
      <c r="BD64" s="13">
        <v>99</v>
      </c>
      <c r="BE64" s="13">
        <v>88</v>
      </c>
      <c r="BF64" s="13">
        <v>93</v>
      </c>
      <c r="BG64" s="13">
        <v>92</v>
      </c>
      <c r="BH64" s="13">
        <v>101</v>
      </c>
      <c r="BI64" s="13">
        <v>99</v>
      </c>
      <c r="BJ64" s="13">
        <v>109</v>
      </c>
      <c r="BK64" s="13">
        <v>100</v>
      </c>
      <c r="BL64" s="13">
        <v>97</v>
      </c>
      <c r="BM64" s="13">
        <v>94</v>
      </c>
      <c r="BN64" s="13">
        <v>93</v>
      </c>
      <c r="BO64" s="13">
        <v>100</v>
      </c>
      <c r="BP64" s="13">
        <v>94</v>
      </c>
      <c r="BQ64" s="13">
        <v>101</v>
      </c>
      <c r="BR64" s="13">
        <v>87</v>
      </c>
      <c r="BS64" s="13">
        <v>99</v>
      </c>
      <c r="BT64" s="13">
        <v>92</v>
      </c>
      <c r="BU64" s="13">
        <v>96</v>
      </c>
      <c r="BV64" s="13">
        <v>101</v>
      </c>
      <c r="BW64" s="13">
        <v>100</v>
      </c>
      <c r="BX64" s="328">
        <f t="shared" si="2"/>
        <v>151722274</v>
      </c>
      <c r="BY64" s="328">
        <f t="shared" si="3"/>
        <v>57085973</v>
      </c>
      <c r="BZ64" s="329">
        <f t="shared" si="0"/>
        <v>0.66937350927157313</v>
      </c>
      <c r="CA64" s="329">
        <f t="shared" si="1"/>
        <v>0.66882028556341022</v>
      </c>
    </row>
    <row r="65" spans="1:79" x14ac:dyDescent="0.25">
      <c r="A65" s="13">
        <v>1000</v>
      </c>
      <c r="B65" s="13">
        <v>64</v>
      </c>
      <c r="C65" s="13" t="s">
        <v>583</v>
      </c>
      <c r="D65" s="13">
        <v>815333</v>
      </c>
      <c r="E65" s="13">
        <v>840140</v>
      </c>
      <c r="F65" s="13">
        <v>907060</v>
      </c>
      <c r="G65" s="13">
        <v>947599</v>
      </c>
      <c r="H65" s="13">
        <v>0.9</v>
      </c>
      <c r="I65" s="13">
        <v>176</v>
      </c>
      <c r="J65" s="13">
        <v>319774</v>
      </c>
      <c r="K65" s="13">
        <v>353558</v>
      </c>
      <c r="L65" s="13">
        <v>374848</v>
      </c>
      <c r="M65" s="13">
        <v>1.2</v>
      </c>
      <c r="N65" s="13">
        <v>2.52</v>
      </c>
      <c r="O65" s="13">
        <v>230088</v>
      </c>
      <c r="P65" s="13">
        <v>250566</v>
      </c>
      <c r="Q65" s="13">
        <v>1</v>
      </c>
      <c r="R65" s="13">
        <v>70.5</v>
      </c>
      <c r="S65" s="13">
        <v>70.400000000000006</v>
      </c>
      <c r="T65" s="13">
        <v>28.7</v>
      </c>
      <c r="U65" s="13">
        <v>28.7</v>
      </c>
      <c r="V65" s="13">
        <v>0.5</v>
      </c>
      <c r="W65" s="13">
        <v>0.6</v>
      </c>
      <c r="X65" s="13">
        <v>0.4</v>
      </c>
      <c r="Y65" s="13">
        <v>0.8</v>
      </c>
      <c r="Z65" s="13">
        <v>6.8</v>
      </c>
      <c r="AA65" s="13">
        <v>6.9</v>
      </c>
      <c r="AB65" s="13">
        <v>6.7</v>
      </c>
      <c r="AC65" s="13">
        <v>6.9</v>
      </c>
      <c r="AD65" s="13">
        <v>6.5</v>
      </c>
      <c r="AE65" s="13">
        <v>31.7</v>
      </c>
      <c r="AF65" s="13">
        <v>21.5</v>
      </c>
      <c r="AG65" s="13">
        <v>11.4</v>
      </c>
      <c r="AH65" s="13">
        <v>1.5</v>
      </c>
      <c r="AI65" s="13">
        <v>75.5</v>
      </c>
      <c r="AJ65" s="13">
        <v>33.700000000000003</v>
      </c>
      <c r="AK65" s="13">
        <v>35.9</v>
      </c>
      <c r="AL65" s="13">
        <v>90.8</v>
      </c>
      <c r="AM65" s="13">
        <v>18388</v>
      </c>
      <c r="AN65" s="13">
        <v>353540</v>
      </c>
      <c r="AO65" s="13">
        <v>18.600000000000001</v>
      </c>
      <c r="AP65" s="13">
        <v>14.2</v>
      </c>
      <c r="AQ65" s="13">
        <v>32.6</v>
      </c>
      <c r="AR65" s="13">
        <v>26.6</v>
      </c>
      <c r="AS65" s="13">
        <v>5.6</v>
      </c>
      <c r="AT65" s="13">
        <v>2.4</v>
      </c>
      <c r="AU65" s="13">
        <v>36880</v>
      </c>
      <c r="AV65" s="13">
        <v>44082</v>
      </c>
      <c r="AW65" s="13">
        <v>141</v>
      </c>
      <c r="AX65" s="13">
        <v>36620</v>
      </c>
      <c r="AY65" s="13">
        <v>31166</v>
      </c>
      <c r="AZ65" s="13">
        <v>43280</v>
      </c>
      <c r="BA65" s="13">
        <v>45944</v>
      </c>
      <c r="BB65" s="13">
        <v>38224</v>
      </c>
      <c r="BC65" s="13">
        <v>23450</v>
      </c>
      <c r="BD65" s="13">
        <v>99</v>
      </c>
      <c r="BE65" s="13">
        <v>94</v>
      </c>
      <c r="BF65" s="13">
        <v>97</v>
      </c>
      <c r="BG65" s="13">
        <v>96</v>
      </c>
      <c r="BH65" s="13">
        <v>103</v>
      </c>
      <c r="BI65" s="13">
        <v>101</v>
      </c>
      <c r="BJ65" s="13">
        <v>103</v>
      </c>
      <c r="BK65" s="13">
        <v>100</v>
      </c>
      <c r="BL65" s="13">
        <v>99</v>
      </c>
      <c r="BM65" s="13">
        <v>99</v>
      </c>
      <c r="BN65" s="13">
        <v>96</v>
      </c>
      <c r="BO65" s="13">
        <v>101</v>
      </c>
      <c r="BP65" s="13">
        <v>97</v>
      </c>
      <c r="BQ65" s="13">
        <v>101</v>
      </c>
      <c r="BR65" s="13">
        <v>92</v>
      </c>
      <c r="BS65" s="13">
        <v>100</v>
      </c>
      <c r="BT65" s="13">
        <v>97</v>
      </c>
      <c r="BU65" s="13">
        <v>99</v>
      </c>
      <c r="BV65" s="13">
        <v>98</v>
      </c>
      <c r="BW65" s="13">
        <v>100</v>
      </c>
      <c r="BX65" s="328">
        <f t="shared" si="2"/>
        <v>152669873</v>
      </c>
      <c r="BY65" s="328">
        <f t="shared" si="3"/>
        <v>57460821</v>
      </c>
      <c r="BZ65" s="329">
        <f t="shared" si="0"/>
        <v>0.67355415889729808</v>
      </c>
      <c r="CA65" s="329">
        <f t="shared" si="1"/>
        <v>0.67321201146782583</v>
      </c>
    </row>
    <row r="66" spans="1:79" x14ac:dyDescent="0.25">
      <c r="A66" s="13">
        <v>2000</v>
      </c>
      <c r="B66" s="13">
        <v>65</v>
      </c>
      <c r="C66" s="13" t="s">
        <v>584</v>
      </c>
      <c r="D66" s="13">
        <v>942083</v>
      </c>
      <c r="E66" s="13">
        <v>951270</v>
      </c>
      <c r="F66" s="13">
        <v>941969</v>
      </c>
      <c r="G66" s="13">
        <v>935666</v>
      </c>
      <c r="H66" s="13">
        <v>-0.1</v>
      </c>
      <c r="I66" s="13">
        <v>290</v>
      </c>
      <c r="J66" s="13">
        <v>364300</v>
      </c>
      <c r="K66" s="13">
        <v>367235</v>
      </c>
      <c r="L66" s="13">
        <v>368725</v>
      </c>
      <c r="M66" s="13">
        <v>0.1</v>
      </c>
      <c r="N66" s="13">
        <v>2.5</v>
      </c>
      <c r="O66" s="13">
        <v>257962</v>
      </c>
      <c r="P66" s="13">
        <v>254195</v>
      </c>
      <c r="Q66" s="13">
        <v>-0.2</v>
      </c>
      <c r="R66" s="13">
        <v>85.3</v>
      </c>
      <c r="S66" s="13">
        <v>83.6</v>
      </c>
      <c r="T66" s="13">
        <v>13.3</v>
      </c>
      <c r="U66" s="13">
        <v>14.5</v>
      </c>
      <c r="V66" s="13">
        <v>1</v>
      </c>
      <c r="W66" s="13">
        <v>1.3</v>
      </c>
      <c r="X66" s="13">
        <v>0.8</v>
      </c>
      <c r="Y66" s="13">
        <v>1</v>
      </c>
      <c r="Z66" s="13">
        <v>6.5</v>
      </c>
      <c r="AA66" s="13">
        <v>7</v>
      </c>
      <c r="AB66" s="13">
        <v>7</v>
      </c>
      <c r="AC66" s="13">
        <v>7.3</v>
      </c>
      <c r="AD66" s="13">
        <v>6.6</v>
      </c>
      <c r="AE66" s="13">
        <v>30.3</v>
      </c>
      <c r="AF66" s="13">
        <v>22.4</v>
      </c>
      <c r="AG66" s="13">
        <v>11.6</v>
      </c>
      <c r="AH66" s="13">
        <v>1.4</v>
      </c>
      <c r="AI66" s="13">
        <v>75.5</v>
      </c>
      <c r="AJ66" s="13">
        <v>33.4</v>
      </c>
      <c r="AK66" s="13">
        <v>35.9</v>
      </c>
      <c r="AL66" s="13">
        <v>93.4</v>
      </c>
      <c r="AM66" s="13">
        <v>18155</v>
      </c>
      <c r="AN66" s="13">
        <v>367211</v>
      </c>
      <c r="AO66" s="13">
        <v>15.8</v>
      </c>
      <c r="AP66" s="13">
        <v>13.6</v>
      </c>
      <c r="AQ66" s="13">
        <v>35.5</v>
      </c>
      <c r="AR66" s="13">
        <v>28.7</v>
      </c>
      <c r="AS66" s="13">
        <v>4.8</v>
      </c>
      <c r="AT66" s="13">
        <v>1.6</v>
      </c>
      <c r="AU66" s="13">
        <v>38776</v>
      </c>
      <c r="AV66" s="13">
        <v>44271</v>
      </c>
      <c r="AW66" s="13">
        <v>113</v>
      </c>
      <c r="AX66" s="13">
        <v>35121</v>
      </c>
      <c r="AY66" s="13">
        <v>30076</v>
      </c>
      <c r="AZ66" s="13">
        <v>40089</v>
      </c>
      <c r="BA66" s="13">
        <v>46378</v>
      </c>
      <c r="BB66" s="13">
        <v>38360</v>
      </c>
      <c r="BC66" s="13">
        <v>23654</v>
      </c>
      <c r="BD66" s="13">
        <v>98</v>
      </c>
      <c r="BE66" s="13">
        <v>99</v>
      </c>
      <c r="BF66" s="13">
        <v>101</v>
      </c>
      <c r="BG66" s="13">
        <v>99</v>
      </c>
      <c r="BH66" s="13">
        <v>104</v>
      </c>
      <c r="BI66" s="13">
        <v>102</v>
      </c>
      <c r="BJ66" s="13">
        <v>100</v>
      </c>
      <c r="BK66" s="13">
        <v>100</v>
      </c>
      <c r="BL66" s="13">
        <v>98</v>
      </c>
      <c r="BM66" s="13">
        <v>100</v>
      </c>
      <c r="BN66" s="13">
        <v>100</v>
      </c>
      <c r="BO66" s="13">
        <v>98</v>
      </c>
      <c r="BP66" s="13">
        <v>102</v>
      </c>
      <c r="BQ66" s="13">
        <v>100</v>
      </c>
      <c r="BR66" s="13">
        <v>105</v>
      </c>
      <c r="BS66" s="13">
        <v>102</v>
      </c>
      <c r="BT66" s="13">
        <v>101</v>
      </c>
      <c r="BU66" s="13">
        <v>100</v>
      </c>
      <c r="BV66" s="13">
        <v>99</v>
      </c>
      <c r="BW66" s="13">
        <v>99</v>
      </c>
      <c r="BX66" s="328">
        <f t="shared" si="2"/>
        <v>153605539</v>
      </c>
      <c r="BY66" s="328">
        <f t="shared" si="3"/>
        <v>57829546</v>
      </c>
      <c r="BZ66" s="329">
        <f t="shared" ref="BZ66:BZ129" si="8">BX66/$CC$43</f>
        <v>0.67768216210614851</v>
      </c>
      <c r="CA66" s="329">
        <f t="shared" ref="CA66:CA129" si="9">BY66/$CD$43</f>
        <v>0.67753200019420468</v>
      </c>
    </row>
    <row r="67" spans="1:79" x14ac:dyDescent="0.25">
      <c r="A67" s="13">
        <v>8520</v>
      </c>
      <c r="B67" s="13">
        <v>66</v>
      </c>
      <c r="C67" s="13" t="s">
        <v>585</v>
      </c>
      <c r="D67" s="13">
        <v>531443</v>
      </c>
      <c r="E67" s="13">
        <v>666880</v>
      </c>
      <c r="F67" s="13">
        <v>794738</v>
      </c>
      <c r="G67" s="13">
        <v>873599</v>
      </c>
      <c r="H67" s="13">
        <v>2.1</v>
      </c>
      <c r="I67" s="13">
        <v>42</v>
      </c>
      <c r="J67" s="13">
        <v>261792</v>
      </c>
      <c r="K67" s="13">
        <v>325097</v>
      </c>
      <c r="L67" s="13">
        <v>366286</v>
      </c>
      <c r="M67" s="13">
        <v>2.7</v>
      </c>
      <c r="N67" s="13">
        <v>2.4</v>
      </c>
      <c r="O67" s="13">
        <v>169666</v>
      </c>
      <c r="P67" s="13">
        <v>206594</v>
      </c>
      <c r="Q67" s="13">
        <v>2.4</v>
      </c>
      <c r="R67" s="13">
        <v>78.7</v>
      </c>
      <c r="S67" s="13">
        <v>75.599999999999994</v>
      </c>
      <c r="T67" s="13">
        <v>3.1</v>
      </c>
      <c r="U67" s="13">
        <v>3.6</v>
      </c>
      <c r="V67" s="13">
        <v>1.8</v>
      </c>
      <c r="W67" s="13">
        <v>2.2999999999999998</v>
      </c>
      <c r="X67" s="13">
        <v>24.5</v>
      </c>
      <c r="Y67" s="13">
        <v>28.7</v>
      </c>
      <c r="Z67" s="13">
        <v>7.1</v>
      </c>
      <c r="AA67" s="13">
        <v>6.7</v>
      </c>
      <c r="AB67" s="13">
        <v>6.3</v>
      </c>
      <c r="AC67" s="13">
        <v>7.3</v>
      </c>
      <c r="AD67" s="13">
        <v>7.7</v>
      </c>
      <c r="AE67" s="13">
        <v>30.7</v>
      </c>
      <c r="AF67" s="13">
        <v>20.5</v>
      </c>
      <c r="AG67" s="13">
        <v>12.3</v>
      </c>
      <c r="AH67" s="13">
        <v>1.4</v>
      </c>
      <c r="AI67" s="13">
        <v>76</v>
      </c>
      <c r="AJ67" s="13">
        <v>32.799999999999997</v>
      </c>
      <c r="AK67" s="13">
        <v>35.200000000000003</v>
      </c>
      <c r="AL67" s="13">
        <v>96.8</v>
      </c>
      <c r="AM67" s="13">
        <v>15425</v>
      </c>
      <c r="AN67" s="13">
        <v>325097</v>
      </c>
      <c r="AO67" s="13">
        <v>24</v>
      </c>
      <c r="AP67" s="13">
        <v>18.7</v>
      </c>
      <c r="AQ67" s="13">
        <v>33.9</v>
      </c>
      <c r="AR67" s="13">
        <v>19.100000000000001</v>
      </c>
      <c r="AS67" s="13">
        <v>3</v>
      </c>
      <c r="AT67" s="13">
        <v>1.3</v>
      </c>
      <c r="AU67" s="13">
        <v>29152</v>
      </c>
      <c r="AV67" s="13">
        <v>31415</v>
      </c>
      <c r="AW67" s="13">
        <v>287</v>
      </c>
      <c r="AX67" s="13">
        <v>29887</v>
      </c>
      <c r="AY67" s="13">
        <v>23388</v>
      </c>
      <c r="AZ67" s="13">
        <v>33665</v>
      </c>
      <c r="BA67" s="13">
        <v>38199</v>
      </c>
      <c r="BB67" s="13">
        <v>34390</v>
      </c>
      <c r="BC67" s="13">
        <v>24544</v>
      </c>
      <c r="BD67" s="13">
        <v>100</v>
      </c>
      <c r="BE67" s="13">
        <v>100</v>
      </c>
      <c r="BF67" s="13">
        <v>102</v>
      </c>
      <c r="BG67" s="13">
        <v>99</v>
      </c>
      <c r="BH67" s="13">
        <v>101</v>
      </c>
      <c r="BI67" s="13">
        <v>102</v>
      </c>
      <c r="BJ67" s="13">
        <v>100</v>
      </c>
      <c r="BK67" s="13">
        <v>99</v>
      </c>
      <c r="BL67" s="13">
        <v>99</v>
      </c>
      <c r="BM67" s="13">
        <v>98</v>
      </c>
      <c r="BN67" s="13">
        <v>99</v>
      </c>
      <c r="BO67" s="13">
        <v>94</v>
      </c>
      <c r="BP67" s="13">
        <v>95</v>
      </c>
      <c r="BQ67" s="13">
        <v>96</v>
      </c>
      <c r="BR67" s="13">
        <v>96</v>
      </c>
      <c r="BS67" s="13">
        <v>95</v>
      </c>
      <c r="BT67" s="13">
        <v>96</v>
      </c>
      <c r="BU67" s="13">
        <v>97</v>
      </c>
      <c r="BV67" s="13">
        <v>100</v>
      </c>
      <c r="BW67" s="13">
        <v>96</v>
      </c>
      <c r="BX67" s="328">
        <f t="shared" ref="BX67:BX130" si="10">BX66+G67</f>
        <v>154479138</v>
      </c>
      <c r="BY67" s="328">
        <f t="shared" ref="BY67:BY130" si="11">BY66+L67</f>
        <v>58195832</v>
      </c>
      <c r="BZ67" s="329">
        <f t="shared" si="8"/>
        <v>0.68153633600500629</v>
      </c>
      <c r="CA67" s="329">
        <f t="shared" si="9"/>
        <v>0.68182341355275222</v>
      </c>
    </row>
    <row r="68" spans="1:79" x14ac:dyDescent="0.25">
      <c r="A68" s="13">
        <v>160</v>
      </c>
      <c r="B68" s="13">
        <v>67</v>
      </c>
      <c r="C68" s="13" t="s">
        <v>586</v>
      </c>
      <c r="D68" s="13">
        <v>824729</v>
      </c>
      <c r="E68" s="13">
        <v>861424</v>
      </c>
      <c r="F68" s="13">
        <v>875933</v>
      </c>
      <c r="G68" s="13">
        <v>884238</v>
      </c>
      <c r="H68" s="13">
        <v>0.2</v>
      </c>
      <c r="I68" s="13">
        <v>256</v>
      </c>
      <c r="J68" s="13">
        <v>330484</v>
      </c>
      <c r="K68" s="13">
        <v>342198</v>
      </c>
      <c r="L68" s="13">
        <v>348977</v>
      </c>
      <c r="M68" s="13">
        <v>0.4</v>
      </c>
      <c r="N68" s="13">
        <v>2.4700000000000002</v>
      </c>
      <c r="O68" s="13">
        <v>221031</v>
      </c>
      <c r="P68" s="13">
        <v>222569</v>
      </c>
      <c r="Q68" s="13">
        <v>0.1</v>
      </c>
      <c r="R68" s="13">
        <v>93.4</v>
      </c>
      <c r="S68" s="13">
        <v>92.1</v>
      </c>
      <c r="T68" s="13">
        <v>4.5999999999999996</v>
      </c>
      <c r="U68" s="13">
        <v>5.0999999999999996</v>
      </c>
      <c r="V68" s="13">
        <v>1.2</v>
      </c>
      <c r="W68" s="13">
        <v>1.8</v>
      </c>
      <c r="X68" s="13">
        <v>1.7</v>
      </c>
      <c r="Y68" s="13">
        <v>2.2999999999999998</v>
      </c>
      <c r="Z68" s="13">
        <v>6.8</v>
      </c>
      <c r="AA68" s="13">
        <v>7.3</v>
      </c>
      <c r="AB68" s="13">
        <v>6.6</v>
      </c>
      <c r="AC68" s="13">
        <v>6.9</v>
      </c>
      <c r="AD68" s="13">
        <v>6.5</v>
      </c>
      <c r="AE68" s="13">
        <v>30.8</v>
      </c>
      <c r="AF68" s="13">
        <v>20.9</v>
      </c>
      <c r="AG68" s="13">
        <v>12.4</v>
      </c>
      <c r="AH68" s="13">
        <v>1.8</v>
      </c>
      <c r="AI68" s="13">
        <v>75.900000000000006</v>
      </c>
      <c r="AJ68" s="13">
        <v>33.9</v>
      </c>
      <c r="AK68" s="13">
        <v>36</v>
      </c>
      <c r="AL68" s="13">
        <v>94</v>
      </c>
      <c r="AM68" s="13">
        <v>17955</v>
      </c>
      <c r="AN68" s="13">
        <v>342185</v>
      </c>
      <c r="AO68" s="13">
        <v>16</v>
      </c>
      <c r="AP68" s="13">
        <v>14.6</v>
      </c>
      <c r="AQ68" s="13">
        <v>35.6</v>
      </c>
      <c r="AR68" s="13">
        <v>27.6</v>
      </c>
      <c r="AS68" s="13">
        <v>4.5</v>
      </c>
      <c r="AT68" s="13">
        <v>1.6</v>
      </c>
      <c r="AU68" s="13">
        <v>37584</v>
      </c>
      <c r="AV68" s="13">
        <v>41396</v>
      </c>
      <c r="AW68" s="13">
        <v>130</v>
      </c>
      <c r="AX68" s="13">
        <v>32428</v>
      </c>
      <c r="AY68" s="13">
        <v>29632</v>
      </c>
      <c r="AZ68" s="13">
        <v>37085</v>
      </c>
      <c r="BA68" s="13">
        <v>42134</v>
      </c>
      <c r="BB68" s="13">
        <v>36674</v>
      </c>
      <c r="BC68" s="13">
        <v>20083</v>
      </c>
      <c r="BD68" s="13">
        <v>100</v>
      </c>
      <c r="BE68" s="13">
        <v>98</v>
      </c>
      <c r="BF68" s="13">
        <v>102</v>
      </c>
      <c r="BG68" s="13">
        <v>99</v>
      </c>
      <c r="BH68" s="13">
        <v>95</v>
      </c>
      <c r="BI68" s="13">
        <v>94</v>
      </c>
      <c r="BJ68" s="13">
        <v>93</v>
      </c>
      <c r="BK68" s="13">
        <v>98</v>
      </c>
      <c r="BL68" s="13">
        <v>97</v>
      </c>
      <c r="BM68" s="13">
        <v>100</v>
      </c>
      <c r="BN68" s="13">
        <v>100</v>
      </c>
      <c r="BO68" s="13">
        <v>100</v>
      </c>
      <c r="BP68" s="13">
        <v>100</v>
      </c>
      <c r="BQ68" s="13">
        <v>102</v>
      </c>
      <c r="BR68" s="13">
        <v>103</v>
      </c>
      <c r="BS68" s="13">
        <v>99</v>
      </c>
      <c r="BT68" s="13">
        <v>102</v>
      </c>
      <c r="BU68" s="13">
        <v>98</v>
      </c>
      <c r="BV68" s="13">
        <v>101</v>
      </c>
      <c r="BW68" s="13">
        <v>101</v>
      </c>
      <c r="BX68" s="328">
        <f t="shared" si="10"/>
        <v>155363376</v>
      </c>
      <c r="BY68" s="328">
        <f t="shared" si="11"/>
        <v>58544809</v>
      </c>
      <c r="BZ68" s="329">
        <f t="shared" si="8"/>
        <v>0.68543744740735235</v>
      </c>
      <c r="CA68" s="329">
        <f t="shared" si="9"/>
        <v>0.6859120343562386</v>
      </c>
    </row>
    <row r="69" spans="1:79" x14ac:dyDescent="0.25">
      <c r="A69" s="13">
        <v>6483</v>
      </c>
      <c r="B69" s="13">
        <v>68</v>
      </c>
      <c r="C69" s="13" t="s">
        <v>587</v>
      </c>
      <c r="D69" s="13">
        <v>865771</v>
      </c>
      <c r="E69" s="13">
        <v>916270</v>
      </c>
      <c r="F69" s="13">
        <v>903577</v>
      </c>
      <c r="G69" s="13">
        <v>895697</v>
      </c>
      <c r="H69" s="13">
        <v>-0.2</v>
      </c>
      <c r="I69" s="13">
        <v>291</v>
      </c>
      <c r="J69" s="13">
        <v>345290</v>
      </c>
      <c r="K69" s="13">
        <v>346708</v>
      </c>
      <c r="L69" s="13">
        <v>347488</v>
      </c>
      <c r="M69" s="13">
        <v>0</v>
      </c>
      <c r="N69" s="13">
        <v>2.5099999999999998</v>
      </c>
      <c r="O69" s="13">
        <v>236552</v>
      </c>
      <c r="P69" s="13">
        <v>231451</v>
      </c>
      <c r="Q69" s="13">
        <v>-0.3</v>
      </c>
      <c r="R69" s="13">
        <v>91.2</v>
      </c>
      <c r="S69" s="13">
        <v>89.4</v>
      </c>
      <c r="T69" s="13">
        <v>3.9</v>
      </c>
      <c r="U69" s="13">
        <v>4.4000000000000004</v>
      </c>
      <c r="V69" s="13">
        <v>1.9</v>
      </c>
      <c r="W69" s="13">
        <v>2.2000000000000002</v>
      </c>
      <c r="X69" s="13">
        <v>4.8</v>
      </c>
      <c r="Y69" s="13">
        <v>7</v>
      </c>
      <c r="Z69" s="13">
        <v>6.2</v>
      </c>
      <c r="AA69" s="13">
        <v>7</v>
      </c>
      <c r="AB69" s="13">
        <v>6.6</v>
      </c>
      <c r="AC69" s="13">
        <v>6.4</v>
      </c>
      <c r="AD69" s="13">
        <v>6.1</v>
      </c>
      <c r="AE69" s="13">
        <v>31.8</v>
      </c>
      <c r="AF69" s="13">
        <v>19.899999999999999</v>
      </c>
      <c r="AG69" s="13">
        <v>13.9</v>
      </c>
      <c r="AH69" s="13">
        <v>2</v>
      </c>
      <c r="AI69" s="13">
        <v>77.099999999999994</v>
      </c>
      <c r="AJ69" s="13">
        <v>34</v>
      </c>
      <c r="AK69" s="13">
        <v>36.299999999999997</v>
      </c>
      <c r="AL69" s="13">
        <v>92.6</v>
      </c>
      <c r="AM69" s="13">
        <v>19261</v>
      </c>
      <c r="AN69" s="13">
        <v>346700</v>
      </c>
      <c r="AO69" s="13">
        <v>16.399999999999999</v>
      </c>
      <c r="AP69" s="13">
        <v>12</v>
      </c>
      <c r="AQ69" s="13">
        <v>34</v>
      </c>
      <c r="AR69" s="13">
        <v>29.1</v>
      </c>
      <c r="AS69" s="13">
        <v>5.9</v>
      </c>
      <c r="AT69" s="13">
        <v>2.5</v>
      </c>
      <c r="AU69" s="13">
        <v>40373</v>
      </c>
      <c r="AV69" s="13">
        <v>48391</v>
      </c>
      <c r="AW69" s="13">
        <v>89</v>
      </c>
      <c r="AX69" s="13">
        <v>35543</v>
      </c>
      <c r="AY69" s="13">
        <v>32885</v>
      </c>
      <c r="AZ69" s="13">
        <v>40822</v>
      </c>
      <c r="BA69" s="13">
        <v>46940</v>
      </c>
      <c r="BB69" s="13">
        <v>40789</v>
      </c>
      <c r="BC69" s="13">
        <v>22200</v>
      </c>
      <c r="BD69" s="13">
        <v>99</v>
      </c>
      <c r="BE69" s="13">
        <v>100</v>
      </c>
      <c r="BF69" s="13">
        <v>105</v>
      </c>
      <c r="BG69" s="13">
        <v>99</v>
      </c>
      <c r="BH69" s="13">
        <v>97</v>
      </c>
      <c r="BI69" s="13">
        <v>96</v>
      </c>
      <c r="BJ69" s="13">
        <v>91</v>
      </c>
      <c r="BK69" s="13">
        <v>98</v>
      </c>
      <c r="BL69" s="13">
        <v>96</v>
      </c>
      <c r="BM69" s="13">
        <v>101</v>
      </c>
      <c r="BN69" s="13">
        <v>100</v>
      </c>
      <c r="BO69" s="13">
        <v>100</v>
      </c>
      <c r="BP69" s="13">
        <v>102</v>
      </c>
      <c r="BQ69" s="13">
        <v>101</v>
      </c>
      <c r="BR69" s="13">
        <v>106</v>
      </c>
      <c r="BS69" s="13">
        <v>99</v>
      </c>
      <c r="BT69" s="13">
        <v>102</v>
      </c>
      <c r="BU69" s="13">
        <v>99</v>
      </c>
      <c r="BV69" s="13">
        <v>101</v>
      </c>
      <c r="BW69" s="13">
        <v>100</v>
      </c>
      <c r="BX69" s="328">
        <f t="shared" si="10"/>
        <v>156259073</v>
      </c>
      <c r="BY69" s="328">
        <f t="shared" si="11"/>
        <v>58892297</v>
      </c>
      <c r="BZ69" s="329">
        <f t="shared" si="8"/>
        <v>0.68938911401718728</v>
      </c>
      <c r="CA69" s="329">
        <f t="shared" si="9"/>
        <v>0.68998321000896601</v>
      </c>
    </row>
    <row r="70" spans="1:79" x14ac:dyDescent="0.25">
      <c r="A70" s="13">
        <v>8560</v>
      </c>
      <c r="B70" s="13">
        <v>69</v>
      </c>
      <c r="C70" s="13" t="s">
        <v>588</v>
      </c>
      <c r="D70" s="13">
        <v>657173</v>
      </c>
      <c r="E70" s="13">
        <v>708954</v>
      </c>
      <c r="F70" s="13">
        <v>773805</v>
      </c>
      <c r="G70" s="13">
        <v>813052</v>
      </c>
      <c r="H70" s="13">
        <v>1.1000000000000001</v>
      </c>
      <c r="I70" s="13">
        <v>150</v>
      </c>
      <c r="J70" s="13">
        <v>277202</v>
      </c>
      <c r="K70" s="13">
        <v>303551</v>
      </c>
      <c r="L70" s="13">
        <v>319514</v>
      </c>
      <c r="M70" s="13">
        <v>1.1000000000000001</v>
      </c>
      <c r="N70" s="13">
        <v>2.5099999999999998</v>
      </c>
      <c r="O70" s="13">
        <v>193707</v>
      </c>
      <c r="P70" s="13">
        <v>208665</v>
      </c>
      <c r="Q70" s="13">
        <v>0.9</v>
      </c>
      <c r="R70" s="13">
        <v>83.3</v>
      </c>
      <c r="S70" s="13">
        <v>82.9</v>
      </c>
      <c r="T70" s="13">
        <v>8.1999999999999993</v>
      </c>
      <c r="U70" s="13">
        <v>8.5</v>
      </c>
      <c r="V70" s="13">
        <v>0.9</v>
      </c>
      <c r="W70" s="13">
        <v>1.1000000000000001</v>
      </c>
      <c r="X70" s="13">
        <v>2.1</v>
      </c>
      <c r="Y70" s="13">
        <v>3</v>
      </c>
      <c r="Z70" s="13">
        <v>7</v>
      </c>
      <c r="AA70" s="13">
        <v>7.6</v>
      </c>
      <c r="AB70" s="13">
        <v>7.7</v>
      </c>
      <c r="AC70" s="13">
        <v>7.4</v>
      </c>
      <c r="AD70" s="13">
        <v>6.5</v>
      </c>
      <c r="AE70" s="13">
        <v>30</v>
      </c>
      <c r="AF70" s="13">
        <v>22.1</v>
      </c>
      <c r="AG70" s="13">
        <v>10.4</v>
      </c>
      <c r="AH70" s="13">
        <v>1.3</v>
      </c>
      <c r="AI70" s="13">
        <v>73.3</v>
      </c>
      <c r="AJ70" s="13">
        <v>33</v>
      </c>
      <c r="AK70" s="13">
        <v>35.299999999999997</v>
      </c>
      <c r="AL70" s="13">
        <v>94.9</v>
      </c>
      <c r="AM70" s="13">
        <v>16199</v>
      </c>
      <c r="AN70" s="13">
        <v>303548</v>
      </c>
      <c r="AO70" s="13">
        <v>20.7</v>
      </c>
      <c r="AP70" s="13">
        <v>17.100000000000001</v>
      </c>
      <c r="AQ70" s="13">
        <v>34.6</v>
      </c>
      <c r="AR70" s="13">
        <v>22.3</v>
      </c>
      <c r="AS70" s="13">
        <v>3.5</v>
      </c>
      <c r="AT70" s="13">
        <v>1.7</v>
      </c>
      <c r="AU70" s="13">
        <v>32122</v>
      </c>
      <c r="AV70" s="13">
        <v>35810</v>
      </c>
      <c r="AW70" s="13">
        <v>232</v>
      </c>
      <c r="AX70" s="13">
        <v>31539</v>
      </c>
      <c r="AY70" s="13">
        <v>26220</v>
      </c>
      <c r="AZ70" s="13">
        <v>36152</v>
      </c>
      <c r="BA70" s="13">
        <v>39585</v>
      </c>
      <c r="BB70" s="13">
        <v>34865</v>
      </c>
      <c r="BC70" s="13">
        <v>21610</v>
      </c>
      <c r="BD70" s="13">
        <v>99</v>
      </c>
      <c r="BE70" s="13">
        <v>98</v>
      </c>
      <c r="BF70" s="13">
        <v>96</v>
      </c>
      <c r="BG70" s="13">
        <v>98</v>
      </c>
      <c r="BH70" s="13">
        <v>102</v>
      </c>
      <c r="BI70" s="13">
        <v>102</v>
      </c>
      <c r="BJ70" s="13">
        <v>105</v>
      </c>
      <c r="BK70" s="13">
        <v>100</v>
      </c>
      <c r="BL70" s="13">
        <v>100</v>
      </c>
      <c r="BM70" s="13">
        <v>99</v>
      </c>
      <c r="BN70" s="13">
        <v>100</v>
      </c>
      <c r="BO70" s="13">
        <v>101</v>
      </c>
      <c r="BP70" s="13">
        <v>98</v>
      </c>
      <c r="BQ70" s="13">
        <v>102</v>
      </c>
      <c r="BR70" s="13">
        <v>93</v>
      </c>
      <c r="BS70" s="13">
        <v>100</v>
      </c>
      <c r="BT70" s="13">
        <v>98</v>
      </c>
      <c r="BU70" s="13">
        <v>100</v>
      </c>
      <c r="BV70" s="13">
        <v>100</v>
      </c>
      <c r="BW70" s="13">
        <v>101</v>
      </c>
      <c r="BX70" s="328">
        <f t="shared" si="10"/>
        <v>157072125</v>
      </c>
      <c r="BY70" s="328">
        <f t="shared" si="11"/>
        <v>59211811</v>
      </c>
      <c r="BZ70" s="329">
        <f t="shared" si="8"/>
        <v>0.69297616459395539</v>
      </c>
      <c r="CA70" s="329">
        <f t="shared" si="9"/>
        <v>0.69372664177497112</v>
      </c>
    </row>
    <row r="71" spans="1:79" x14ac:dyDescent="0.25">
      <c r="A71" s="13">
        <v>2840</v>
      </c>
      <c r="B71" s="13">
        <v>70</v>
      </c>
      <c r="C71" s="13" t="s">
        <v>589</v>
      </c>
      <c r="D71" s="13">
        <v>577737</v>
      </c>
      <c r="E71" s="13">
        <v>755580</v>
      </c>
      <c r="F71" s="13">
        <v>876978</v>
      </c>
      <c r="G71" s="13">
        <v>942928</v>
      </c>
      <c r="H71" s="13">
        <v>1.8</v>
      </c>
      <c r="I71" s="13">
        <v>63</v>
      </c>
      <c r="J71" s="13">
        <v>249303</v>
      </c>
      <c r="K71" s="13">
        <v>285521</v>
      </c>
      <c r="L71" s="13">
        <v>306906</v>
      </c>
      <c r="M71" s="13">
        <v>1.7</v>
      </c>
      <c r="N71" s="13">
        <v>2.98</v>
      </c>
      <c r="O71" s="13">
        <v>184316</v>
      </c>
      <c r="P71" s="13">
        <v>208140</v>
      </c>
      <c r="Q71" s="13">
        <v>1.5</v>
      </c>
      <c r="R71" s="13">
        <v>64.3</v>
      </c>
      <c r="S71" s="13">
        <v>58.4</v>
      </c>
      <c r="T71" s="13">
        <v>4.8</v>
      </c>
      <c r="U71" s="13">
        <v>4.7</v>
      </c>
      <c r="V71" s="13">
        <v>7.7</v>
      </c>
      <c r="W71" s="13">
        <v>9.1</v>
      </c>
      <c r="X71" s="13">
        <v>35.299999999999997</v>
      </c>
      <c r="Y71" s="13">
        <v>43</v>
      </c>
      <c r="Z71" s="13">
        <v>9.6999999999999993</v>
      </c>
      <c r="AA71" s="13">
        <v>9.8000000000000007</v>
      </c>
      <c r="AB71" s="13">
        <v>8.4</v>
      </c>
      <c r="AC71" s="13">
        <v>7.5</v>
      </c>
      <c r="AD71" s="13">
        <v>6.6</v>
      </c>
      <c r="AE71" s="13">
        <v>29.8</v>
      </c>
      <c r="AF71" s="13">
        <v>17.3</v>
      </c>
      <c r="AG71" s="13">
        <v>9.6</v>
      </c>
      <c r="AH71" s="13">
        <v>1.2</v>
      </c>
      <c r="AI71" s="13">
        <v>67.7</v>
      </c>
      <c r="AJ71" s="13">
        <v>29.6</v>
      </c>
      <c r="AK71" s="13">
        <v>30.6</v>
      </c>
      <c r="AL71" s="13">
        <v>102.5</v>
      </c>
      <c r="AM71" s="13">
        <v>13498</v>
      </c>
      <c r="AN71" s="13">
        <v>285501</v>
      </c>
      <c r="AO71" s="13">
        <v>22.3</v>
      </c>
      <c r="AP71" s="13">
        <v>17.600000000000001</v>
      </c>
      <c r="AQ71" s="13">
        <v>33.6</v>
      </c>
      <c r="AR71" s="13">
        <v>20.9</v>
      </c>
      <c r="AS71" s="13">
        <v>3.7</v>
      </c>
      <c r="AT71" s="13">
        <v>1.9</v>
      </c>
      <c r="AU71" s="13">
        <v>31127</v>
      </c>
      <c r="AV71" s="13">
        <v>34667</v>
      </c>
      <c r="AW71" s="13">
        <v>256</v>
      </c>
      <c r="AX71" s="13">
        <v>31112</v>
      </c>
      <c r="AY71" s="13">
        <v>25945</v>
      </c>
      <c r="AZ71" s="13">
        <v>34981</v>
      </c>
      <c r="BA71" s="13">
        <v>39342</v>
      </c>
      <c r="BB71" s="13">
        <v>35955</v>
      </c>
      <c r="BC71" s="13">
        <v>22961</v>
      </c>
      <c r="BD71" s="13">
        <v>99</v>
      </c>
      <c r="BE71" s="13">
        <v>100</v>
      </c>
      <c r="BF71" s="13">
        <v>96</v>
      </c>
      <c r="BG71" s="13">
        <v>96</v>
      </c>
      <c r="BH71" s="13">
        <v>98</v>
      </c>
      <c r="BI71" s="13">
        <v>99</v>
      </c>
      <c r="BJ71" s="13">
        <v>97</v>
      </c>
      <c r="BK71" s="13">
        <v>100</v>
      </c>
      <c r="BL71" s="13">
        <v>100</v>
      </c>
      <c r="BM71" s="13">
        <v>97</v>
      </c>
      <c r="BN71" s="13">
        <v>98</v>
      </c>
      <c r="BO71" s="13">
        <v>94</v>
      </c>
      <c r="BP71" s="13">
        <v>94</v>
      </c>
      <c r="BQ71" s="13">
        <v>94</v>
      </c>
      <c r="BR71" s="13">
        <v>94</v>
      </c>
      <c r="BS71" s="13">
        <v>97</v>
      </c>
      <c r="BT71" s="13">
        <v>94</v>
      </c>
      <c r="BU71" s="13">
        <v>97</v>
      </c>
      <c r="BV71" s="13">
        <v>98</v>
      </c>
      <c r="BW71" s="13">
        <v>97</v>
      </c>
      <c r="BX71" s="328">
        <f t="shared" si="10"/>
        <v>158015053</v>
      </c>
      <c r="BY71" s="328">
        <f t="shared" si="11"/>
        <v>59518717</v>
      </c>
      <c r="BZ71" s="329">
        <f t="shared" si="8"/>
        <v>0.69713620654238029</v>
      </c>
      <c r="CA71" s="329">
        <f t="shared" si="9"/>
        <v>0.69732235798639708</v>
      </c>
    </row>
    <row r="72" spans="1:79" x14ac:dyDescent="0.25">
      <c r="A72" s="13">
        <v>3320</v>
      </c>
      <c r="B72" s="13">
        <v>71</v>
      </c>
      <c r="C72" s="13" t="s">
        <v>590</v>
      </c>
      <c r="D72" s="13">
        <v>762565</v>
      </c>
      <c r="E72" s="13">
        <v>836231</v>
      </c>
      <c r="F72" s="13">
        <v>870120</v>
      </c>
      <c r="G72" s="13">
        <v>890073</v>
      </c>
      <c r="H72" s="13">
        <v>0.5</v>
      </c>
      <c r="I72" s="13">
        <v>224</v>
      </c>
      <c r="J72" s="13">
        <v>265304</v>
      </c>
      <c r="K72" s="13">
        <v>283415</v>
      </c>
      <c r="L72" s="13">
        <v>294614</v>
      </c>
      <c r="M72" s="13">
        <v>0.8</v>
      </c>
      <c r="N72" s="13">
        <v>2.95</v>
      </c>
      <c r="O72" s="13">
        <v>197294</v>
      </c>
      <c r="P72" s="13">
        <v>209146</v>
      </c>
      <c r="Q72" s="13">
        <v>0.7</v>
      </c>
      <c r="R72" s="13">
        <v>31.6</v>
      </c>
      <c r="S72" s="13">
        <v>29.9</v>
      </c>
      <c r="T72" s="13">
        <v>3.1</v>
      </c>
      <c r="U72" s="13">
        <v>3.9</v>
      </c>
      <c r="V72" s="13">
        <v>63</v>
      </c>
      <c r="W72" s="13">
        <v>63.4</v>
      </c>
      <c r="X72" s="13">
        <v>6.8</v>
      </c>
      <c r="Y72" s="13">
        <v>7.5</v>
      </c>
      <c r="Z72" s="13">
        <v>7.4</v>
      </c>
      <c r="AA72" s="13">
        <v>7.1</v>
      </c>
      <c r="AB72" s="13">
        <v>6.4</v>
      </c>
      <c r="AC72" s="13">
        <v>6.9</v>
      </c>
      <c r="AD72" s="13">
        <v>7.6</v>
      </c>
      <c r="AE72" s="13">
        <v>30.8</v>
      </c>
      <c r="AF72" s="13">
        <v>21.1</v>
      </c>
      <c r="AG72" s="13">
        <v>11.4</v>
      </c>
      <c r="AH72" s="13">
        <v>1.2</v>
      </c>
      <c r="AI72" s="13">
        <v>75.2</v>
      </c>
      <c r="AJ72" s="13">
        <v>32.200000000000003</v>
      </c>
      <c r="AK72" s="13">
        <v>35.1</v>
      </c>
      <c r="AL72" s="13">
        <v>102</v>
      </c>
      <c r="AM72" s="13">
        <v>19872</v>
      </c>
      <c r="AN72" s="13">
        <v>283407</v>
      </c>
      <c r="AO72" s="13">
        <v>9.6</v>
      </c>
      <c r="AP72" s="13">
        <v>11.6</v>
      </c>
      <c r="AQ72" s="13">
        <v>30.4</v>
      </c>
      <c r="AR72" s="13">
        <v>35.6</v>
      </c>
      <c r="AS72" s="13">
        <v>8.9</v>
      </c>
      <c r="AT72" s="13">
        <v>3.9</v>
      </c>
      <c r="AU72" s="13">
        <v>48375</v>
      </c>
      <c r="AV72" s="13">
        <v>53183</v>
      </c>
      <c r="AW72" s="13">
        <v>23</v>
      </c>
      <c r="AX72" s="13">
        <v>39474</v>
      </c>
      <c r="AY72" s="13">
        <v>29680</v>
      </c>
      <c r="AZ72" s="13">
        <v>40451</v>
      </c>
      <c r="BA72" s="13">
        <v>50203</v>
      </c>
      <c r="BB72" s="13">
        <v>48534</v>
      </c>
      <c r="BC72" s="13">
        <v>33986</v>
      </c>
      <c r="BD72" s="13">
        <v>98</v>
      </c>
      <c r="BE72" s="13">
        <v>134</v>
      </c>
      <c r="BF72" s="13">
        <v>107</v>
      </c>
      <c r="BG72" s="13">
        <v>114</v>
      </c>
      <c r="BH72" s="13">
        <v>92</v>
      </c>
      <c r="BI72" s="13">
        <v>103</v>
      </c>
      <c r="BJ72" s="13">
        <v>88</v>
      </c>
      <c r="BK72" s="13">
        <v>94</v>
      </c>
      <c r="BL72" s="13">
        <v>117</v>
      </c>
      <c r="BM72" s="13">
        <v>94</v>
      </c>
      <c r="BN72" s="13">
        <v>117</v>
      </c>
      <c r="BO72" s="13">
        <v>94</v>
      </c>
      <c r="BP72" s="13">
        <v>98</v>
      </c>
      <c r="BQ72" s="13">
        <v>87</v>
      </c>
      <c r="BR72" s="13">
        <v>108</v>
      </c>
      <c r="BS72" s="13">
        <v>116</v>
      </c>
      <c r="BT72" s="13">
        <v>99</v>
      </c>
      <c r="BU72" s="13">
        <v>106</v>
      </c>
      <c r="BV72" s="13">
        <v>97</v>
      </c>
      <c r="BW72" s="13">
        <v>99</v>
      </c>
      <c r="BX72" s="328">
        <f t="shared" si="10"/>
        <v>158905126</v>
      </c>
      <c r="BY72" s="328">
        <f t="shared" si="11"/>
        <v>59813331</v>
      </c>
      <c r="BZ72" s="329">
        <f t="shared" si="8"/>
        <v>0.70106306099697335</v>
      </c>
      <c r="CA72" s="329">
        <f t="shared" si="9"/>
        <v>0.70077406090492278</v>
      </c>
    </row>
    <row r="73" spans="1:79" x14ac:dyDescent="0.25">
      <c r="A73" s="13">
        <v>3840</v>
      </c>
      <c r="B73" s="13">
        <v>72</v>
      </c>
      <c r="C73" s="13" t="s">
        <v>591</v>
      </c>
      <c r="D73" s="13">
        <v>546488</v>
      </c>
      <c r="E73" s="13">
        <v>585960</v>
      </c>
      <c r="F73" s="13">
        <v>662358</v>
      </c>
      <c r="G73" s="13">
        <v>709088</v>
      </c>
      <c r="H73" s="13">
        <v>1.5</v>
      </c>
      <c r="I73" s="13">
        <v>79</v>
      </c>
      <c r="J73" s="13">
        <v>231254</v>
      </c>
      <c r="K73" s="13">
        <v>266229</v>
      </c>
      <c r="L73" s="13">
        <v>287963</v>
      </c>
      <c r="M73" s="13">
        <v>1.7</v>
      </c>
      <c r="N73" s="13">
        <v>2.4300000000000002</v>
      </c>
      <c r="O73" s="13">
        <v>164123</v>
      </c>
      <c r="P73" s="13">
        <v>185891</v>
      </c>
      <c r="Q73" s="13">
        <v>1.5</v>
      </c>
      <c r="R73" s="13">
        <v>92.7</v>
      </c>
      <c r="S73" s="13">
        <v>91.9</v>
      </c>
      <c r="T73" s="13">
        <v>6.1</v>
      </c>
      <c r="U73" s="13">
        <v>6.5</v>
      </c>
      <c r="V73" s="13">
        <v>0.8</v>
      </c>
      <c r="W73" s="13">
        <v>1.1000000000000001</v>
      </c>
      <c r="X73" s="13">
        <v>0.5</v>
      </c>
      <c r="Y73" s="13">
        <v>1</v>
      </c>
      <c r="Z73" s="13">
        <v>6.1</v>
      </c>
      <c r="AA73" s="13">
        <v>6.5</v>
      </c>
      <c r="AB73" s="13">
        <v>6.3</v>
      </c>
      <c r="AC73" s="13">
        <v>6.9</v>
      </c>
      <c r="AD73" s="13">
        <v>6.9</v>
      </c>
      <c r="AE73" s="13">
        <v>30.9</v>
      </c>
      <c r="AF73" s="13">
        <v>23.1</v>
      </c>
      <c r="AG73" s="13">
        <v>11.9</v>
      </c>
      <c r="AH73" s="13">
        <v>1.4</v>
      </c>
      <c r="AI73" s="13">
        <v>77.3</v>
      </c>
      <c r="AJ73" s="13">
        <v>34.6</v>
      </c>
      <c r="AK73" s="13">
        <v>36.799999999999997</v>
      </c>
      <c r="AL73" s="13">
        <v>92.8</v>
      </c>
      <c r="AM73" s="13">
        <v>17397</v>
      </c>
      <c r="AN73" s="13">
        <v>266218</v>
      </c>
      <c r="AO73" s="13">
        <v>20.399999999999999</v>
      </c>
      <c r="AP73" s="13">
        <v>16</v>
      </c>
      <c r="AQ73" s="13">
        <v>33.799999999999997</v>
      </c>
      <c r="AR73" s="13">
        <v>23.6</v>
      </c>
      <c r="AS73" s="13">
        <v>4.2</v>
      </c>
      <c r="AT73" s="13">
        <v>2.1</v>
      </c>
      <c r="AU73" s="13">
        <v>33513</v>
      </c>
      <c r="AV73" s="13">
        <v>39729</v>
      </c>
      <c r="AW73" s="13">
        <v>207</v>
      </c>
      <c r="AX73" s="13">
        <v>34842</v>
      </c>
      <c r="AY73" s="13">
        <v>28662</v>
      </c>
      <c r="AZ73" s="13">
        <v>40863</v>
      </c>
      <c r="BA73" s="13">
        <v>44042</v>
      </c>
      <c r="BB73" s="13">
        <v>39021</v>
      </c>
      <c r="BC73" s="13">
        <v>22661</v>
      </c>
      <c r="BD73" s="13">
        <v>99</v>
      </c>
      <c r="BE73" s="13">
        <v>91</v>
      </c>
      <c r="BF73" s="13">
        <v>96</v>
      </c>
      <c r="BG73" s="13">
        <v>94</v>
      </c>
      <c r="BH73" s="13">
        <v>103</v>
      </c>
      <c r="BI73" s="13">
        <v>101</v>
      </c>
      <c r="BJ73" s="13">
        <v>107</v>
      </c>
      <c r="BK73" s="13">
        <v>99</v>
      </c>
      <c r="BL73" s="13">
        <v>97</v>
      </c>
      <c r="BM73" s="13">
        <v>95</v>
      </c>
      <c r="BN73" s="13">
        <v>95</v>
      </c>
      <c r="BO73" s="13">
        <v>99</v>
      </c>
      <c r="BP73" s="13">
        <v>95</v>
      </c>
      <c r="BQ73" s="13">
        <v>101</v>
      </c>
      <c r="BR73" s="13">
        <v>90</v>
      </c>
      <c r="BS73" s="13">
        <v>99</v>
      </c>
      <c r="BT73" s="13">
        <v>94</v>
      </c>
      <c r="BU73" s="13">
        <v>97</v>
      </c>
      <c r="BV73" s="13">
        <v>101</v>
      </c>
      <c r="BW73" s="13">
        <v>100</v>
      </c>
      <c r="BX73" s="328">
        <f t="shared" si="10"/>
        <v>159614214</v>
      </c>
      <c r="BY73" s="328">
        <f t="shared" si="11"/>
        <v>60101294</v>
      </c>
      <c r="BZ73" s="329">
        <f t="shared" si="8"/>
        <v>0.70419143964849784</v>
      </c>
      <c r="CA73" s="329">
        <f t="shared" si="9"/>
        <v>0.7041478405879229</v>
      </c>
    </row>
    <row r="74" spans="1:79" x14ac:dyDescent="0.25">
      <c r="A74" s="13">
        <v>200</v>
      </c>
      <c r="B74" s="13">
        <v>73</v>
      </c>
      <c r="C74" s="13" t="s">
        <v>592</v>
      </c>
      <c r="D74" s="13">
        <v>485431</v>
      </c>
      <c r="E74" s="13">
        <v>589131</v>
      </c>
      <c r="F74" s="13">
        <v>683757</v>
      </c>
      <c r="G74" s="13">
        <v>741042</v>
      </c>
      <c r="H74" s="13">
        <v>1.8</v>
      </c>
      <c r="I74" s="13">
        <v>64</v>
      </c>
      <c r="J74" s="13">
        <v>221619</v>
      </c>
      <c r="K74" s="13">
        <v>261035</v>
      </c>
      <c r="L74" s="13">
        <v>285715</v>
      </c>
      <c r="M74" s="13">
        <v>2</v>
      </c>
      <c r="N74" s="13">
        <v>2.58</v>
      </c>
      <c r="O74" s="13">
        <v>153400</v>
      </c>
      <c r="P74" s="13">
        <v>177839</v>
      </c>
      <c r="Q74" s="13">
        <v>1.8</v>
      </c>
      <c r="R74" s="13">
        <v>76</v>
      </c>
      <c r="S74" s="13">
        <v>74</v>
      </c>
      <c r="T74" s="13">
        <v>2.5</v>
      </c>
      <c r="U74" s="13">
        <v>3.2</v>
      </c>
      <c r="V74" s="13">
        <v>1.4</v>
      </c>
      <c r="W74" s="13">
        <v>1.9</v>
      </c>
      <c r="X74" s="13">
        <v>37.1</v>
      </c>
      <c r="Y74" s="13">
        <v>38.4</v>
      </c>
      <c r="Z74" s="13">
        <v>7.4</v>
      </c>
      <c r="AA74" s="13">
        <v>7.8</v>
      </c>
      <c r="AB74" s="13">
        <v>7.6</v>
      </c>
      <c r="AC74" s="13">
        <v>7.2</v>
      </c>
      <c r="AD74" s="13">
        <v>6.7</v>
      </c>
      <c r="AE74" s="13">
        <v>31.6</v>
      </c>
      <c r="AF74" s="13">
        <v>21.1</v>
      </c>
      <c r="AG74" s="13">
        <v>9.6</v>
      </c>
      <c r="AH74" s="13">
        <v>1.1000000000000001</v>
      </c>
      <c r="AI74" s="13">
        <v>72.900000000000006</v>
      </c>
      <c r="AJ74" s="13">
        <v>32</v>
      </c>
      <c r="AK74" s="13">
        <v>34.4</v>
      </c>
      <c r="AL74" s="13">
        <v>96.6</v>
      </c>
      <c r="AM74" s="13">
        <v>13770</v>
      </c>
      <c r="AN74" s="13">
        <v>261033</v>
      </c>
      <c r="AO74" s="13">
        <v>24</v>
      </c>
      <c r="AP74" s="13">
        <v>19.100000000000001</v>
      </c>
      <c r="AQ74" s="13">
        <v>34.9</v>
      </c>
      <c r="AR74" s="13">
        <v>18.5</v>
      </c>
      <c r="AS74" s="13">
        <v>2.5</v>
      </c>
      <c r="AT74" s="13">
        <v>1</v>
      </c>
      <c r="AU74" s="13">
        <v>28771</v>
      </c>
      <c r="AV74" s="13">
        <v>29898</v>
      </c>
      <c r="AW74" s="13">
        <v>290</v>
      </c>
      <c r="AX74" s="13">
        <v>28615</v>
      </c>
      <c r="AY74" s="13">
        <v>22543</v>
      </c>
      <c r="AZ74" s="13">
        <v>31387</v>
      </c>
      <c r="BA74" s="13">
        <v>36581</v>
      </c>
      <c r="BB74" s="13">
        <v>32751</v>
      </c>
      <c r="BC74" s="13">
        <v>21681</v>
      </c>
      <c r="BD74" s="13">
        <v>101</v>
      </c>
      <c r="BE74" s="13">
        <v>101</v>
      </c>
      <c r="BF74" s="13">
        <v>98</v>
      </c>
      <c r="BG74" s="13">
        <v>98</v>
      </c>
      <c r="BH74" s="13">
        <v>100</v>
      </c>
      <c r="BI74" s="13">
        <v>101</v>
      </c>
      <c r="BJ74" s="13">
        <v>100</v>
      </c>
      <c r="BK74" s="13">
        <v>101</v>
      </c>
      <c r="BL74" s="13">
        <v>101</v>
      </c>
      <c r="BM74" s="13">
        <v>101</v>
      </c>
      <c r="BN74" s="13">
        <v>101</v>
      </c>
      <c r="BO74" s="13">
        <v>96</v>
      </c>
      <c r="BP74" s="13">
        <v>96</v>
      </c>
      <c r="BQ74" s="13">
        <v>97</v>
      </c>
      <c r="BR74" s="13">
        <v>96</v>
      </c>
      <c r="BS74" s="13">
        <v>97</v>
      </c>
      <c r="BT74" s="13">
        <v>98</v>
      </c>
      <c r="BU74" s="13">
        <v>99</v>
      </c>
      <c r="BV74" s="13">
        <v>99</v>
      </c>
      <c r="BW74" s="13">
        <v>97</v>
      </c>
      <c r="BX74" s="328">
        <f t="shared" si="10"/>
        <v>160355256</v>
      </c>
      <c r="BY74" s="328">
        <f t="shared" si="11"/>
        <v>60387009</v>
      </c>
      <c r="BZ74" s="329">
        <f t="shared" si="8"/>
        <v>0.70746079404835105</v>
      </c>
      <c r="CA74" s="329">
        <f t="shared" si="9"/>
        <v>0.70749528266252415</v>
      </c>
    </row>
    <row r="75" spans="1:79" x14ac:dyDescent="0.25">
      <c r="A75" s="13">
        <v>80</v>
      </c>
      <c r="B75" s="13">
        <v>74</v>
      </c>
      <c r="C75" s="13" t="s">
        <v>593</v>
      </c>
      <c r="D75" s="13">
        <v>660328</v>
      </c>
      <c r="E75" s="13">
        <v>657575</v>
      </c>
      <c r="F75" s="13">
        <v>686426</v>
      </c>
      <c r="G75" s="13">
        <v>704666</v>
      </c>
      <c r="H75" s="13">
        <v>0.5</v>
      </c>
      <c r="I75" s="13">
        <v>221</v>
      </c>
      <c r="J75" s="13">
        <v>249227</v>
      </c>
      <c r="K75" s="13">
        <v>266574</v>
      </c>
      <c r="L75" s="13">
        <v>277326</v>
      </c>
      <c r="M75" s="13">
        <v>0.8</v>
      </c>
      <c r="N75" s="13">
        <v>2.52</v>
      </c>
      <c r="O75" s="13">
        <v>174996</v>
      </c>
      <c r="P75" s="13">
        <v>182925</v>
      </c>
      <c r="Q75" s="13">
        <v>0.5</v>
      </c>
      <c r="R75" s="13">
        <v>88.8</v>
      </c>
      <c r="S75" s="13">
        <v>87.3</v>
      </c>
      <c r="T75" s="13">
        <v>9.9</v>
      </c>
      <c r="U75" s="13">
        <v>11</v>
      </c>
      <c r="V75" s="13">
        <v>0.9</v>
      </c>
      <c r="W75" s="13">
        <v>1.3</v>
      </c>
      <c r="X75" s="13">
        <v>0.6</v>
      </c>
      <c r="Y75" s="13">
        <v>0.8</v>
      </c>
      <c r="Z75" s="13">
        <v>6.3</v>
      </c>
      <c r="AA75" s="13">
        <v>6.9</v>
      </c>
      <c r="AB75" s="13">
        <v>6.8</v>
      </c>
      <c r="AC75" s="13">
        <v>7.3</v>
      </c>
      <c r="AD75" s="13">
        <v>7</v>
      </c>
      <c r="AE75" s="13">
        <v>30.6</v>
      </c>
      <c r="AF75" s="13">
        <v>21.5</v>
      </c>
      <c r="AG75" s="13">
        <v>12</v>
      </c>
      <c r="AH75" s="13">
        <v>1.4</v>
      </c>
      <c r="AI75" s="13">
        <v>76.099999999999994</v>
      </c>
      <c r="AJ75" s="13">
        <v>33.4</v>
      </c>
      <c r="AK75" s="13">
        <v>36</v>
      </c>
      <c r="AL75" s="13">
        <v>93.2</v>
      </c>
      <c r="AM75" s="13">
        <v>17290</v>
      </c>
      <c r="AN75" s="13">
        <v>266573</v>
      </c>
      <c r="AO75" s="13">
        <v>18</v>
      </c>
      <c r="AP75" s="13">
        <v>14.9</v>
      </c>
      <c r="AQ75" s="13">
        <v>35</v>
      </c>
      <c r="AR75" s="13">
        <v>25.7</v>
      </c>
      <c r="AS75" s="13">
        <v>4.5999999999999996</v>
      </c>
      <c r="AT75" s="13">
        <v>1.7</v>
      </c>
      <c r="AU75" s="13">
        <v>35807</v>
      </c>
      <c r="AV75" s="13">
        <v>40693</v>
      </c>
      <c r="AW75" s="13">
        <v>164</v>
      </c>
      <c r="AX75" s="13">
        <v>33684</v>
      </c>
      <c r="AY75" s="13">
        <v>28337</v>
      </c>
      <c r="AZ75" s="13">
        <v>38571</v>
      </c>
      <c r="BA75" s="13">
        <v>44852</v>
      </c>
      <c r="BB75" s="13">
        <v>39126</v>
      </c>
      <c r="BC75" s="13">
        <v>22212</v>
      </c>
      <c r="BD75" s="13">
        <v>98</v>
      </c>
      <c r="BE75" s="13">
        <v>99</v>
      </c>
      <c r="BF75" s="13">
        <v>102</v>
      </c>
      <c r="BG75" s="13">
        <v>99</v>
      </c>
      <c r="BH75" s="13">
        <v>105</v>
      </c>
      <c r="BI75" s="13">
        <v>102</v>
      </c>
      <c r="BJ75" s="13">
        <v>100</v>
      </c>
      <c r="BK75" s="13">
        <v>99</v>
      </c>
      <c r="BL75" s="13">
        <v>97</v>
      </c>
      <c r="BM75" s="13">
        <v>100</v>
      </c>
      <c r="BN75" s="13">
        <v>100</v>
      </c>
      <c r="BO75" s="13">
        <v>98</v>
      </c>
      <c r="BP75" s="13">
        <v>103</v>
      </c>
      <c r="BQ75" s="13">
        <v>100</v>
      </c>
      <c r="BR75" s="13">
        <v>105</v>
      </c>
      <c r="BS75" s="13">
        <v>101</v>
      </c>
      <c r="BT75" s="13">
        <v>100</v>
      </c>
      <c r="BU75" s="13">
        <v>100</v>
      </c>
      <c r="BV75" s="13">
        <v>99</v>
      </c>
      <c r="BW75" s="13">
        <v>98</v>
      </c>
      <c r="BX75" s="328">
        <f t="shared" si="10"/>
        <v>161059922</v>
      </c>
      <c r="BY75" s="328">
        <f t="shared" si="11"/>
        <v>60664335</v>
      </c>
      <c r="BZ75" s="329">
        <f t="shared" si="8"/>
        <v>0.7105696635692782</v>
      </c>
      <c r="CA75" s="329">
        <f t="shared" si="9"/>
        <v>0.71074443906236617</v>
      </c>
    </row>
    <row r="76" spans="1:79" x14ac:dyDescent="0.25">
      <c r="A76" s="13">
        <v>8160</v>
      </c>
      <c r="B76" s="13">
        <v>75</v>
      </c>
      <c r="C76" s="13" t="s">
        <v>594</v>
      </c>
      <c r="D76" s="13">
        <v>722865</v>
      </c>
      <c r="E76" s="13">
        <v>742177</v>
      </c>
      <c r="F76" s="13">
        <v>737971</v>
      </c>
      <c r="G76" s="13">
        <v>734733</v>
      </c>
      <c r="H76" s="13">
        <v>-0.1</v>
      </c>
      <c r="I76" s="13">
        <v>284</v>
      </c>
      <c r="J76" s="13">
        <v>272974</v>
      </c>
      <c r="K76" s="13">
        <v>275918</v>
      </c>
      <c r="L76" s="13">
        <v>277314</v>
      </c>
      <c r="M76" s="13">
        <v>0.1</v>
      </c>
      <c r="N76" s="13">
        <v>2.57</v>
      </c>
      <c r="O76" s="13">
        <v>187569</v>
      </c>
      <c r="P76" s="13">
        <v>184749</v>
      </c>
      <c r="Q76" s="13">
        <v>-0.2</v>
      </c>
      <c r="R76" s="13">
        <v>92.2</v>
      </c>
      <c r="S76" s="13">
        <v>90.9</v>
      </c>
      <c r="T76" s="13">
        <v>5.7</v>
      </c>
      <c r="U76" s="13">
        <v>6.2</v>
      </c>
      <c r="V76" s="13">
        <v>1.1000000000000001</v>
      </c>
      <c r="W76" s="13">
        <v>1.6</v>
      </c>
      <c r="X76" s="13">
        <v>1.4</v>
      </c>
      <c r="Y76" s="13">
        <v>1.8</v>
      </c>
      <c r="Z76" s="13">
        <v>7.4</v>
      </c>
      <c r="AA76" s="13">
        <v>7.9</v>
      </c>
      <c r="AB76" s="13">
        <v>7.1</v>
      </c>
      <c r="AC76" s="13">
        <v>7.6</v>
      </c>
      <c r="AD76" s="13">
        <v>6.9</v>
      </c>
      <c r="AE76" s="13">
        <v>30.1</v>
      </c>
      <c r="AF76" s="13">
        <v>20.100000000000001</v>
      </c>
      <c r="AG76" s="13">
        <v>11.4</v>
      </c>
      <c r="AH76" s="13">
        <v>1.6</v>
      </c>
      <c r="AI76" s="13">
        <v>73.900000000000006</v>
      </c>
      <c r="AJ76" s="13">
        <v>32.299999999999997</v>
      </c>
      <c r="AK76" s="13">
        <v>34.299999999999997</v>
      </c>
      <c r="AL76" s="13">
        <v>94.4</v>
      </c>
      <c r="AM76" s="13">
        <v>15956</v>
      </c>
      <c r="AN76" s="13">
        <v>275917</v>
      </c>
      <c r="AO76" s="13">
        <v>18.7</v>
      </c>
      <c r="AP76" s="13">
        <v>15.2</v>
      </c>
      <c r="AQ76" s="13">
        <v>36</v>
      </c>
      <c r="AR76" s="13">
        <v>25.2</v>
      </c>
      <c r="AS76" s="13">
        <v>3.6</v>
      </c>
      <c r="AT76" s="13">
        <v>1.3</v>
      </c>
      <c r="AU76" s="13">
        <v>35101</v>
      </c>
      <c r="AV76" s="13">
        <v>38000</v>
      </c>
      <c r="AW76" s="13">
        <v>183</v>
      </c>
      <c r="AX76" s="13">
        <v>30359</v>
      </c>
      <c r="AY76" s="13">
        <v>27821</v>
      </c>
      <c r="AZ76" s="13">
        <v>35201</v>
      </c>
      <c r="BA76" s="13">
        <v>38988</v>
      </c>
      <c r="BB76" s="13">
        <v>34381</v>
      </c>
      <c r="BC76" s="13">
        <v>18234</v>
      </c>
      <c r="BD76" s="13">
        <v>99</v>
      </c>
      <c r="BE76" s="13">
        <v>93</v>
      </c>
      <c r="BF76" s="13">
        <v>98</v>
      </c>
      <c r="BG76" s="13">
        <v>95</v>
      </c>
      <c r="BH76" s="13">
        <v>93</v>
      </c>
      <c r="BI76" s="13">
        <v>92</v>
      </c>
      <c r="BJ76" s="13">
        <v>94</v>
      </c>
      <c r="BK76" s="13">
        <v>97</v>
      </c>
      <c r="BL76" s="13">
        <v>95</v>
      </c>
      <c r="BM76" s="13">
        <v>96</v>
      </c>
      <c r="BN76" s="13">
        <v>96</v>
      </c>
      <c r="BO76" s="13">
        <v>98</v>
      </c>
      <c r="BP76" s="13">
        <v>97</v>
      </c>
      <c r="BQ76" s="13">
        <v>101</v>
      </c>
      <c r="BR76" s="13">
        <v>99</v>
      </c>
      <c r="BS76" s="13">
        <v>98</v>
      </c>
      <c r="BT76" s="13">
        <v>99</v>
      </c>
      <c r="BU76" s="13">
        <v>96</v>
      </c>
      <c r="BV76" s="13">
        <v>100</v>
      </c>
      <c r="BW76" s="13">
        <v>100</v>
      </c>
      <c r="BX76" s="328">
        <f t="shared" si="10"/>
        <v>161794655</v>
      </c>
      <c r="BY76" s="328">
        <f t="shared" si="11"/>
        <v>60941649</v>
      </c>
      <c r="BZ76" s="329">
        <f t="shared" si="8"/>
        <v>0.71381118370749885</v>
      </c>
      <c r="CA76" s="329">
        <f t="shared" si="9"/>
        <v>0.71399345486999255</v>
      </c>
    </row>
    <row r="77" spans="1:79" x14ac:dyDescent="0.25">
      <c r="A77" s="13">
        <v>5920</v>
      </c>
      <c r="B77" s="13">
        <v>76</v>
      </c>
      <c r="C77" s="13" t="s">
        <v>595</v>
      </c>
      <c r="D77" s="13">
        <v>605419</v>
      </c>
      <c r="E77" s="13">
        <v>639580</v>
      </c>
      <c r="F77" s="13">
        <v>695625</v>
      </c>
      <c r="G77" s="13">
        <v>729007</v>
      </c>
      <c r="H77" s="13">
        <v>1</v>
      </c>
      <c r="I77" s="13">
        <v>161</v>
      </c>
      <c r="J77" s="13">
        <v>240149</v>
      </c>
      <c r="K77" s="13">
        <v>263168</v>
      </c>
      <c r="L77" s="13">
        <v>277256</v>
      </c>
      <c r="M77" s="13">
        <v>1.1000000000000001</v>
      </c>
      <c r="N77" s="13">
        <v>2.59</v>
      </c>
      <c r="O77" s="13">
        <v>167244</v>
      </c>
      <c r="P77" s="13">
        <v>179725</v>
      </c>
      <c r="Q77" s="13">
        <v>0.9</v>
      </c>
      <c r="R77" s="13">
        <v>89.4</v>
      </c>
      <c r="S77" s="13">
        <v>87.3</v>
      </c>
      <c r="T77" s="13">
        <v>8</v>
      </c>
      <c r="U77" s="13">
        <v>8.5</v>
      </c>
      <c r="V77" s="13">
        <v>1</v>
      </c>
      <c r="W77" s="13">
        <v>1.7</v>
      </c>
      <c r="X77" s="13">
        <v>2.6</v>
      </c>
      <c r="Y77" s="13">
        <v>5.0999999999999996</v>
      </c>
      <c r="Z77" s="13">
        <v>7.1</v>
      </c>
      <c r="AA77" s="13">
        <v>7.7</v>
      </c>
      <c r="AB77" s="13">
        <v>7.8</v>
      </c>
      <c r="AC77" s="13">
        <v>7.6</v>
      </c>
      <c r="AD77" s="13">
        <v>6.8</v>
      </c>
      <c r="AE77" s="13">
        <v>31.9</v>
      </c>
      <c r="AF77" s="13">
        <v>20.3</v>
      </c>
      <c r="AG77" s="13">
        <v>9.4</v>
      </c>
      <c r="AH77" s="13">
        <v>1.3</v>
      </c>
      <c r="AI77" s="13">
        <v>72.8</v>
      </c>
      <c r="AJ77" s="13">
        <v>31.6</v>
      </c>
      <c r="AK77" s="13">
        <v>33.799999999999997</v>
      </c>
      <c r="AL77" s="13">
        <v>95.3</v>
      </c>
      <c r="AM77" s="13">
        <v>19096</v>
      </c>
      <c r="AN77" s="13">
        <v>263161</v>
      </c>
      <c r="AO77" s="13">
        <v>12.4</v>
      </c>
      <c r="AP77" s="13">
        <v>13.7</v>
      </c>
      <c r="AQ77" s="13">
        <v>36.299999999999997</v>
      </c>
      <c r="AR77" s="13">
        <v>29.3</v>
      </c>
      <c r="AS77" s="13">
        <v>5.8</v>
      </c>
      <c r="AT77" s="13">
        <v>2.5</v>
      </c>
      <c r="AU77" s="13">
        <v>40679</v>
      </c>
      <c r="AV77" s="13">
        <v>47123</v>
      </c>
      <c r="AW77" s="13">
        <v>82</v>
      </c>
      <c r="AX77" s="13">
        <v>36951</v>
      </c>
      <c r="AY77" s="13">
        <v>30793</v>
      </c>
      <c r="AZ77" s="13">
        <v>42872</v>
      </c>
      <c r="BA77" s="13">
        <v>46667</v>
      </c>
      <c r="BB77" s="13">
        <v>39938</v>
      </c>
      <c r="BC77" s="13">
        <v>24562</v>
      </c>
      <c r="BD77" s="13">
        <v>98</v>
      </c>
      <c r="BE77" s="13">
        <v>101</v>
      </c>
      <c r="BF77" s="13">
        <v>96</v>
      </c>
      <c r="BG77" s="13">
        <v>98</v>
      </c>
      <c r="BH77" s="13">
        <v>101</v>
      </c>
      <c r="BI77" s="13">
        <v>100</v>
      </c>
      <c r="BJ77" s="13">
        <v>99</v>
      </c>
      <c r="BK77" s="13">
        <v>99</v>
      </c>
      <c r="BL77" s="13">
        <v>99</v>
      </c>
      <c r="BM77" s="13">
        <v>100</v>
      </c>
      <c r="BN77" s="13">
        <v>102</v>
      </c>
      <c r="BO77" s="13">
        <v>99</v>
      </c>
      <c r="BP77" s="13">
        <v>102</v>
      </c>
      <c r="BQ77" s="13">
        <v>100</v>
      </c>
      <c r="BR77" s="13">
        <v>103</v>
      </c>
      <c r="BS77" s="13">
        <v>102</v>
      </c>
      <c r="BT77" s="13">
        <v>101</v>
      </c>
      <c r="BU77" s="13">
        <v>101</v>
      </c>
      <c r="BV77" s="13">
        <v>98</v>
      </c>
      <c r="BW77" s="13">
        <v>99</v>
      </c>
      <c r="BX77" s="328">
        <f t="shared" si="10"/>
        <v>162523662</v>
      </c>
      <c r="BY77" s="328">
        <f t="shared" si="11"/>
        <v>61218905</v>
      </c>
      <c r="BZ77" s="329">
        <f t="shared" si="8"/>
        <v>0.71702744168339461</v>
      </c>
      <c r="CA77" s="329">
        <f t="shared" si="9"/>
        <v>0.71724179114857656</v>
      </c>
    </row>
    <row r="78" spans="1:79" x14ac:dyDescent="0.25">
      <c r="A78" s="13">
        <v>8200</v>
      </c>
      <c r="B78" s="13">
        <v>77</v>
      </c>
      <c r="C78" s="13" t="s">
        <v>596</v>
      </c>
      <c r="D78" s="13">
        <v>485667</v>
      </c>
      <c r="E78" s="13">
        <v>586203</v>
      </c>
      <c r="F78" s="13">
        <v>674398</v>
      </c>
      <c r="G78" s="13">
        <v>727106</v>
      </c>
      <c r="H78" s="13">
        <v>1.7</v>
      </c>
      <c r="I78" s="13">
        <v>68</v>
      </c>
      <c r="J78" s="13">
        <v>214652</v>
      </c>
      <c r="K78" s="13">
        <v>250002</v>
      </c>
      <c r="L78" s="13">
        <v>271152</v>
      </c>
      <c r="M78" s="13">
        <v>1.9</v>
      </c>
      <c r="N78" s="13">
        <v>2.61</v>
      </c>
      <c r="O78" s="13">
        <v>151672</v>
      </c>
      <c r="P78" s="13">
        <v>173630</v>
      </c>
      <c r="Q78" s="13">
        <v>1.7</v>
      </c>
      <c r="R78" s="13">
        <v>85.1</v>
      </c>
      <c r="S78" s="13">
        <v>82.1</v>
      </c>
      <c r="T78" s="13">
        <v>7.2</v>
      </c>
      <c r="U78" s="13">
        <v>8</v>
      </c>
      <c r="V78" s="13">
        <v>5</v>
      </c>
      <c r="W78" s="13">
        <v>6.5</v>
      </c>
      <c r="X78" s="13">
        <v>3.5</v>
      </c>
      <c r="Y78" s="13">
        <v>5.2</v>
      </c>
      <c r="Z78" s="13">
        <v>7.5</v>
      </c>
      <c r="AA78" s="13">
        <v>7.6</v>
      </c>
      <c r="AB78" s="13">
        <v>7.4</v>
      </c>
      <c r="AC78" s="13">
        <v>7.5</v>
      </c>
      <c r="AD78" s="13">
        <v>7.2</v>
      </c>
      <c r="AE78" s="13">
        <v>32.299999999999997</v>
      </c>
      <c r="AF78" s="13">
        <v>20.100000000000001</v>
      </c>
      <c r="AG78" s="13">
        <v>9.3000000000000007</v>
      </c>
      <c r="AH78" s="13">
        <v>1.2</v>
      </c>
      <c r="AI78" s="13">
        <v>73.400000000000006</v>
      </c>
      <c r="AJ78" s="13">
        <v>31.3</v>
      </c>
      <c r="AK78" s="13">
        <v>33.4</v>
      </c>
      <c r="AL78" s="13">
        <v>100.3</v>
      </c>
      <c r="AM78" s="13">
        <v>17516</v>
      </c>
      <c r="AN78" s="13">
        <v>250000</v>
      </c>
      <c r="AO78" s="13">
        <v>14.3</v>
      </c>
      <c r="AP78" s="13">
        <v>14.1</v>
      </c>
      <c r="AQ78" s="13">
        <v>36.5</v>
      </c>
      <c r="AR78" s="13">
        <v>28.8</v>
      </c>
      <c r="AS78" s="13">
        <v>4.9000000000000004</v>
      </c>
      <c r="AT78" s="13">
        <v>1.5</v>
      </c>
      <c r="AU78" s="13">
        <v>38920</v>
      </c>
      <c r="AV78" s="13">
        <v>45352</v>
      </c>
      <c r="AW78" s="13">
        <v>111</v>
      </c>
      <c r="AX78" s="13">
        <v>36630</v>
      </c>
      <c r="AY78" s="13">
        <v>30558</v>
      </c>
      <c r="AZ78" s="13">
        <v>40458</v>
      </c>
      <c r="BA78" s="13">
        <v>46764</v>
      </c>
      <c r="BB78" s="13">
        <v>41723</v>
      </c>
      <c r="BC78" s="13">
        <v>25901</v>
      </c>
      <c r="BD78" s="13">
        <v>99</v>
      </c>
      <c r="BE78" s="13">
        <v>96</v>
      </c>
      <c r="BF78" s="13">
        <v>95</v>
      </c>
      <c r="BG78" s="13">
        <v>94</v>
      </c>
      <c r="BH78" s="13">
        <v>100</v>
      </c>
      <c r="BI78" s="13">
        <v>98</v>
      </c>
      <c r="BJ78" s="13">
        <v>100</v>
      </c>
      <c r="BK78" s="13">
        <v>99</v>
      </c>
      <c r="BL78" s="13">
        <v>98</v>
      </c>
      <c r="BM78" s="13">
        <v>98</v>
      </c>
      <c r="BN78" s="13">
        <v>98</v>
      </c>
      <c r="BO78" s="13">
        <v>94</v>
      </c>
      <c r="BP78" s="13">
        <v>94</v>
      </c>
      <c r="BQ78" s="13">
        <v>96</v>
      </c>
      <c r="BR78" s="13">
        <v>93</v>
      </c>
      <c r="BS78" s="13">
        <v>96</v>
      </c>
      <c r="BT78" s="13">
        <v>96</v>
      </c>
      <c r="BU78" s="13">
        <v>96</v>
      </c>
      <c r="BV78" s="13">
        <v>97</v>
      </c>
      <c r="BW78" s="13">
        <v>95</v>
      </c>
      <c r="BX78" s="328">
        <f t="shared" si="10"/>
        <v>163250768</v>
      </c>
      <c r="BY78" s="328">
        <f t="shared" si="11"/>
        <v>61490057</v>
      </c>
      <c r="BZ78" s="329">
        <f t="shared" si="8"/>
        <v>0.72023531276257724</v>
      </c>
      <c r="CA78" s="329">
        <f t="shared" si="9"/>
        <v>0.7204186128534652</v>
      </c>
    </row>
    <row r="79" spans="1:79" x14ac:dyDescent="0.25">
      <c r="A79" s="13">
        <v>8735</v>
      </c>
      <c r="B79" s="13">
        <v>78</v>
      </c>
      <c r="C79" s="13" t="s">
        <v>597</v>
      </c>
      <c r="D79" s="13">
        <v>529174</v>
      </c>
      <c r="E79" s="13">
        <v>669016</v>
      </c>
      <c r="F79" s="13">
        <v>736833</v>
      </c>
      <c r="G79" s="13">
        <v>778209</v>
      </c>
      <c r="H79" s="13">
        <v>1.2</v>
      </c>
      <c r="I79" s="13">
        <v>131</v>
      </c>
      <c r="J79" s="13">
        <v>217298</v>
      </c>
      <c r="K79" s="13">
        <v>239520</v>
      </c>
      <c r="L79" s="13">
        <v>253157</v>
      </c>
      <c r="M79" s="13">
        <v>1.2</v>
      </c>
      <c r="N79" s="13">
        <v>3.02</v>
      </c>
      <c r="O79" s="13">
        <v>164773</v>
      </c>
      <c r="P79" s="13">
        <v>178784</v>
      </c>
      <c r="Q79" s="13">
        <v>1</v>
      </c>
      <c r="R79" s="13">
        <v>79.099999999999994</v>
      </c>
      <c r="S79" s="13">
        <v>74.3</v>
      </c>
      <c r="T79" s="13">
        <v>2.2999999999999998</v>
      </c>
      <c r="U79" s="13">
        <v>2.2999999999999998</v>
      </c>
      <c r="V79" s="13">
        <v>5.2</v>
      </c>
      <c r="W79" s="13">
        <v>6.6</v>
      </c>
      <c r="X79" s="13">
        <v>26.4</v>
      </c>
      <c r="Y79" s="13">
        <v>33.6</v>
      </c>
      <c r="Z79" s="13">
        <v>8.3000000000000007</v>
      </c>
      <c r="AA79" s="13">
        <v>8.5</v>
      </c>
      <c r="AB79" s="13">
        <v>7.6</v>
      </c>
      <c r="AC79" s="13">
        <v>7</v>
      </c>
      <c r="AD79" s="13">
        <v>6.1</v>
      </c>
      <c r="AE79" s="13">
        <v>32.5</v>
      </c>
      <c r="AF79" s="13">
        <v>20.2</v>
      </c>
      <c r="AG79" s="13">
        <v>8.8000000000000007</v>
      </c>
      <c r="AH79" s="13">
        <v>1.1000000000000001</v>
      </c>
      <c r="AI79" s="13">
        <v>71.599999999999994</v>
      </c>
      <c r="AJ79" s="13">
        <v>31.7</v>
      </c>
      <c r="AK79" s="13">
        <v>33.200000000000003</v>
      </c>
      <c r="AL79" s="13">
        <v>101.9</v>
      </c>
      <c r="AM79" s="13">
        <v>22672</v>
      </c>
      <c r="AN79" s="13">
        <v>239505</v>
      </c>
      <c r="AO79" s="13">
        <v>7.9</v>
      </c>
      <c r="AP79" s="13">
        <v>7.8</v>
      </c>
      <c r="AQ79" s="13">
        <v>26.2</v>
      </c>
      <c r="AR79" s="13">
        <v>40.6</v>
      </c>
      <c r="AS79" s="13">
        <v>11.9</v>
      </c>
      <c r="AT79" s="13">
        <v>5.6</v>
      </c>
      <c r="AU79" s="13">
        <v>56661</v>
      </c>
      <c r="AV79" s="13">
        <v>64293</v>
      </c>
      <c r="AW79" s="13">
        <v>6</v>
      </c>
      <c r="AX79" s="13">
        <v>49175</v>
      </c>
      <c r="AY79" s="13">
        <v>43452</v>
      </c>
      <c r="AZ79" s="13">
        <v>52220</v>
      </c>
      <c r="BA79" s="13">
        <v>59792</v>
      </c>
      <c r="BB79" s="13">
        <v>53165</v>
      </c>
      <c r="BC79" s="13">
        <v>33295</v>
      </c>
      <c r="BD79" s="13">
        <v>106</v>
      </c>
      <c r="BE79" s="13">
        <v>123</v>
      </c>
      <c r="BF79" s="13">
        <v>111</v>
      </c>
      <c r="BG79" s="13">
        <v>116</v>
      </c>
      <c r="BH79" s="13">
        <v>106</v>
      </c>
      <c r="BI79" s="13">
        <v>111</v>
      </c>
      <c r="BJ79" s="13">
        <v>100</v>
      </c>
      <c r="BK79" s="13">
        <v>106</v>
      </c>
      <c r="BL79" s="13">
        <v>111</v>
      </c>
      <c r="BM79" s="13">
        <v>114</v>
      </c>
      <c r="BN79" s="13">
        <v>117</v>
      </c>
      <c r="BO79" s="13">
        <v>105</v>
      </c>
      <c r="BP79" s="13">
        <v>110</v>
      </c>
      <c r="BQ79" s="13">
        <v>103</v>
      </c>
      <c r="BR79" s="13">
        <v>110</v>
      </c>
      <c r="BS79" s="13">
        <v>101</v>
      </c>
      <c r="BT79" s="13">
        <v>114</v>
      </c>
      <c r="BU79" s="13">
        <v>112</v>
      </c>
      <c r="BV79" s="13">
        <v>102</v>
      </c>
      <c r="BW79" s="13">
        <v>103</v>
      </c>
      <c r="BX79" s="328">
        <f t="shared" si="10"/>
        <v>164028977</v>
      </c>
      <c r="BY79" s="328">
        <f t="shared" si="11"/>
        <v>61743214</v>
      </c>
      <c r="BZ79" s="329">
        <f t="shared" si="8"/>
        <v>0.7236686418021665</v>
      </c>
      <c r="CA79" s="329">
        <f t="shared" si="9"/>
        <v>0.72338460481496469</v>
      </c>
    </row>
    <row r="80" spans="1:79" x14ac:dyDescent="0.25">
      <c r="A80" s="13">
        <v>7510</v>
      </c>
      <c r="B80" s="13">
        <v>79</v>
      </c>
      <c r="C80" s="13" t="s">
        <v>598</v>
      </c>
      <c r="D80" s="13">
        <v>350696</v>
      </c>
      <c r="E80" s="13">
        <v>489483</v>
      </c>
      <c r="F80" s="13">
        <v>546927</v>
      </c>
      <c r="G80" s="13">
        <v>580181</v>
      </c>
      <c r="H80" s="13">
        <v>1.4</v>
      </c>
      <c r="I80" s="13">
        <v>95</v>
      </c>
      <c r="J80" s="13">
        <v>216553</v>
      </c>
      <c r="K80" s="13">
        <v>239038</v>
      </c>
      <c r="L80" s="13">
        <v>251985</v>
      </c>
      <c r="M80" s="13">
        <v>1.2</v>
      </c>
      <c r="N80" s="13">
        <v>2.25</v>
      </c>
      <c r="O80" s="13">
        <v>145391</v>
      </c>
      <c r="P80" s="13">
        <v>156014</v>
      </c>
      <c r="Q80" s="13">
        <v>0.9</v>
      </c>
      <c r="R80" s="13">
        <v>92.6</v>
      </c>
      <c r="S80" s="13">
        <v>90.6</v>
      </c>
      <c r="T80" s="13">
        <v>5.8</v>
      </c>
      <c r="U80" s="13">
        <v>7</v>
      </c>
      <c r="V80" s="13">
        <v>0.5</v>
      </c>
      <c r="W80" s="13">
        <v>0.9</v>
      </c>
      <c r="X80" s="13">
        <v>3.1</v>
      </c>
      <c r="Y80" s="13">
        <v>4.7</v>
      </c>
      <c r="Z80" s="13">
        <v>5.0999999999999996</v>
      </c>
      <c r="AA80" s="13">
        <v>5.4</v>
      </c>
      <c r="AB80" s="13">
        <v>5.0999999999999996</v>
      </c>
      <c r="AC80" s="13">
        <v>4.5999999999999996</v>
      </c>
      <c r="AD80" s="13">
        <v>4</v>
      </c>
      <c r="AE80" s="13">
        <v>23.2</v>
      </c>
      <c r="AF80" s="13">
        <v>21.8</v>
      </c>
      <c r="AG80" s="13">
        <v>27</v>
      </c>
      <c r="AH80" s="13">
        <v>3.8</v>
      </c>
      <c r="AI80" s="13">
        <v>81.7</v>
      </c>
      <c r="AJ80" s="13">
        <v>46.4</v>
      </c>
      <c r="AK80" s="13">
        <v>47.2</v>
      </c>
      <c r="AL80" s="13">
        <v>90</v>
      </c>
      <c r="AM80" s="13">
        <v>20781</v>
      </c>
      <c r="AN80" s="13">
        <v>239016</v>
      </c>
      <c r="AO80" s="13">
        <v>13.8</v>
      </c>
      <c r="AP80" s="13">
        <v>17.100000000000001</v>
      </c>
      <c r="AQ80" s="13">
        <v>37</v>
      </c>
      <c r="AR80" s="13">
        <v>24.5</v>
      </c>
      <c r="AS80" s="13">
        <v>5.0999999999999996</v>
      </c>
      <c r="AT80" s="13">
        <v>2.5</v>
      </c>
      <c r="AU80" s="13">
        <v>36341</v>
      </c>
      <c r="AV80" s="13">
        <v>40538</v>
      </c>
      <c r="AW80" s="13">
        <v>149</v>
      </c>
      <c r="AX80" s="13">
        <v>37713</v>
      </c>
      <c r="AY80" s="13">
        <v>33295</v>
      </c>
      <c r="AZ80" s="13">
        <v>41640</v>
      </c>
      <c r="BA80" s="13">
        <v>46739</v>
      </c>
      <c r="BB80" s="13">
        <v>42954</v>
      </c>
      <c r="BC80" s="13">
        <v>32487</v>
      </c>
      <c r="BD80" s="13">
        <v>101</v>
      </c>
      <c r="BE80" s="13">
        <v>97</v>
      </c>
      <c r="BF80" s="13">
        <v>114</v>
      </c>
      <c r="BG80" s="13">
        <v>103</v>
      </c>
      <c r="BH80" s="13">
        <v>109</v>
      </c>
      <c r="BI80" s="13">
        <v>113</v>
      </c>
      <c r="BJ80" s="13">
        <v>106</v>
      </c>
      <c r="BK80" s="13">
        <v>104</v>
      </c>
      <c r="BL80" s="13">
        <v>97</v>
      </c>
      <c r="BM80" s="13">
        <v>99</v>
      </c>
      <c r="BN80" s="13">
        <v>100</v>
      </c>
      <c r="BO80" s="13">
        <v>101</v>
      </c>
      <c r="BP80" s="13">
        <v>102</v>
      </c>
      <c r="BQ80" s="13">
        <v>104</v>
      </c>
      <c r="BR80" s="13">
        <v>100</v>
      </c>
      <c r="BS80" s="13">
        <v>99</v>
      </c>
      <c r="BT80" s="13">
        <v>96</v>
      </c>
      <c r="BU80" s="13">
        <v>99</v>
      </c>
      <c r="BV80" s="13">
        <v>108</v>
      </c>
      <c r="BW80" s="13">
        <v>102</v>
      </c>
      <c r="BX80" s="328">
        <f t="shared" si="10"/>
        <v>164609158</v>
      </c>
      <c r="BY80" s="328">
        <f t="shared" si="11"/>
        <v>61995199</v>
      </c>
      <c r="BZ80" s="329">
        <f t="shared" si="8"/>
        <v>0.72622830414932249</v>
      </c>
      <c r="CA80" s="329">
        <f t="shared" si="9"/>
        <v>0.72633686560340216</v>
      </c>
    </row>
    <row r="81" spans="1:79" x14ac:dyDescent="0.25">
      <c r="A81" s="13">
        <v>3240</v>
      </c>
      <c r="B81" s="13">
        <v>80</v>
      </c>
      <c r="C81" s="13" t="s">
        <v>599</v>
      </c>
      <c r="D81" s="13">
        <v>556242</v>
      </c>
      <c r="E81" s="13">
        <v>587986</v>
      </c>
      <c r="F81" s="13">
        <v>617225</v>
      </c>
      <c r="G81" s="13">
        <v>633657</v>
      </c>
      <c r="H81" s="13">
        <v>0.6</v>
      </c>
      <c r="I81" s="13">
        <v>211</v>
      </c>
      <c r="J81" s="13">
        <v>226353</v>
      </c>
      <c r="K81" s="13">
        <v>240869</v>
      </c>
      <c r="L81" s="13">
        <v>249721</v>
      </c>
      <c r="M81" s="13">
        <v>0.8</v>
      </c>
      <c r="N81" s="13">
        <v>2.48</v>
      </c>
      <c r="O81" s="13">
        <v>157924</v>
      </c>
      <c r="P81" s="13">
        <v>164487</v>
      </c>
      <c r="Q81" s="13">
        <v>0.5</v>
      </c>
      <c r="R81" s="13">
        <v>91.3</v>
      </c>
      <c r="S81" s="13">
        <v>89.6</v>
      </c>
      <c r="T81" s="13">
        <v>6.7</v>
      </c>
      <c r="U81" s="13">
        <v>7.6</v>
      </c>
      <c r="V81" s="13">
        <v>1.1000000000000001</v>
      </c>
      <c r="W81" s="13">
        <v>1.6</v>
      </c>
      <c r="X81" s="13">
        <v>1.7</v>
      </c>
      <c r="Y81" s="13">
        <v>2.4</v>
      </c>
      <c r="Z81" s="13">
        <v>6</v>
      </c>
      <c r="AA81" s="13">
        <v>6.7</v>
      </c>
      <c r="AB81" s="13">
        <v>6.7</v>
      </c>
      <c r="AC81" s="13">
        <v>6.8</v>
      </c>
      <c r="AD81" s="13">
        <v>6.2</v>
      </c>
      <c r="AE81" s="13">
        <v>31.1</v>
      </c>
      <c r="AF81" s="13">
        <v>22.2</v>
      </c>
      <c r="AG81" s="13">
        <v>12.7</v>
      </c>
      <c r="AH81" s="13">
        <v>1.6</v>
      </c>
      <c r="AI81" s="13">
        <v>76.8</v>
      </c>
      <c r="AJ81" s="13">
        <v>34.799999999999997</v>
      </c>
      <c r="AK81" s="13">
        <v>37.1</v>
      </c>
      <c r="AL81" s="13">
        <v>94.2</v>
      </c>
      <c r="AM81" s="13">
        <v>18841</v>
      </c>
      <c r="AN81" s="13">
        <v>240868</v>
      </c>
      <c r="AO81" s="13">
        <v>12.1</v>
      </c>
      <c r="AP81" s="13">
        <v>13.5</v>
      </c>
      <c r="AQ81" s="13">
        <v>38.200000000000003</v>
      </c>
      <c r="AR81" s="13">
        <v>29.9</v>
      </c>
      <c r="AS81" s="13">
        <v>4.8</v>
      </c>
      <c r="AT81" s="13">
        <v>1.5</v>
      </c>
      <c r="AU81" s="13">
        <v>40306</v>
      </c>
      <c r="AV81" s="13">
        <v>45956</v>
      </c>
      <c r="AW81" s="13">
        <v>90</v>
      </c>
      <c r="AX81" s="13">
        <v>35763</v>
      </c>
      <c r="AY81" s="13">
        <v>32225</v>
      </c>
      <c r="AZ81" s="13">
        <v>40376</v>
      </c>
      <c r="BA81" s="13">
        <v>45725</v>
      </c>
      <c r="BB81" s="13">
        <v>39748</v>
      </c>
      <c r="BC81" s="13">
        <v>23100</v>
      </c>
      <c r="BD81" s="13">
        <v>100</v>
      </c>
      <c r="BE81" s="13">
        <v>93</v>
      </c>
      <c r="BF81" s="13">
        <v>99</v>
      </c>
      <c r="BG81" s="13">
        <v>96</v>
      </c>
      <c r="BH81" s="13">
        <v>94</v>
      </c>
      <c r="BI81" s="13">
        <v>93</v>
      </c>
      <c r="BJ81" s="13">
        <v>95</v>
      </c>
      <c r="BK81" s="13">
        <v>98</v>
      </c>
      <c r="BL81" s="13">
        <v>96</v>
      </c>
      <c r="BM81" s="13">
        <v>97</v>
      </c>
      <c r="BN81" s="13">
        <v>97</v>
      </c>
      <c r="BO81" s="13">
        <v>100</v>
      </c>
      <c r="BP81" s="13">
        <v>98</v>
      </c>
      <c r="BQ81" s="13">
        <v>102</v>
      </c>
      <c r="BR81" s="13">
        <v>100</v>
      </c>
      <c r="BS81" s="13">
        <v>99</v>
      </c>
      <c r="BT81" s="13">
        <v>100</v>
      </c>
      <c r="BU81" s="13">
        <v>97</v>
      </c>
      <c r="BV81" s="13">
        <v>101</v>
      </c>
      <c r="BW81" s="13">
        <v>101</v>
      </c>
      <c r="BX81" s="328">
        <f t="shared" si="10"/>
        <v>165242815</v>
      </c>
      <c r="BY81" s="328">
        <f t="shared" si="11"/>
        <v>62244920</v>
      </c>
      <c r="BZ81" s="329">
        <f t="shared" si="8"/>
        <v>0.72902389373931575</v>
      </c>
      <c r="CA81" s="329">
        <f t="shared" si="9"/>
        <v>0.72926260132715304</v>
      </c>
    </row>
    <row r="82" spans="1:79" x14ac:dyDescent="0.25">
      <c r="A82" s="13">
        <v>2320</v>
      </c>
      <c r="B82" s="13">
        <v>81</v>
      </c>
      <c r="C82" s="13" t="s">
        <v>600</v>
      </c>
      <c r="D82" s="13">
        <v>479899</v>
      </c>
      <c r="E82" s="13">
        <v>591610</v>
      </c>
      <c r="F82" s="13">
        <v>714802</v>
      </c>
      <c r="G82" s="13">
        <v>788264</v>
      </c>
      <c r="H82" s="13">
        <v>2.2999999999999998</v>
      </c>
      <c r="I82" s="13">
        <v>30</v>
      </c>
      <c r="J82" s="13">
        <v>178366</v>
      </c>
      <c r="K82" s="13">
        <v>219268</v>
      </c>
      <c r="L82" s="13">
        <v>244401</v>
      </c>
      <c r="M82" s="13">
        <v>2.5</v>
      </c>
      <c r="N82" s="13">
        <v>3.2</v>
      </c>
      <c r="O82" s="13">
        <v>142854</v>
      </c>
      <c r="P82" s="13">
        <v>174101</v>
      </c>
      <c r="Q82" s="13">
        <v>2.4</v>
      </c>
      <c r="R82" s="13">
        <v>76.5</v>
      </c>
      <c r="S82" s="13">
        <v>75.2</v>
      </c>
      <c r="T82" s="13">
        <v>3.7</v>
      </c>
      <c r="U82" s="13">
        <v>3.4</v>
      </c>
      <c r="V82" s="13">
        <v>1.1000000000000001</v>
      </c>
      <c r="W82" s="13">
        <v>1.4</v>
      </c>
      <c r="X82" s="13">
        <v>69.599999999999994</v>
      </c>
      <c r="Y82" s="13">
        <v>74.599999999999994</v>
      </c>
      <c r="Z82" s="13">
        <v>9.3000000000000007</v>
      </c>
      <c r="AA82" s="13">
        <v>8.4</v>
      </c>
      <c r="AB82" s="13">
        <v>8.1999999999999993</v>
      </c>
      <c r="AC82" s="13">
        <v>9</v>
      </c>
      <c r="AD82" s="13">
        <v>8.5</v>
      </c>
      <c r="AE82" s="13">
        <v>29.7</v>
      </c>
      <c r="AF82" s="13">
        <v>18.100000000000001</v>
      </c>
      <c r="AG82" s="13">
        <v>7.9</v>
      </c>
      <c r="AH82" s="13">
        <v>0.8</v>
      </c>
      <c r="AI82" s="13">
        <v>68.7</v>
      </c>
      <c r="AJ82" s="13">
        <v>27.9</v>
      </c>
      <c r="AK82" s="13">
        <v>29.5</v>
      </c>
      <c r="AL82" s="13">
        <v>95.1</v>
      </c>
      <c r="AM82" s="13">
        <v>10889</v>
      </c>
      <c r="AN82" s="13">
        <v>219265</v>
      </c>
      <c r="AO82" s="13">
        <v>26.4</v>
      </c>
      <c r="AP82" s="13">
        <v>20.100000000000001</v>
      </c>
      <c r="AQ82" s="13">
        <v>32.5</v>
      </c>
      <c r="AR82" s="13">
        <v>17.5</v>
      </c>
      <c r="AS82" s="13">
        <v>2.4</v>
      </c>
      <c r="AT82" s="13">
        <v>1</v>
      </c>
      <c r="AU82" s="13">
        <v>26830</v>
      </c>
      <c r="AV82" s="13">
        <v>30961</v>
      </c>
      <c r="AW82" s="13">
        <v>301</v>
      </c>
      <c r="AX82" s="13">
        <v>28374</v>
      </c>
      <c r="AY82" s="13">
        <v>22730</v>
      </c>
      <c r="AZ82" s="13">
        <v>30086</v>
      </c>
      <c r="BA82" s="13">
        <v>35062</v>
      </c>
      <c r="BB82" s="13">
        <v>32001</v>
      </c>
      <c r="BC82" s="13">
        <v>22317</v>
      </c>
      <c r="BD82" s="13">
        <v>97</v>
      </c>
      <c r="BE82" s="13">
        <v>101</v>
      </c>
      <c r="BF82" s="13">
        <v>94</v>
      </c>
      <c r="BG82" s="13">
        <v>94</v>
      </c>
      <c r="BH82" s="13">
        <v>99</v>
      </c>
      <c r="BI82" s="13">
        <v>99</v>
      </c>
      <c r="BJ82" s="13">
        <v>98</v>
      </c>
      <c r="BK82" s="13">
        <v>100</v>
      </c>
      <c r="BL82" s="13">
        <v>100</v>
      </c>
      <c r="BM82" s="13">
        <v>97</v>
      </c>
      <c r="BN82" s="13">
        <v>99</v>
      </c>
      <c r="BO82" s="13">
        <v>98</v>
      </c>
      <c r="BP82" s="13">
        <v>96</v>
      </c>
      <c r="BQ82" s="13">
        <v>98</v>
      </c>
      <c r="BR82" s="13">
        <v>92</v>
      </c>
      <c r="BS82" s="13">
        <v>100</v>
      </c>
      <c r="BT82" s="13">
        <v>93</v>
      </c>
      <c r="BU82" s="13">
        <v>100</v>
      </c>
      <c r="BV82" s="13">
        <v>99</v>
      </c>
      <c r="BW82" s="13">
        <v>103</v>
      </c>
      <c r="BX82" s="328">
        <f t="shared" si="10"/>
        <v>166031079</v>
      </c>
      <c r="BY82" s="328">
        <f t="shared" si="11"/>
        <v>62489321</v>
      </c>
      <c r="BZ82" s="329">
        <f t="shared" si="8"/>
        <v>0.73250158377125163</v>
      </c>
      <c r="CA82" s="329">
        <f t="shared" si="9"/>
        <v>0.73212600783529791</v>
      </c>
    </row>
    <row r="83" spans="1:79" x14ac:dyDescent="0.25">
      <c r="A83" s="13">
        <v>240</v>
      </c>
      <c r="B83" s="13">
        <v>82</v>
      </c>
      <c r="C83" s="13" t="s">
        <v>601</v>
      </c>
      <c r="D83" s="13">
        <v>551052</v>
      </c>
      <c r="E83" s="13">
        <v>595081</v>
      </c>
      <c r="F83" s="13">
        <v>615770</v>
      </c>
      <c r="G83" s="13">
        <v>627268</v>
      </c>
      <c r="H83" s="13">
        <v>0.4</v>
      </c>
      <c r="I83" s="13">
        <v>237</v>
      </c>
      <c r="J83" s="13">
        <v>225831</v>
      </c>
      <c r="K83" s="13">
        <v>236365</v>
      </c>
      <c r="L83" s="13">
        <v>242683</v>
      </c>
      <c r="M83" s="13">
        <v>0.6</v>
      </c>
      <c r="N83" s="13">
        <v>2.5299999999999998</v>
      </c>
      <c r="O83" s="13">
        <v>162345</v>
      </c>
      <c r="P83" s="13">
        <v>166255</v>
      </c>
      <c r="Q83" s="13">
        <v>0.3</v>
      </c>
      <c r="R83" s="13">
        <v>94.2</v>
      </c>
      <c r="S83" s="13">
        <v>92.5</v>
      </c>
      <c r="T83" s="13">
        <v>2</v>
      </c>
      <c r="U83" s="13">
        <v>2.4</v>
      </c>
      <c r="V83" s="13">
        <v>1.1000000000000001</v>
      </c>
      <c r="W83" s="13">
        <v>1.6</v>
      </c>
      <c r="X83" s="13">
        <v>4.5999999999999996</v>
      </c>
      <c r="Y83" s="13">
        <v>6.3</v>
      </c>
      <c r="Z83" s="13">
        <v>6</v>
      </c>
      <c r="AA83" s="13">
        <v>6.7</v>
      </c>
      <c r="AB83" s="13">
        <v>6.6</v>
      </c>
      <c r="AC83" s="13">
        <v>6.5</v>
      </c>
      <c r="AD83" s="13">
        <v>5.8</v>
      </c>
      <c r="AE83" s="13">
        <v>30.2</v>
      </c>
      <c r="AF83" s="13">
        <v>22.2</v>
      </c>
      <c r="AG83" s="13">
        <v>14.3</v>
      </c>
      <c r="AH83" s="13">
        <v>1.8</v>
      </c>
      <c r="AI83" s="13">
        <v>77</v>
      </c>
      <c r="AJ83" s="13">
        <v>35.5</v>
      </c>
      <c r="AK83" s="13">
        <v>37.9</v>
      </c>
      <c r="AL83" s="13">
        <v>94.2</v>
      </c>
      <c r="AM83" s="13">
        <v>20328</v>
      </c>
      <c r="AN83" s="13">
        <v>236361</v>
      </c>
      <c r="AO83" s="13">
        <v>11.6</v>
      </c>
      <c r="AP83" s="13">
        <v>11.7</v>
      </c>
      <c r="AQ83" s="13">
        <v>35.299999999999997</v>
      </c>
      <c r="AR83" s="13">
        <v>32.200000000000003</v>
      </c>
      <c r="AS83" s="13">
        <v>6.8</v>
      </c>
      <c r="AT83" s="13">
        <v>2.2999999999999998</v>
      </c>
      <c r="AU83" s="13">
        <v>43455</v>
      </c>
      <c r="AV83" s="13">
        <v>52597</v>
      </c>
      <c r="AW83" s="13">
        <v>52</v>
      </c>
      <c r="AX83" s="13">
        <v>38929</v>
      </c>
      <c r="AY83" s="13">
        <v>36270</v>
      </c>
      <c r="AZ83" s="13">
        <v>44708</v>
      </c>
      <c r="BA83" s="13">
        <v>51210</v>
      </c>
      <c r="BB83" s="13">
        <v>42065</v>
      </c>
      <c r="BC83" s="13">
        <v>24585</v>
      </c>
      <c r="BD83" s="13">
        <v>101</v>
      </c>
      <c r="BE83" s="13">
        <v>95</v>
      </c>
      <c r="BF83" s="13">
        <v>102</v>
      </c>
      <c r="BG83" s="13">
        <v>99</v>
      </c>
      <c r="BH83" s="13">
        <v>96</v>
      </c>
      <c r="BI83" s="13">
        <v>95</v>
      </c>
      <c r="BJ83" s="13">
        <v>95</v>
      </c>
      <c r="BK83" s="13">
        <v>99</v>
      </c>
      <c r="BL83" s="13">
        <v>96</v>
      </c>
      <c r="BM83" s="13">
        <v>99</v>
      </c>
      <c r="BN83" s="13">
        <v>99</v>
      </c>
      <c r="BO83" s="13">
        <v>100</v>
      </c>
      <c r="BP83" s="13">
        <v>100</v>
      </c>
      <c r="BQ83" s="13">
        <v>102</v>
      </c>
      <c r="BR83" s="13">
        <v>103</v>
      </c>
      <c r="BS83" s="13">
        <v>99</v>
      </c>
      <c r="BT83" s="13">
        <v>101</v>
      </c>
      <c r="BU83" s="13">
        <v>98</v>
      </c>
      <c r="BV83" s="13">
        <v>102</v>
      </c>
      <c r="BW83" s="13">
        <v>100</v>
      </c>
      <c r="BX83" s="328">
        <f t="shared" si="10"/>
        <v>166658347</v>
      </c>
      <c r="BY83" s="328">
        <f t="shared" si="11"/>
        <v>62732004</v>
      </c>
      <c r="BZ83" s="329">
        <f t="shared" si="8"/>
        <v>0.73526898615288061</v>
      </c>
      <c r="CA83" s="329">
        <f t="shared" si="9"/>
        <v>0.73496928622456847</v>
      </c>
    </row>
    <row r="84" spans="1:79" x14ac:dyDescent="0.25">
      <c r="A84" s="13">
        <v>7560</v>
      </c>
      <c r="B84" s="13">
        <v>83</v>
      </c>
      <c r="C84" s="13" t="s">
        <v>602</v>
      </c>
      <c r="D84" s="13">
        <v>659387</v>
      </c>
      <c r="E84" s="13">
        <v>638466</v>
      </c>
      <c r="F84" s="13">
        <v>617415</v>
      </c>
      <c r="G84" s="13">
        <v>604273</v>
      </c>
      <c r="H84" s="13">
        <v>-0.4</v>
      </c>
      <c r="I84" s="13">
        <v>307</v>
      </c>
      <c r="J84" s="13">
        <v>246491</v>
      </c>
      <c r="K84" s="13">
        <v>241894</v>
      </c>
      <c r="L84" s="13">
        <v>238984</v>
      </c>
      <c r="M84" s="13">
        <v>-0.2</v>
      </c>
      <c r="N84" s="13">
        <v>2.46</v>
      </c>
      <c r="O84" s="13">
        <v>170867</v>
      </c>
      <c r="P84" s="13">
        <v>163178</v>
      </c>
      <c r="Q84" s="13">
        <v>-0.6</v>
      </c>
      <c r="R84" s="13">
        <v>98.3</v>
      </c>
      <c r="S84" s="13">
        <v>98</v>
      </c>
      <c r="T84" s="13">
        <v>0.9</v>
      </c>
      <c r="U84" s="13">
        <v>1</v>
      </c>
      <c r="V84" s="13">
        <v>0.5</v>
      </c>
      <c r="W84" s="13">
        <v>0.7</v>
      </c>
      <c r="X84" s="13">
        <v>0.6</v>
      </c>
      <c r="Y84" s="13">
        <v>0.8</v>
      </c>
      <c r="Z84" s="13">
        <v>5.4</v>
      </c>
      <c r="AA84" s="13">
        <v>6.1</v>
      </c>
      <c r="AB84" s="13">
        <v>6.4</v>
      </c>
      <c r="AC84" s="13">
        <v>6.9</v>
      </c>
      <c r="AD84" s="13">
        <v>5.9</v>
      </c>
      <c r="AE84" s="13">
        <v>27.2</v>
      </c>
      <c r="AF84" s="13">
        <v>22.4</v>
      </c>
      <c r="AG84" s="13">
        <v>17.600000000000001</v>
      </c>
      <c r="AH84" s="13">
        <v>2.1</v>
      </c>
      <c r="AI84" s="13">
        <v>78.5</v>
      </c>
      <c r="AJ84" s="13">
        <v>37.4</v>
      </c>
      <c r="AK84" s="13">
        <v>39.9</v>
      </c>
      <c r="AL84" s="13">
        <v>90.1</v>
      </c>
      <c r="AM84" s="13">
        <v>15256</v>
      </c>
      <c r="AN84" s="13">
        <v>241887</v>
      </c>
      <c r="AO84" s="13">
        <v>22.6</v>
      </c>
      <c r="AP84" s="13">
        <v>17.399999999999999</v>
      </c>
      <c r="AQ84" s="13">
        <v>36.299999999999997</v>
      </c>
      <c r="AR84" s="13">
        <v>19.3</v>
      </c>
      <c r="AS84" s="13">
        <v>3</v>
      </c>
      <c r="AT84" s="13">
        <v>1.4</v>
      </c>
      <c r="AU84" s="13">
        <v>30744</v>
      </c>
      <c r="AV84" s="13">
        <v>36131</v>
      </c>
      <c r="AW84" s="13">
        <v>264</v>
      </c>
      <c r="AX84" s="13">
        <v>29280</v>
      </c>
      <c r="AY84" s="13">
        <v>27942</v>
      </c>
      <c r="AZ84" s="13">
        <v>35785</v>
      </c>
      <c r="BA84" s="13">
        <v>39498</v>
      </c>
      <c r="BB84" s="13">
        <v>32886</v>
      </c>
      <c r="BC84" s="13">
        <v>18625</v>
      </c>
      <c r="BD84" s="13">
        <v>97</v>
      </c>
      <c r="BE84" s="13">
        <v>84</v>
      </c>
      <c r="BF84" s="13">
        <v>95</v>
      </c>
      <c r="BG84" s="13">
        <v>88</v>
      </c>
      <c r="BH84" s="13">
        <v>95</v>
      </c>
      <c r="BI84" s="13">
        <v>91</v>
      </c>
      <c r="BJ84" s="13">
        <v>94</v>
      </c>
      <c r="BK84" s="13">
        <v>96</v>
      </c>
      <c r="BL84" s="13">
        <v>90</v>
      </c>
      <c r="BM84" s="13">
        <v>92</v>
      </c>
      <c r="BN84" s="13">
        <v>91</v>
      </c>
      <c r="BO84" s="13">
        <v>95</v>
      </c>
      <c r="BP84" s="13">
        <v>94</v>
      </c>
      <c r="BQ84" s="13">
        <v>98</v>
      </c>
      <c r="BR84" s="13">
        <v>97</v>
      </c>
      <c r="BS84" s="13">
        <v>97</v>
      </c>
      <c r="BT84" s="13">
        <v>92</v>
      </c>
      <c r="BU84" s="13">
        <v>92</v>
      </c>
      <c r="BV84" s="13">
        <v>102</v>
      </c>
      <c r="BW84" s="13">
        <v>97</v>
      </c>
      <c r="BX84" s="328">
        <f t="shared" si="10"/>
        <v>167262620</v>
      </c>
      <c r="BY84" s="328">
        <f t="shared" si="11"/>
        <v>62970988</v>
      </c>
      <c r="BZ84" s="329">
        <f t="shared" si="8"/>
        <v>0.7379349384083026</v>
      </c>
      <c r="CA84" s="329">
        <f t="shared" si="9"/>
        <v>0.73776922706336412</v>
      </c>
    </row>
    <row r="85" spans="1:79" x14ac:dyDescent="0.25">
      <c r="A85" s="13">
        <v>2960</v>
      </c>
      <c r="B85" s="13">
        <v>84</v>
      </c>
      <c r="C85" s="13" t="s">
        <v>603</v>
      </c>
      <c r="D85" s="13">
        <v>642733</v>
      </c>
      <c r="E85" s="13">
        <v>604526</v>
      </c>
      <c r="F85" s="13">
        <v>625618</v>
      </c>
      <c r="G85" s="13">
        <v>638346</v>
      </c>
      <c r="H85" s="13">
        <v>0.4</v>
      </c>
      <c r="I85" s="13">
        <v>236</v>
      </c>
      <c r="J85" s="13">
        <v>215907</v>
      </c>
      <c r="K85" s="13">
        <v>228606</v>
      </c>
      <c r="L85" s="13">
        <v>236430</v>
      </c>
      <c r="M85" s="13">
        <v>0.7</v>
      </c>
      <c r="N85" s="13">
        <v>2.7</v>
      </c>
      <c r="O85" s="13">
        <v>160395</v>
      </c>
      <c r="P85" s="13">
        <v>166721</v>
      </c>
      <c r="Q85" s="13">
        <v>0.5</v>
      </c>
      <c r="R85" s="13">
        <v>76.2</v>
      </c>
      <c r="S85" s="13">
        <v>74.5</v>
      </c>
      <c r="T85" s="13">
        <v>19.399999999999999</v>
      </c>
      <c r="U85" s="13">
        <v>19.7</v>
      </c>
      <c r="V85" s="13">
        <v>0.6</v>
      </c>
      <c r="W85" s="13">
        <v>0.8</v>
      </c>
      <c r="X85" s="13">
        <v>8</v>
      </c>
      <c r="Y85" s="13">
        <v>10.5</v>
      </c>
      <c r="Z85" s="13">
        <v>6.8</v>
      </c>
      <c r="AA85" s="13">
        <v>7.4</v>
      </c>
      <c r="AB85" s="13">
        <v>7.8</v>
      </c>
      <c r="AC85" s="13">
        <v>7.7</v>
      </c>
      <c r="AD85" s="13">
        <v>6.2</v>
      </c>
      <c r="AE85" s="13">
        <v>30.5</v>
      </c>
      <c r="AF85" s="13">
        <v>21.9</v>
      </c>
      <c r="AG85" s="13">
        <v>10.6</v>
      </c>
      <c r="AH85" s="13">
        <v>1</v>
      </c>
      <c r="AI85" s="13">
        <v>73.3</v>
      </c>
      <c r="AJ85" s="13">
        <v>32.9</v>
      </c>
      <c r="AK85" s="13">
        <v>35.200000000000003</v>
      </c>
      <c r="AL85" s="13">
        <v>94</v>
      </c>
      <c r="AM85" s="13">
        <v>17560</v>
      </c>
      <c r="AN85" s="13">
        <v>228600</v>
      </c>
      <c r="AO85" s="13">
        <v>15.9</v>
      </c>
      <c r="AP85" s="13">
        <v>12.5</v>
      </c>
      <c r="AQ85" s="13">
        <v>34.200000000000003</v>
      </c>
      <c r="AR85" s="13">
        <v>30.3</v>
      </c>
      <c r="AS85" s="13">
        <v>5.2</v>
      </c>
      <c r="AT85" s="13">
        <v>1.9</v>
      </c>
      <c r="AU85" s="13">
        <v>40678</v>
      </c>
      <c r="AV85" s="13">
        <v>46898</v>
      </c>
      <c r="AW85" s="13">
        <v>83</v>
      </c>
      <c r="AX85" s="13">
        <v>36727</v>
      </c>
      <c r="AY85" s="13">
        <v>30757</v>
      </c>
      <c r="AZ85" s="13">
        <v>41738</v>
      </c>
      <c r="BA85" s="13">
        <v>46471</v>
      </c>
      <c r="BB85" s="13">
        <v>39057</v>
      </c>
      <c r="BC85" s="13">
        <v>22991</v>
      </c>
      <c r="BD85" s="13">
        <v>98</v>
      </c>
      <c r="BE85" s="13">
        <v>96</v>
      </c>
      <c r="BF85" s="13">
        <v>96</v>
      </c>
      <c r="BG85" s="13">
        <v>95</v>
      </c>
      <c r="BH85" s="13">
        <v>102</v>
      </c>
      <c r="BI85" s="13">
        <v>99</v>
      </c>
      <c r="BJ85" s="13">
        <v>99</v>
      </c>
      <c r="BK85" s="13">
        <v>100</v>
      </c>
      <c r="BL85" s="13">
        <v>98</v>
      </c>
      <c r="BM85" s="13">
        <v>100</v>
      </c>
      <c r="BN85" s="13">
        <v>98</v>
      </c>
      <c r="BO85" s="13">
        <v>98</v>
      </c>
      <c r="BP85" s="13">
        <v>101</v>
      </c>
      <c r="BQ85" s="13">
        <v>100</v>
      </c>
      <c r="BR85" s="13">
        <v>102</v>
      </c>
      <c r="BS85" s="13">
        <v>103</v>
      </c>
      <c r="BT85" s="13">
        <v>100</v>
      </c>
      <c r="BU85" s="13">
        <v>100</v>
      </c>
      <c r="BV85" s="13">
        <v>97</v>
      </c>
      <c r="BW85" s="13">
        <v>98</v>
      </c>
      <c r="BX85" s="328">
        <f t="shared" si="10"/>
        <v>167900966</v>
      </c>
      <c r="BY85" s="328">
        <f t="shared" si="11"/>
        <v>63207418</v>
      </c>
      <c r="BZ85" s="329">
        <f t="shared" si="8"/>
        <v>0.74075121508861042</v>
      </c>
      <c r="CA85" s="329">
        <f t="shared" si="9"/>
        <v>0.74053924519226177</v>
      </c>
    </row>
    <row r="86" spans="1:79" x14ac:dyDescent="0.25">
      <c r="A86" s="13">
        <v>8400</v>
      </c>
      <c r="B86" s="13">
        <v>85</v>
      </c>
      <c r="C86" s="13" t="s">
        <v>604</v>
      </c>
      <c r="D86" s="13">
        <v>616864</v>
      </c>
      <c r="E86" s="13">
        <v>614128</v>
      </c>
      <c r="F86" s="13">
        <v>612447</v>
      </c>
      <c r="G86" s="13">
        <v>611771</v>
      </c>
      <c r="H86" s="13">
        <v>0</v>
      </c>
      <c r="I86" s="13">
        <v>280</v>
      </c>
      <c r="J86" s="13">
        <v>230681</v>
      </c>
      <c r="K86" s="13">
        <v>234199</v>
      </c>
      <c r="L86" s="13">
        <v>236373</v>
      </c>
      <c r="M86" s="13">
        <v>0.2</v>
      </c>
      <c r="N86" s="13">
        <v>2.5499999999999998</v>
      </c>
      <c r="O86" s="13">
        <v>157754</v>
      </c>
      <c r="P86" s="13">
        <v>156835</v>
      </c>
      <c r="Q86" s="13">
        <v>-0.1</v>
      </c>
      <c r="R86" s="13">
        <v>85.7</v>
      </c>
      <c r="S86" s="13">
        <v>84.1</v>
      </c>
      <c r="T86" s="13">
        <v>11.4</v>
      </c>
      <c r="U86" s="13">
        <v>12.3</v>
      </c>
      <c r="V86" s="13">
        <v>1</v>
      </c>
      <c r="W86" s="13">
        <v>1.3</v>
      </c>
      <c r="X86" s="13">
        <v>3.3</v>
      </c>
      <c r="Y86" s="13">
        <v>4.2</v>
      </c>
      <c r="Z86" s="13">
        <v>7</v>
      </c>
      <c r="AA86" s="13">
        <v>7.3</v>
      </c>
      <c r="AB86" s="13">
        <v>7.2</v>
      </c>
      <c r="AC86" s="13">
        <v>7.9</v>
      </c>
      <c r="AD86" s="13">
        <v>7.7</v>
      </c>
      <c r="AE86" s="13">
        <v>30.2</v>
      </c>
      <c r="AF86" s="13">
        <v>20</v>
      </c>
      <c r="AG86" s="13">
        <v>11.2</v>
      </c>
      <c r="AH86" s="13">
        <v>1.5</v>
      </c>
      <c r="AI86" s="13">
        <v>74.3</v>
      </c>
      <c r="AJ86" s="13">
        <v>31.9</v>
      </c>
      <c r="AK86" s="13">
        <v>34.200000000000003</v>
      </c>
      <c r="AL86" s="13">
        <v>92.3</v>
      </c>
      <c r="AM86" s="13">
        <v>17245</v>
      </c>
      <c r="AN86" s="13">
        <v>234190</v>
      </c>
      <c r="AO86" s="13">
        <v>18.899999999999999</v>
      </c>
      <c r="AP86" s="13">
        <v>14.3</v>
      </c>
      <c r="AQ86" s="13">
        <v>34.5</v>
      </c>
      <c r="AR86" s="13">
        <v>25.7</v>
      </c>
      <c r="AS86" s="13">
        <v>4.5999999999999996</v>
      </c>
      <c r="AT86" s="13">
        <v>2</v>
      </c>
      <c r="AU86" s="13">
        <v>36336</v>
      </c>
      <c r="AV86" s="13">
        <v>40908</v>
      </c>
      <c r="AW86" s="13">
        <v>150</v>
      </c>
      <c r="AX86" s="13">
        <v>34009</v>
      </c>
      <c r="AY86" s="13">
        <v>28169</v>
      </c>
      <c r="AZ86" s="13">
        <v>40056</v>
      </c>
      <c r="BA86" s="13">
        <v>45828</v>
      </c>
      <c r="BB86" s="13">
        <v>38383</v>
      </c>
      <c r="BC86" s="13">
        <v>22397</v>
      </c>
      <c r="BD86" s="13">
        <v>98</v>
      </c>
      <c r="BE86" s="13">
        <v>97</v>
      </c>
      <c r="BF86" s="13">
        <v>98</v>
      </c>
      <c r="BG86" s="13">
        <v>98</v>
      </c>
      <c r="BH86" s="13">
        <v>103</v>
      </c>
      <c r="BI86" s="13">
        <v>100</v>
      </c>
      <c r="BJ86" s="13">
        <v>101</v>
      </c>
      <c r="BK86" s="13">
        <v>99</v>
      </c>
      <c r="BL86" s="13">
        <v>97</v>
      </c>
      <c r="BM86" s="13">
        <v>98</v>
      </c>
      <c r="BN86" s="13">
        <v>98</v>
      </c>
      <c r="BO86" s="13">
        <v>97</v>
      </c>
      <c r="BP86" s="13">
        <v>100</v>
      </c>
      <c r="BQ86" s="13">
        <v>99</v>
      </c>
      <c r="BR86" s="13">
        <v>103</v>
      </c>
      <c r="BS86" s="13">
        <v>101</v>
      </c>
      <c r="BT86" s="13">
        <v>98</v>
      </c>
      <c r="BU86" s="13">
        <v>99</v>
      </c>
      <c r="BV86" s="13">
        <v>98</v>
      </c>
      <c r="BW86" s="13">
        <v>98</v>
      </c>
      <c r="BX86" s="328">
        <f t="shared" si="10"/>
        <v>168512737</v>
      </c>
      <c r="BY86" s="328">
        <f t="shared" si="11"/>
        <v>63443791</v>
      </c>
      <c r="BZ86" s="329">
        <f t="shared" si="8"/>
        <v>0.74345024727646558</v>
      </c>
      <c r="CA86" s="329">
        <f t="shared" si="9"/>
        <v>0.74330859550813499</v>
      </c>
    </row>
    <row r="87" spans="1:79" x14ac:dyDescent="0.25">
      <c r="A87" s="13">
        <v>9320</v>
      </c>
      <c r="B87" s="13">
        <v>86</v>
      </c>
      <c r="C87" s="13" t="s">
        <v>605</v>
      </c>
      <c r="D87" s="13">
        <v>644922</v>
      </c>
      <c r="E87" s="13">
        <v>600895</v>
      </c>
      <c r="F87" s="13">
        <v>595821</v>
      </c>
      <c r="G87" s="13">
        <v>590584</v>
      </c>
      <c r="H87" s="13">
        <v>-0.1</v>
      </c>
      <c r="I87" s="13">
        <v>289</v>
      </c>
      <c r="J87" s="13">
        <v>227967</v>
      </c>
      <c r="K87" s="13">
        <v>229935</v>
      </c>
      <c r="L87" s="13">
        <v>230952</v>
      </c>
      <c r="M87" s="13">
        <v>0.1</v>
      </c>
      <c r="N87" s="13">
        <v>2.54</v>
      </c>
      <c r="O87" s="13">
        <v>166603</v>
      </c>
      <c r="P87" s="13">
        <v>164164</v>
      </c>
      <c r="Q87" s="13">
        <v>-0.2</v>
      </c>
      <c r="R87" s="13">
        <v>89.6</v>
      </c>
      <c r="S87" s="13">
        <v>88.4</v>
      </c>
      <c r="T87" s="13">
        <v>9.4</v>
      </c>
      <c r="U87" s="13">
        <v>10.3</v>
      </c>
      <c r="V87" s="13">
        <v>0.4</v>
      </c>
      <c r="W87" s="13">
        <v>0.5</v>
      </c>
      <c r="X87" s="13">
        <v>1.3</v>
      </c>
      <c r="Y87" s="13">
        <v>1.7</v>
      </c>
      <c r="Z87" s="13">
        <v>6.1</v>
      </c>
      <c r="AA87" s="13">
        <v>6.6</v>
      </c>
      <c r="AB87" s="13">
        <v>7</v>
      </c>
      <c r="AC87" s="13">
        <v>7.2</v>
      </c>
      <c r="AD87" s="13">
        <v>5.7</v>
      </c>
      <c r="AE87" s="13">
        <v>28.5</v>
      </c>
      <c r="AF87" s="13">
        <v>22.7</v>
      </c>
      <c r="AG87" s="13">
        <v>14.6</v>
      </c>
      <c r="AH87" s="13">
        <v>1.6</v>
      </c>
      <c r="AI87" s="13">
        <v>75.900000000000006</v>
      </c>
      <c r="AJ87" s="13">
        <v>35.799999999999997</v>
      </c>
      <c r="AK87" s="13">
        <v>38.200000000000003</v>
      </c>
      <c r="AL87" s="13">
        <v>92.2</v>
      </c>
      <c r="AM87" s="13">
        <v>13802</v>
      </c>
      <c r="AN87" s="13">
        <v>229927</v>
      </c>
      <c r="AO87" s="13">
        <v>24.2</v>
      </c>
      <c r="AP87" s="13">
        <v>18.3</v>
      </c>
      <c r="AQ87" s="13">
        <v>35.799999999999997</v>
      </c>
      <c r="AR87" s="13">
        <v>18.899999999999999</v>
      </c>
      <c r="AS87" s="13">
        <v>2</v>
      </c>
      <c r="AT87" s="13">
        <v>0.8</v>
      </c>
      <c r="AU87" s="13">
        <v>29397</v>
      </c>
      <c r="AV87" s="13">
        <v>32521</v>
      </c>
      <c r="AW87" s="13">
        <v>285</v>
      </c>
      <c r="AX87" s="13">
        <v>27605</v>
      </c>
      <c r="AY87" s="13">
        <v>23438</v>
      </c>
      <c r="AZ87" s="13">
        <v>32551</v>
      </c>
      <c r="BA87" s="13">
        <v>37487</v>
      </c>
      <c r="BB87" s="13">
        <v>30619</v>
      </c>
      <c r="BC87" s="13">
        <v>18185</v>
      </c>
      <c r="BD87" s="13">
        <v>97</v>
      </c>
      <c r="BE87" s="13">
        <v>88</v>
      </c>
      <c r="BF87" s="13">
        <v>96</v>
      </c>
      <c r="BG87" s="13">
        <v>91</v>
      </c>
      <c r="BH87" s="13">
        <v>103</v>
      </c>
      <c r="BI87" s="13">
        <v>99</v>
      </c>
      <c r="BJ87" s="13">
        <v>101</v>
      </c>
      <c r="BK87" s="13">
        <v>99</v>
      </c>
      <c r="BL87" s="13">
        <v>94</v>
      </c>
      <c r="BM87" s="13">
        <v>95</v>
      </c>
      <c r="BN87" s="13">
        <v>93</v>
      </c>
      <c r="BO87" s="13">
        <v>95</v>
      </c>
      <c r="BP87" s="13">
        <v>97</v>
      </c>
      <c r="BQ87" s="13">
        <v>98</v>
      </c>
      <c r="BR87" s="13">
        <v>100</v>
      </c>
      <c r="BS87" s="13">
        <v>100</v>
      </c>
      <c r="BT87" s="13">
        <v>93</v>
      </c>
      <c r="BU87" s="13">
        <v>95</v>
      </c>
      <c r="BV87" s="13">
        <v>100</v>
      </c>
      <c r="BW87" s="13">
        <v>97</v>
      </c>
      <c r="BX87" s="328">
        <f t="shared" si="10"/>
        <v>169103321</v>
      </c>
      <c r="BY87" s="328">
        <f t="shared" si="11"/>
        <v>63674743</v>
      </c>
      <c r="BZ87" s="329">
        <f t="shared" si="8"/>
        <v>0.74605580593425136</v>
      </c>
      <c r="CA87" s="329">
        <f t="shared" si="9"/>
        <v>0.74601443329058703</v>
      </c>
    </row>
    <row r="88" spans="1:79" x14ac:dyDescent="0.25">
      <c r="A88" s="13">
        <v>9160</v>
      </c>
      <c r="B88" s="13">
        <v>87</v>
      </c>
      <c r="C88" s="13" t="s">
        <v>606</v>
      </c>
      <c r="D88" s="13">
        <v>458545</v>
      </c>
      <c r="E88" s="13">
        <v>513293</v>
      </c>
      <c r="F88" s="13">
        <v>561204</v>
      </c>
      <c r="G88" s="13">
        <v>589251</v>
      </c>
      <c r="H88" s="13">
        <v>1.1000000000000001</v>
      </c>
      <c r="I88" s="13">
        <v>147</v>
      </c>
      <c r="J88" s="13">
        <v>188886</v>
      </c>
      <c r="K88" s="13">
        <v>213524</v>
      </c>
      <c r="L88" s="13">
        <v>228958</v>
      </c>
      <c r="M88" s="13">
        <v>1.5</v>
      </c>
      <c r="N88" s="13">
        <v>2.5499999999999998</v>
      </c>
      <c r="O88" s="13">
        <v>133775</v>
      </c>
      <c r="P88" s="13">
        <v>147702</v>
      </c>
      <c r="Q88" s="13">
        <v>1.2</v>
      </c>
      <c r="R88" s="13">
        <v>82.4</v>
      </c>
      <c r="S88" s="13">
        <v>79.099999999999994</v>
      </c>
      <c r="T88" s="13">
        <v>14.8</v>
      </c>
      <c r="U88" s="13">
        <v>16.899999999999999</v>
      </c>
      <c r="V88" s="13">
        <v>1.4</v>
      </c>
      <c r="W88" s="13">
        <v>2.1</v>
      </c>
      <c r="X88" s="13">
        <v>2.4</v>
      </c>
      <c r="Y88" s="13">
        <v>3.6</v>
      </c>
      <c r="Z88" s="13">
        <v>6.7</v>
      </c>
      <c r="AA88" s="13">
        <v>7</v>
      </c>
      <c r="AB88" s="13">
        <v>6.6</v>
      </c>
      <c r="AC88" s="13">
        <v>6.8</v>
      </c>
      <c r="AD88" s="13">
        <v>6.6</v>
      </c>
      <c r="AE88" s="13">
        <v>33.799999999999997</v>
      </c>
      <c r="AF88" s="13">
        <v>20.8</v>
      </c>
      <c r="AG88" s="13">
        <v>10.6</v>
      </c>
      <c r="AH88" s="13">
        <v>1.1000000000000001</v>
      </c>
      <c r="AI88" s="13">
        <v>76.2</v>
      </c>
      <c r="AJ88" s="13">
        <v>32.5</v>
      </c>
      <c r="AK88" s="13">
        <v>35</v>
      </c>
      <c r="AL88" s="13">
        <v>95.6</v>
      </c>
      <c r="AM88" s="13">
        <v>22858</v>
      </c>
      <c r="AN88" s="13">
        <v>213524</v>
      </c>
      <c r="AO88" s="13">
        <v>9.5</v>
      </c>
      <c r="AP88" s="13">
        <v>9.1</v>
      </c>
      <c r="AQ88" s="13">
        <v>32</v>
      </c>
      <c r="AR88" s="13">
        <v>36.9</v>
      </c>
      <c r="AS88" s="13">
        <v>9.1</v>
      </c>
      <c r="AT88" s="13">
        <v>3.4</v>
      </c>
      <c r="AU88" s="13">
        <v>49429</v>
      </c>
      <c r="AV88" s="13">
        <v>56828</v>
      </c>
      <c r="AW88" s="13">
        <v>20</v>
      </c>
      <c r="AX88" s="13">
        <v>43481</v>
      </c>
      <c r="AY88" s="13">
        <v>38036</v>
      </c>
      <c r="AZ88" s="13">
        <v>47779</v>
      </c>
      <c r="BA88" s="13">
        <v>55392</v>
      </c>
      <c r="BB88" s="13">
        <v>48461</v>
      </c>
      <c r="BC88" s="13">
        <v>30117</v>
      </c>
      <c r="BD88" s="13">
        <v>100</v>
      </c>
      <c r="BE88" s="13">
        <v>105</v>
      </c>
      <c r="BF88" s="13">
        <v>104</v>
      </c>
      <c r="BG88" s="13">
        <v>102</v>
      </c>
      <c r="BH88" s="13">
        <v>106</v>
      </c>
      <c r="BI88" s="13">
        <v>106</v>
      </c>
      <c r="BJ88" s="13">
        <v>102</v>
      </c>
      <c r="BK88" s="13">
        <v>101</v>
      </c>
      <c r="BL88" s="13">
        <v>101</v>
      </c>
      <c r="BM88" s="13">
        <v>104</v>
      </c>
      <c r="BN88" s="13">
        <v>105</v>
      </c>
      <c r="BO88" s="13">
        <v>102</v>
      </c>
      <c r="BP88" s="13">
        <v>103</v>
      </c>
      <c r="BQ88" s="13">
        <v>103</v>
      </c>
      <c r="BR88" s="13">
        <v>99</v>
      </c>
      <c r="BS88" s="13">
        <v>100</v>
      </c>
      <c r="BT88" s="13">
        <v>103</v>
      </c>
      <c r="BU88" s="13">
        <v>103</v>
      </c>
      <c r="BV88" s="13">
        <v>100</v>
      </c>
      <c r="BW88" s="13">
        <v>102</v>
      </c>
      <c r="BX88" s="328">
        <f t="shared" si="10"/>
        <v>169692572</v>
      </c>
      <c r="BY88" s="328">
        <f t="shared" si="11"/>
        <v>63903701</v>
      </c>
      <c r="BZ88" s="329">
        <f t="shared" si="8"/>
        <v>0.74865548361711931</v>
      </c>
      <c r="CA88" s="329">
        <f t="shared" si="9"/>
        <v>0.74869690933320487</v>
      </c>
    </row>
    <row r="89" spans="1:79" x14ac:dyDescent="0.25">
      <c r="A89" s="13">
        <v>760</v>
      </c>
      <c r="B89" s="13">
        <v>88</v>
      </c>
      <c r="C89" s="13" t="s">
        <v>607</v>
      </c>
      <c r="D89" s="13">
        <v>494151</v>
      </c>
      <c r="E89" s="13">
        <v>528264</v>
      </c>
      <c r="F89" s="13">
        <v>574714</v>
      </c>
      <c r="G89" s="13">
        <v>602733</v>
      </c>
      <c r="H89" s="13">
        <v>1</v>
      </c>
      <c r="I89" s="13">
        <v>158</v>
      </c>
      <c r="J89" s="13">
        <v>188377</v>
      </c>
      <c r="K89" s="13">
        <v>210112</v>
      </c>
      <c r="L89" s="13">
        <v>223859</v>
      </c>
      <c r="M89" s="13">
        <v>1.3</v>
      </c>
      <c r="N89" s="13">
        <v>2.67</v>
      </c>
      <c r="O89" s="13">
        <v>135962</v>
      </c>
      <c r="P89" s="13">
        <v>149806</v>
      </c>
      <c r="Q89" s="13">
        <v>1.2</v>
      </c>
      <c r="R89" s="13">
        <v>68.8</v>
      </c>
      <c r="S89" s="13">
        <v>66.8</v>
      </c>
      <c r="T89" s="13">
        <v>29.6</v>
      </c>
      <c r="U89" s="13">
        <v>31.3</v>
      </c>
      <c r="V89" s="13">
        <v>1.1000000000000001</v>
      </c>
      <c r="W89" s="13">
        <v>1.4</v>
      </c>
      <c r="X89" s="13">
        <v>1.4</v>
      </c>
      <c r="Y89" s="13">
        <v>1.8</v>
      </c>
      <c r="Z89" s="13">
        <v>7.2</v>
      </c>
      <c r="AA89" s="13">
        <v>7.8</v>
      </c>
      <c r="AB89" s="13">
        <v>8</v>
      </c>
      <c r="AC89" s="13">
        <v>8.6999999999999993</v>
      </c>
      <c r="AD89" s="13">
        <v>8.1999999999999993</v>
      </c>
      <c r="AE89" s="13">
        <v>30.9</v>
      </c>
      <c r="AF89" s="13">
        <v>19.899999999999999</v>
      </c>
      <c r="AG89" s="13">
        <v>8.3000000000000007</v>
      </c>
      <c r="AH89" s="13">
        <v>0.9</v>
      </c>
      <c r="AI89" s="13">
        <v>72.3</v>
      </c>
      <c r="AJ89" s="13">
        <v>29.9</v>
      </c>
      <c r="AK89" s="13">
        <v>31.9</v>
      </c>
      <c r="AL89" s="13">
        <v>93.7</v>
      </c>
      <c r="AM89" s="13">
        <v>19235</v>
      </c>
      <c r="AN89" s="13">
        <v>210112</v>
      </c>
      <c r="AO89" s="13">
        <v>16.5</v>
      </c>
      <c r="AP89" s="13">
        <v>11.8</v>
      </c>
      <c r="AQ89" s="13">
        <v>31.5</v>
      </c>
      <c r="AR89" s="13">
        <v>29.5</v>
      </c>
      <c r="AS89" s="13">
        <v>7.4</v>
      </c>
      <c r="AT89" s="13">
        <v>3.3</v>
      </c>
      <c r="AU89" s="13">
        <v>41524</v>
      </c>
      <c r="AV89" s="13">
        <v>50823</v>
      </c>
      <c r="AW89" s="13">
        <v>73</v>
      </c>
      <c r="AX89" s="13">
        <v>41203</v>
      </c>
      <c r="AY89" s="13">
        <v>32549</v>
      </c>
      <c r="AZ89" s="13">
        <v>47305</v>
      </c>
      <c r="BA89" s="13">
        <v>52146</v>
      </c>
      <c r="BB89" s="13">
        <v>43864</v>
      </c>
      <c r="BC89" s="13">
        <v>28248</v>
      </c>
      <c r="BD89" s="13">
        <v>99</v>
      </c>
      <c r="BE89" s="13">
        <v>96</v>
      </c>
      <c r="BF89" s="13">
        <v>95</v>
      </c>
      <c r="BG89" s="13">
        <v>96</v>
      </c>
      <c r="BH89" s="13">
        <v>101</v>
      </c>
      <c r="BI89" s="13">
        <v>99</v>
      </c>
      <c r="BJ89" s="13">
        <v>104</v>
      </c>
      <c r="BK89" s="13">
        <v>100</v>
      </c>
      <c r="BL89" s="13">
        <v>99</v>
      </c>
      <c r="BM89" s="13">
        <v>99</v>
      </c>
      <c r="BN89" s="13">
        <v>97</v>
      </c>
      <c r="BO89" s="13">
        <v>100</v>
      </c>
      <c r="BP89" s="13">
        <v>96</v>
      </c>
      <c r="BQ89" s="13">
        <v>101</v>
      </c>
      <c r="BR89" s="13">
        <v>91</v>
      </c>
      <c r="BS89" s="13">
        <v>100</v>
      </c>
      <c r="BT89" s="13">
        <v>98</v>
      </c>
      <c r="BU89" s="13">
        <v>99</v>
      </c>
      <c r="BV89" s="13">
        <v>97</v>
      </c>
      <c r="BW89" s="13">
        <v>100</v>
      </c>
      <c r="BX89" s="328">
        <f t="shared" si="10"/>
        <v>170295305</v>
      </c>
      <c r="BY89" s="328">
        <f t="shared" si="11"/>
        <v>64127560</v>
      </c>
      <c r="BZ89" s="329">
        <f t="shared" si="8"/>
        <v>0.75131464164795525</v>
      </c>
      <c r="CA89" s="329">
        <f t="shared" si="9"/>
        <v>0.75131964540018825</v>
      </c>
    </row>
    <row r="90" spans="1:79" x14ac:dyDescent="0.25">
      <c r="A90" s="13">
        <v>680</v>
      </c>
      <c r="B90" s="13">
        <v>89</v>
      </c>
      <c r="C90" s="13" t="s">
        <v>608</v>
      </c>
      <c r="D90" s="13">
        <v>403089</v>
      </c>
      <c r="E90" s="13">
        <v>543477</v>
      </c>
      <c r="F90" s="13">
        <v>634123</v>
      </c>
      <c r="G90" s="13">
        <v>680820</v>
      </c>
      <c r="H90" s="13">
        <v>1.9</v>
      </c>
      <c r="I90" s="13">
        <v>58</v>
      </c>
      <c r="J90" s="13">
        <v>181480</v>
      </c>
      <c r="K90" s="13">
        <v>207925</v>
      </c>
      <c r="L90" s="13">
        <v>223576</v>
      </c>
      <c r="M90" s="13">
        <v>1.7</v>
      </c>
      <c r="N90" s="13">
        <v>2.93</v>
      </c>
      <c r="O90" s="13">
        <v>135925</v>
      </c>
      <c r="P90" s="13">
        <v>153378</v>
      </c>
      <c r="Q90" s="13">
        <v>1.5</v>
      </c>
      <c r="R90" s="13">
        <v>69.599999999999994</v>
      </c>
      <c r="S90" s="13">
        <v>62.8</v>
      </c>
      <c r="T90" s="13">
        <v>5.5</v>
      </c>
      <c r="U90" s="13">
        <v>6</v>
      </c>
      <c r="V90" s="13">
        <v>3</v>
      </c>
      <c r="W90" s="13">
        <v>3.8</v>
      </c>
      <c r="X90" s="13">
        <v>28</v>
      </c>
      <c r="Y90" s="13">
        <v>35.799999999999997</v>
      </c>
      <c r="Z90" s="13">
        <v>10</v>
      </c>
      <c r="AA90" s="13">
        <v>9.5</v>
      </c>
      <c r="AB90" s="13">
        <v>8.5</v>
      </c>
      <c r="AC90" s="13">
        <v>7.6</v>
      </c>
      <c r="AD90" s="13">
        <v>6.2</v>
      </c>
      <c r="AE90" s="13">
        <v>31</v>
      </c>
      <c r="AF90" s="13">
        <v>17.100000000000001</v>
      </c>
      <c r="AG90" s="13">
        <v>9.1</v>
      </c>
      <c r="AH90" s="13">
        <v>1</v>
      </c>
      <c r="AI90" s="13">
        <v>67.400000000000006</v>
      </c>
      <c r="AJ90" s="13">
        <v>29.7</v>
      </c>
      <c r="AK90" s="13">
        <v>30.7</v>
      </c>
      <c r="AL90" s="13">
        <v>104.2</v>
      </c>
      <c r="AM90" s="13">
        <v>14556</v>
      </c>
      <c r="AN90" s="13">
        <v>207912</v>
      </c>
      <c r="AO90" s="13">
        <v>19.399999999999999</v>
      </c>
      <c r="AP90" s="13">
        <v>15.9</v>
      </c>
      <c r="AQ90" s="13">
        <v>34.299999999999997</v>
      </c>
      <c r="AR90" s="13">
        <v>24.5</v>
      </c>
      <c r="AS90" s="13">
        <v>4.2</v>
      </c>
      <c r="AT90" s="13">
        <v>1.8</v>
      </c>
      <c r="AU90" s="13">
        <v>34736</v>
      </c>
      <c r="AV90" s="13">
        <v>39820</v>
      </c>
      <c r="AW90" s="13">
        <v>190</v>
      </c>
      <c r="AX90" s="13">
        <v>32944</v>
      </c>
      <c r="AY90" s="13">
        <v>29520</v>
      </c>
      <c r="AZ90" s="13">
        <v>36903</v>
      </c>
      <c r="BA90" s="13">
        <v>42052</v>
      </c>
      <c r="BB90" s="13">
        <v>36402</v>
      </c>
      <c r="BC90" s="13">
        <v>22228</v>
      </c>
      <c r="BD90" s="13">
        <v>99</v>
      </c>
      <c r="BE90" s="13">
        <v>97</v>
      </c>
      <c r="BF90" s="13">
        <v>93</v>
      </c>
      <c r="BG90" s="13">
        <v>93</v>
      </c>
      <c r="BH90" s="13">
        <v>98</v>
      </c>
      <c r="BI90" s="13">
        <v>97</v>
      </c>
      <c r="BJ90" s="13">
        <v>98</v>
      </c>
      <c r="BK90" s="13">
        <v>99</v>
      </c>
      <c r="BL90" s="13">
        <v>99</v>
      </c>
      <c r="BM90" s="13">
        <v>97</v>
      </c>
      <c r="BN90" s="13">
        <v>97</v>
      </c>
      <c r="BO90" s="13">
        <v>94</v>
      </c>
      <c r="BP90" s="13">
        <v>93</v>
      </c>
      <c r="BQ90" s="13">
        <v>95</v>
      </c>
      <c r="BR90" s="13">
        <v>92</v>
      </c>
      <c r="BS90" s="13">
        <v>96</v>
      </c>
      <c r="BT90" s="13">
        <v>94</v>
      </c>
      <c r="BU90" s="13">
        <v>96</v>
      </c>
      <c r="BV90" s="13">
        <v>98</v>
      </c>
      <c r="BW90" s="13">
        <v>96</v>
      </c>
      <c r="BX90" s="328">
        <f t="shared" si="10"/>
        <v>170976125</v>
      </c>
      <c r="BY90" s="328">
        <f t="shared" si="11"/>
        <v>64351136</v>
      </c>
      <c r="BZ90" s="329">
        <f t="shared" si="8"/>
        <v>0.75431830657181653</v>
      </c>
      <c r="CA90" s="329">
        <f t="shared" si="9"/>
        <v>0.75393906583408576</v>
      </c>
    </row>
    <row r="91" spans="1:79" x14ac:dyDescent="0.25">
      <c r="A91" s="13">
        <v>8003</v>
      </c>
      <c r="B91" s="13">
        <v>90</v>
      </c>
      <c r="C91" s="13" t="s">
        <v>609</v>
      </c>
      <c r="D91" s="13">
        <v>581831</v>
      </c>
      <c r="E91" s="13">
        <v>602878</v>
      </c>
      <c r="F91" s="13">
        <v>591531</v>
      </c>
      <c r="G91" s="13">
        <v>584035</v>
      </c>
      <c r="H91" s="13">
        <v>-0.2</v>
      </c>
      <c r="I91" s="13">
        <v>295</v>
      </c>
      <c r="J91" s="13">
        <v>219958</v>
      </c>
      <c r="K91" s="13">
        <v>221984</v>
      </c>
      <c r="L91" s="13">
        <v>222972</v>
      </c>
      <c r="M91" s="13">
        <v>0.1</v>
      </c>
      <c r="N91" s="13">
        <v>2.5099999999999998</v>
      </c>
      <c r="O91" s="13">
        <v>151080</v>
      </c>
      <c r="P91" s="13">
        <v>148019</v>
      </c>
      <c r="Q91" s="13">
        <v>-0.2</v>
      </c>
      <c r="R91" s="13">
        <v>87.1</v>
      </c>
      <c r="S91" s="13">
        <v>83.9</v>
      </c>
      <c r="T91" s="13">
        <v>6.1</v>
      </c>
      <c r="U91" s="13">
        <v>7.3</v>
      </c>
      <c r="V91" s="13">
        <v>1.4</v>
      </c>
      <c r="W91" s="13">
        <v>2.1</v>
      </c>
      <c r="X91" s="13">
        <v>8.1999999999999993</v>
      </c>
      <c r="Y91" s="13">
        <v>10.4</v>
      </c>
      <c r="Z91" s="13">
        <v>6.4</v>
      </c>
      <c r="AA91" s="13">
        <v>7.1</v>
      </c>
      <c r="AB91" s="13">
        <v>6.7</v>
      </c>
      <c r="AC91" s="13">
        <v>7.5</v>
      </c>
      <c r="AD91" s="13">
        <v>7.2</v>
      </c>
      <c r="AE91" s="13">
        <v>30.9</v>
      </c>
      <c r="AF91" s="13">
        <v>19.600000000000001</v>
      </c>
      <c r="AG91" s="13">
        <v>12.7</v>
      </c>
      <c r="AH91" s="13">
        <v>1.8</v>
      </c>
      <c r="AI91" s="13">
        <v>76.5</v>
      </c>
      <c r="AJ91" s="13">
        <v>32.700000000000003</v>
      </c>
      <c r="AK91" s="13">
        <v>35.200000000000003</v>
      </c>
      <c r="AL91" s="13">
        <v>91.5</v>
      </c>
      <c r="AM91" s="13">
        <v>16039</v>
      </c>
      <c r="AN91" s="13">
        <v>221968</v>
      </c>
      <c r="AO91" s="13">
        <v>21.1</v>
      </c>
      <c r="AP91" s="13">
        <v>14.1</v>
      </c>
      <c r="AQ91" s="13">
        <v>34.9</v>
      </c>
      <c r="AR91" s="13">
        <v>24.9</v>
      </c>
      <c r="AS91" s="13">
        <v>3.6</v>
      </c>
      <c r="AT91" s="13">
        <v>1.4</v>
      </c>
      <c r="AU91" s="13">
        <v>35023</v>
      </c>
      <c r="AV91" s="13">
        <v>37722</v>
      </c>
      <c r="AW91" s="13">
        <v>185</v>
      </c>
      <c r="AX91" s="13">
        <v>30062</v>
      </c>
      <c r="AY91" s="13">
        <v>25929</v>
      </c>
      <c r="AZ91" s="13">
        <v>34627</v>
      </c>
      <c r="BA91" s="13">
        <v>40750</v>
      </c>
      <c r="BB91" s="13">
        <v>36622</v>
      </c>
      <c r="BC91" s="13">
        <v>18445</v>
      </c>
      <c r="BD91" s="13">
        <v>99</v>
      </c>
      <c r="BE91" s="13">
        <v>98</v>
      </c>
      <c r="BF91" s="13">
        <v>104</v>
      </c>
      <c r="BG91" s="13">
        <v>99</v>
      </c>
      <c r="BH91" s="13">
        <v>96</v>
      </c>
      <c r="BI91" s="13">
        <v>95</v>
      </c>
      <c r="BJ91" s="13">
        <v>91</v>
      </c>
      <c r="BK91" s="13">
        <v>97</v>
      </c>
      <c r="BL91" s="13">
        <v>95</v>
      </c>
      <c r="BM91" s="13">
        <v>100</v>
      </c>
      <c r="BN91" s="13">
        <v>99</v>
      </c>
      <c r="BO91" s="13">
        <v>99</v>
      </c>
      <c r="BP91" s="13">
        <v>100</v>
      </c>
      <c r="BQ91" s="13">
        <v>101</v>
      </c>
      <c r="BR91" s="13">
        <v>105</v>
      </c>
      <c r="BS91" s="13">
        <v>98</v>
      </c>
      <c r="BT91" s="13">
        <v>102</v>
      </c>
      <c r="BU91" s="13">
        <v>98</v>
      </c>
      <c r="BV91" s="13">
        <v>100</v>
      </c>
      <c r="BW91" s="13">
        <v>99</v>
      </c>
      <c r="BX91" s="328">
        <f t="shared" si="10"/>
        <v>171560160</v>
      </c>
      <c r="BY91" s="328">
        <f t="shared" si="11"/>
        <v>64574108</v>
      </c>
      <c r="BZ91" s="329">
        <f t="shared" si="8"/>
        <v>0.75689497212777457</v>
      </c>
      <c r="CA91" s="329">
        <f t="shared" si="9"/>
        <v>0.75655140979312885</v>
      </c>
    </row>
    <row r="92" spans="1:79" x14ac:dyDescent="0.25">
      <c r="A92" s="13">
        <v>4400</v>
      </c>
      <c r="B92" s="13">
        <v>91</v>
      </c>
      <c r="C92" s="13" t="s">
        <v>610</v>
      </c>
      <c r="D92" s="13">
        <v>474463</v>
      </c>
      <c r="E92" s="13">
        <v>513117</v>
      </c>
      <c r="F92" s="13">
        <v>558313</v>
      </c>
      <c r="G92" s="13">
        <v>585680</v>
      </c>
      <c r="H92" s="13">
        <v>1</v>
      </c>
      <c r="I92" s="13">
        <v>157</v>
      </c>
      <c r="J92" s="13">
        <v>195437</v>
      </c>
      <c r="K92" s="13">
        <v>212384</v>
      </c>
      <c r="L92" s="13">
        <v>222751</v>
      </c>
      <c r="M92" s="13">
        <v>1</v>
      </c>
      <c r="N92" s="13">
        <v>2.57</v>
      </c>
      <c r="O92" s="13">
        <v>138788</v>
      </c>
      <c r="P92" s="13">
        <v>148399</v>
      </c>
      <c r="Q92" s="13">
        <v>0.8</v>
      </c>
      <c r="R92" s="13">
        <v>78.900000000000006</v>
      </c>
      <c r="S92" s="13">
        <v>77.3</v>
      </c>
      <c r="T92" s="13">
        <v>19.899999999999999</v>
      </c>
      <c r="U92" s="13">
        <v>21</v>
      </c>
      <c r="V92" s="13">
        <v>0.7</v>
      </c>
      <c r="W92" s="13">
        <v>0.8</v>
      </c>
      <c r="X92" s="13">
        <v>0.8</v>
      </c>
      <c r="Y92" s="13">
        <v>2</v>
      </c>
      <c r="Z92" s="13">
        <v>7.2</v>
      </c>
      <c r="AA92" s="13">
        <v>7.3</v>
      </c>
      <c r="AB92" s="13">
        <v>7.3</v>
      </c>
      <c r="AC92" s="13">
        <v>7.7</v>
      </c>
      <c r="AD92" s="13">
        <v>7.4</v>
      </c>
      <c r="AE92" s="13">
        <v>31.5</v>
      </c>
      <c r="AF92" s="13">
        <v>20.7</v>
      </c>
      <c r="AG92" s="13">
        <v>9.6</v>
      </c>
      <c r="AH92" s="13">
        <v>1.3</v>
      </c>
      <c r="AI92" s="13">
        <v>73.7</v>
      </c>
      <c r="AJ92" s="13">
        <v>32.200000000000003</v>
      </c>
      <c r="AK92" s="13">
        <v>33.700000000000003</v>
      </c>
      <c r="AL92" s="13">
        <v>92.9</v>
      </c>
      <c r="AM92" s="13">
        <v>16809</v>
      </c>
      <c r="AN92" s="13">
        <v>212365</v>
      </c>
      <c r="AO92" s="13">
        <v>17.100000000000001</v>
      </c>
      <c r="AP92" s="13">
        <v>15.9</v>
      </c>
      <c r="AQ92" s="13">
        <v>35.700000000000003</v>
      </c>
      <c r="AR92" s="13">
        <v>25.3</v>
      </c>
      <c r="AS92" s="13">
        <v>4.5</v>
      </c>
      <c r="AT92" s="13">
        <v>1.6</v>
      </c>
      <c r="AU92" s="13">
        <v>35699</v>
      </c>
      <c r="AV92" s="13">
        <v>41628</v>
      </c>
      <c r="AW92" s="13">
        <v>167</v>
      </c>
      <c r="AX92" s="13">
        <v>33884</v>
      </c>
      <c r="AY92" s="13">
        <v>28585</v>
      </c>
      <c r="AZ92" s="13">
        <v>39560</v>
      </c>
      <c r="BA92" s="13">
        <v>42872</v>
      </c>
      <c r="BB92" s="13">
        <v>36583</v>
      </c>
      <c r="BC92" s="13">
        <v>22852</v>
      </c>
      <c r="BD92" s="13">
        <v>98</v>
      </c>
      <c r="BE92" s="13">
        <v>94</v>
      </c>
      <c r="BF92" s="13">
        <v>95</v>
      </c>
      <c r="BG92" s="13">
        <v>94</v>
      </c>
      <c r="BH92" s="13">
        <v>101</v>
      </c>
      <c r="BI92" s="13">
        <v>100</v>
      </c>
      <c r="BJ92" s="13">
        <v>105</v>
      </c>
      <c r="BK92" s="13">
        <v>99</v>
      </c>
      <c r="BL92" s="13">
        <v>98</v>
      </c>
      <c r="BM92" s="13">
        <v>97</v>
      </c>
      <c r="BN92" s="13">
        <v>96</v>
      </c>
      <c r="BO92" s="13">
        <v>99</v>
      </c>
      <c r="BP92" s="13">
        <v>95</v>
      </c>
      <c r="BQ92" s="13">
        <v>100</v>
      </c>
      <c r="BR92" s="13">
        <v>90</v>
      </c>
      <c r="BS92" s="13">
        <v>99</v>
      </c>
      <c r="BT92" s="13">
        <v>95</v>
      </c>
      <c r="BU92" s="13">
        <v>98</v>
      </c>
      <c r="BV92" s="13">
        <v>99</v>
      </c>
      <c r="BW92" s="13">
        <v>100</v>
      </c>
      <c r="BX92" s="328">
        <f t="shared" si="10"/>
        <v>172145840</v>
      </c>
      <c r="BY92" s="328">
        <f t="shared" si="11"/>
        <v>64796859</v>
      </c>
      <c r="BZ92" s="329">
        <f t="shared" si="8"/>
        <v>0.75947889515090417</v>
      </c>
      <c r="CA92" s="329">
        <f t="shared" si="9"/>
        <v>0.75916116451220028</v>
      </c>
    </row>
    <row r="93" spans="1:79" x14ac:dyDescent="0.25">
      <c r="A93" s="13">
        <v>9040</v>
      </c>
      <c r="B93" s="13">
        <v>92</v>
      </c>
      <c r="C93" s="13" t="s">
        <v>611</v>
      </c>
      <c r="D93" s="13">
        <v>442401</v>
      </c>
      <c r="E93" s="13">
        <v>485270</v>
      </c>
      <c r="F93" s="13">
        <v>537643</v>
      </c>
      <c r="G93" s="13">
        <v>568817</v>
      </c>
      <c r="H93" s="13">
        <v>1.3</v>
      </c>
      <c r="I93" s="13">
        <v>112</v>
      </c>
      <c r="J93" s="13">
        <v>186640</v>
      </c>
      <c r="K93" s="13">
        <v>207118</v>
      </c>
      <c r="L93" s="13">
        <v>219698</v>
      </c>
      <c r="M93" s="13">
        <v>1.3</v>
      </c>
      <c r="N93" s="13">
        <v>2.5499999999999998</v>
      </c>
      <c r="O93" s="13">
        <v>129919</v>
      </c>
      <c r="P93" s="13">
        <v>141238</v>
      </c>
      <c r="Q93" s="13">
        <v>1</v>
      </c>
      <c r="R93" s="13">
        <v>87.3</v>
      </c>
      <c r="S93" s="13">
        <v>85.4</v>
      </c>
      <c r="T93" s="13">
        <v>7.6</v>
      </c>
      <c r="U93" s="13">
        <v>8.1</v>
      </c>
      <c r="V93" s="13">
        <v>1.9</v>
      </c>
      <c r="W93" s="13">
        <v>2.4</v>
      </c>
      <c r="X93" s="13">
        <v>4.0999999999999996</v>
      </c>
      <c r="Y93" s="13">
        <v>6.3</v>
      </c>
      <c r="Z93" s="13">
        <v>7.5</v>
      </c>
      <c r="AA93" s="13">
        <v>7.6</v>
      </c>
      <c r="AB93" s="13">
        <v>7.8</v>
      </c>
      <c r="AC93" s="13">
        <v>7.5</v>
      </c>
      <c r="AD93" s="13">
        <v>6.2</v>
      </c>
      <c r="AE93" s="13">
        <v>31.4</v>
      </c>
      <c r="AF93" s="13">
        <v>20.100000000000001</v>
      </c>
      <c r="AG93" s="13">
        <v>10.3</v>
      </c>
      <c r="AH93" s="13">
        <v>1.5</v>
      </c>
      <c r="AI93" s="13">
        <v>72.599999999999994</v>
      </c>
      <c r="AJ93" s="13">
        <v>32.1</v>
      </c>
      <c r="AK93" s="13">
        <v>34.200000000000003</v>
      </c>
      <c r="AL93" s="13">
        <v>96.8</v>
      </c>
      <c r="AM93" s="13">
        <v>16948</v>
      </c>
      <c r="AN93" s="13">
        <v>207116</v>
      </c>
      <c r="AO93" s="13">
        <v>16.399999999999999</v>
      </c>
      <c r="AP93" s="13">
        <v>15.3</v>
      </c>
      <c r="AQ93" s="13">
        <v>37.1</v>
      </c>
      <c r="AR93" s="13">
        <v>26</v>
      </c>
      <c r="AS93" s="13">
        <v>3.8</v>
      </c>
      <c r="AT93" s="13">
        <v>1.5</v>
      </c>
      <c r="AU93" s="13">
        <v>36223</v>
      </c>
      <c r="AV93" s="13">
        <v>40554</v>
      </c>
      <c r="AW93" s="13">
        <v>152</v>
      </c>
      <c r="AX93" s="13">
        <v>33765</v>
      </c>
      <c r="AY93" s="13">
        <v>28299</v>
      </c>
      <c r="AZ93" s="13">
        <v>37787</v>
      </c>
      <c r="BA93" s="13">
        <v>43302</v>
      </c>
      <c r="BB93" s="13">
        <v>38982</v>
      </c>
      <c r="BC93" s="13">
        <v>23392</v>
      </c>
      <c r="BD93" s="13">
        <v>98</v>
      </c>
      <c r="BE93" s="13">
        <v>98</v>
      </c>
      <c r="BF93" s="13">
        <v>94</v>
      </c>
      <c r="BG93" s="13">
        <v>95</v>
      </c>
      <c r="BH93" s="13">
        <v>100</v>
      </c>
      <c r="BI93" s="13">
        <v>99</v>
      </c>
      <c r="BJ93" s="13">
        <v>101</v>
      </c>
      <c r="BK93" s="13">
        <v>99</v>
      </c>
      <c r="BL93" s="13">
        <v>98</v>
      </c>
      <c r="BM93" s="13">
        <v>99</v>
      </c>
      <c r="BN93" s="13">
        <v>100</v>
      </c>
      <c r="BO93" s="13">
        <v>98</v>
      </c>
      <c r="BP93" s="13">
        <v>100</v>
      </c>
      <c r="BQ93" s="13">
        <v>100</v>
      </c>
      <c r="BR93" s="13">
        <v>101</v>
      </c>
      <c r="BS93" s="13">
        <v>102</v>
      </c>
      <c r="BT93" s="13">
        <v>99</v>
      </c>
      <c r="BU93" s="13">
        <v>99</v>
      </c>
      <c r="BV93" s="13">
        <v>98</v>
      </c>
      <c r="BW93" s="13">
        <v>99</v>
      </c>
      <c r="BX93" s="328">
        <f t="shared" si="10"/>
        <v>172714657</v>
      </c>
      <c r="BY93" s="328">
        <f t="shared" si="11"/>
        <v>65016557</v>
      </c>
      <c r="BZ93" s="329">
        <f t="shared" si="8"/>
        <v>0.76198842141481526</v>
      </c>
      <c r="CA93" s="329">
        <f t="shared" si="9"/>
        <v>0.7617351502284061</v>
      </c>
    </row>
    <row r="94" spans="1:79" x14ac:dyDescent="0.25">
      <c r="A94" s="13">
        <v>5160</v>
      </c>
      <c r="B94" s="13">
        <v>93</v>
      </c>
      <c r="C94" s="13" t="s">
        <v>612</v>
      </c>
      <c r="D94" s="13">
        <v>443536</v>
      </c>
      <c r="E94" s="13">
        <v>476923</v>
      </c>
      <c r="F94" s="13">
        <v>533213</v>
      </c>
      <c r="G94" s="13">
        <v>567519</v>
      </c>
      <c r="H94" s="13">
        <v>1.4</v>
      </c>
      <c r="I94" s="13">
        <v>92</v>
      </c>
      <c r="J94" s="13">
        <v>173943</v>
      </c>
      <c r="K94" s="13">
        <v>200563</v>
      </c>
      <c r="L94" s="13">
        <v>217559</v>
      </c>
      <c r="M94" s="13">
        <v>1.7</v>
      </c>
      <c r="N94" s="13">
        <v>2.62</v>
      </c>
      <c r="O94" s="13">
        <v>128956</v>
      </c>
      <c r="P94" s="13">
        <v>146237</v>
      </c>
      <c r="Q94" s="13">
        <v>1.5</v>
      </c>
      <c r="R94" s="13">
        <v>71.2</v>
      </c>
      <c r="S94" s="13">
        <v>70.400000000000006</v>
      </c>
      <c r="T94" s="13">
        <v>27.4</v>
      </c>
      <c r="U94" s="13">
        <v>28</v>
      </c>
      <c r="V94" s="13">
        <v>0.8</v>
      </c>
      <c r="W94" s="13">
        <v>0.9</v>
      </c>
      <c r="X94" s="13">
        <v>0.9</v>
      </c>
      <c r="Y94" s="13">
        <v>1.4</v>
      </c>
      <c r="Z94" s="13">
        <v>7.3</v>
      </c>
      <c r="AA94" s="13">
        <v>7.3</v>
      </c>
      <c r="AB94" s="13">
        <v>7.3</v>
      </c>
      <c r="AC94" s="13">
        <v>7.7</v>
      </c>
      <c r="AD94" s="13">
        <v>6.7</v>
      </c>
      <c r="AE94" s="13">
        <v>29.4</v>
      </c>
      <c r="AF94" s="13">
        <v>21.5</v>
      </c>
      <c r="AG94" s="13">
        <v>11.5</v>
      </c>
      <c r="AH94" s="13">
        <v>1.3</v>
      </c>
      <c r="AI94" s="13">
        <v>73.400000000000006</v>
      </c>
      <c r="AJ94" s="13">
        <v>32.6</v>
      </c>
      <c r="AK94" s="13">
        <v>35.1</v>
      </c>
      <c r="AL94" s="13">
        <v>91.6</v>
      </c>
      <c r="AM94" s="13">
        <v>16841</v>
      </c>
      <c r="AN94" s="13">
        <v>200555</v>
      </c>
      <c r="AO94" s="13">
        <v>19.5</v>
      </c>
      <c r="AP94" s="13">
        <v>15.2</v>
      </c>
      <c r="AQ94" s="13">
        <v>33.1</v>
      </c>
      <c r="AR94" s="13">
        <v>25.4</v>
      </c>
      <c r="AS94" s="13">
        <v>5</v>
      </c>
      <c r="AT94" s="13">
        <v>1.9</v>
      </c>
      <c r="AU94" s="13">
        <v>35258</v>
      </c>
      <c r="AV94" s="13">
        <v>42325</v>
      </c>
      <c r="AW94" s="13">
        <v>179</v>
      </c>
      <c r="AX94" s="13">
        <v>34855</v>
      </c>
      <c r="AY94" s="13">
        <v>28822</v>
      </c>
      <c r="AZ94" s="13">
        <v>39324</v>
      </c>
      <c r="BA94" s="13">
        <v>44026</v>
      </c>
      <c r="BB94" s="13">
        <v>37463</v>
      </c>
      <c r="BC94" s="13">
        <v>24940</v>
      </c>
      <c r="BD94" s="13">
        <v>98</v>
      </c>
      <c r="BE94" s="13">
        <v>86</v>
      </c>
      <c r="BF94" s="13">
        <v>92</v>
      </c>
      <c r="BG94" s="13">
        <v>90</v>
      </c>
      <c r="BH94" s="13">
        <v>101</v>
      </c>
      <c r="BI94" s="13">
        <v>98</v>
      </c>
      <c r="BJ94" s="13">
        <v>107</v>
      </c>
      <c r="BK94" s="13">
        <v>99</v>
      </c>
      <c r="BL94" s="13">
        <v>96</v>
      </c>
      <c r="BM94" s="13">
        <v>93</v>
      </c>
      <c r="BN94" s="13">
        <v>91</v>
      </c>
      <c r="BO94" s="13">
        <v>98</v>
      </c>
      <c r="BP94" s="13">
        <v>93</v>
      </c>
      <c r="BQ94" s="13">
        <v>99</v>
      </c>
      <c r="BR94" s="13">
        <v>87</v>
      </c>
      <c r="BS94" s="13">
        <v>99</v>
      </c>
      <c r="BT94" s="13">
        <v>92</v>
      </c>
      <c r="BU94" s="13">
        <v>95</v>
      </c>
      <c r="BV94" s="13">
        <v>99</v>
      </c>
      <c r="BW94" s="13">
        <v>99</v>
      </c>
      <c r="BX94" s="328">
        <f t="shared" si="10"/>
        <v>173282176</v>
      </c>
      <c r="BY94" s="328">
        <f t="shared" si="11"/>
        <v>65234116</v>
      </c>
      <c r="BZ94" s="329">
        <f t="shared" si="8"/>
        <v>0.76449222111800386</v>
      </c>
      <c r="CA94" s="329">
        <f t="shared" si="9"/>
        <v>0.7642840753821718</v>
      </c>
    </row>
    <row r="95" spans="1:79" x14ac:dyDescent="0.25">
      <c r="A95" s="13">
        <v>440</v>
      </c>
      <c r="B95" s="13">
        <v>94</v>
      </c>
      <c r="C95" s="13" t="s">
        <v>613</v>
      </c>
      <c r="D95" s="13">
        <v>454977</v>
      </c>
      <c r="E95" s="13">
        <v>490058</v>
      </c>
      <c r="F95" s="13">
        <v>548226</v>
      </c>
      <c r="G95" s="13">
        <v>583651</v>
      </c>
      <c r="H95" s="13">
        <v>1.4</v>
      </c>
      <c r="I95" s="13">
        <v>91</v>
      </c>
      <c r="J95" s="13">
        <v>175050</v>
      </c>
      <c r="K95" s="13">
        <v>200323</v>
      </c>
      <c r="L95" s="13">
        <v>216025</v>
      </c>
      <c r="M95" s="13">
        <v>1.6</v>
      </c>
      <c r="N95" s="13">
        <v>2.61</v>
      </c>
      <c r="O95" s="13">
        <v>119500</v>
      </c>
      <c r="P95" s="13">
        <v>135011</v>
      </c>
      <c r="Q95" s="13">
        <v>1.5</v>
      </c>
      <c r="R95" s="13">
        <v>89</v>
      </c>
      <c r="S95" s="13">
        <v>87.4</v>
      </c>
      <c r="T95" s="13">
        <v>6.9</v>
      </c>
      <c r="U95" s="13">
        <v>7.4</v>
      </c>
      <c r="V95" s="13">
        <v>2.6</v>
      </c>
      <c r="W95" s="13">
        <v>3.4</v>
      </c>
      <c r="X95" s="13">
        <v>2.5</v>
      </c>
      <c r="Y95" s="13">
        <v>3.2</v>
      </c>
      <c r="Z95" s="13">
        <v>6.3</v>
      </c>
      <c r="AA95" s="13">
        <v>7.1</v>
      </c>
      <c r="AB95" s="13">
        <v>6.9</v>
      </c>
      <c r="AC95" s="13">
        <v>8.1999999999999993</v>
      </c>
      <c r="AD95" s="13">
        <v>9.4</v>
      </c>
      <c r="AE95" s="13">
        <v>32.9</v>
      </c>
      <c r="AF95" s="13">
        <v>20.3</v>
      </c>
      <c r="AG95" s="13">
        <v>7.9</v>
      </c>
      <c r="AH95" s="13">
        <v>1</v>
      </c>
      <c r="AI95" s="13">
        <v>75.8</v>
      </c>
      <c r="AJ95" s="13">
        <v>30.6</v>
      </c>
      <c r="AK95" s="13">
        <v>32.9</v>
      </c>
      <c r="AL95" s="13">
        <v>99.7</v>
      </c>
      <c r="AM95" s="13">
        <v>26150</v>
      </c>
      <c r="AN95" s="13">
        <v>200320</v>
      </c>
      <c r="AO95" s="13">
        <v>8.4</v>
      </c>
      <c r="AP95" s="13">
        <v>7.8</v>
      </c>
      <c r="AQ95" s="13">
        <v>26</v>
      </c>
      <c r="AR95" s="13">
        <v>38.5</v>
      </c>
      <c r="AS95" s="13">
        <v>12.8</v>
      </c>
      <c r="AT95" s="13">
        <v>6.4</v>
      </c>
      <c r="AU95" s="13">
        <v>56687</v>
      </c>
      <c r="AV95" s="13">
        <v>71095</v>
      </c>
      <c r="AW95" s="13">
        <v>5</v>
      </c>
      <c r="AX95" s="13">
        <v>48140</v>
      </c>
      <c r="AY95" s="13">
        <v>37375</v>
      </c>
      <c r="AZ95" s="13">
        <v>51288</v>
      </c>
      <c r="BA95" s="13">
        <v>64017</v>
      </c>
      <c r="BB95" s="13">
        <v>56402</v>
      </c>
      <c r="BC95" s="13">
        <v>32206</v>
      </c>
      <c r="BD95" s="13">
        <v>102</v>
      </c>
      <c r="BE95" s="13">
        <v>108</v>
      </c>
      <c r="BF95" s="13">
        <v>101</v>
      </c>
      <c r="BG95" s="13">
        <v>107</v>
      </c>
      <c r="BH95" s="13">
        <v>103</v>
      </c>
      <c r="BI95" s="13">
        <v>104</v>
      </c>
      <c r="BJ95" s="13">
        <v>105</v>
      </c>
      <c r="BK95" s="13">
        <v>101</v>
      </c>
      <c r="BL95" s="13">
        <v>104</v>
      </c>
      <c r="BM95" s="13">
        <v>104</v>
      </c>
      <c r="BN95" s="13">
        <v>108</v>
      </c>
      <c r="BO95" s="13">
        <v>103</v>
      </c>
      <c r="BP95" s="13">
        <v>107</v>
      </c>
      <c r="BQ95" s="13">
        <v>104</v>
      </c>
      <c r="BR95" s="13">
        <v>108</v>
      </c>
      <c r="BS95" s="13">
        <v>104</v>
      </c>
      <c r="BT95" s="13">
        <v>108</v>
      </c>
      <c r="BU95" s="13">
        <v>106</v>
      </c>
      <c r="BV95" s="13">
        <v>100</v>
      </c>
      <c r="BW95" s="13">
        <v>103</v>
      </c>
      <c r="BX95" s="328">
        <f t="shared" si="10"/>
        <v>173865827</v>
      </c>
      <c r="BY95" s="328">
        <f t="shared" si="11"/>
        <v>65450141</v>
      </c>
      <c r="BZ95" s="329">
        <f t="shared" si="8"/>
        <v>0.7670671925296495</v>
      </c>
      <c r="CA95" s="329">
        <f t="shared" si="9"/>
        <v>0.76681502816436997</v>
      </c>
    </row>
    <row r="96" spans="1:79" x14ac:dyDescent="0.25">
      <c r="A96" s="13">
        <v>2020</v>
      </c>
      <c r="B96" s="13">
        <v>95</v>
      </c>
      <c r="C96" s="13" t="s">
        <v>614</v>
      </c>
      <c r="D96" s="13">
        <v>269675</v>
      </c>
      <c r="E96" s="13">
        <v>399413</v>
      </c>
      <c r="F96" s="13">
        <v>473917</v>
      </c>
      <c r="G96" s="13">
        <v>516671</v>
      </c>
      <c r="H96" s="13">
        <v>2.1</v>
      </c>
      <c r="I96" s="13">
        <v>45</v>
      </c>
      <c r="J96" s="13">
        <v>165296</v>
      </c>
      <c r="K96" s="13">
        <v>194041</v>
      </c>
      <c r="L96" s="13">
        <v>210708</v>
      </c>
      <c r="M96" s="13">
        <v>2</v>
      </c>
      <c r="N96" s="13">
        <v>2.36</v>
      </c>
      <c r="O96" s="13">
        <v>112048</v>
      </c>
      <c r="P96" s="13">
        <v>129150</v>
      </c>
      <c r="Q96" s="13">
        <v>1.7</v>
      </c>
      <c r="R96" s="13">
        <v>88.7</v>
      </c>
      <c r="S96" s="13">
        <v>86</v>
      </c>
      <c r="T96" s="13">
        <v>9</v>
      </c>
      <c r="U96" s="13">
        <v>10.8</v>
      </c>
      <c r="V96" s="13">
        <v>0.8</v>
      </c>
      <c r="W96" s="13">
        <v>1.2</v>
      </c>
      <c r="X96" s="13">
        <v>4</v>
      </c>
      <c r="Y96" s="13">
        <v>5.6</v>
      </c>
      <c r="Z96" s="13">
        <v>5.6</v>
      </c>
      <c r="AA96" s="13">
        <v>6.1</v>
      </c>
      <c r="AB96" s="13">
        <v>5.9</v>
      </c>
      <c r="AC96" s="13">
        <v>6.1</v>
      </c>
      <c r="AD96" s="13">
        <v>5.5</v>
      </c>
      <c r="AE96" s="13">
        <v>25.9</v>
      </c>
      <c r="AF96" s="13">
        <v>21.7</v>
      </c>
      <c r="AG96" s="13">
        <v>20.8</v>
      </c>
      <c r="AH96" s="13">
        <v>2.4</v>
      </c>
      <c r="AI96" s="13">
        <v>79.099999999999994</v>
      </c>
      <c r="AJ96" s="13">
        <v>39.799999999999997</v>
      </c>
      <c r="AK96" s="13">
        <v>41.4</v>
      </c>
      <c r="AL96" s="13">
        <v>94.9</v>
      </c>
      <c r="AM96" s="13">
        <v>16146</v>
      </c>
      <c r="AN96" s="13">
        <v>194031</v>
      </c>
      <c r="AO96" s="13">
        <v>19.3</v>
      </c>
      <c r="AP96" s="13">
        <v>19.3</v>
      </c>
      <c r="AQ96" s="13">
        <v>36.9</v>
      </c>
      <c r="AR96" s="13">
        <v>20.3</v>
      </c>
      <c r="AS96" s="13">
        <v>3.1</v>
      </c>
      <c r="AT96" s="13">
        <v>1.1000000000000001</v>
      </c>
      <c r="AU96" s="13">
        <v>31089</v>
      </c>
      <c r="AV96" s="13">
        <v>35829</v>
      </c>
      <c r="AW96" s="13">
        <v>257</v>
      </c>
      <c r="AX96" s="13">
        <v>31553</v>
      </c>
      <c r="AY96" s="13">
        <v>29039</v>
      </c>
      <c r="AZ96" s="13">
        <v>35557</v>
      </c>
      <c r="BA96" s="13">
        <v>40237</v>
      </c>
      <c r="BB96" s="13">
        <v>35605</v>
      </c>
      <c r="BC96" s="13">
        <v>24999</v>
      </c>
      <c r="BD96" s="13">
        <v>100</v>
      </c>
      <c r="BE96" s="13">
        <v>93</v>
      </c>
      <c r="BF96" s="13">
        <v>107</v>
      </c>
      <c r="BG96" s="13">
        <v>99</v>
      </c>
      <c r="BH96" s="13">
        <v>106</v>
      </c>
      <c r="BI96" s="13">
        <v>109</v>
      </c>
      <c r="BJ96" s="13">
        <v>106</v>
      </c>
      <c r="BK96" s="13">
        <v>102</v>
      </c>
      <c r="BL96" s="13">
        <v>96</v>
      </c>
      <c r="BM96" s="13">
        <v>97</v>
      </c>
      <c r="BN96" s="13">
        <v>97</v>
      </c>
      <c r="BO96" s="13">
        <v>99</v>
      </c>
      <c r="BP96" s="13">
        <v>98</v>
      </c>
      <c r="BQ96" s="13">
        <v>101</v>
      </c>
      <c r="BR96" s="13">
        <v>96</v>
      </c>
      <c r="BS96" s="13">
        <v>98</v>
      </c>
      <c r="BT96" s="13">
        <v>94</v>
      </c>
      <c r="BU96" s="13">
        <v>97</v>
      </c>
      <c r="BV96" s="13">
        <v>106</v>
      </c>
      <c r="BW96" s="13">
        <v>101</v>
      </c>
      <c r="BX96" s="328">
        <f t="shared" si="10"/>
        <v>174382498</v>
      </c>
      <c r="BY96" s="328">
        <f t="shared" si="11"/>
        <v>65660849</v>
      </c>
      <c r="BZ96" s="329">
        <f t="shared" si="8"/>
        <v>0.76934665929013879</v>
      </c>
      <c r="CA96" s="329">
        <f t="shared" si="9"/>
        <v>0.76928368687901594</v>
      </c>
    </row>
    <row r="97" spans="1:79" x14ac:dyDescent="0.25">
      <c r="A97" s="13">
        <v>3640</v>
      </c>
      <c r="B97" s="13">
        <v>96</v>
      </c>
      <c r="C97" s="13" t="s">
        <v>615</v>
      </c>
      <c r="D97" s="13">
        <v>556972</v>
      </c>
      <c r="E97" s="13">
        <v>553099</v>
      </c>
      <c r="F97" s="13">
        <v>553983</v>
      </c>
      <c r="G97" s="13">
        <v>553672</v>
      </c>
      <c r="H97" s="13">
        <v>0</v>
      </c>
      <c r="I97" s="13">
        <v>277</v>
      </c>
      <c r="J97" s="13">
        <v>208739</v>
      </c>
      <c r="K97" s="13">
        <v>208852</v>
      </c>
      <c r="L97" s="13">
        <v>208904</v>
      </c>
      <c r="M97" s="13">
        <v>0</v>
      </c>
      <c r="N97" s="13">
        <v>2.61</v>
      </c>
      <c r="O97" s="13">
        <v>136143</v>
      </c>
      <c r="P97" s="13">
        <v>135399</v>
      </c>
      <c r="Q97" s="13">
        <v>-0.1</v>
      </c>
      <c r="R97" s="13">
        <v>68.8</v>
      </c>
      <c r="S97" s="13">
        <v>63.8</v>
      </c>
      <c r="T97" s="13">
        <v>14.4</v>
      </c>
      <c r="U97" s="13">
        <v>14.9</v>
      </c>
      <c r="V97" s="13">
        <v>6.6</v>
      </c>
      <c r="W97" s="13">
        <v>9.1999999999999993</v>
      </c>
      <c r="X97" s="13">
        <v>33.200000000000003</v>
      </c>
      <c r="Y97" s="13">
        <v>39.9</v>
      </c>
      <c r="Z97" s="13">
        <v>7</v>
      </c>
      <c r="AA97" s="13">
        <v>6.6</v>
      </c>
      <c r="AB97" s="13">
        <v>6</v>
      </c>
      <c r="AC97" s="13">
        <v>6.4</v>
      </c>
      <c r="AD97" s="13">
        <v>6.9</v>
      </c>
      <c r="AE97" s="13">
        <v>33.1</v>
      </c>
      <c r="AF97" s="13">
        <v>21</v>
      </c>
      <c r="AG97" s="13">
        <v>11.5</v>
      </c>
      <c r="AH97" s="13">
        <v>1.4</v>
      </c>
      <c r="AI97" s="13">
        <v>76.599999999999994</v>
      </c>
      <c r="AJ97" s="13">
        <v>33.1</v>
      </c>
      <c r="AK97" s="13">
        <v>35</v>
      </c>
      <c r="AL97" s="13">
        <v>94.4</v>
      </c>
      <c r="AM97" s="13">
        <v>20315</v>
      </c>
      <c r="AN97" s="13">
        <v>208834</v>
      </c>
      <c r="AO97" s="13">
        <v>15.8</v>
      </c>
      <c r="AP97" s="13">
        <v>11.2</v>
      </c>
      <c r="AQ97" s="13">
        <v>31.7</v>
      </c>
      <c r="AR97" s="13">
        <v>30.4</v>
      </c>
      <c r="AS97" s="13">
        <v>7.9</v>
      </c>
      <c r="AT97" s="13">
        <v>3.1</v>
      </c>
      <c r="AU97" s="13">
        <v>42194</v>
      </c>
      <c r="AV97" s="13">
        <v>51213</v>
      </c>
      <c r="AW97" s="13">
        <v>63</v>
      </c>
      <c r="AX97" s="13">
        <v>36694</v>
      </c>
      <c r="AY97" s="13">
        <v>39028</v>
      </c>
      <c r="AZ97" s="13">
        <v>38646</v>
      </c>
      <c r="BA97" s="13">
        <v>44554</v>
      </c>
      <c r="BB97" s="13">
        <v>39862</v>
      </c>
      <c r="BC97" s="13">
        <v>23505</v>
      </c>
      <c r="BD97" s="13">
        <v>97</v>
      </c>
      <c r="BE97" s="13">
        <v>104</v>
      </c>
      <c r="BF97" s="13">
        <v>99</v>
      </c>
      <c r="BG97" s="13">
        <v>93</v>
      </c>
      <c r="BH97" s="13">
        <v>101</v>
      </c>
      <c r="BI97" s="13">
        <v>94</v>
      </c>
      <c r="BJ97" s="13">
        <v>86</v>
      </c>
      <c r="BK97" s="13">
        <v>96</v>
      </c>
      <c r="BL97" s="13">
        <v>92</v>
      </c>
      <c r="BM97" s="13">
        <v>109</v>
      </c>
      <c r="BN97" s="13">
        <v>96</v>
      </c>
      <c r="BO97" s="13">
        <v>99</v>
      </c>
      <c r="BP97" s="13">
        <v>100</v>
      </c>
      <c r="BQ97" s="13">
        <v>92</v>
      </c>
      <c r="BR97" s="13">
        <v>116</v>
      </c>
      <c r="BS97" s="13">
        <v>101</v>
      </c>
      <c r="BT97" s="13">
        <v>101</v>
      </c>
      <c r="BU97" s="13">
        <v>100</v>
      </c>
      <c r="BV97" s="13">
        <v>96</v>
      </c>
      <c r="BW97" s="13">
        <v>96</v>
      </c>
      <c r="BX97" s="328">
        <f t="shared" si="10"/>
        <v>174936170</v>
      </c>
      <c r="BY97" s="328">
        <f t="shared" si="11"/>
        <v>65869753</v>
      </c>
      <c r="BZ97" s="329">
        <f t="shared" si="8"/>
        <v>0.77178936832589584</v>
      </c>
      <c r="CA97" s="329">
        <f t="shared" si="9"/>
        <v>0.77173120989724209</v>
      </c>
    </row>
    <row r="98" spans="1:79" x14ac:dyDescent="0.25">
      <c r="A98" s="13">
        <v>1720</v>
      </c>
      <c r="B98" s="13">
        <v>97</v>
      </c>
      <c r="C98" s="13" t="s">
        <v>616</v>
      </c>
      <c r="D98" s="13">
        <v>309424</v>
      </c>
      <c r="E98" s="13">
        <v>397014</v>
      </c>
      <c r="F98" s="13">
        <v>488640</v>
      </c>
      <c r="G98" s="13">
        <v>544883</v>
      </c>
      <c r="H98" s="13">
        <v>2.5</v>
      </c>
      <c r="I98" s="13">
        <v>21</v>
      </c>
      <c r="J98" s="13">
        <v>146965</v>
      </c>
      <c r="K98" s="13">
        <v>184377</v>
      </c>
      <c r="L98" s="13">
        <v>208109</v>
      </c>
      <c r="M98" s="13">
        <v>2.8</v>
      </c>
      <c r="N98" s="13">
        <v>2.56</v>
      </c>
      <c r="O98" s="13">
        <v>104095</v>
      </c>
      <c r="P98" s="13">
        <v>127153</v>
      </c>
      <c r="Q98" s="13">
        <v>2.5</v>
      </c>
      <c r="R98" s="13">
        <v>86</v>
      </c>
      <c r="S98" s="13">
        <v>84.2</v>
      </c>
      <c r="T98" s="13">
        <v>7.2</v>
      </c>
      <c r="U98" s="13">
        <v>7.5</v>
      </c>
      <c r="V98" s="13">
        <v>2.5</v>
      </c>
      <c r="W98" s="13">
        <v>3.2</v>
      </c>
      <c r="X98" s="13">
        <v>8.6999999999999993</v>
      </c>
      <c r="Y98" s="13">
        <v>10.5</v>
      </c>
      <c r="Z98" s="13">
        <v>7.7</v>
      </c>
      <c r="AA98" s="13">
        <v>7.5</v>
      </c>
      <c r="AB98" s="13">
        <v>7.2</v>
      </c>
      <c r="AC98" s="13">
        <v>7.5</v>
      </c>
      <c r="AD98" s="13">
        <v>8.1</v>
      </c>
      <c r="AE98" s="13">
        <v>32.799999999999997</v>
      </c>
      <c r="AF98" s="13">
        <v>20.7</v>
      </c>
      <c r="AG98" s="13">
        <v>7.6</v>
      </c>
      <c r="AH98" s="13">
        <v>0.8</v>
      </c>
      <c r="AI98" s="13">
        <v>73.400000000000006</v>
      </c>
      <c r="AJ98" s="13">
        <v>30.2</v>
      </c>
      <c r="AK98" s="13">
        <v>32.6</v>
      </c>
      <c r="AL98" s="13">
        <v>99.6</v>
      </c>
      <c r="AM98" s="13">
        <v>20340</v>
      </c>
      <c r="AN98" s="13">
        <v>184377</v>
      </c>
      <c r="AO98" s="13">
        <v>9.8000000000000007</v>
      </c>
      <c r="AP98" s="13">
        <v>13.5</v>
      </c>
      <c r="AQ98" s="13">
        <v>34.5</v>
      </c>
      <c r="AR98" s="13">
        <v>32.799999999999997</v>
      </c>
      <c r="AS98" s="13">
        <v>7.2</v>
      </c>
      <c r="AT98" s="13">
        <v>2.2000000000000002</v>
      </c>
      <c r="AU98" s="13">
        <v>43705</v>
      </c>
      <c r="AV98" s="13">
        <v>59790</v>
      </c>
      <c r="AW98" s="13">
        <v>49</v>
      </c>
      <c r="AX98" s="13">
        <v>39591</v>
      </c>
      <c r="AY98" s="13">
        <v>30906</v>
      </c>
      <c r="AZ98" s="13">
        <v>42798</v>
      </c>
      <c r="BA98" s="13">
        <v>50040</v>
      </c>
      <c r="BB98" s="13">
        <v>44225</v>
      </c>
      <c r="BC98" s="13">
        <v>29850</v>
      </c>
      <c r="BD98" s="13">
        <v>100</v>
      </c>
      <c r="BE98" s="13">
        <v>103</v>
      </c>
      <c r="BF98" s="13">
        <v>94</v>
      </c>
      <c r="BG98" s="13">
        <v>98</v>
      </c>
      <c r="BH98" s="13">
        <v>99</v>
      </c>
      <c r="BI98" s="13">
        <v>99</v>
      </c>
      <c r="BJ98" s="13">
        <v>97</v>
      </c>
      <c r="BK98" s="13">
        <v>100</v>
      </c>
      <c r="BL98" s="13">
        <v>102</v>
      </c>
      <c r="BM98" s="13">
        <v>102</v>
      </c>
      <c r="BN98" s="13">
        <v>104</v>
      </c>
      <c r="BO98" s="13">
        <v>97</v>
      </c>
      <c r="BP98" s="13">
        <v>97</v>
      </c>
      <c r="BQ98" s="13">
        <v>97</v>
      </c>
      <c r="BR98" s="13">
        <v>95</v>
      </c>
      <c r="BS98" s="13">
        <v>97</v>
      </c>
      <c r="BT98" s="13">
        <v>100</v>
      </c>
      <c r="BU98" s="13">
        <v>99</v>
      </c>
      <c r="BV98" s="13">
        <v>97</v>
      </c>
      <c r="BW98" s="13">
        <v>97</v>
      </c>
      <c r="BX98" s="328">
        <f t="shared" si="10"/>
        <v>175481053</v>
      </c>
      <c r="BY98" s="328">
        <f t="shared" si="11"/>
        <v>66077862</v>
      </c>
      <c r="BZ98" s="329">
        <f t="shared" si="8"/>
        <v>0.77419330175133627</v>
      </c>
      <c r="CA98" s="329">
        <f t="shared" si="9"/>
        <v>0.77416941868118128</v>
      </c>
    </row>
    <row r="99" spans="1:79" x14ac:dyDescent="0.25">
      <c r="A99" s="13">
        <v>1760</v>
      </c>
      <c r="B99" s="13">
        <v>98</v>
      </c>
      <c r="C99" s="13" t="s">
        <v>617</v>
      </c>
      <c r="D99" s="13">
        <v>409953</v>
      </c>
      <c r="E99" s="13">
        <v>453331</v>
      </c>
      <c r="F99" s="13">
        <v>510563</v>
      </c>
      <c r="G99" s="13">
        <v>543758</v>
      </c>
      <c r="H99" s="13">
        <v>1.5</v>
      </c>
      <c r="I99" s="13">
        <v>87</v>
      </c>
      <c r="J99" s="13">
        <v>163223</v>
      </c>
      <c r="K99" s="13">
        <v>190530</v>
      </c>
      <c r="L99" s="13">
        <v>207821</v>
      </c>
      <c r="M99" s="13">
        <v>1.9</v>
      </c>
      <c r="N99" s="13">
        <v>2.5299999999999998</v>
      </c>
      <c r="O99" s="13">
        <v>114878</v>
      </c>
      <c r="P99" s="13">
        <v>132368</v>
      </c>
      <c r="Q99" s="13">
        <v>1.7</v>
      </c>
      <c r="R99" s="13">
        <v>67.8</v>
      </c>
      <c r="S99" s="13">
        <v>67.3</v>
      </c>
      <c r="T99" s="13">
        <v>30.4</v>
      </c>
      <c r="U99" s="13">
        <v>30.3</v>
      </c>
      <c r="V99" s="13">
        <v>1.1000000000000001</v>
      </c>
      <c r="W99" s="13">
        <v>1.4</v>
      </c>
      <c r="X99" s="13">
        <v>1.3</v>
      </c>
      <c r="Y99" s="13">
        <v>2.2000000000000002</v>
      </c>
      <c r="Z99" s="13">
        <v>6.5</v>
      </c>
      <c r="AA99" s="13">
        <v>7</v>
      </c>
      <c r="AB99" s="13">
        <v>6.5</v>
      </c>
      <c r="AC99" s="13">
        <v>7.5</v>
      </c>
      <c r="AD99" s="13">
        <v>8</v>
      </c>
      <c r="AE99" s="13">
        <v>34</v>
      </c>
      <c r="AF99" s="13">
        <v>20.7</v>
      </c>
      <c r="AG99" s="13">
        <v>8.9</v>
      </c>
      <c r="AH99" s="13">
        <v>0.9</v>
      </c>
      <c r="AI99" s="13">
        <v>76.099999999999994</v>
      </c>
      <c r="AJ99" s="13">
        <v>31.2</v>
      </c>
      <c r="AK99" s="13">
        <v>33.9</v>
      </c>
      <c r="AL99" s="13">
        <v>94.4</v>
      </c>
      <c r="AM99" s="13">
        <v>18460</v>
      </c>
      <c r="AN99" s="13">
        <v>190516</v>
      </c>
      <c r="AO99" s="13">
        <v>13.5</v>
      </c>
      <c r="AP99" s="13">
        <v>13.4</v>
      </c>
      <c r="AQ99" s="13">
        <v>35.6</v>
      </c>
      <c r="AR99" s="13">
        <v>30.1</v>
      </c>
      <c r="AS99" s="13">
        <v>5.6</v>
      </c>
      <c r="AT99" s="13">
        <v>1.7</v>
      </c>
      <c r="AU99" s="13">
        <v>40177</v>
      </c>
      <c r="AV99" s="13">
        <v>46289</v>
      </c>
      <c r="AW99" s="13">
        <v>93</v>
      </c>
      <c r="AX99" s="13">
        <v>36661</v>
      </c>
      <c r="AY99" s="13">
        <v>30513</v>
      </c>
      <c r="AZ99" s="13">
        <v>40472</v>
      </c>
      <c r="BA99" s="13">
        <v>46063</v>
      </c>
      <c r="BB99" s="13">
        <v>39924</v>
      </c>
      <c r="BC99" s="13">
        <v>26361</v>
      </c>
      <c r="BD99" s="13">
        <v>100</v>
      </c>
      <c r="BE99" s="13">
        <v>100</v>
      </c>
      <c r="BF99" s="13">
        <v>97</v>
      </c>
      <c r="BG99" s="13">
        <v>98</v>
      </c>
      <c r="BH99" s="13">
        <v>102</v>
      </c>
      <c r="BI99" s="13">
        <v>101</v>
      </c>
      <c r="BJ99" s="13">
        <v>102</v>
      </c>
      <c r="BK99" s="13">
        <v>100</v>
      </c>
      <c r="BL99" s="13">
        <v>100</v>
      </c>
      <c r="BM99" s="13">
        <v>102</v>
      </c>
      <c r="BN99" s="13">
        <v>101</v>
      </c>
      <c r="BO99" s="13">
        <v>101</v>
      </c>
      <c r="BP99" s="13">
        <v>99</v>
      </c>
      <c r="BQ99" s="13">
        <v>102</v>
      </c>
      <c r="BR99" s="13">
        <v>93</v>
      </c>
      <c r="BS99" s="13">
        <v>100</v>
      </c>
      <c r="BT99" s="13">
        <v>101</v>
      </c>
      <c r="BU99" s="13">
        <v>101</v>
      </c>
      <c r="BV99" s="13">
        <v>98</v>
      </c>
      <c r="BW99" s="13">
        <v>101</v>
      </c>
      <c r="BX99" s="328">
        <f t="shared" si="10"/>
        <v>176024811</v>
      </c>
      <c r="BY99" s="328">
        <f t="shared" si="11"/>
        <v>66285683</v>
      </c>
      <c r="BZ99" s="329">
        <f t="shared" si="8"/>
        <v>0.77659227186336144</v>
      </c>
      <c r="CA99" s="329">
        <f t="shared" si="9"/>
        <v>0.77660425325194482</v>
      </c>
    </row>
    <row r="100" spans="1:79" x14ac:dyDescent="0.25">
      <c r="A100" s="13">
        <v>4900</v>
      </c>
      <c r="B100" s="13">
        <v>99</v>
      </c>
      <c r="C100" s="13" t="s">
        <v>618</v>
      </c>
      <c r="D100" s="13">
        <v>272959</v>
      </c>
      <c r="E100" s="13">
        <v>398978</v>
      </c>
      <c r="F100" s="13">
        <v>467296</v>
      </c>
      <c r="G100" s="13">
        <v>507521</v>
      </c>
      <c r="H100" s="13">
        <v>1.9</v>
      </c>
      <c r="I100" s="13">
        <v>54</v>
      </c>
      <c r="J100" s="13">
        <v>161365</v>
      </c>
      <c r="K100" s="13">
        <v>185865</v>
      </c>
      <c r="L100" s="13">
        <v>199758</v>
      </c>
      <c r="M100" s="13">
        <v>1.7</v>
      </c>
      <c r="N100" s="13">
        <v>2.48</v>
      </c>
      <c r="O100" s="13">
        <v>113149</v>
      </c>
      <c r="P100" s="13">
        <v>126737</v>
      </c>
      <c r="Q100" s="13">
        <v>1.4</v>
      </c>
      <c r="R100" s="13">
        <v>89.8</v>
      </c>
      <c r="S100" s="13">
        <v>87</v>
      </c>
      <c r="T100" s="13">
        <v>7.9</v>
      </c>
      <c r="U100" s="13">
        <v>9.5</v>
      </c>
      <c r="V100" s="13">
        <v>1.3</v>
      </c>
      <c r="W100" s="13">
        <v>2.1</v>
      </c>
      <c r="X100" s="13">
        <v>3.1</v>
      </c>
      <c r="Y100" s="13">
        <v>4.5</v>
      </c>
      <c r="Z100" s="13">
        <v>6.5</v>
      </c>
      <c r="AA100" s="13">
        <v>7</v>
      </c>
      <c r="AB100" s="13">
        <v>6.5</v>
      </c>
      <c r="AC100" s="13">
        <v>5.7</v>
      </c>
      <c r="AD100" s="13">
        <v>5.0999999999999996</v>
      </c>
      <c r="AE100" s="13">
        <v>29.4</v>
      </c>
      <c r="AF100" s="13">
        <v>22.3</v>
      </c>
      <c r="AG100" s="13">
        <v>16</v>
      </c>
      <c r="AH100" s="13">
        <v>1.4</v>
      </c>
      <c r="AI100" s="13">
        <v>76.7</v>
      </c>
      <c r="AJ100" s="13">
        <v>36.200000000000003</v>
      </c>
      <c r="AK100" s="13">
        <v>38.200000000000003</v>
      </c>
      <c r="AL100" s="13">
        <v>97.8</v>
      </c>
      <c r="AM100" s="13">
        <v>16640</v>
      </c>
      <c r="AN100" s="13">
        <v>185853</v>
      </c>
      <c r="AO100" s="13">
        <v>16.7</v>
      </c>
      <c r="AP100" s="13">
        <v>17</v>
      </c>
      <c r="AQ100" s="13">
        <v>36.9</v>
      </c>
      <c r="AR100" s="13">
        <v>25.1</v>
      </c>
      <c r="AS100" s="13">
        <v>3.3</v>
      </c>
      <c r="AT100" s="13">
        <v>1</v>
      </c>
      <c r="AU100" s="13">
        <v>34859</v>
      </c>
      <c r="AV100" s="13">
        <v>38598</v>
      </c>
      <c r="AW100" s="13">
        <v>188</v>
      </c>
      <c r="AX100" s="13">
        <v>33728</v>
      </c>
      <c r="AY100" s="13">
        <v>30241</v>
      </c>
      <c r="AZ100" s="13">
        <v>36422</v>
      </c>
      <c r="BA100" s="13">
        <v>44186</v>
      </c>
      <c r="BB100" s="13">
        <v>38425</v>
      </c>
      <c r="BC100" s="13">
        <v>24759</v>
      </c>
      <c r="BD100" s="13">
        <v>101</v>
      </c>
      <c r="BE100" s="13">
        <v>101</v>
      </c>
      <c r="BF100" s="13">
        <v>105</v>
      </c>
      <c r="BG100" s="13">
        <v>100</v>
      </c>
      <c r="BH100" s="13">
        <v>107</v>
      </c>
      <c r="BI100" s="13">
        <v>108</v>
      </c>
      <c r="BJ100" s="13">
        <v>102</v>
      </c>
      <c r="BK100" s="13">
        <v>102</v>
      </c>
      <c r="BL100" s="13">
        <v>100</v>
      </c>
      <c r="BM100" s="13">
        <v>103</v>
      </c>
      <c r="BN100" s="13">
        <v>104</v>
      </c>
      <c r="BO100" s="13">
        <v>102</v>
      </c>
      <c r="BP100" s="13">
        <v>102</v>
      </c>
      <c r="BQ100" s="13">
        <v>103</v>
      </c>
      <c r="BR100" s="13">
        <v>98</v>
      </c>
      <c r="BS100" s="13">
        <v>100</v>
      </c>
      <c r="BT100" s="13">
        <v>101</v>
      </c>
      <c r="BU100" s="13">
        <v>101</v>
      </c>
      <c r="BV100" s="13">
        <v>104</v>
      </c>
      <c r="BW100" s="13">
        <v>102</v>
      </c>
      <c r="BX100" s="328">
        <f t="shared" si="10"/>
        <v>176532332</v>
      </c>
      <c r="BY100" s="328">
        <f t="shared" si="11"/>
        <v>66485441</v>
      </c>
      <c r="BZ100" s="329">
        <f t="shared" si="8"/>
        <v>0.77883137034140704</v>
      </c>
      <c r="CA100" s="329">
        <f t="shared" si="9"/>
        <v>0.7789446215698077</v>
      </c>
    </row>
    <row r="101" spans="1:79" x14ac:dyDescent="0.25">
      <c r="A101" s="13">
        <v>1440</v>
      </c>
      <c r="B101" s="13">
        <v>100</v>
      </c>
      <c r="C101" s="13" t="s">
        <v>619</v>
      </c>
      <c r="D101" s="13">
        <v>430346</v>
      </c>
      <c r="E101" s="13">
        <v>506875</v>
      </c>
      <c r="F101" s="13">
        <v>511315</v>
      </c>
      <c r="G101" s="13">
        <v>518161</v>
      </c>
      <c r="H101" s="13">
        <v>0.1</v>
      </c>
      <c r="I101" s="13">
        <v>269</v>
      </c>
      <c r="J101" s="13">
        <v>177668</v>
      </c>
      <c r="K101" s="13">
        <v>188868</v>
      </c>
      <c r="L101" s="13">
        <v>195460</v>
      </c>
      <c r="M101" s="13">
        <v>0.7</v>
      </c>
      <c r="N101" s="13">
        <v>2.65</v>
      </c>
      <c r="O101" s="13">
        <v>129792</v>
      </c>
      <c r="P101" s="13">
        <v>135583</v>
      </c>
      <c r="Q101" s="13">
        <v>0.5</v>
      </c>
      <c r="R101" s="13">
        <v>67.8</v>
      </c>
      <c r="S101" s="13">
        <v>66</v>
      </c>
      <c r="T101" s="13">
        <v>30.2</v>
      </c>
      <c r="U101" s="13">
        <v>31.3</v>
      </c>
      <c r="V101" s="13">
        <v>1.2</v>
      </c>
      <c r="W101" s="13">
        <v>1.6</v>
      </c>
      <c r="X101" s="13">
        <v>1.5</v>
      </c>
      <c r="Y101" s="13">
        <v>2.4</v>
      </c>
      <c r="Z101" s="13">
        <v>8.1</v>
      </c>
      <c r="AA101" s="13">
        <v>8.1999999999999993</v>
      </c>
      <c r="AB101" s="13">
        <v>7.1</v>
      </c>
      <c r="AC101" s="13">
        <v>6.8</v>
      </c>
      <c r="AD101" s="13">
        <v>7.6</v>
      </c>
      <c r="AE101" s="13">
        <v>34.200000000000003</v>
      </c>
      <c r="AF101" s="13">
        <v>18.899999999999999</v>
      </c>
      <c r="AG101" s="13">
        <v>8.3000000000000007</v>
      </c>
      <c r="AH101" s="13">
        <v>0.8</v>
      </c>
      <c r="AI101" s="13">
        <v>72.8</v>
      </c>
      <c r="AJ101" s="13">
        <v>29.5</v>
      </c>
      <c r="AK101" s="13">
        <v>31.8</v>
      </c>
      <c r="AL101" s="13">
        <v>96.4</v>
      </c>
      <c r="AM101" s="13">
        <v>17870</v>
      </c>
      <c r="AN101" s="13">
        <v>188848</v>
      </c>
      <c r="AO101" s="13">
        <v>14.1</v>
      </c>
      <c r="AP101" s="13">
        <v>14</v>
      </c>
      <c r="AQ101" s="13">
        <v>35.799999999999997</v>
      </c>
      <c r="AR101" s="13">
        <v>29</v>
      </c>
      <c r="AS101" s="13">
        <v>5.4</v>
      </c>
      <c r="AT101" s="13">
        <v>1.8</v>
      </c>
      <c r="AU101" s="13">
        <v>39153</v>
      </c>
      <c r="AV101" s="13">
        <v>47355</v>
      </c>
      <c r="AW101" s="13">
        <v>109</v>
      </c>
      <c r="AX101" s="13">
        <v>36240</v>
      </c>
      <c r="AY101" s="13">
        <v>30584</v>
      </c>
      <c r="AZ101" s="13">
        <v>40267</v>
      </c>
      <c r="BA101" s="13">
        <v>46023</v>
      </c>
      <c r="BB101" s="13">
        <v>40334</v>
      </c>
      <c r="BC101" s="13">
        <v>25989</v>
      </c>
      <c r="BD101" s="13">
        <v>98</v>
      </c>
      <c r="BE101" s="13">
        <v>97</v>
      </c>
      <c r="BF101" s="13">
        <v>90</v>
      </c>
      <c r="BG101" s="13">
        <v>93</v>
      </c>
      <c r="BH101" s="13">
        <v>100</v>
      </c>
      <c r="BI101" s="13">
        <v>98</v>
      </c>
      <c r="BJ101" s="13">
        <v>100</v>
      </c>
      <c r="BK101" s="13">
        <v>99</v>
      </c>
      <c r="BL101" s="13">
        <v>99</v>
      </c>
      <c r="BM101" s="13">
        <v>98</v>
      </c>
      <c r="BN101" s="13">
        <v>98</v>
      </c>
      <c r="BO101" s="13">
        <v>99</v>
      </c>
      <c r="BP101" s="13">
        <v>96</v>
      </c>
      <c r="BQ101" s="13">
        <v>100</v>
      </c>
      <c r="BR101" s="13">
        <v>90</v>
      </c>
      <c r="BS101" s="13">
        <v>100</v>
      </c>
      <c r="BT101" s="13">
        <v>96</v>
      </c>
      <c r="BU101" s="13">
        <v>99</v>
      </c>
      <c r="BV101" s="13">
        <v>97</v>
      </c>
      <c r="BW101" s="13">
        <v>100</v>
      </c>
      <c r="BX101" s="328">
        <f t="shared" si="10"/>
        <v>177050493</v>
      </c>
      <c r="BY101" s="328">
        <f t="shared" si="11"/>
        <v>66680901</v>
      </c>
      <c r="BZ101" s="329">
        <f t="shared" si="8"/>
        <v>0.78111741073477514</v>
      </c>
      <c r="CA101" s="329">
        <f t="shared" si="9"/>
        <v>0.78123463444243091</v>
      </c>
    </row>
    <row r="102" spans="1:79" x14ac:dyDescent="0.25">
      <c r="A102" s="13">
        <v>3660</v>
      </c>
      <c r="B102" s="13">
        <v>101</v>
      </c>
      <c r="C102" s="13" t="s">
        <v>620</v>
      </c>
      <c r="D102" s="13">
        <v>433638</v>
      </c>
      <c r="E102" s="13">
        <v>436047</v>
      </c>
      <c r="F102" s="13">
        <v>463737</v>
      </c>
      <c r="G102" s="13">
        <v>480927</v>
      </c>
      <c r="H102" s="13">
        <v>0.7</v>
      </c>
      <c r="I102" s="13">
        <v>192</v>
      </c>
      <c r="J102" s="13">
        <v>170569</v>
      </c>
      <c r="K102" s="13">
        <v>185547</v>
      </c>
      <c r="L102" s="13">
        <v>194915</v>
      </c>
      <c r="M102" s="13">
        <v>1</v>
      </c>
      <c r="N102" s="13">
        <v>2.4500000000000002</v>
      </c>
      <c r="O102" s="13">
        <v>126603</v>
      </c>
      <c r="P102" s="13">
        <v>134341</v>
      </c>
      <c r="Q102" s="13">
        <v>0.7</v>
      </c>
      <c r="R102" s="13">
        <v>97.4</v>
      </c>
      <c r="S102" s="13">
        <v>97</v>
      </c>
      <c r="T102" s="13">
        <v>2</v>
      </c>
      <c r="U102" s="13">
        <v>2.2999999999999998</v>
      </c>
      <c r="V102" s="13">
        <v>0.3</v>
      </c>
      <c r="W102" s="13">
        <v>0.4</v>
      </c>
      <c r="X102" s="13">
        <v>0.4</v>
      </c>
      <c r="Y102" s="13">
        <v>0.7</v>
      </c>
      <c r="Z102" s="13">
        <v>5.5</v>
      </c>
      <c r="AA102" s="13">
        <v>5.9</v>
      </c>
      <c r="AB102" s="13">
        <v>6.1</v>
      </c>
      <c r="AC102" s="13">
        <v>6.8</v>
      </c>
      <c r="AD102" s="13">
        <v>6.2</v>
      </c>
      <c r="AE102" s="13">
        <v>29.3</v>
      </c>
      <c r="AF102" s="13">
        <v>25.2</v>
      </c>
      <c r="AG102" s="13">
        <v>13.3</v>
      </c>
      <c r="AH102" s="13">
        <v>1.6</v>
      </c>
      <c r="AI102" s="13">
        <v>78.599999999999994</v>
      </c>
      <c r="AJ102" s="13">
        <v>36.299999999999997</v>
      </c>
      <c r="AK102" s="13">
        <v>38.799999999999997</v>
      </c>
      <c r="AL102" s="13">
        <v>93.4</v>
      </c>
      <c r="AM102" s="13">
        <v>14261</v>
      </c>
      <c r="AN102" s="13">
        <v>185541</v>
      </c>
      <c r="AO102" s="13">
        <v>26.2</v>
      </c>
      <c r="AP102" s="13">
        <v>18.3</v>
      </c>
      <c r="AQ102" s="13">
        <v>33.9</v>
      </c>
      <c r="AR102" s="13">
        <v>17.899999999999999</v>
      </c>
      <c r="AS102" s="13">
        <v>2.6</v>
      </c>
      <c r="AT102" s="13">
        <v>1</v>
      </c>
      <c r="AU102" s="13">
        <v>28104</v>
      </c>
      <c r="AV102" s="13">
        <v>32174</v>
      </c>
      <c r="AW102" s="13">
        <v>294</v>
      </c>
      <c r="AX102" s="13">
        <v>28848</v>
      </c>
      <c r="AY102" s="13">
        <v>25544</v>
      </c>
      <c r="AZ102" s="13">
        <v>34901</v>
      </c>
      <c r="BA102" s="13">
        <v>36467</v>
      </c>
      <c r="BB102" s="13">
        <v>30709</v>
      </c>
      <c r="BC102" s="13">
        <v>18337</v>
      </c>
      <c r="BD102" s="13">
        <v>98</v>
      </c>
      <c r="BE102" s="13">
        <v>80</v>
      </c>
      <c r="BF102" s="13">
        <v>89</v>
      </c>
      <c r="BG102" s="13">
        <v>86</v>
      </c>
      <c r="BH102" s="13">
        <v>101</v>
      </c>
      <c r="BI102" s="13">
        <v>98</v>
      </c>
      <c r="BJ102" s="13">
        <v>111</v>
      </c>
      <c r="BK102" s="13">
        <v>99</v>
      </c>
      <c r="BL102" s="13">
        <v>95</v>
      </c>
      <c r="BM102" s="13">
        <v>89</v>
      </c>
      <c r="BN102" s="13">
        <v>88</v>
      </c>
      <c r="BO102" s="13">
        <v>97</v>
      </c>
      <c r="BP102" s="13">
        <v>90</v>
      </c>
      <c r="BQ102" s="13">
        <v>99</v>
      </c>
      <c r="BR102" s="13">
        <v>83</v>
      </c>
      <c r="BS102" s="13">
        <v>98</v>
      </c>
      <c r="BT102" s="13">
        <v>87</v>
      </c>
      <c r="BU102" s="13">
        <v>92</v>
      </c>
      <c r="BV102" s="13">
        <v>102</v>
      </c>
      <c r="BW102" s="13">
        <v>99</v>
      </c>
      <c r="BX102" s="328">
        <f t="shared" si="10"/>
        <v>177531420</v>
      </c>
      <c r="BY102" s="328">
        <f t="shared" si="11"/>
        <v>66875816</v>
      </c>
      <c r="BZ102" s="329">
        <f t="shared" si="8"/>
        <v>0.78323918089551925</v>
      </c>
      <c r="CA102" s="329">
        <f t="shared" si="9"/>
        <v>0.78351826208525999</v>
      </c>
    </row>
    <row r="103" spans="1:79" x14ac:dyDescent="0.25">
      <c r="A103" s="13">
        <v>8120</v>
      </c>
      <c r="B103" s="13">
        <v>102</v>
      </c>
      <c r="C103" s="13" t="s">
        <v>621</v>
      </c>
      <c r="D103" s="13">
        <v>347342</v>
      </c>
      <c r="E103" s="13">
        <v>480628</v>
      </c>
      <c r="F103" s="13">
        <v>551036</v>
      </c>
      <c r="G103" s="13">
        <v>592140</v>
      </c>
      <c r="H103" s="13">
        <v>1.7</v>
      </c>
      <c r="I103" s="13">
        <v>69</v>
      </c>
      <c r="J103" s="13">
        <v>158156</v>
      </c>
      <c r="K103" s="13">
        <v>180885</v>
      </c>
      <c r="L103" s="13">
        <v>194263</v>
      </c>
      <c r="M103" s="13">
        <v>1.6</v>
      </c>
      <c r="N103" s="13">
        <v>2.95</v>
      </c>
      <c r="O103" s="13">
        <v>116878</v>
      </c>
      <c r="P103" s="13">
        <v>131500</v>
      </c>
      <c r="Q103" s="13">
        <v>1.4</v>
      </c>
      <c r="R103" s="13">
        <v>73.5</v>
      </c>
      <c r="S103" s="13">
        <v>68.7</v>
      </c>
      <c r="T103" s="13">
        <v>5.6</v>
      </c>
      <c r="U103" s="13">
        <v>5.6</v>
      </c>
      <c r="V103" s="13">
        <v>12.4</v>
      </c>
      <c r="W103" s="13">
        <v>15.5</v>
      </c>
      <c r="X103" s="13">
        <v>23.4</v>
      </c>
      <c r="Y103" s="13">
        <v>29.3</v>
      </c>
      <c r="Z103" s="13">
        <v>9.1999999999999993</v>
      </c>
      <c r="AA103" s="13">
        <v>9</v>
      </c>
      <c r="AB103" s="13">
        <v>8.3000000000000007</v>
      </c>
      <c r="AC103" s="13">
        <v>7.5</v>
      </c>
      <c r="AD103" s="13">
        <v>6</v>
      </c>
      <c r="AE103" s="13">
        <v>30.2</v>
      </c>
      <c r="AF103" s="13">
        <v>18.100000000000001</v>
      </c>
      <c r="AG103" s="13">
        <v>10.199999999999999</v>
      </c>
      <c r="AH103" s="13">
        <v>1.3</v>
      </c>
      <c r="AI103" s="13">
        <v>69</v>
      </c>
      <c r="AJ103" s="13">
        <v>30.9</v>
      </c>
      <c r="AK103" s="13">
        <v>32</v>
      </c>
      <c r="AL103" s="13">
        <v>102.6</v>
      </c>
      <c r="AM103" s="13">
        <v>16361</v>
      </c>
      <c r="AN103" s="13">
        <v>180870</v>
      </c>
      <c r="AO103" s="13">
        <v>15.9</v>
      </c>
      <c r="AP103" s="13">
        <v>13.3</v>
      </c>
      <c r="AQ103" s="13">
        <v>33.6</v>
      </c>
      <c r="AR103" s="13">
        <v>29</v>
      </c>
      <c r="AS103" s="13">
        <v>5.9</v>
      </c>
      <c r="AT103" s="13">
        <v>2.2999999999999998</v>
      </c>
      <c r="AU103" s="13">
        <v>40107</v>
      </c>
      <c r="AV103" s="13">
        <v>45716</v>
      </c>
      <c r="AW103" s="13">
        <v>95</v>
      </c>
      <c r="AX103" s="13">
        <v>36639</v>
      </c>
      <c r="AY103" s="13">
        <v>33714</v>
      </c>
      <c r="AZ103" s="13">
        <v>41134</v>
      </c>
      <c r="BA103" s="13">
        <v>44754</v>
      </c>
      <c r="BB103" s="13">
        <v>39157</v>
      </c>
      <c r="BC103" s="13">
        <v>26210</v>
      </c>
      <c r="BD103" s="13">
        <v>100</v>
      </c>
      <c r="BE103" s="13">
        <v>101</v>
      </c>
      <c r="BF103" s="13">
        <v>96</v>
      </c>
      <c r="BG103" s="13">
        <v>97</v>
      </c>
      <c r="BH103" s="13">
        <v>99</v>
      </c>
      <c r="BI103" s="13">
        <v>99</v>
      </c>
      <c r="BJ103" s="13">
        <v>97</v>
      </c>
      <c r="BK103" s="13">
        <v>100</v>
      </c>
      <c r="BL103" s="13">
        <v>102</v>
      </c>
      <c r="BM103" s="13">
        <v>99</v>
      </c>
      <c r="BN103" s="13">
        <v>101</v>
      </c>
      <c r="BO103" s="13">
        <v>95</v>
      </c>
      <c r="BP103" s="13">
        <v>96</v>
      </c>
      <c r="BQ103" s="13">
        <v>96</v>
      </c>
      <c r="BR103" s="13">
        <v>95</v>
      </c>
      <c r="BS103" s="13">
        <v>98</v>
      </c>
      <c r="BT103" s="13">
        <v>97</v>
      </c>
      <c r="BU103" s="13">
        <v>98</v>
      </c>
      <c r="BV103" s="13">
        <v>99</v>
      </c>
      <c r="BW103" s="13">
        <v>97</v>
      </c>
      <c r="BX103" s="328">
        <f t="shared" si="10"/>
        <v>178123560</v>
      </c>
      <c r="BY103" s="328">
        <f t="shared" si="11"/>
        <v>67070079</v>
      </c>
      <c r="BZ103" s="329">
        <f t="shared" si="8"/>
        <v>0.78585160436723756</v>
      </c>
      <c r="CA103" s="329">
        <f t="shared" si="9"/>
        <v>0.78579425088437194</v>
      </c>
    </row>
    <row r="104" spans="1:79" x14ac:dyDescent="0.25">
      <c r="A104" s="13">
        <v>2760</v>
      </c>
      <c r="B104" s="13">
        <v>103</v>
      </c>
      <c r="C104" s="13" t="s">
        <v>622</v>
      </c>
      <c r="D104" s="13">
        <v>444772</v>
      </c>
      <c r="E104" s="13">
        <v>456281</v>
      </c>
      <c r="F104" s="13">
        <v>480891</v>
      </c>
      <c r="G104" s="13">
        <v>495641</v>
      </c>
      <c r="H104" s="13">
        <v>0.6</v>
      </c>
      <c r="I104" s="13">
        <v>203</v>
      </c>
      <c r="J104" s="13">
        <v>168806</v>
      </c>
      <c r="K104" s="13">
        <v>181398</v>
      </c>
      <c r="L104" s="13">
        <v>189147</v>
      </c>
      <c r="M104" s="13">
        <v>0.9</v>
      </c>
      <c r="N104" s="13">
        <v>2.61</v>
      </c>
      <c r="O104" s="13">
        <v>121885</v>
      </c>
      <c r="P104" s="13">
        <v>128889</v>
      </c>
      <c r="Q104" s="13">
        <v>0.7</v>
      </c>
      <c r="R104" s="13">
        <v>91.6</v>
      </c>
      <c r="S104" s="13">
        <v>90.4</v>
      </c>
      <c r="T104" s="13">
        <v>6.7</v>
      </c>
      <c r="U104" s="13">
        <v>7.4</v>
      </c>
      <c r="V104" s="13">
        <v>0.7</v>
      </c>
      <c r="W104" s="13">
        <v>0.9</v>
      </c>
      <c r="X104" s="13">
        <v>1.7</v>
      </c>
      <c r="Y104" s="13">
        <v>2.4</v>
      </c>
      <c r="Z104" s="13">
        <v>7.5</v>
      </c>
      <c r="AA104" s="13">
        <v>7.6</v>
      </c>
      <c r="AB104" s="13">
        <v>7.6</v>
      </c>
      <c r="AC104" s="13">
        <v>7.3</v>
      </c>
      <c r="AD104" s="13">
        <v>6.2</v>
      </c>
      <c r="AE104" s="13">
        <v>31.4</v>
      </c>
      <c r="AF104" s="13">
        <v>20.399999999999999</v>
      </c>
      <c r="AG104" s="13">
        <v>10.5</v>
      </c>
      <c r="AH104" s="13">
        <v>1.5</v>
      </c>
      <c r="AI104" s="13">
        <v>72.900000000000006</v>
      </c>
      <c r="AJ104" s="13">
        <v>32.200000000000003</v>
      </c>
      <c r="AK104" s="13">
        <v>34.4</v>
      </c>
      <c r="AL104" s="13">
        <v>95.4</v>
      </c>
      <c r="AM104" s="13">
        <v>18759</v>
      </c>
      <c r="AN104" s="13">
        <v>181396</v>
      </c>
      <c r="AO104" s="13">
        <v>11</v>
      </c>
      <c r="AP104" s="13">
        <v>13</v>
      </c>
      <c r="AQ104" s="13">
        <v>37.299999999999997</v>
      </c>
      <c r="AR104" s="13">
        <v>31.5</v>
      </c>
      <c r="AS104" s="13">
        <v>5.5</v>
      </c>
      <c r="AT104" s="13">
        <v>1.7</v>
      </c>
      <c r="AU104" s="13">
        <v>41724</v>
      </c>
      <c r="AV104" s="13">
        <v>49066</v>
      </c>
      <c r="AW104" s="13">
        <v>72</v>
      </c>
      <c r="AX104" s="13">
        <v>37921</v>
      </c>
      <c r="AY104" s="13">
        <v>32758</v>
      </c>
      <c r="AZ104" s="13">
        <v>42755</v>
      </c>
      <c r="BA104" s="13">
        <v>49063</v>
      </c>
      <c r="BB104" s="13">
        <v>41589</v>
      </c>
      <c r="BC104" s="13">
        <v>23639</v>
      </c>
      <c r="BD104" s="13">
        <v>99</v>
      </c>
      <c r="BE104" s="13">
        <v>95</v>
      </c>
      <c r="BF104" s="13">
        <v>92</v>
      </c>
      <c r="BG104" s="13">
        <v>96</v>
      </c>
      <c r="BH104" s="13">
        <v>100</v>
      </c>
      <c r="BI104" s="13">
        <v>98</v>
      </c>
      <c r="BJ104" s="13">
        <v>104</v>
      </c>
      <c r="BK104" s="13">
        <v>100</v>
      </c>
      <c r="BL104" s="13">
        <v>99</v>
      </c>
      <c r="BM104" s="13">
        <v>98</v>
      </c>
      <c r="BN104" s="13">
        <v>99</v>
      </c>
      <c r="BO104" s="13">
        <v>99</v>
      </c>
      <c r="BP104" s="13">
        <v>100</v>
      </c>
      <c r="BQ104" s="13">
        <v>101</v>
      </c>
      <c r="BR104" s="13">
        <v>99</v>
      </c>
      <c r="BS104" s="13">
        <v>102</v>
      </c>
      <c r="BT104" s="13">
        <v>99</v>
      </c>
      <c r="BU104" s="13">
        <v>99</v>
      </c>
      <c r="BV104" s="13">
        <v>99</v>
      </c>
      <c r="BW104" s="13">
        <v>100</v>
      </c>
      <c r="BX104" s="328">
        <f t="shared" si="10"/>
        <v>178619201</v>
      </c>
      <c r="BY104" s="328">
        <f t="shared" si="11"/>
        <v>67259226</v>
      </c>
      <c r="BZ104" s="329">
        <f t="shared" si="8"/>
        <v>0.78803829025561856</v>
      </c>
      <c r="CA104" s="329">
        <f t="shared" si="9"/>
        <v>0.78801030053554388</v>
      </c>
    </row>
    <row r="105" spans="1:79" x14ac:dyDescent="0.25">
      <c r="A105" s="13">
        <v>4280</v>
      </c>
      <c r="B105" s="13">
        <v>104</v>
      </c>
      <c r="C105" s="13" t="s">
        <v>623</v>
      </c>
      <c r="D105" s="13">
        <v>370900</v>
      </c>
      <c r="E105" s="13">
        <v>405936</v>
      </c>
      <c r="F105" s="13">
        <v>448936</v>
      </c>
      <c r="G105" s="13">
        <v>474745</v>
      </c>
      <c r="H105" s="13">
        <v>1.2</v>
      </c>
      <c r="I105" s="13">
        <v>118</v>
      </c>
      <c r="J105" s="13">
        <v>154089</v>
      </c>
      <c r="K105" s="13">
        <v>175098</v>
      </c>
      <c r="L105" s="13">
        <v>188142</v>
      </c>
      <c r="M105" s="13">
        <v>1.6</v>
      </c>
      <c r="N105" s="13">
        <v>2.44</v>
      </c>
      <c r="O105" s="13">
        <v>105755</v>
      </c>
      <c r="P105" s="13">
        <v>117318</v>
      </c>
      <c r="Q105" s="13">
        <v>1.3</v>
      </c>
      <c r="R105" s="13">
        <v>88.6</v>
      </c>
      <c r="S105" s="13">
        <v>87.9</v>
      </c>
      <c r="T105" s="13">
        <v>9.9</v>
      </c>
      <c r="U105" s="13">
        <v>10.1</v>
      </c>
      <c r="V105" s="13">
        <v>1.1000000000000001</v>
      </c>
      <c r="W105" s="13">
        <v>1.5</v>
      </c>
      <c r="X105" s="13">
        <v>0.8</v>
      </c>
      <c r="Y105" s="13">
        <v>1.1000000000000001</v>
      </c>
      <c r="Z105" s="13">
        <v>6.4</v>
      </c>
      <c r="AA105" s="13">
        <v>6.4</v>
      </c>
      <c r="AB105" s="13">
        <v>6.2</v>
      </c>
      <c r="AC105" s="13">
        <v>8</v>
      </c>
      <c r="AD105" s="13">
        <v>9</v>
      </c>
      <c r="AE105" s="13">
        <v>33</v>
      </c>
      <c r="AF105" s="13">
        <v>20.7</v>
      </c>
      <c r="AG105" s="13">
        <v>9.1</v>
      </c>
      <c r="AH105" s="13">
        <v>1.2</v>
      </c>
      <c r="AI105" s="13">
        <v>77.2</v>
      </c>
      <c r="AJ105" s="13">
        <v>31.4</v>
      </c>
      <c r="AK105" s="13">
        <v>33.700000000000003</v>
      </c>
      <c r="AL105" s="13">
        <v>92.6</v>
      </c>
      <c r="AM105" s="13">
        <v>20877</v>
      </c>
      <c r="AN105" s="13">
        <v>175097</v>
      </c>
      <c r="AO105" s="13">
        <v>15.2</v>
      </c>
      <c r="AP105" s="13">
        <v>13</v>
      </c>
      <c r="AQ105" s="13">
        <v>33.1</v>
      </c>
      <c r="AR105" s="13">
        <v>27.8</v>
      </c>
      <c r="AS105" s="13">
        <v>7.1</v>
      </c>
      <c r="AT105" s="13">
        <v>3.7</v>
      </c>
      <c r="AU105" s="13">
        <v>40419</v>
      </c>
      <c r="AV105" s="13">
        <v>49143</v>
      </c>
      <c r="AW105" s="13">
        <v>85</v>
      </c>
      <c r="AX105" s="13">
        <v>39913</v>
      </c>
      <c r="AY105" s="13">
        <v>31594</v>
      </c>
      <c r="AZ105" s="13">
        <v>45998</v>
      </c>
      <c r="BA105" s="13">
        <v>50907</v>
      </c>
      <c r="BB105" s="13">
        <v>43288</v>
      </c>
      <c r="BC105" s="13">
        <v>27042</v>
      </c>
      <c r="BD105" s="13">
        <v>99</v>
      </c>
      <c r="BE105" s="13">
        <v>98</v>
      </c>
      <c r="BF105" s="13">
        <v>97</v>
      </c>
      <c r="BG105" s="13">
        <v>97</v>
      </c>
      <c r="BH105" s="13">
        <v>102</v>
      </c>
      <c r="BI105" s="13">
        <v>101</v>
      </c>
      <c r="BJ105" s="13">
        <v>104</v>
      </c>
      <c r="BK105" s="13">
        <v>99</v>
      </c>
      <c r="BL105" s="13">
        <v>99</v>
      </c>
      <c r="BM105" s="13">
        <v>98</v>
      </c>
      <c r="BN105" s="13">
        <v>98</v>
      </c>
      <c r="BO105" s="13">
        <v>100</v>
      </c>
      <c r="BP105" s="13">
        <v>97</v>
      </c>
      <c r="BQ105" s="13">
        <v>101</v>
      </c>
      <c r="BR105" s="13">
        <v>92</v>
      </c>
      <c r="BS105" s="13">
        <v>99</v>
      </c>
      <c r="BT105" s="13">
        <v>97</v>
      </c>
      <c r="BU105" s="13">
        <v>99</v>
      </c>
      <c r="BV105" s="13">
        <v>99</v>
      </c>
      <c r="BW105" s="13">
        <v>100</v>
      </c>
      <c r="BX105" s="328">
        <f t="shared" si="10"/>
        <v>179093946</v>
      </c>
      <c r="BY105" s="328">
        <f t="shared" si="11"/>
        <v>67447368</v>
      </c>
      <c r="BZ105" s="329">
        <f t="shared" si="8"/>
        <v>0.79013278645766682</v>
      </c>
      <c r="CA105" s="329">
        <f t="shared" si="9"/>
        <v>0.79021457558865493</v>
      </c>
    </row>
    <row r="106" spans="1:79" x14ac:dyDescent="0.25">
      <c r="A106" s="13">
        <v>1560</v>
      </c>
      <c r="B106" s="13">
        <v>105</v>
      </c>
      <c r="C106" s="13" t="s">
        <v>624</v>
      </c>
      <c r="D106" s="13">
        <v>417838</v>
      </c>
      <c r="E106" s="13">
        <v>424347</v>
      </c>
      <c r="F106" s="13">
        <v>450601</v>
      </c>
      <c r="G106" s="13">
        <v>466720</v>
      </c>
      <c r="H106" s="13">
        <v>0.7</v>
      </c>
      <c r="I106" s="13">
        <v>193</v>
      </c>
      <c r="J106" s="13">
        <v>163117</v>
      </c>
      <c r="K106" s="13">
        <v>176317</v>
      </c>
      <c r="L106" s="13">
        <v>184584</v>
      </c>
      <c r="M106" s="13">
        <v>0.9</v>
      </c>
      <c r="N106" s="13">
        <v>2.5099999999999998</v>
      </c>
      <c r="O106" s="13">
        <v>119123</v>
      </c>
      <c r="P106" s="13">
        <v>126573</v>
      </c>
      <c r="Q106" s="13">
        <v>0.7</v>
      </c>
      <c r="R106" s="13">
        <v>85.2</v>
      </c>
      <c r="S106" s="13">
        <v>84</v>
      </c>
      <c r="T106" s="13">
        <v>13.7</v>
      </c>
      <c r="U106" s="13">
        <v>14.5</v>
      </c>
      <c r="V106" s="13">
        <v>0.7</v>
      </c>
      <c r="W106" s="13">
        <v>1</v>
      </c>
      <c r="X106" s="13">
        <v>0.6</v>
      </c>
      <c r="Y106" s="13">
        <v>1</v>
      </c>
      <c r="Z106" s="13">
        <v>6.4</v>
      </c>
      <c r="AA106" s="13">
        <v>6.8</v>
      </c>
      <c r="AB106" s="13">
        <v>6.8</v>
      </c>
      <c r="AC106" s="13">
        <v>7.1</v>
      </c>
      <c r="AD106" s="13">
        <v>6.2</v>
      </c>
      <c r="AE106" s="13">
        <v>30.1</v>
      </c>
      <c r="AF106" s="13">
        <v>23.6</v>
      </c>
      <c r="AG106" s="13">
        <v>11.6</v>
      </c>
      <c r="AH106" s="13">
        <v>1.5</v>
      </c>
      <c r="AI106" s="13">
        <v>75.900000000000006</v>
      </c>
      <c r="AJ106" s="13">
        <v>34.5</v>
      </c>
      <c r="AK106" s="13">
        <v>36.799999999999997</v>
      </c>
      <c r="AL106" s="13">
        <v>91.6</v>
      </c>
      <c r="AM106" s="13">
        <v>15966</v>
      </c>
      <c r="AN106" s="13">
        <v>176302</v>
      </c>
      <c r="AO106" s="13">
        <v>21.7</v>
      </c>
      <c r="AP106" s="13">
        <v>17.100000000000001</v>
      </c>
      <c r="AQ106" s="13">
        <v>34.799999999999997</v>
      </c>
      <c r="AR106" s="13">
        <v>21</v>
      </c>
      <c r="AS106" s="13">
        <v>3.6</v>
      </c>
      <c r="AT106" s="13">
        <v>1.9</v>
      </c>
      <c r="AU106" s="13">
        <v>31480</v>
      </c>
      <c r="AV106" s="13">
        <v>35459</v>
      </c>
      <c r="AW106" s="13">
        <v>247</v>
      </c>
      <c r="AX106" s="13">
        <v>32589</v>
      </c>
      <c r="AY106" s="13">
        <v>28269</v>
      </c>
      <c r="AZ106" s="13">
        <v>39436</v>
      </c>
      <c r="BA106" s="13">
        <v>41323</v>
      </c>
      <c r="BB106" s="13">
        <v>34640</v>
      </c>
      <c r="BC106" s="13">
        <v>19570</v>
      </c>
      <c r="BD106" s="13">
        <v>99</v>
      </c>
      <c r="BE106" s="13">
        <v>90</v>
      </c>
      <c r="BF106" s="13">
        <v>96</v>
      </c>
      <c r="BG106" s="13">
        <v>94</v>
      </c>
      <c r="BH106" s="13">
        <v>103</v>
      </c>
      <c r="BI106" s="13">
        <v>101</v>
      </c>
      <c r="BJ106" s="13">
        <v>106</v>
      </c>
      <c r="BK106" s="13">
        <v>100</v>
      </c>
      <c r="BL106" s="13">
        <v>97</v>
      </c>
      <c r="BM106" s="13">
        <v>96</v>
      </c>
      <c r="BN106" s="13">
        <v>93</v>
      </c>
      <c r="BO106" s="13">
        <v>99</v>
      </c>
      <c r="BP106" s="13">
        <v>96</v>
      </c>
      <c r="BQ106" s="13">
        <v>100</v>
      </c>
      <c r="BR106" s="13">
        <v>90</v>
      </c>
      <c r="BS106" s="13">
        <v>99</v>
      </c>
      <c r="BT106" s="13">
        <v>94</v>
      </c>
      <c r="BU106" s="13">
        <v>97</v>
      </c>
      <c r="BV106" s="13">
        <v>100</v>
      </c>
      <c r="BW106" s="13">
        <v>99</v>
      </c>
      <c r="BX106" s="328">
        <f t="shared" si="10"/>
        <v>179560666</v>
      </c>
      <c r="BY106" s="328">
        <f t="shared" si="11"/>
        <v>67631952</v>
      </c>
      <c r="BZ106" s="329">
        <f t="shared" si="8"/>
        <v>0.79219187769068666</v>
      </c>
      <c r="CA106" s="329">
        <f t="shared" si="9"/>
        <v>0.79237716504982492</v>
      </c>
    </row>
    <row r="107" spans="1:79" x14ac:dyDescent="0.25">
      <c r="A107" s="13">
        <v>2120</v>
      </c>
      <c r="B107" s="13">
        <v>106</v>
      </c>
      <c r="C107" s="13" t="s">
        <v>625</v>
      </c>
      <c r="D107" s="13">
        <v>367561</v>
      </c>
      <c r="E107" s="13">
        <v>392928</v>
      </c>
      <c r="F107" s="13">
        <v>433508</v>
      </c>
      <c r="G107" s="13">
        <v>457698</v>
      </c>
      <c r="H107" s="13">
        <v>1.2</v>
      </c>
      <c r="I107" s="13">
        <v>123</v>
      </c>
      <c r="J107" s="13">
        <v>153100</v>
      </c>
      <c r="K107" s="13">
        <v>171555</v>
      </c>
      <c r="L107" s="13">
        <v>182907</v>
      </c>
      <c r="M107" s="13">
        <v>1.4</v>
      </c>
      <c r="N107" s="13">
        <v>2.4700000000000002</v>
      </c>
      <c r="O107" s="13">
        <v>104094</v>
      </c>
      <c r="P107" s="13">
        <v>113953</v>
      </c>
      <c r="Q107" s="13">
        <v>1.1000000000000001</v>
      </c>
      <c r="R107" s="13">
        <v>93.8</v>
      </c>
      <c r="S107" s="13">
        <v>92.4</v>
      </c>
      <c r="T107" s="13">
        <v>3.8</v>
      </c>
      <c r="U107" s="13">
        <v>4.2</v>
      </c>
      <c r="V107" s="13">
        <v>1.6</v>
      </c>
      <c r="W107" s="13">
        <v>2.1</v>
      </c>
      <c r="X107" s="13">
        <v>1.7</v>
      </c>
      <c r="Y107" s="13">
        <v>2.9</v>
      </c>
      <c r="Z107" s="13">
        <v>6.6</v>
      </c>
      <c r="AA107" s="13">
        <v>7.1</v>
      </c>
      <c r="AB107" s="13">
        <v>7</v>
      </c>
      <c r="AC107" s="13">
        <v>7.1</v>
      </c>
      <c r="AD107" s="13">
        <v>6.4</v>
      </c>
      <c r="AE107" s="13">
        <v>32.700000000000003</v>
      </c>
      <c r="AF107" s="13">
        <v>21.4</v>
      </c>
      <c r="AG107" s="13">
        <v>10.1</v>
      </c>
      <c r="AH107" s="13">
        <v>1.6</v>
      </c>
      <c r="AI107" s="13">
        <v>75.3</v>
      </c>
      <c r="AJ107" s="13">
        <v>32.6</v>
      </c>
      <c r="AK107" s="13">
        <v>35.1</v>
      </c>
      <c r="AL107" s="13">
        <v>93</v>
      </c>
      <c r="AM107" s="13">
        <v>19500</v>
      </c>
      <c r="AN107" s="13">
        <v>171545</v>
      </c>
      <c r="AO107" s="13">
        <v>13</v>
      </c>
      <c r="AP107" s="13">
        <v>13.2</v>
      </c>
      <c r="AQ107" s="13">
        <v>36.9</v>
      </c>
      <c r="AR107" s="13">
        <v>29.5</v>
      </c>
      <c r="AS107" s="13">
        <v>5.4</v>
      </c>
      <c r="AT107" s="13">
        <v>2.1</v>
      </c>
      <c r="AU107" s="13">
        <v>40391</v>
      </c>
      <c r="AV107" s="13">
        <v>46448</v>
      </c>
      <c r="AW107" s="13">
        <v>88</v>
      </c>
      <c r="AX107" s="13">
        <v>35667</v>
      </c>
      <c r="AY107" s="13">
        <v>30517</v>
      </c>
      <c r="AZ107" s="13">
        <v>40882</v>
      </c>
      <c r="BA107" s="13">
        <v>45834</v>
      </c>
      <c r="BB107" s="13">
        <v>37550</v>
      </c>
      <c r="BC107" s="13">
        <v>23354</v>
      </c>
      <c r="BD107" s="13">
        <v>98</v>
      </c>
      <c r="BE107" s="13">
        <v>101</v>
      </c>
      <c r="BF107" s="13">
        <v>95</v>
      </c>
      <c r="BG107" s="13">
        <v>98</v>
      </c>
      <c r="BH107" s="13">
        <v>101</v>
      </c>
      <c r="BI107" s="13">
        <v>99</v>
      </c>
      <c r="BJ107" s="13">
        <v>100</v>
      </c>
      <c r="BK107" s="13">
        <v>99</v>
      </c>
      <c r="BL107" s="13">
        <v>99</v>
      </c>
      <c r="BM107" s="13">
        <v>100</v>
      </c>
      <c r="BN107" s="13">
        <v>102</v>
      </c>
      <c r="BO107" s="13">
        <v>99</v>
      </c>
      <c r="BP107" s="13">
        <v>101</v>
      </c>
      <c r="BQ107" s="13">
        <v>100</v>
      </c>
      <c r="BR107" s="13">
        <v>102</v>
      </c>
      <c r="BS107" s="13">
        <v>102</v>
      </c>
      <c r="BT107" s="13">
        <v>101</v>
      </c>
      <c r="BU107" s="13">
        <v>100</v>
      </c>
      <c r="BV107" s="13">
        <v>98</v>
      </c>
      <c r="BW107" s="13">
        <v>99</v>
      </c>
      <c r="BX107" s="328">
        <f t="shared" si="10"/>
        <v>180018364</v>
      </c>
      <c r="BY107" s="328">
        <f t="shared" si="11"/>
        <v>67814859</v>
      </c>
      <c r="BZ107" s="329">
        <f t="shared" si="8"/>
        <v>0.79421116535603353</v>
      </c>
      <c r="CA107" s="329">
        <f t="shared" si="9"/>
        <v>0.79452010674885754</v>
      </c>
    </row>
    <row r="108" spans="1:79" x14ac:dyDescent="0.25">
      <c r="A108" s="13">
        <v>3980</v>
      </c>
      <c r="B108" s="13">
        <v>107</v>
      </c>
      <c r="C108" s="13" t="s">
        <v>626</v>
      </c>
      <c r="D108" s="13">
        <v>321652</v>
      </c>
      <c r="E108" s="13">
        <v>405382</v>
      </c>
      <c r="F108" s="13">
        <v>455147</v>
      </c>
      <c r="G108" s="13">
        <v>485007</v>
      </c>
      <c r="H108" s="13">
        <v>1.4</v>
      </c>
      <c r="I108" s="13">
        <v>88</v>
      </c>
      <c r="J108" s="13">
        <v>155969</v>
      </c>
      <c r="K108" s="13">
        <v>172800</v>
      </c>
      <c r="L108" s="13">
        <v>182601</v>
      </c>
      <c r="M108" s="13">
        <v>1.2</v>
      </c>
      <c r="N108" s="13">
        <v>2.58</v>
      </c>
      <c r="O108" s="13">
        <v>114554</v>
      </c>
      <c r="P108" s="13">
        <v>124427</v>
      </c>
      <c r="Q108" s="13">
        <v>1</v>
      </c>
      <c r="R108" s="13">
        <v>84.4</v>
      </c>
      <c r="S108" s="13">
        <v>80.900000000000006</v>
      </c>
      <c r="T108" s="13">
        <v>13.4</v>
      </c>
      <c r="U108" s="13">
        <v>15.8</v>
      </c>
      <c r="V108" s="13">
        <v>0.6</v>
      </c>
      <c r="W108" s="13">
        <v>1</v>
      </c>
      <c r="X108" s="13">
        <v>4.0999999999999996</v>
      </c>
      <c r="Y108" s="13">
        <v>5.9</v>
      </c>
      <c r="Z108" s="13">
        <v>6.9</v>
      </c>
      <c r="AA108" s="13">
        <v>7.4</v>
      </c>
      <c r="AB108" s="13">
        <v>7.2</v>
      </c>
      <c r="AC108" s="13">
        <v>6.7</v>
      </c>
      <c r="AD108" s="13">
        <v>5.5</v>
      </c>
      <c r="AE108" s="13">
        <v>26.1</v>
      </c>
      <c r="AF108" s="13">
        <v>21.6</v>
      </c>
      <c r="AG108" s="13">
        <v>16.8</v>
      </c>
      <c r="AH108" s="13">
        <v>1.8</v>
      </c>
      <c r="AI108" s="13">
        <v>74.599999999999994</v>
      </c>
      <c r="AJ108" s="13">
        <v>36.5</v>
      </c>
      <c r="AK108" s="13">
        <v>38.1</v>
      </c>
      <c r="AL108" s="13">
        <v>95.2</v>
      </c>
      <c r="AM108" s="13">
        <v>15402</v>
      </c>
      <c r="AN108" s="13">
        <v>172799</v>
      </c>
      <c r="AO108" s="13">
        <v>18.3</v>
      </c>
      <c r="AP108" s="13">
        <v>18</v>
      </c>
      <c r="AQ108" s="13">
        <v>37.5</v>
      </c>
      <c r="AR108" s="13">
        <v>21.7</v>
      </c>
      <c r="AS108" s="13">
        <v>3.3</v>
      </c>
      <c r="AT108" s="13">
        <v>1.2</v>
      </c>
      <c r="AU108" s="13">
        <v>32187</v>
      </c>
      <c r="AV108" s="13">
        <v>36761</v>
      </c>
      <c r="AW108" s="13">
        <v>230</v>
      </c>
      <c r="AX108" s="13">
        <v>32531</v>
      </c>
      <c r="AY108" s="13">
        <v>29852</v>
      </c>
      <c r="AZ108" s="13">
        <v>36967</v>
      </c>
      <c r="BA108" s="13">
        <v>41135</v>
      </c>
      <c r="BB108" s="13">
        <v>36175</v>
      </c>
      <c r="BC108" s="13">
        <v>24221</v>
      </c>
      <c r="BD108" s="13">
        <v>98</v>
      </c>
      <c r="BE108" s="13">
        <v>89</v>
      </c>
      <c r="BF108" s="13">
        <v>104</v>
      </c>
      <c r="BG108" s="13">
        <v>92</v>
      </c>
      <c r="BH108" s="13">
        <v>104</v>
      </c>
      <c r="BI108" s="13">
        <v>103</v>
      </c>
      <c r="BJ108" s="13">
        <v>106</v>
      </c>
      <c r="BK108" s="13">
        <v>100</v>
      </c>
      <c r="BL108" s="13">
        <v>95</v>
      </c>
      <c r="BM108" s="13">
        <v>94</v>
      </c>
      <c r="BN108" s="13">
        <v>93</v>
      </c>
      <c r="BO108" s="13">
        <v>97</v>
      </c>
      <c r="BP108" s="13">
        <v>95</v>
      </c>
      <c r="BQ108" s="13">
        <v>100</v>
      </c>
      <c r="BR108" s="13">
        <v>91</v>
      </c>
      <c r="BS108" s="13">
        <v>98</v>
      </c>
      <c r="BT108" s="13">
        <v>89</v>
      </c>
      <c r="BU108" s="13">
        <v>95</v>
      </c>
      <c r="BV108" s="13">
        <v>103</v>
      </c>
      <c r="BW108" s="13">
        <v>99</v>
      </c>
      <c r="BX108" s="328">
        <f t="shared" si="10"/>
        <v>180503371</v>
      </c>
      <c r="BY108" s="328">
        <f t="shared" si="11"/>
        <v>67997460</v>
      </c>
      <c r="BZ108" s="329">
        <f t="shared" si="8"/>
        <v>0.79635093580009686</v>
      </c>
      <c r="CA108" s="329">
        <f t="shared" si="9"/>
        <v>0.79665946334639093</v>
      </c>
    </row>
    <row r="109" spans="1:79" x14ac:dyDescent="0.25">
      <c r="A109" s="13">
        <v>8720</v>
      </c>
      <c r="B109" s="13">
        <v>108</v>
      </c>
      <c r="C109" s="13" t="s">
        <v>627</v>
      </c>
      <c r="D109" s="13">
        <v>334402</v>
      </c>
      <c r="E109" s="13">
        <v>451186</v>
      </c>
      <c r="F109" s="13">
        <v>495148</v>
      </c>
      <c r="G109" s="13">
        <v>521920</v>
      </c>
      <c r="H109" s="13">
        <v>1.1000000000000001</v>
      </c>
      <c r="I109" s="13">
        <v>142</v>
      </c>
      <c r="J109" s="13">
        <v>154741</v>
      </c>
      <c r="K109" s="13">
        <v>171074</v>
      </c>
      <c r="L109" s="13">
        <v>180508</v>
      </c>
      <c r="M109" s="13">
        <v>1.2</v>
      </c>
      <c r="N109" s="13">
        <v>2.79</v>
      </c>
      <c r="O109" s="13">
        <v>114668</v>
      </c>
      <c r="P109" s="13">
        <v>124433</v>
      </c>
      <c r="Q109" s="13">
        <v>1</v>
      </c>
      <c r="R109" s="13">
        <v>72.2</v>
      </c>
      <c r="S109" s="13">
        <v>67</v>
      </c>
      <c r="T109" s="13">
        <v>10.4</v>
      </c>
      <c r="U109" s="13">
        <v>10.5</v>
      </c>
      <c r="V109" s="13">
        <v>10.4</v>
      </c>
      <c r="W109" s="13">
        <v>13.7</v>
      </c>
      <c r="X109" s="13">
        <v>13.6</v>
      </c>
      <c r="Y109" s="13">
        <v>17.899999999999999</v>
      </c>
      <c r="Z109" s="13">
        <v>8.3000000000000007</v>
      </c>
      <c r="AA109" s="13">
        <v>8.4</v>
      </c>
      <c r="AB109" s="13">
        <v>7.7</v>
      </c>
      <c r="AC109" s="13">
        <v>6.7</v>
      </c>
      <c r="AD109" s="13">
        <v>5.9</v>
      </c>
      <c r="AE109" s="13">
        <v>32.6</v>
      </c>
      <c r="AF109" s="13">
        <v>19.5</v>
      </c>
      <c r="AG109" s="13">
        <v>9.6999999999999993</v>
      </c>
      <c r="AH109" s="13">
        <v>1.2</v>
      </c>
      <c r="AI109" s="13">
        <v>71.599999999999994</v>
      </c>
      <c r="AJ109" s="13">
        <v>32</v>
      </c>
      <c r="AK109" s="13">
        <v>33.700000000000003</v>
      </c>
      <c r="AL109" s="13">
        <v>101.6</v>
      </c>
      <c r="AM109" s="13">
        <v>19721</v>
      </c>
      <c r="AN109" s="13">
        <v>171065</v>
      </c>
      <c r="AO109" s="13">
        <v>10.199999999999999</v>
      </c>
      <c r="AP109" s="13">
        <v>9.6999999999999993</v>
      </c>
      <c r="AQ109" s="13">
        <v>32</v>
      </c>
      <c r="AR109" s="13">
        <v>37.9</v>
      </c>
      <c r="AS109" s="13">
        <v>7.6</v>
      </c>
      <c r="AT109" s="13">
        <v>2.5</v>
      </c>
      <c r="AU109" s="13">
        <v>48302</v>
      </c>
      <c r="AV109" s="13">
        <v>54849</v>
      </c>
      <c r="AW109" s="13">
        <v>24</v>
      </c>
      <c r="AX109" s="13">
        <v>41701</v>
      </c>
      <c r="AY109" s="13">
        <v>37321</v>
      </c>
      <c r="AZ109" s="13">
        <v>45690</v>
      </c>
      <c r="BA109" s="13">
        <v>50918</v>
      </c>
      <c r="BB109" s="13">
        <v>44571</v>
      </c>
      <c r="BC109" s="13">
        <v>29360</v>
      </c>
      <c r="BD109" s="13">
        <v>102</v>
      </c>
      <c r="BE109" s="13">
        <v>107</v>
      </c>
      <c r="BF109" s="13">
        <v>98</v>
      </c>
      <c r="BG109" s="13">
        <v>101</v>
      </c>
      <c r="BH109" s="13">
        <v>101</v>
      </c>
      <c r="BI109" s="13">
        <v>102</v>
      </c>
      <c r="BJ109" s="13">
        <v>98</v>
      </c>
      <c r="BK109" s="13">
        <v>101</v>
      </c>
      <c r="BL109" s="13">
        <v>104</v>
      </c>
      <c r="BM109" s="13">
        <v>104</v>
      </c>
      <c r="BN109" s="13">
        <v>107</v>
      </c>
      <c r="BO109" s="13">
        <v>99</v>
      </c>
      <c r="BP109" s="13">
        <v>100</v>
      </c>
      <c r="BQ109" s="13">
        <v>98</v>
      </c>
      <c r="BR109" s="13">
        <v>98</v>
      </c>
      <c r="BS109" s="13">
        <v>99</v>
      </c>
      <c r="BT109" s="13">
        <v>103</v>
      </c>
      <c r="BU109" s="13">
        <v>102</v>
      </c>
      <c r="BV109" s="13">
        <v>98</v>
      </c>
      <c r="BW109" s="13">
        <v>99</v>
      </c>
      <c r="BX109" s="328">
        <f t="shared" si="10"/>
        <v>181025291</v>
      </c>
      <c r="BY109" s="328">
        <f t="shared" si="11"/>
        <v>68177968</v>
      </c>
      <c r="BZ109" s="329">
        <f t="shared" si="8"/>
        <v>0.79865356027802303</v>
      </c>
      <c r="CA109" s="329">
        <f t="shared" si="9"/>
        <v>0.79877429831831093</v>
      </c>
    </row>
    <row r="110" spans="1:79" x14ac:dyDescent="0.25">
      <c r="A110" s="13">
        <v>600</v>
      </c>
      <c r="B110" s="13">
        <v>109</v>
      </c>
      <c r="C110" s="13" t="s">
        <v>628</v>
      </c>
      <c r="D110" s="13">
        <v>363451</v>
      </c>
      <c r="E110" s="13">
        <v>415184</v>
      </c>
      <c r="F110" s="13">
        <v>460870</v>
      </c>
      <c r="G110" s="13">
        <v>486510</v>
      </c>
      <c r="H110" s="13">
        <v>1.3</v>
      </c>
      <c r="I110" s="13">
        <v>110</v>
      </c>
      <c r="J110" s="13">
        <v>149093</v>
      </c>
      <c r="K110" s="13">
        <v>168423</v>
      </c>
      <c r="L110" s="13">
        <v>180337</v>
      </c>
      <c r="M110" s="13">
        <v>1.5</v>
      </c>
      <c r="N110" s="13">
        <v>2.64</v>
      </c>
      <c r="O110" s="13">
        <v>109862</v>
      </c>
      <c r="P110" s="13">
        <v>122579</v>
      </c>
      <c r="Q110" s="13">
        <v>1.3</v>
      </c>
      <c r="R110" s="13">
        <v>66.099999999999994</v>
      </c>
      <c r="S110" s="13">
        <v>63.6</v>
      </c>
      <c r="T110" s="13">
        <v>31.8</v>
      </c>
      <c r="U110" s="13">
        <v>33.1</v>
      </c>
      <c r="V110" s="13">
        <v>1.3</v>
      </c>
      <c r="W110" s="13">
        <v>2.2000000000000002</v>
      </c>
      <c r="X110" s="13">
        <v>1.4</v>
      </c>
      <c r="Y110" s="13">
        <v>2.5</v>
      </c>
      <c r="Z110" s="13">
        <v>7.4</v>
      </c>
      <c r="AA110" s="13">
        <v>7.8</v>
      </c>
      <c r="AB110" s="13">
        <v>7.5</v>
      </c>
      <c r="AC110" s="13">
        <v>7.8</v>
      </c>
      <c r="AD110" s="13">
        <v>6.9</v>
      </c>
      <c r="AE110" s="13">
        <v>32</v>
      </c>
      <c r="AF110" s="13">
        <v>20.5</v>
      </c>
      <c r="AG110" s="13">
        <v>9.1999999999999993</v>
      </c>
      <c r="AH110" s="13">
        <v>1</v>
      </c>
      <c r="AI110" s="13">
        <v>72.900000000000006</v>
      </c>
      <c r="AJ110" s="13">
        <v>31.3</v>
      </c>
      <c r="AK110" s="13">
        <v>33.4</v>
      </c>
      <c r="AL110" s="13">
        <v>95.3</v>
      </c>
      <c r="AM110" s="13">
        <v>15387</v>
      </c>
      <c r="AN110" s="13">
        <v>168422</v>
      </c>
      <c r="AO110" s="13">
        <v>20.8</v>
      </c>
      <c r="AP110" s="13">
        <v>15.4</v>
      </c>
      <c r="AQ110" s="13">
        <v>34.6</v>
      </c>
      <c r="AR110" s="13">
        <v>24</v>
      </c>
      <c r="AS110" s="13">
        <v>3.9</v>
      </c>
      <c r="AT110" s="13">
        <v>1.3</v>
      </c>
      <c r="AU110" s="13">
        <v>33978</v>
      </c>
      <c r="AV110" s="13">
        <v>38524</v>
      </c>
      <c r="AW110" s="13">
        <v>200</v>
      </c>
      <c r="AX110" s="13">
        <v>31671</v>
      </c>
      <c r="AY110" s="13">
        <v>27578</v>
      </c>
      <c r="AZ110" s="13">
        <v>36060</v>
      </c>
      <c r="BA110" s="13">
        <v>40105</v>
      </c>
      <c r="BB110" s="13">
        <v>33617</v>
      </c>
      <c r="BC110" s="13">
        <v>20265</v>
      </c>
      <c r="BD110" s="13">
        <v>99</v>
      </c>
      <c r="BE110" s="13">
        <v>94</v>
      </c>
      <c r="BF110" s="13">
        <v>93</v>
      </c>
      <c r="BG110" s="13">
        <v>94</v>
      </c>
      <c r="BH110" s="13">
        <v>101</v>
      </c>
      <c r="BI110" s="13">
        <v>99</v>
      </c>
      <c r="BJ110" s="13">
        <v>104</v>
      </c>
      <c r="BK110" s="13">
        <v>100</v>
      </c>
      <c r="BL110" s="13">
        <v>99</v>
      </c>
      <c r="BM110" s="13">
        <v>98</v>
      </c>
      <c r="BN110" s="13">
        <v>96</v>
      </c>
      <c r="BO110" s="13">
        <v>100</v>
      </c>
      <c r="BP110" s="13">
        <v>96</v>
      </c>
      <c r="BQ110" s="13">
        <v>101</v>
      </c>
      <c r="BR110" s="13">
        <v>90</v>
      </c>
      <c r="BS110" s="13">
        <v>100</v>
      </c>
      <c r="BT110" s="13">
        <v>96</v>
      </c>
      <c r="BU110" s="13">
        <v>98</v>
      </c>
      <c r="BV110" s="13">
        <v>98</v>
      </c>
      <c r="BW110" s="13">
        <v>100</v>
      </c>
      <c r="BX110" s="328">
        <f t="shared" si="10"/>
        <v>181511801</v>
      </c>
      <c r="BY110" s="328">
        <f t="shared" si="11"/>
        <v>68358305</v>
      </c>
      <c r="BZ110" s="329">
        <f t="shared" si="8"/>
        <v>0.80079996170880907</v>
      </c>
      <c r="CA110" s="329">
        <f t="shared" si="9"/>
        <v>0.80088712985115784</v>
      </c>
    </row>
    <row r="111" spans="1:79" x14ac:dyDescent="0.25">
      <c r="A111" s="13">
        <v>3720</v>
      </c>
      <c r="B111" s="13">
        <v>110</v>
      </c>
      <c r="C111" s="13" t="s">
        <v>629</v>
      </c>
      <c r="D111" s="13">
        <v>420771</v>
      </c>
      <c r="E111" s="13">
        <v>429453</v>
      </c>
      <c r="F111" s="13">
        <v>448903</v>
      </c>
      <c r="G111" s="13">
        <v>460818</v>
      </c>
      <c r="H111" s="13">
        <v>0.5</v>
      </c>
      <c r="I111" s="13">
        <v>218</v>
      </c>
      <c r="J111" s="13">
        <v>160916</v>
      </c>
      <c r="K111" s="13">
        <v>171801</v>
      </c>
      <c r="L111" s="13">
        <v>178498</v>
      </c>
      <c r="M111" s="13">
        <v>0.8</v>
      </c>
      <c r="N111" s="13">
        <v>2.5299999999999998</v>
      </c>
      <c r="O111" s="13">
        <v>110832</v>
      </c>
      <c r="P111" s="13">
        <v>116076</v>
      </c>
      <c r="Q111" s="13">
        <v>0.6</v>
      </c>
      <c r="R111" s="13">
        <v>88.3</v>
      </c>
      <c r="S111" s="13">
        <v>86.7</v>
      </c>
      <c r="T111" s="13">
        <v>9.1</v>
      </c>
      <c r="U111" s="13">
        <v>10.1</v>
      </c>
      <c r="V111" s="13">
        <v>1</v>
      </c>
      <c r="W111" s="13">
        <v>1.4</v>
      </c>
      <c r="X111" s="13">
        <v>2</v>
      </c>
      <c r="Y111" s="13">
        <v>2.6</v>
      </c>
      <c r="Z111" s="13">
        <v>6.8</v>
      </c>
      <c r="AA111" s="13">
        <v>7.4</v>
      </c>
      <c r="AB111" s="13">
        <v>7.2</v>
      </c>
      <c r="AC111" s="13">
        <v>8</v>
      </c>
      <c r="AD111" s="13">
        <v>7.5</v>
      </c>
      <c r="AE111" s="13">
        <v>30.1</v>
      </c>
      <c r="AF111" s="13">
        <v>20.7</v>
      </c>
      <c r="AG111" s="13">
        <v>10.8</v>
      </c>
      <c r="AH111" s="13">
        <v>1.5</v>
      </c>
      <c r="AI111" s="13">
        <v>74.5</v>
      </c>
      <c r="AJ111" s="13">
        <v>32.299999999999997</v>
      </c>
      <c r="AK111" s="13">
        <v>34.799999999999997</v>
      </c>
      <c r="AL111" s="13">
        <v>94.4</v>
      </c>
      <c r="AM111" s="13">
        <v>18160</v>
      </c>
      <c r="AN111" s="13">
        <v>171800</v>
      </c>
      <c r="AO111" s="13">
        <v>16.8</v>
      </c>
      <c r="AP111" s="13">
        <v>13.5</v>
      </c>
      <c r="AQ111" s="13">
        <v>34.799999999999997</v>
      </c>
      <c r="AR111" s="13">
        <v>27.5</v>
      </c>
      <c r="AS111" s="13">
        <v>5.2</v>
      </c>
      <c r="AT111" s="13">
        <v>2.1</v>
      </c>
      <c r="AU111" s="13">
        <v>38045</v>
      </c>
      <c r="AV111" s="13">
        <v>44782</v>
      </c>
      <c r="AW111" s="13">
        <v>125</v>
      </c>
      <c r="AX111" s="13">
        <v>33365</v>
      </c>
      <c r="AY111" s="13">
        <v>27797</v>
      </c>
      <c r="AZ111" s="13">
        <v>37311</v>
      </c>
      <c r="BA111" s="13">
        <v>45268</v>
      </c>
      <c r="BB111" s="13">
        <v>38771</v>
      </c>
      <c r="BC111" s="13">
        <v>21816</v>
      </c>
      <c r="BD111" s="13">
        <v>98</v>
      </c>
      <c r="BE111" s="13">
        <v>95</v>
      </c>
      <c r="BF111" s="13">
        <v>95</v>
      </c>
      <c r="BG111" s="13">
        <v>95</v>
      </c>
      <c r="BH111" s="13">
        <v>101</v>
      </c>
      <c r="BI111" s="13">
        <v>98</v>
      </c>
      <c r="BJ111" s="13">
        <v>102</v>
      </c>
      <c r="BK111" s="13">
        <v>98</v>
      </c>
      <c r="BL111" s="13">
        <v>97</v>
      </c>
      <c r="BM111" s="13">
        <v>96</v>
      </c>
      <c r="BN111" s="13">
        <v>97</v>
      </c>
      <c r="BO111" s="13">
        <v>97</v>
      </c>
      <c r="BP111" s="13">
        <v>98</v>
      </c>
      <c r="BQ111" s="13">
        <v>99</v>
      </c>
      <c r="BR111" s="13">
        <v>100</v>
      </c>
      <c r="BS111" s="13">
        <v>101</v>
      </c>
      <c r="BT111" s="13">
        <v>97</v>
      </c>
      <c r="BU111" s="13">
        <v>98</v>
      </c>
      <c r="BV111" s="13">
        <v>98</v>
      </c>
      <c r="BW111" s="13">
        <v>98</v>
      </c>
      <c r="BX111" s="328">
        <f t="shared" si="10"/>
        <v>181972619</v>
      </c>
      <c r="BY111" s="328">
        <f t="shared" si="11"/>
        <v>68536803</v>
      </c>
      <c r="BZ111" s="329">
        <f t="shared" si="8"/>
        <v>0.80283301429669418</v>
      </c>
      <c r="CA111" s="329">
        <f t="shared" si="9"/>
        <v>0.80297841562695604</v>
      </c>
    </row>
    <row r="112" spans="1:79" x14ac:dyDescent="0.25">
      <c r="A112" s="13">
        <v>7500</v>
      </c>
      <c r="B112" s="13">
        <v>111</v>
      </c>
      <c r="C112" s="13" t="s">
        <v>630</v>
      </c>
      <c r="D112" s="13">
        <v>299681</v>
      </c>
      <c r="E112" s="13">
        <v>388222</v>
      </c>
      <c r="F112" s="13">
        <v>435361</v>
      </c>
      <c r="G112" s="13">
        <v>463338</v>
      </c>
      <c r="H112" s="13">
        <v>1.4</v>
      </c>
      <c r="I112" s="13">
        <v>90</v>
      </c>
      <c r="J112" s="13">
        <v>149011</v>
      </c>
      <c r="K112" s="13">
        <v>167249</v>
      </c>
      <c r="L112" s="13">
        <v>178204</v>
      </c>
      <c r="M112" s="13">
        <v>1.4</v>
      </c>
      <c r="N112" s="13">
        <v>2.5499999999999998</v>
      </c>
      <c r="O112" s="13">
        <v>99876</v>
      </c>
      <c r="P112" s="13">
        <v>108853</v>
      </c>
      <c r="Q112" s="13">
        <v>1</v>
      </c>
      <c r="R112" s="13">
        <v>90.6</v>
      </c>
      <c r="S112" s="13">
        <v>88</v>
      </c>
      <c r="T112" s="13">
        <v>1.4</v>
      </c>
      <c r="U112" s="13">
        <v>1.5</v>
      </c>
      <c r="V112" s="13">
        <v>2.8</v>
      </c>
      <c r="W112" s="13">
        <v>3.8</v>
      </c>
      <c r="X112" s="13">
        <v>10.6</v>
      </c>
      <c r="Y112" s="13">
        <v>14.6</v>
      </c>
      <c r="Z112" s="13">
        <v>7.3</v>
      </c>
      <c r="AA112" s="13">
        <v>7.8</v>
      </c>
      <c r="AB112" s="13">
        <v>7.1</v>
      </c>
      <c r="AC112" s="13">
        <v>6.2</v>
      </c>
      <c r="AD112" s="13">
        <v>5.0999999999999996</v>
      </c>
      <c r="AE112" s="13">
        <v>31.4</v>
      </c>
      <c r="AF112" s="13">
        <v>21.2</v>
      </c>
      <c r="AG112" s="13">
        <v>12.2</v>
      </c>
      <c r="AH112" s="13">
        <v>1.7</v>
      </c>
      <c r="AI112" s="13">
        <v>74.3</v>
      </c>
      <c r="AJ112" s="13">
        <v>34.799999999999997</v>
      </c>
      <c r="AK112" s="13">
        <v>36.700000000000003</v>
      </c>
      <c r="AL112" s="13">
        <v>96.3</v>
      </c>
      <c r="AM112" s="13">
        <v>22256</v>
      </c>
      <c r="AN112" s="13">
        <v>167249</v>
      </c>
      <c r="AO112" s="13">
        <v>10.5</v>
      </c>
      <c r="AP112" s="13">
        <v>10.7</v>
      </c>
      <c r="AQ112" s="13">
        <v>32.6</v>
      </c>
      <c r="AR112" s="13">
        <v>34.6</v>
      </c>
      <c r="AS112" s="13">
        <v>7.9</v>
      </c>
      <c r="AT112" s="13">
        <v>3.7</v>
      </c>
      <c r="AU112" s="13">
        <v>46663</v>
      </c>
      <c r="AV112" s="13">
        <v>53051</v>
      </c>
      <c r="AW112" s="13">
        <v>31</v>
      </c>
      <c r="AX112" s="13">
        <v>42287</v>
      </c>
      <c r="AY112" s="13">
        <v>38281</v>
      </c>
      <c r="AZ112" s="13">
        <v>45615</v>
      </c>
      <c r="BA112" s="13">
        <v>52171</v>
      </c>
      <c r="BB112" s="13">
        <v>45895</v>
      </c>
      <c r="BC112" s="13">
        <v>31242</v>
      </c>
      <c r="BD112" s="13">
        <v>103</v>
      </c>
      <c r="BE112" s="13">
        <v>107</v>
      </c>
      <c r="BF112" s="13">
        <v>104</v>
      </c>
      <c r="BG112" s="13">
        <v>104</v>
      </c>
      <c r="BH112" s="13">
        <v>104</v>
      </c>
      <c r="BI112" s="13">
        <v>105</v>
      </c>
      <c r="BJ112" s="13">
        <v>101</v>
      </c>
      <c r="BK112" s="13">
        <v>102</v>
      </c>
      <c r="BL112" s="13">
        <v>104</v>
      </c>
      <c r="BM112" s="13">
        <v>106</v>
      </c>
      <c r="BN112" s="13">
        <v>107</v>
      </c>
      <c r="BO112" s="13">
        <v>100</v>
      </c>
      <c r="BP112" s="13">
        <v>102</v>
      </c>
      <c r="BQ112" s="13">
        <v>100</v>
      </c>
      <c r="BR112" s="13">
        <v>101</v>
      </c>
      <c r="BS112" s="13">
        <v>98</v>
      </c>
      <c r="BT112" s="13">
        <v>105</v>
      </c>
      <c r="BU112" s="13">
        <v>103</v>
      </c>
      <c r="BV112" s="13">
        <v>100</v>
      </c>
      <c r="BW112" s="13">
        <v>99</v>
      </c>
      <c r="BX112" s="328">
        <f t="shared" si="10"/>
        <v>182435957</v>
      </c>
      <c r="BY112" s="328">
        <f t="shared" si="11"/>
        <v>68715007</v>
      </c>
      <c r="BZ112" s="329">
        <f t="shared" si="8"/>
        <v>0.80487718470662928</v>
      </c>
      <c r="CA112" s="329">
        <f t="shared" si="9"/>
        <v>0.80506625689347067</v>
      </c>
    </row>
    <row r="113" spans="1:79" x14ac:dyDescent="0.25">
      <c r="A113" s="13">
        <v>2700</v>
      </c>
      <c r="B113" s="13">
        <v>112</v>
      </c>
      <c r="C113" s="13" t="s">
        <v>631</v>
      </c>
      <c r="D113" s="13">
        <v>205266</v>
      </c>
      <c r="E113" s="13">
        <v>335113</v>
      </c>
      <c r="F113" s="13">
        <v>393621</v>
      </c>
      <c r="G113" s="13">
        <v>428106</v>
      </c>
      <c r="H113" s="13">
        <v>2</v>
      </c>
      <c r="I113" s="13">
        <v>52</v>
      </c>
      <c r="J113" s="13">
        <v>140124</v>
      </c>
      <c r="K113" s="13">
        <v>162796</v>
      </c>
      <c r="L113" s="13">
        <v>175860</v>
      </c>
      <c r="M113" s="13">
        <v>1.8</v>
      </c>
      <c r="N113" s="13">
        <v>2.39</v>
      </c>
      <c r="O113" s="13">
        <v>99698</v>
      </c>
      <c r="P113" s="13">
        <v>114185</v>
      </c>
      <c r="Q113" s="13">
        <v>1.7</v>
      </c>
      <c r="R113" s="13">
        <v>91.4</v>
      </c>
      <c r="S113" s="13">
        <v>89.1</v>
      </c>
      <c r="T113" s="13">
        <v>6.6</v>
      </c>
      <c r="U113" s="13">
        <v>7.9</v>
      </c>
      <c r="V113" s="13">
        <v>0.6</v>
      </c>
      <c r="W113" s="13">
        <v>0.9</v>
      </c>
      <c r="X113" s="13">
        <v>4.5</v>
      </c>
      <c r="Y113" s="13">
        <v>6.4</v>
      </c>
      <c r="Z113" s="13">
        <v>5.9</v>
      </c>
      <c r="AA113" s="13">
        <v>6.3</v>
      </c>
      <c r="AB113" s="13">
        <v>5.8</v>
      </c>
      <c r="AC113" s="13">
        <v>5.2</v>
      </c>
      <c r="AD113" s="13">
        <v>4.3</v>
      </c>
      <c r="AE113" s="13">
        <v>25.2</v>
      </c>
      <c r="AF113" s="13">
        <v>22.2</v>
      </c>
      <c r="AG113" s="13">
        <v>22.8</v>
      </c>
      <c r="AH113" s="13">
        <v>2.2000000000000002</v>
      </c>
      <c r="AI113" s="13">
        <v>78.900000000000006</v>
      </c>
      <c r="AJ113" s="13">
        <v>42</v>
      </c>
      <c r="AK113" s="13">
        <v>43</v>
      </c>
      <c r="AL113" s="13">
        <v>94.5</v>
      </c>
      <c r="AM113" s="13">
        <v>18785</v>
      </c>
      <c r="AN113" s="13">
        <v>162716</v>
      </c>
      <c r="AO113" s="13">
        <v>13.8</v>
      </c>
      <c r="AP113" s="13">
        <v>17.7</v>
      </c>
      <c r="AQ113" s="13">
        <v>38</v>
      </c>
      <c r="AR113" s="13">
        <v>23.9</v>
      </c>
      <c r="AS113" s="13">
        <v>4.5</v>
      </c>
      <c r="AT113" s="13">
        <v>2.1</v>
      </c>
      <c r="AU113" s="13">
        <v>35425</v>
      </c>
      <c r="AV113" s="13">
        <v>40415</v>
      </c>
      <c r="AW113" s="13">
        <v>174</v>
      </c>
      <c r="AX113" s="13">
        <v>36217</v>
      </c>
      <c r="AY113" s="13">
        <v>33548</v>
      </c>
      <c r="AZ113" s="13">
        <v>40479</v>
      </c>
      <c r="BA113" s="13">
        <v>44808</v>
      </c>
      <c r="BB113" s="13">
        <v>40562</v>
      </c>
      <c r="BC113" s="13">
        <v>29651</v>
      </c>
      <c r="BD113" s="13">
        <v>102</v>
      </c>
      <c r="BE113" s="13">
        <v>97</v>
      </c>
      <c r="BF113" s="13">
        <v>108</v>
      </c>
      <c r="BG113" s="13">
        <v>102</v>
      </c>
      <c r="BH113" s="13">
        <v>107</v>
      </c>
      <c r="BI113" s="13">
        <v>112</v>
      </c>
      <c r="BJ113" s="13">
        <v>108</v>
      </c>
      <c r="BK113" s="13">
        <v>104</v>
      </c>
      <c r="BL113" s="13">
        <v>98</v>
      </c>
      <c r="BM113" s="13">
        <v>99</v>
      </c>
      <c r="BN113" s="13">
        <v>101</v>
      </c>
      <c r="BO113" s="13">
        <v>102</v>
      </c>
      <c r="BP113" s="13">
        <v>101</v>
      </c>
      <c r="BQ113" s="13">
        <v>104</v>
      </c>
      <c r="BR113" s="13">
        <v>98</v>
      </c>
      <c r="BS113" s="13">
        <v>99</v>
      </c>
      <c r="BT113" s="13">
        <v>97</v>
      </c>
      <c r="BU113" s="13">
        <v>100</v>
      </c>
      <c r="BV113" s="13">
        <v>108</v>
      </c>
      <c r="BW113" s="13">
        <v>103</v>
      </c>
      <c r="BX113" s="328">
        <f t="shared" si="10"/>
        <v>182864063</v>
      </c>
      <c r="BY113" s="328">
        <f t="shared" si="11"/>
        <v>68890867</v>
      </c>
      <c r="BZ113" s="329">
        <f t="shared" si="8"/>
        <v>0.80676591737590242</v>
      </c>
      <c r="CA113" s="329">
        <f t="shared" si="9"/>
        <v>0.80712663581386113</v>
      </c>
    </row>
    <row r="114" spans="1:79" x14ac:dyDescent="0.25">
      <c r="A114" s="13">
        <v>4000</v>
      </c>
      <c r="B114" s="13">
        <v>113</v>
      </c>
      <c r="C114" s="13" t="s">
        <v>632</v>
      </c>
      <c r="D114" s="13">
        <v>362346</v>
      </c>
      <c r="E114" s="13">
        <v>422822</v>
      </c>
      <c r="F114" s="13">
        <v>457879</v>
      </c>
      <c r="G114" s="13">
        <v>478462</v>
      </c>
      <c r="H114" s="13">
        <v>1</v>
      </c>
      <c r="I114" s="13">
        <v>172</v>
      </c>
      <c r="J114" s="13">
        <v>150956</v>
      </c>
      <c r="K114" s="13">
        <v>165745</v>
      </c>
      <c r="L114" s="13">
        <v>174693</v>
      </c>
      <c r="M114" s="13">
        <v>1.1000000000000001</v>
      </c>
      <c r="N114" s="13">
        <v>2.68</v>
      </c>
      <c r="O114" s="13">
        <v>112106</v>
      </c>
      <c r="P114" s="13">
        <v>120943</v>
      </c>
      <c r="Q114" s="13">
        <v>0.9</v>
      </c>
      <c r="R114" s="13">
        <v>94.1</v>
      </c>
      <c r="S114" s="13">
        <v>92.3</v>
      </c>
      <c r="T114" s="13">
        <v>2.4</v>
      </c>
      <c r="U114" s="13">
        <v>2.7</v>
      </c>
      <c r="V114" s="13">
        <v>1.1000000000000001</v>
      </c>
      <c r="W114" s="13">
        <v>1.6</v>
      </c>
      <c r="X114" s="13">
        <v>3.7</v>
      </c>
      <c r="Y114" s="13">
        <v>5.0999999999999996</v>
      </c>
      <c r="Z114" s="13">
        <v>7.3</v>
      </c>
      <c r="AA114" s="13">
        <v>7.8</v>
      </c>
      <c r="AB114" s="13">
        <v>7.5</v>
      </c>
      <c r="AC114" s="13">
        <v>7.3</v>
      </c>
      <c r="AD114" s="13">
        <v>6</v>
      </c>
      <c r="AE114" s="13">
        <v>30.3</v>
      </c>
      <c r="AF114" s="13">
        <v>20.6</v>
      </c>
      <c r="AG114" s="13">
        <v>11.6</v>
      </c>
      <c r="AH114" s="13">
        <v>1.7</v>
      </c>
      <c r="AI114" s="13">
        <v>73.5</v>
      </c>
      <c r="AJ114" s="13">
        <v>32.799999999999997</v>
      </c>
      <c r="AK114" s="13">
        <v>35.1</v>
      </c>
      <c r="AL114" s="13">
        <v>95.1</v>
      </c>
      <c r="AM114" s="13">
        <v>19989</v>
      </c>
      <c r="AN114" s="13">
        <v>165738</v>
      </c>
      <c r="AO114" s="13">
        <v>8.6999999999999993</v>
      </c>
      <c r="AP114" s="13">
        <v>9.9</v>
      </c>
      <c r="AQ114" s="13">
        <v>36.4</v>
      </c>
      <c r="AR114" s="13">
        <v>35.6</v>
      </c>
      <c r="AS114" s="13">
        <v>7.4</v>
      </c>
      <c r="AT114" s="13">
        <v>2</v>
      </c>
      <c r="AU114" s="13">
        <v>46401</v>
      </c>
      <c r="AV114" s="13">
        <v>57705</v>
      </c>
      <c r="AW114" s="13">
        <v>33</v>
      </c>
      <c r="AX114" s="13">
        <v>40617</v>
      </c>
      <c r="AY114" s="13">
        <v>37149</v>
      </c>
      <c r="AZ114" s="13">
        <v>44774</v>
      </c>
      <c r="BA114" s="13">
        <v>51153</v>
      </c>
      <c r="BB114" s="13">
        <v>45642</v>
      </c>
      <c r="BC114" s="13">
        <v>27132</v>
      </c>
      <c r="BD114" s="13">
        <v>101</v>
      </c>
      <c r="BE114" s="13">
        <v>90</v>
      </c>
      <c r="BF114" s="13">
        <v>93</v>
      </c>
      <c r="BG114" s="13">
        <v>93</v>
      </c>
      <c r="BH114" s="13">
        <v>91</v>
      </c>
      <c r="BI114" s="13">
        <v>90</v>
      </c>
      <c r="BJ114" s="13">
        <v>99</v>
      </c>
      <c r="BK114" s="13">
        <v>98</v>
      </c>
      <c r="BL114" s="13">
        <v>96</v>
      </c>
      <c r="BM114" s="13">
        <v>94</v>
      </c>
      <c r="BN114" s="13">
        <v>95</v>
      </c>
      <c r="BO114" s="13">
        <v>100</v>
      </c>
      <c r="BP114" s="13">
        <v>95</v>
      </c>
      <c r="BQ114" s="13">
        <v>102</v>
      </c>
      <c r="BR114" s="13">
        <v>95</v>
      </c>
      <c r="BS114" s="13">
        <v>99</v>
      </c>
      <c r="BT114" s="13">
        <v>98</v>
      </c>
      <c r="BU114" s="13">
        <v>96</v>
      </c>
      <c r="BV114" s="13">
        <v>101</v>
      </c>
      <c r="BW114" s="13">
        <v>101</v>
      </c>
      <c r="BX114" s="328">
        <f t="shared" si="10"/>
        <v>183342525</v>
      </c>
      <c r="BY114" s="328">
        <f t="shared" si="11"/>
        <v>69065560</v>
      </c>
      <c r="BZ114" s="329">
        <f t="shared" si="8"/>
        <v>0.8088768123654746</v>
      </c>
      <c r="CA114" s="329">
        <f t="shared" si="9"/>
        <v>0.80917334214127945</v>
      </c>
    </row>
    <row r="115" spans="1:79" x14ac:dyDescent="0.25">
      <c r="A115" s="13">
        <v>7840</v>
      </c>
      <c r="B115" s="13">
        <v>114</v>
      </c>
      <c r="C115" s="13" t="s">
        <v>633</v>
      </c>
      <c r="D115" s="13">
        <v>341835</v>
      </c>
      <c r="E115" s="13">
        <v>361364</v>
      </c>
      <c r="F115" s="13">
        <v>407143</v>
      </c>
      <c r="G115" s="13">
        <v>434739</v>
      </c>
      <c r="H115" s="13">
        <v>1.5</v>
      </c>
      <c r="I115" s="13">
        <v>86</v>
      </c>
      <c r="J115" s="13">
        <v>141619</v>
      </c>
      <c r="K115" s="13">
        <v>161762</v>
      </c>
      <c r="L115" s="13">
        <v>174090</v>
      </c>
      <c r="M115" s="13">
        <v>1.6</v>
      </c>
      <c r="N115" s="13">
        <v>2.4500000000000002</v>
      </c>
      <c r="O115" s="13">
        <v>93982</v>
      </c>
      <c r="P115" s="13">
        <v>105369</v>
      </c>
      <c r="Q115" s="13">
        <v>1.4</v>
      </c>
      <c r="R115" s="13">
        <v>94.6</v>
      </c>
      <c r="S115" s="13">
        <v>93.4</v>
      </c>
      <c r="T115" s="13">
        <v>1.4</v>
      </c>
      <c r="U115" s="13">
        <v>1.7</v>
      </c>
      <c r="V115" s="13">
        <v>1.8</v>
      </c>
      <c r="W115" s="13">
        <v>2.4</v>
      </c>
      <c r="X115" s="13">
        <v>1.9</v>
      </c>
      <c r="Y115" s="13">
        <v>2.9</v>
      </c>
      <c r="Z115" s="13">
        <v>6.7</v>
      </c>
      <c r="AA115" s="13">
        <v>7.1</v>
      </c>
      <c r="AB115" s="13">
        <v>7.4</v>
      </c>
      <c r="AC115" s="13">
        <v>7.9</v>
      </c>
      <c r="AD115" s="13">
        <v>6.9</v>
      </c>
      <c r="AE115" s="13">
        <v>30.4</v>
      </c>
      <c r="AF115" s="13">
        <v>20.8</v>
      </c>
      <c r="AG115" s="13">
        <v>11.2</v>
      </c>
      <c r="AH115" s="13">
        <v>1.6</v>
      </c>
      <c r="AI115" s="13">
        <v>74.3</v>
      </c>
      <c r="AJ115" s="13">
        <v>33</v>
      </c>
      <c r="AK115" s="13">
        <v>35.299999999999997</v>
      </c>
      <c r="AL115" s="13">
        <v>95.9</v>
      </c>
      <c r="AM115" s="13">
        <v>15715</v>
      </c>
      <c r="AN115" s="13">
        <v>161762</v>
      </c>
      <c r="AO115" s="13">
        <v>21.6</v>
      </c>
      <c r="AP115" s="13">
        <v>17.7</v>
      </c>
      <c r="AQ115" s="13">
        <v>36</v>
      </c>
      <c r="AR115" s="13">
        <v>20.100000000000001</v>
      </c>
      <c r="AS115" s="13">
        <v>3.3</v>
      </c>
      <c r="AT115" s="13">
        <v>1.4</v>
      </c>
      <c r="AU115" s="13">
        <v>31193</v>
      </c>
      <c r="AV115" s="13">
        <v>34418</v>
      </c>
      <c r="AW115" s="13">
        <v>255</v>
      </c>
      <c r="AX115" s="13">
        <v>31327</v>
      </c>
      <c r="AY115" s="13">
        <v>24560</v>
      </c>
      <c r="AZ115" s="13">
        <v>36106</v>
      </c>
      <c r="BA115" s="13">
        <v>40100</v>
      </c>
      <c r="BB115" s="13">
        <v>36061</v>
      </c>
      <c r="BC115" s="13">
        <v>22794</v>
      </c>
      <c r="BD115" s="13">
        <v>99</v>
      </c>
      <c r="BE115" s="13">
        <v>95</v>
      </c>
      <c r="BF115" s="13">
        <v>97</v>
      </c>
      <c r="BG115" s="13">
        <v>94</v>
      </c>
      <c r="BH115" s="13">
        <v>101</v>
      </c>
      <c r="BI115" s="13">
        <v>99</v>
      </c>
      <c r="BJ115" s="13">
        <v>99</v>
      </c>
      <c r="BK115" s="13">
        <v>98</v>
      </c>
      <c r="BL115" s="13">
        <v>97</v>
      </c>
      <c r="BM115" s="13">
        <v>97</v>
      </c>
      <c r="BN115" s="13">
        <v>96</v>
      </c>
      <c r="BO115" s="13">
        <v>92</v>
      </c>
      <c r="BP115" s="13">
        <v>93</v>
      </c>
      <c r="BQ115" s="13">
        <v>95</v>
      </c>
      <c r="BR115" s="13">
        <v>93</v>
      </c>
      <c r="BS115" s="13">
        <v>95</v>
      </c>
      <c r="BT115" s="13">
        <v>94</v>
      </c>
      <c r="BU115" s="13">
        <v>95</v>
      </c>
      <c r="BV115" s="13">
        <v>98</v>
      </c>
      <c r="BW115" s="13">
        <v>94</v>
      </c>
      <c r="BX115" s="328">
        <f t="shared" si="10"/>
        <v>183777264</v>
      </c>
      <c r="BY115" s="328">
        <f t="shared" si="11"/>
        <v>69239650</v>
      </c>
      <c r="BZ115" s="329">
        <f t="shared" si="8"/>
        <v>0.81079480873064391</v>
      </c>
      <c r="CA115" s="329">
        <f t="shared" si="9"/>
        <v>0.81121298370986117</v>
      </c>
    </row>
    <row r="116" spans="1:79" x14ac:dyDescent="0.25">
      <c r="A116" s="13">
        <v>4040</v>
      </c>
      <c r="B116" s="13">
        <v>115</v>
      </c>
      <c r="C116" s="13" t="s">
        <v>634</v>
      </c>
      <c r="D116" s="13">
        <v>419750</v>
      </c>
      <c r="E116" s="13">
        <v>432674</v>
      </c>
      <c r="F116" s="13">
        <v>449043</v>
      </c>
      <c r="G116" s="13">
        <v>459564</v>
      </c>
      <c r="H116" s="13">
        <v>0.5</v>
      </c>
      <c r="I116" s="13">
        <v>229</v>
      </c>
      <c r="J116" s="13">
        <v>156887</v>
      </c>
      <c r="K116" s="13">
        <v>166798</v>
      </c>
      <c r="L116" s="13">
        <v>172873</v>
      </c>
      <c r="M116" s="13">
        <v>0.7</v>
      </c>
      <c r="N116" s="13">
        <v>2.57</v>
      </c>
      <c r="O116" s="13">
        <v>106053</v>
      </c>
      <c r="P116" s="13">
        <v>110734</v>
      </c>
      <c r="Q116" s="13">
        <v>0.5</v>
      </c>
      <c r="R116" s="13">
        <v>88.1</v>
      </c>
      <c r="S116" s="13">
        <v>86.4</v>
      </c>
      <c r="T116" s="13">
        <v>7.2</v>
      </c>
      <c r="U116" s="13">
        <v>7.9</v>
      </c>
      <c r="V116" s="13">
        <v>1.9</v>
      </c>
      <c r="W116" s="13">
        <v>2.6</v>
      </c>
      <c r="X116" s="13">
        <v>3.9</v>
      </c>
      <c r="Y116" s="13">
        <v>4.8</v>
      </c>
      <c r="Z116" s="13">
        <v>6.7</v>
      </c>
      <c r="AA116" s="13">
        <v>7.3</v>
      </c>
      <c r="AB116" s="13">
        <v>7.2</v>
      </c>
      <c r="AC116" s="13">
        <v>8.8000000000000007</v>
      </c>
      <c r="AD116" s="13">
        <v>9.5</v>
      </c>
      <c r="AE116" s="13">
        <v>32</v>
      </c>
      <c r="AF116" s="13">
        <v>19.2</v>
      </c>
      <c r="AG116" s="13">
        <v>8.1999999999999993</v>
      </c>
      <c r="AH116" s="13">
        <v>1.1000000000000001</v>
      </c>
      <c r="AI116" s="13">
        <v>74.7</v>
      </c>
      <c r="AJ116" s="13">
        <v>29.8</v>
      </c>
      <c r="AK116" s="13">
        <v>31.9</v>
      </c>
      <c r="AL116" s="13">
        <v>94.7</v>
      </c>
      <c r="AM116" s="13">
        <v>20658</v>
      </c>
      <c r="AN116" s="13">
        <v>166792</v>
      </c>
      <c r="AO116" s="13">
        <v>12</v>
      </c>
      <c r="AP116" s="13">
        <v>10.9</v>
      </c>
      <c r="AQ116" s="13">
        <v>32.700000000000003</v>
      </c>
      <c r="AR116" s="13">
        <v>33.700000000000003</v>
      </c>
      <c r="AS116" s="13">
        <v>7.8</v>
      </c>
      <c r="AT116" s="13">
        <v>2.9</v>
      </c>
      <c r="AU116" s="13">
        <v>45389</v>
      </c>
      <c r="AV116" s="13">
        <v>57303</v>
      </c>
      <c r="AW116" s="13">
        <v>35</v>
      </c>
      <c r="AX116" s="13">
        <v>38486</v>
      </c>
      <c r="AY116" s="13">
        <v>30711</v>
      </c>
      <c r="AZ116" s="13">
        <v>42815</v>
      </c>
      <c r="BA116" s="13">
        <v>51838</v>
      </c>
      <c r="BB116" s="13">
        <v>45203</v>
      </c>
      <c r="BC116" s="13">
        <v>25707</v>
      </c>
      <c r="BD116" s="13">
        <v>98</v>
      </c>
      <c r="BE116" s="13">
        <v>100</v>
      </c>
      <c r="BF116" s="13">
        <v>95</v>
      </c>
      <c r="BG116" s="13">
        <v>97</v>
      </c>
      <c r="BH116" s="13">
        <v>100</v>
      </c>
      <c r="BI116" s="13">
        <v>98</v>
      </c>
      <c r="BJ116" s="13">
        <v>101</v>
      </c>
      <c r="BK116" s="13">
        <v>98</v>
      </c>
      <c r="BL116" s="13">
        <v>99</v>
      </c>
      <c r="BM116" s="13">
        <v>98</v>
      </c>
      <c r="BN116" s="13">
        <v>101</v>
      </c>
      <c r="BO116" s="13">
        <v>98</v>
      </c>
      <c r="BP116" s="13">
        <v>100</v>
      </c>
      <c r="BQ116" s="13">
        <v>100</v>
      </c>
      <c r="BR116" s="13">
        <v>101</v>
      </c>
      <c r="BS116" s="13">
        <v>102</v>
      </c>
      <c r="BT116" s="13">
        <v>100</v>
      </c>
      <c r="BU116" s="13">
        <v>100</v>
      </c>
      <c r="BV116" s="13">
        <v>98</v>
      </c>
      <c r="BW116" s="13">
        <v>99</v>
      </c>
      <c r="BX116" s="328">
        <f t="shared" si="10"/>
        <v>184236828</v>
      </c>
      <c r="BY116" s="328">
        <f t="shared" si="11"/>
        <v>69412523</v>
      </c>
      <c r="BZ116" s="329">
        <f t="shared" si="8"/>
        <v>0.8128223288785088</v>
      </c>
      <c r="CA116" s="329">
        <f t="shared" si="9"/>
        <v>0.81323836688457207</v>
      </c>
    </row>
    <row r="117" spans="1:79" x14ac:dyDescent="0.25">
      <c r="A117" s="13">
        <v>1080</v>
      </c>
      <c r="B117" s="13">
        <v>116</v>
      </c>
      <c r="C117" s="13" t="s">
        <v>635</v>
      </c>
      <c r="D117" s="13">
        <v>256881</v>
      </c>
      <c r="E117" s="13">
        <v>295851</v>
      </c>
      <c r="F117" s="13">
        <v>395665</v>
      </c>
      <c r="G117" s="13">
        <v>455941</v>
      </c>
      <c r="H117" s="13">
        <v>3.6</v>
      </c>
      <c r="I117" s="13">
        <v>4</v>
      </c>
      <c r="J117" s="13">
        <v>108759</v>
      </c>
      <c r="K117" s="13">
        <v>147637</v>
      </c>
      <c r="L117" s="13">
        <v>171810</v>
      </c>
      <c r="M117" s="13">
        <v>3.8</v>
      </c>
      <c r="N117" s="13">
        <v>2.63</v>
      </c>
      <c r="O117" s="13">
        <v>77896</v>
      </c>
      <c r="P117" s="13">
        <v>103625</v>
      </c>
      <c r="Q117" s="13">
        <v>3.5</v>
      </c>
      <c r="R117" s="13">
        <v>94.4</v>
      </c>
      <c r="S117" s="13">
        <v>92.9</v>
      </c>
      <c r="T117" s="13">
        <v>0.4</v>
      </c>
      <c r="U117" s="13">
        <v>0.6</v>
      </c>
      <c r="V117" s="13">
        <v>1.3</v>
      </c>
      <c r="W117" s="13">
        <v>1.5</v>
      </c>
      <c r="X117" s="13">
        <v>5.9</v>
      </c>
      <c r="Y117" s="13">
        <v>8.4</v>
      </c>
      <c r="Z117" s="13">
        <v>7.4</v>
      </c>
      <c r="AA117" s="13">
        <v>7.5</v>
      </c>
      <c r="AB117" s="13">
        <v>7.8</v>
      </c>
      <c r="AC117" s="13">
        <v>8.6999999999999993</v>
      </c>
      <c r="AD117" s="13">
        <v>7.7</v>
      </c>
      <c r="AE117" s="13">
        <v>30.1</v>
      </c>
      <c r="AF117" s="13">
        <v>20.3</v>
      </c>
      <c r="AG117" s="13">
        <v>9.1999999999999993</v>
      </c>
      <c r="AH117" s="13">
        <v>1.3</v>
      </c>
      <c r="AI117" s="13">
        <v>72.099999999999994</v>
      </c>
      <c r="AJ117" s="13">
        <v>31.8</v>
      </c>
      <c r="AK117" s="13">
        <v>33.200000000000003</v>
      </c>
      <c r="AL117" s="13">
        <v>98.2</v>
      </c>
      <c r="AM117" s="13">
        <v>20873</v>
      </c>
      <c r="AN117" s="13">
        <v>147621</v>
      </c>
      <c r="AO117" s="13">
        <v>9.3000000000000007</v>
      </c>
      <c r="AP117" s="13">
        <v>12.5</v>
      </c>
      <c r="AQ117" s="13">
        <v>34</v>
      </c>
      <c r="AR117" s="13">
        <v>33.1</v>
      </c>
      <c r="AS117" s="13">
        <v>8.1999999999999993</v>
      </c>
      <c r="AT117" s="13">
        <v>2.9</v>
      </c>
      <c r="AU117" s="13">
        <v>45147</v>
      </c>
      <c r="AV117" s="13">
        <v>55046</v>
      </c>
      <c r="AW117" s="13">
        <v>38</v>
      </c>
      <c r="AX117" s="13">
        <v>40860</v>
      </c>
      <c r="AY117" s="13">
        <v>34348</v>
      </c>
      <c r="AZ117" s="13">
        <v>46054</v>
      </c>
      <c r="BA117" s="13">
        <v>50326</v>
      </c>
      <c r="BB117" s="13">
        <v>43347</v>
      </c>
      <c r="BC117" s="13">
        <v>28358</v>
      </c>
      <c r="BD117" s="13">
        <v>101</v>
      </c>
      <c r="BE117" s="13">
        <v>95</v>
      </c>
      <c r="BF117" s="13">
        <v>92</v>
      </c>
      <c r="BG117" s="13">
        <v>95</v>
      </c>
      <c r="BH117" s="13">
        <v>98</v>
      </c>
      <c r="BI117" s="13">
        <v>97</v>
      </c>
      <c r="BJ117" s="13">
        <v>103</v>
      </c>
      <c r="BK117" s="13">
        <v>100</v>
      </c>
      <c r="BL117" s="13">
        <v>100</v>
      </c>
      <c r="BM117" s="13">
        <v>98</v>
      </c>
      <c r="BN117" s="13">
        <v>98</v>
      </c>
      <c r="BO117" s="13">
        <v>95</v>
      </c>
      <c r="BP117" s="13">
        <v>94</v>
      </c>
      <c r="BQ117" s="13">
        <v>97</v>
      </c>
      <c r="BR117" s="13">
        <v>91</v>
      </c>
      <c r="BS117" s="13">
        <v>97</v>
      </c>
      <c r="BT117" s="13">
        <v>97</v>
      </c>
      <c r="BU117" s="13">
        <v>97</v>
      </c>
      <c r="BV117" s="13">
        <v>98</v>
      </c>
      <c r="BW117" s="13">
        <v>96</v>
      </c>
      <c r="BX117" s="328">
        <f t="shared" si="10"/>
        <v>184692769</v>
      </c>
      <c r="BY117" s="328">
        <f t="shared" si="11"/>
        <v>69584333</v>
      </c>
      <c r="BZ117" s="329">
        <f t="shared" si="8"/>
        <v>0.81483386495125965</v>
      </c>
      <c r="CA117" s="329">
        <f t="shared" si="9"/>
        <v>0.81525129593217982</v>
      </c>
    </row>
    <row r="118" spans="1:79" x14ac:dyDescent="0.25">
      <c r="A118" s="13">
        <v>2640</v>
      </c>
      <c r="B118" s="13">
        <v>117</v>
      </c>
      <c r="C118" s="13" t="s">
        <v>636</v>
      </c>
      <c r="D118" s="13">
        <v>450449</v>
      </c>
      <c r="E118" s="13">
        <v>430459</v>
      </c>
      <c r="F118" s="13">
        <v>436286</v>
      </c>
      <c r="G118" s="13">
        <v>439433</v>
      </c>
      <c r="H118" s="13">
        <v>0.2</v>
      </c>
      <c r="I118" s="13">
        <v>261</v>
      </c>
      <c r="J118" s="13">
        <v>161296</v>
      </c>
      <c r="K118" s="13">
        <v>167699</v>
      </c>
      <c r="L118" s="13">
        <v>171596</v>
      </c>
      <c r="M118" s="13">
        <v>0.5</v>
      </c>
      <c r="N118" s="13">
        <v>2.58</v>
      </c>
      <c r="O118" s="13">
        <v>115849</v>
      </c>
      <c r="P118" s="13">
        <v>118099</v>
      </c>
      <c r="Q118" s="13">
        <v>0.2</v>
      </c>
      <c r="R118" s="13">
        <v>78.2</v>
      </c>
      <c r="S118" s="13">
        <v>76.2</v>
      </c>
      <c r="T118" s="13">
        <v>19.600000000000001</v>
      </c>
      <c r="U118" s="13">
        <v>21.2</v>
      </c>
      <c r="V118" s="13">
        <v>0.7</v>
      </c>
      <c r="W118" s="13">
        <v>0.9</v>
      </c>
      <c r="X118" s="13">
        <v>2.1</v>
      </c>
      <c r="Y118" s="13">
        <v>2.5</v>
      </c>
      <c r="Z118" s="13">
        <v>7</v>
      </c>
      <c r="AA118" s="13">
        <v>7.8</v>
      </c>
      <c r="AB118" s="13">
        <v>7.7</v>
      </c>
      <c r="AC118" s="13">
        <v>7.7</v>
      </c>
      <c r="AD118" s="13">
        <v>6.5</v>
      </c>
      <c r="AE118" s="13">
        <v>30.4</v>
      </c>
      <c r="AF118" s="13">
        <v>21.9</v>
      </c>
      <c r="AG118" s="13">
        <v>9.6999999999999993</v>
      </c>
      <c r="AH118" s="13">
        <v>1.2</v>
      </c>
      <c r="AI118" s="13">
        <v>72.900000000000006</v>
      </c>
      <c r="AJ118" s="13">
        <v>32</v>
      </c>
      <c r="AK118" s="13">
        <v>34.5</v>
      </c>
      <c r="AL118" s="13">
        <v>92.5</v>
      </c>
      <c r="AM118" s="13">
        <v>20205</v>
      </c>
      <c r="AN118" s="13">
        <v>167682</v>
      </c>
      <c r="AO118" s="13">
        <v>16.7</v>
      </c>
      <c r="AP118" s="13">
        <v>9.9</v>
      </c>
      <c r="AQ118" s="13">
        <v>29.6</v>
      </c>
      <c r="AR118" s="13">
        <v>34.200000000000003</v>
      </c>
      <c r="AS118" s="13">
        <v>7.3</v>
      </c>
      <c r="AT118" s="13">
        <v>2.2000000000000002</v>
      </c>
      <c r="AU118" s="13">
        <v>44889</v>
      </c>
      <c r="AV118" s="13">
        <v>52220</v>
      </c>
      <c r="AW118" s="13">
        <v>40</v>
      </c>
      <c r="AX118" s="13">
        <v>36842</v>
      </c>
      <c r="AY118" s="13">
        <v>29869</v>
      </c>
      <c r="AZ118" s="13">
        <v>41410</v>
      </c>
      <c r="BA118" s="13">
        <v>49902</v>
      </c>
      <c r="BB118" s="13">
        <v>40121</v>
      </c>
      <c r="BC118" s="13">
        <v>23825</v>
      </c>
      <c r="BD118" s="13">
        <v>97</v>
      </c>
      <c r="BE118" s="13">
        <v>96</v>
      </c>
      <c r="BF118" s="13">
        <v>97</v>
      </c>
      <c r="BG118" s="13">
        <v>95</v>
      </c>
      <c r="BH118" s="13">
        <v>103</v>
      </c>
      <c r="BI118" s="13">
        <v>99</v>
      </c>
      <c r="BJ118" s="13">
        <v>99</v>
      </c>
      <c r="BK118" s="13">
        <v>99</v>
      </c>
      <c r="BL118" s="13">
        <v>97</v>
      </c>
      <c r="BM118" s="13">
        <v>99</v>
      </c>
      <c r="BN118" s="13">
        <v>97</v>
      </c>
      <c r="BO118" s="13">
        <v>97</v>
      </c>
      <c r="BP118" s="13">
        <v>100</v>
      </c>
      <c r="BQ118" s="13">
        <v>99</v>
      </c>
      <c r="BR118" s="13">
        <v>103</v>
      </c>
      <c r="BS118" s="13">
        <v>102</v>
      </c>
      <c r="BT118" s="13">
        <v>99</v>
      </c>
      <c r="BU118" s="13">
        <v>99</v>
      </c>
      <c r="BV118" s="13">
        <v>97</v>
      </c>
      <c r="BW118" s="13">
        <v>98</v>
      </c>
      <c r="BX118" s="328">
        <f t="shared" si="10"/>
        <v>185132202</v>
      </c>
      <c r="BY118" s="328">
        <f t="shared" si="11"/>
        <v>69755929</v>
      </c>
      <c r="BZ118" s="329">
        <f t="shared" si="8"/>
        <v>0.81677257046591423</v>
      </c>
      <c r="CA118" s="329">
        <f t="shared" si="9"/>
        <v>0.81726171775194167</v>
      </c>
    </row>
    <row r="119" spans="1:79" x14ac:dyDescent="0.25">
      <c r="A119" s="13">
        <v>4880</v>
      </c>
      <c r="B119" s="13">
        <v>118</v>
      </c>
      <c r="C119" s="13" t="s">
        <v>637</v>
      </c>
      <c r="D119" s="13">
        <v>283323</v>
      </c>
      <c r="E119" s="13">
        <v>383545</v>
      </c>
      <c r="F119" s="13">
        <v>526592</v>
      </c>
      <c r="G119" s="13">
        <v>613230</v>
      </c>
      <c r="H119" s="13">
        <v>3.9</v>
      </c>
      <c r="I119" s="13">
        <v>3</v>
      </c>
      <c r="J119" s="13">
        <v>103479</v>
      </c>
      <c r="K119" s="13">
        <v>143904</v>
      </c>
      <c r="L119" s="13">
        <v>169002</v>
      </c>
      <c r="M119" s="13">
        <v>4.0999999999999996</v>
      </c>
      <c r="N119" s="13">
        <v>3.63</v>
      </c>
      <c r="O119" s="13">
        <v>87912</v>
      </c>
      <c r="P119" s="13">
        <v>121910</v>
      </c>
      <c r="Q119" s="13">
        <v>4</v>
      </c>
      <c r="R119" s="13">
        <v>74.8</v>
      </c>
      <c r="S119" s="13">
        <v>73.900000000000006</v>
      </c>
      <c r="T119" s="13">
        <v>0.2</v>
      </c>
      <c r="U119" s="13">
        <v>0.2</v>
      </c>
      <c r="V119" s="13">
        <v>0.3</v>
      </c>
      <c r="W119" s="13">
        <v>0.4</v>
      </c>
      <c r="X119" s="13">
        <v>85.2</v>
      </c>
      <c r="Y119" s="13">
        <v>88</v>
      </c>
      <c r="Z119" s="13">
        <v>10</v>
      </c>
      <c r="AA119" s="13">
        <v>9.4</v>
      </c>
      <c r="AB119" s="13">
        <v>10</v>
      </c>
      <c r="AC119" s="13">
        <v>10.199999999999999</v>
      </c>
      <c r="AD119" s="13">
        <v>7.5</v>
      </c>
      <c r="AE119" s="13">
        <v>26.4</v>
      </c>
      <c r="AF119" s="13">
        <v>16.5</v>
      </c>
      <c r="AG119" s="13">
        <v>9</v>
      </c>
      <c r="AH119" s="13">
        <v>1</v>
      </c>
      <c r="AI119" s="13">
        <v>64.2</v>
      </c>
      <c r="AJ119" s="13">
        <v>26.1</v>
      </c>
      <c r="AK119" s="13">
        <v>27.5</v>
      </c>
      <c r="AL119" s="13">
        <v>95</v>
      </c>
      <c r="AM119" s="13">
        <v>7749</v>
      </c>
      <c r="AN119" s="13">
        <v>143904</v>
      </c>
      <c r="AO119" s="13">
        <v>39.1</v>
      </c>
      <c r="AP119" s="13">
        <v>20.399999999999999</v>
      </c>
      <c r="AQ119" s="13">
        <v>26.2</v>
      </c>
      <c r="AR119" s="13">
        <v>11.7</v>
      </c>
      <c r="AS119" s="13">
        <v>1.6</v>
      </c>
      <c r="AT119" s="13">
        <v>0.8</v>
      </c>
      <c r="AU119" s="13">
        <v>19915</v>
      </c>
      <c r="AV119" s="13">
        <v>22466</v>
      </c>
      <c r="AW119" s="13">
        <v>315</v>
      </c>
      <c r="AX119" s="13">
        <v>23207</v>
      </c>
      <c r="AY119" s="13">
        <v>19697</v>
      </c>
      <c r="AZ119" s="13">
        <v>25305</v>
      </c>
      <c r="BA119" s="13">
        <v>27028</v>
      </c>
      <c r="BB119" s="13">
        <v>25287</v>
      </c>
      <c r="BC119" s="13">
        <v>18585</v>
      </c>
      <c r="BD119" s="13">
        <v>95</v>
      </c>
      <c r="BE119" s="13">
        <v>93</v>
      </c>
      <c r="BF119" s="13">
        <v>94</v>
      </c>
      <c r="BG119" s="13">
        <v>86</v>
      </c>
      <c r="BH119" s="13">
        <v>96</v>
      </c>
      <c r="BI119" s="13">
        <v>97</v>
      </c>
      <c r="BJ119" s="13">
        <v>100</v>
      </c>
      <c r="BK119" s="13">
        <v>99</v>
      </c>
      <c r="BL119" s="13">
        <v>97</v>
      </c>
      <c r="BM119" s="13">
        <v>91</v>
      </c>
      <c r="BN119" s="13">
        <v>92</v>
      </c>
      <c r="BO119" s="13">
        <v>93</v>
      </c>
      <c r="BP119" s="13">
        <v>91</v>
      </c>
      <c r="BQ119" s="13">
        <v>95</v>
      </c>
      <c r="BR119" s="13">
        <v>88</v>
      </c>
      <c r="BS119" s="13">
        <v>98</v>
      </c>
      <c r="BT119" s="13">
        <v>85</v>
      </c>
      <c r="BU119" s="13">
        <v>96</v>
      </c>
      <c r="BV119" s="13">
        <v>100</v>
      </c>
      <c r="BW119" s="13">
        <v>102</v>
      </c>
      <c r="BX119" s="328">
        <f t="shared" si="10"/>
        <v>185745432</v>
      </c>
      <c r="BY119" s="328">
        <f t="shared" si="11"/>
        <v>69924931</v>
      </c>
      <c r="BZ119" s="329">
        <f t="shared" si="8"/>
        <v>0.8194780395197897</v>
      </c>
      <c r="CA119" s="329">
        <f t="shared" si="9"/>
        <v>0.81924174822108664</v>
      </c>
    </row>
    <row r="120" spans="1:79" x14ac:dyDescent="0.25">
      <c r="A120" s="13">
        <v>4720</v>
      </c>
      <c r="B120" s="13">
        <v>119</v>
      </c>
      <c r="C120" s="13" t="s">
        <v>638</v>
      </c>
      <c r="D120" s="13">
        <v>323545</v>
      </c>
      <c r="E120" s="13">
        <v>367085</v>
      </c>
      <c r="F120" s="13">
        <v>400259</v>
      </c>
      <c r="G120" s="13">
        <v>419925</v>
      </c>
      <c r="H120" s="13">
        <v>1.1000000000000001</v>
      </c>
      <c r="I120" s="13">
        <v>153</v>
      </c>
      <c r="J120" s="13">
        <v>142786</v>
      </c>
      <c r="K120" s="13">
        <v>158833</v>
      </c>
      <c r="L120" s="13">
        <v>168616</v>
      </c>
      <c r="M120" s="13">
        <v>1.3</v>
      </c>
      <c r="N120" s="13">
        <v>2.42</v>
      </c>
      <c r="O120" s="13">
        <v>87363</v>
      </c>
      <c r="P120" s="13">
        <v>95103</v>
      </c>
      <c r="Q120" s="13">
        <v>1</v>
      </c>
      <c r="R120" s="13">
        <v>93.9</v>
      </c>
      <c r="S120" s="13">
        <v>92</v>
      </c>
      <c r="T120" s="13">
        <v>2.9</v>
      </c>
      <c r="U120" s="13">
        <v>3.7</v>
      </c>
      <c r="V120" s="13">
        <v>2.4</v>
      </c>
      <c r="W120" s="13">
        <v>3.2</v>
      </c>
      <c r="X120" s="13">
        <v>1.6</v>
      </c>
      <c r="Y120" s="13">
        <v>2.2999999999999998</v>
      </c>
      <c r="Z120" s="13">
        <v>5.9</v>
      </c>
      <c r="AA120" s="13">
        <v>6.7</v>
      </c>
      <c r="AB120" s="13">
        <v>6.4</v>
      </c>
      <c r="AC120" s="13">
        <v>7.6</v>
      </c>
      <c r="AD120" s="13">
        <v>9.6999999999999993</v>
      </c>
      <c r="AE120" s="13">
        <v>35.299999999999997</v>
      </c>
      <c r="AF120" s="13">
        <v>19</v>
      </c>
      <c r="AG120" s="13">
        <v>8.1</v>
      </c>
      <c r="AH120" s="13">
        <v>1.2</v>
      </c>
      <c r="AI120" s="13">
        <v>77.7</v>
      </c>
      <c r="AJ120" s="13">
        <v>30.7</v>
      </c>
      <c r="AK120" s="13">
        <v>33.1</v>
      </c>
      <c r="AL120" s="13">
        <v>97.4</v>
      </c>
      <c r="AM120" s="13">
        <v>26275</v>
      </c>
      <c r="AN120" s="13">
        <v>158831</v>
      </c>
      <c r="AO120" s="13">
        <v>7.5</v>
      </c>
      <c r="AP120" s="13">
        <v>8.1</v>
      </c>
      <c r="AQ120" s="13">
        <v>29.8</v>
      </c>
      <c r="AR120" s="13">
        <v>38</v>
      </c>
      <c r="AS120" s="13">
        <v>11.9</v>
      </c>
      <c r="AT120" s="13">
        <v>4.7</v>
      </c>
      <c r="AU120" s="13">
        <v>53684</v>
      </c>
      <c r="AV120" s="13">
        <v>66997</v>
      </c>
      <c r="AW120" s="13">
        <v>13</v>
      </c>
      <c r="AX120" s="13">
        <v>43586</v>
      </c>
      <c r="AY120" s="13">
        <v>33765</v>
      </c>
      <c r="AZ120" s="13">
        <v>48638</v>
      </c>
      <c r="BA120" s="13">
        <v>56469</v>
      </c>
      <c r="BB120" s="13">
        <v>51537</v>
      </c>
      <c r="BC120" s="13">
        <v>33228</v>
      </c>
      <c r="BD120" s="13">
        <v>99</v>
      </c>
      <c r="BE120" s="13">
        <v>105</v>
      </c>
      <c r="BF120" s="13">
        <v>96</v>
      </c>
      <c r="BG120" s="13">
        <v>101</v>
      </c>
      <c r="BH120" s="13">
        <v>101</v>
      </c>
      <c r="BI120" s="13">
        <v>100</v>
      </c>
      <c r="BJ120" s="13">
        <v>99</v>
      </c>
      <c r="BK120" s="13">
        <v>98</v>
      </c>
      <c r="BL120" s="13">
        <v>100</v>
      </c>
      <c r="BM120" s="13">
        <v>100</v>
      </c>
      <c r="BN120" s="13">
        <v>104</v>
      </c>
      <c r="BO120" s="13">
        <v>99</v>
      </c>
      <c r="BP120" s="13">
        <v>101</v>
      </c>
      <c r="BQ120" s="13">
        <v>101</v>
      </c>
      <c r="BR120" s="13">
        <v>103</v>
      </c>
      <c r="BS120" s="13">
        <v>102</v>
      </c>
      <c r="BT120" s="13">
        <v>103</v>
      </c>
      <c r="BU120" s="13">
        <v>102</v>
      </c>
      <c r="BV120" s="13">
        <v>98</v>
      </c>
      <c r="BW120" s="13">
        <v>100</v>
      </c>
      <c r="BX120" s="328">
        <f t="shared" si="10"/>
        <v>186165357</v>
      </c>
      <c r="BY120" s="328">
        <f t="shared" si="11"/>
        <v>70093547</v>
      </c>
      <c r="BZ120" s="329">
        <f t="shared" si="8"/>
        <v>0.82133067897390744</v>
      </c>
      <c r="CA120" s="329">
        <f t="shared" si="9"/>
        <v>0.82121725630729481</v>
      </c>
    </row>
    <row r="121" spans="1:79" x14ac:dyDescent="0.25">
      <c r="A121" s="13">
        <v>3560</v>
      </c>
      <c r="B121" s="13">
        <v>120</v>
      </c>
      <c r="C121" s="13" t="s">
        <v>639</v>
      </c>
      <c r="D121" s="13">
        <v>362038</v>
      </c>
      <c r="E121" s="13">
        <v>395396</v>
      </c>
      <c r="F121" s="13">
        <v>429573</v>
      </c>
      <c r="G121" s="13">
        <v>449520</v>
      </c>
      <c r="H121" s="13">
        <v>1</v>
      </c>
      <c r="I121" s="13">
        <v>163</v>
      </c>
      <c r="J121" s="13">
        <v>140157</v>
      </c>
      <c r="K121" s="13">
        <v>156290</v>
      </c>
      <c r="L121" s="13">
        <v>166626</v>
      </c>
      <c r="M121" s="13">
        <v>1.3</v>
      </c>
      <c r="N121" s="13">
        <v>2.66</v>
      </c>
      <c r="O121" s="13">
        <v>101558</v>
      </c>
      <c r="P121" s="13">
        <v>111599</v>
      </c>
      <c r="Q121" s="13">
        <v>1.1000000000000001</v>
      </c>
      <c r="R121" s="13">
        <v>56.9</v>
      </c>
      <c r="S121" s="13">
        <v>56</v>
      </c>
      <c r="T121" s="13">
        <v>42.5</v>
      </c>
      <c r="U121" s="13">
        <v>43.2</v>
      </c>
      <c r="V121" s="13">
        <v>0.4</v>
      </c>
      <c r="W121" s="13">
        <v>0.6</v>
      </c>
      <c r="X121" s="13">
        <v>0.5</v>
      </c>
      <c r="Y121" s="13">
        <v>0.8</v>
      </c>
      <c r="Z121" s="13">
        <v>7.4</v>
      </c>
      <c r="AA121" s="13">
        <v>7.3</v>
      </c>
      <c r="AB121" s="13">
        <v>7.4</v>
      </c>
      <c r="AC121" s="13">
        <v>8.1</v>
      </c>
      <c r="AD121" s="13">
        <v>7.8</v>
      </c>
      <c r="AE121" s="13">
        <v>32.1</v>
      </c>
      <c r="AF121" s="13">
        <v>19.7</v>
      </c>
      <c r="AG121" s="13">
        <v>8.9</v>
      </c>
      <c r="AH121" s="13">
        <v>1.2</v>
      </c>
      <c r="AI121" s="13">
        <v>73.3</v>
      </c>
      <c r="AJ121" s="13">
        <v>31</v>
      </c>
      <c r="AK121" s="13">
        <v>32.700000000000003</v>
      </c>
      <c r="AL121" s="13">
        <v>90.8</v>
      </c>
      <c r="AM121" s="13">
        <v>17382</v>
      </c>
      <c r="AN121" s="13">
        <v>156284</v>
      </c>
      <c r="AO121" s="13">
        <v>18.7</v>
      </c>
      <c r="AP121" s="13">
        <v>13.9</v>
      </c>
      <c r="AQ121" s="13">
        <v>32.4</v>
      </c>
      <c r="AR121" s="13">
        <v>26.8</v>
      </c>
      <c r="AS121" s="13">
        <v>5.7</v>
      </c>
      <c r="AT121" s="13">
        <v>2.4</v>
      </c>
      <c r="AU121" s="13">
        <v>37382</v>
      </c>
      <c r="AV121" s="13">
        <v>45561</v>
      </c>
      <c r="AW121" s="13">
        <v>132</v>
      </c>
      <c r="AX121" s="13">
        <v>36545</v>
      </c>
      <c r="AY121" s="13">
        <v>31500</v>
      </c>
      <c r="AZ121" s="13">
        <v>41487</v>
      </c>
      <c r="BA121" s="13">
        <v>45169</v>
      </c>
      <c r="BB121" s="13">
        <v>38101</v>
      </c>
      <c r="BC121" s="13">
        <v>24796</v>
      </c>
      <c r="BD121" s="13">
        <v>99</v>
      </c>
      <c r="BE121" s="13">
        <v>98</v>
      </c>
      <c r="BF121" s="13">
        <v>97</v>
      </c>
      <c r="BG121" s="13">
        <v>98</v>
      </c>
      <c r="BH121" s="13">
        <v>103</v>
      </c>
      <c r="BI121" s="13">
        <v>101</v>
      </c>
      <c r="BJ121" s="13">
        <v>102</v>
      </c>
      <c r="BK121" s="13">
        <v>101</v>
      </c>
      <c r="BL121" s="13">
        <v>100</v>
      </c>
      <c r="BM121" s="13">
        <v>101</v>
      </c>
      <c r="BN121" s="13">
        <v>98</v>
      </c>
      <c r="BO121" s="13">
        <v>101</v>
      </c>
      <c r="BP121" s="13">
        <v>99</v>
      </c>
      <c r="BQ121" s="13">
        <v>101</v>
      </c>
      <c r="BR121" s="13">
        <v>93</v>
      </c>
      <c r="BS121" s="13">
        <v>100</v>
      </c>
      <c r="BT121" s="13">
        <v>99</v>
      </c>
      <c r="BU121" s="13">
        <v>100</v>
      </c>
      <c r="BV121" s="13">
        <v>97</v>
      </c>
      <c r="BW121" s="13">
        <v>101</v>
      </c>
      <c r="BX121" s="328">
        <f t="shared" si="10"/>
        <v>186614877</v>
      </c>
      <c r="BY121" s="328">
        <f t="shared" si="11"/>
        <v>70260173</v>
      </c>
      <c r="BZ121" s="329">
        <f t="shared" si="8"/>
        <v>0.82331388665960137</v>
      </c>
      <c r="CA121" s="329">
        <f t="shared" si="9"/>
        <v>0.82316944951774063</v>
      </c>
    </row>
    <row r="122" spans="1:79" x14ac:dyDescent="0.25">
      <c r="A122" s="13">
        <v>6080</v>
      </c>
      <c r="B122" s="13">
        <v>121</v>
      </c>
      <c r="C122" s="13" t="s">
        <v>640</v>
      </c>
      <c r="D122" s="13">
        <v>289782</v>
      </c>
      <c r="E122" s="13">
        <v>344406</v>
      </c>
      <c r="F122" s="13">
        <v>406027</v>
      </c>
      <c r="G122" s="13">
        <v>443947</v>
      </c>
      <c r="H122" s="13">
        <v>2</v>
      </c>
      <c r="I122" s="13">
        <v>51</v>
      </c>
      <c r="J122" s="13">
        <v>128508</v>
      </c>
      <c r="K122" s="13">
        <v>149012</v>
      </c>
      <c r="L122" s="13">
        <v>161207</v>
      </c>
      <c r="M122" s="13">
        <v>1.8</v>
      </c>
      <c r="N122" s="13">
        <v>2.65</v>
      </c>
      <c r="O122" s="13">
        <v>93404</v>
      </c>
      <c r="P122" s="13">
        <v>106621</v>
      </c>
      <c r="Q122" s="13">
        <v>1.6</v>
      </c>
      <c r="R122" s="13">
        <v>80.599999999999994</v>
      </c>
      <c r="S122" s="13">
        <v>77.599999999999994</v>
      </c>
      <c r="T122" s="13">
        <v>16.2</v>
      </c>
      <c r="U122" s="13">
        <v>17.8</v>
      </c>
      <c r="V122" s="13">
        <v>1.7</v>
      </c>
      <c r="W122" s="13">
        <v>2.7</v>
      </c>
      <c r="X122" s="13">
        <v>1.8</v>
      </c>
      <c r="Y122" s="13">
        <v>3</v>
      </c>
      <c r="Z122" s="13">
        <v>7.2</v>
      </c>
      <c r="AA122" s="13">
        <v>7.8</v>
      </c>
      <c r="AB122" s="13">
        <v>7.6</v>
      </c>
      <c r="AC122" s="13">
        <v>7.6</v>
      </c>
      <c r="AD122" s="13">
        <v>6.7</v>
      </c>
      <c r="AE122" s="13">
        <v>29.9</v>
      </c>
      <c r="AF122" s="13">
        <v>21.6</v>
      </c>
      <c r="AG122" s="13">
        <v>10.6</v>
      </c>
      <c r="AH122" s="13">
        <v>1</v>
      </c>
      <c r="AI122" s="13">
        <v>73.2</v>
      </c>
      <c r="AJ122" s="13">
        <v>32.4</v>
      </c>
      <c r="AK122" s="13">
        <v>34.200000000000003</v>
      </c>
      <c r="AL122" s="13">
        <v>96.5</v>
      </c>
      <c r="AM122" s="13">
        <v>13924</v>
      </c>
      <c r="AN122" s="13">
        <v>149007</v>
      </c>
      <c r="AO122" s="13">
        <v>21.9</v>
      </c>
      <c r="AP122" s="13">
        <v>18.399999999999999</v>
      </c>
      <c r="AQ122" s="13">
        <v>36.1</v>
      </c>
      <c r="AR122" s="13">
        <v>20</v>
      </c>
      <c r="AS122" s="13">
        <v>2.6</v>
      </c>
      <c r="AT122" s="13">
        <v>0.9</v>
      </c>
      <c r="AU122" s="13">
        <v>30486</v>
      </c>
      <c r="AV122" s="13">
        <v>33627</v>
      </c>
      <c r="AW122" s="13">
        <v>272</v>
      </c>
      <c r="AX122" s="13">
        <v>30407</v>
      </c>
      <c r="AY122" s="13">
        <v>24876</v>
      </c>
      <c r="AZ122" s="13">
        <v>32759</v>
      </c>
      <c r="BA122" s="13">
        <v>39424</v>
      </c>
      <c r="BB122" s="13">
        <v>33775</v>
      </c>
      <c r="BC122" s="13">
        <v>22834</v>
      </c>
      <c r="BD122" s="13">
        <v>98</v>
      </c>
      <c r="BE122" s="13">
        <v>93</v>
      </c>
      <c r="BF122" s="13">
        <v>93</v>
      </c>
      <c r="BG122" s="13">
        <v>92</v>
      </c>
      <c r="BH122" s="13">
        <v>101</v>
      </c>
      <c r="BI122" s="13">
        <v>99</v>
      </c>
      <c r="BJ122" s="13">
        <v>103</v>
      </c>
      <c r="BK122" s="13">
        <v>99</v>
      </c>
      <c r="BL122" s="13">
        <v>98</v>
      </c>
      <c r="BM122" s="13">
        <v>97</v>
      </c>
      <c r="BN122" s="13">
        <v>96</v>
      </c>
      <c r="BO122" s="13">
        <v>98</v>
      </c>
      <c r="BP122" s="13">
        <v>95</v>
      </c>
      <c r="BQ122" s="13">
        <v>100</v>
      </c>
      <c r="BR122" s="13">
        <v>90</v>
      </c>
      <c r="BS122" s="13">
        <v>99</v>
      </c>
      <c r="BT122" s="13">
        <v>95</v>
      </c>
      <c r="BU122" s="13">
        <v>98</v>
      </c>
      <c r="BV122" s="13">
        <v>98</v>
      </c>
      <c r="BW122" s="13">
        <v>100</v>
      </c>
      <c r="BX122" s="328">
        <f t="shared" si="10"/>
        <v>187058824</v>
      </c>
      <c r="BY122" s="328">
        <f t="shared" si="11"/>
        <v>70421380</v>
      </c>
      <c r="BZ122" s="329">
        <f t="shared" si="8"/>
        <v>0.8252725071935948</v>
      </c>
      <c r="CA122" s="329">
        <f t="shared" si="9"/>
        <v>0.82505815362680113</v>
      </c>
    </row>
    <row r="123" spans="1:79" x14ac:dyDescent="0.25">
      <c r="A123" s="13">
        <v>1320</v>
      </c>
      <c r="B123" s="13">
        <v>122</v>
      </c>
      <c r="C123" s="13" t="s">
        <v>641</v>
      </c>
      <c r="D123" s="13">
        <v>404421</v>
      </c>
      <c r="E123" s="13">
        <v>394106</v>
      </c>
      <c r="F123" s="13">
        <v>403086</v>
      </c>
      <c r="G123" s="13">
        <v>408298</v>
      </c>
      <c r="H123" s="13">
        <v>0.3</v>
      </c>
      <c r="I123" s="13">
        <v>248</v>
      </c>
      <c r="J123" s="13">
        <v>149240</v>
      </c>
      <c r="K123" s="13">
        <v>155934</v>
      </c>
      <c r="L123" s="13">
        <v>160041</v>
      </c>
      <c r="M123" s="13">
        <v>0.5</v>
      </c>
      <c r="N123" s="13">
        <v>2.5299999999999998</v>
      </c>
      <c r="O123" s="13">
        <v>108971</v>
      </c>
      <c r="P123" s="13">
        <v>111292</v>
      </c>
      <c r="Q123" s="13">
        <v>0.3</v>
      </c>
      <c r="R123" s="13">
        <v>92.8</v>
      </c>
      <c r="S123" s="13">
        <v>91.8</v>
      </c>
      <c r="T123" s="13">
        <v>6.4</v>
      </c>
      <c r="U123" s="13">
        <v>7.2</v>
      </c>
      <c r="V123" s="13">
        <v>0.4</v>
      </c>
      <c r="W123" s="13">
        <v>0.5</v>
      </c>
      <c r="X123" s="13">
        <v>0.7</v>
      </c>
      <c r="Y123" s="13">
        <v>0.9</v>
      </c>
      <c r="Z123" s="13">
        <v>6.2</v>
      </c>
      <c r="AA123" s="13">
        <v>6.8</v>
      </c>
      <c r="AB123" s="13">
        <v>7.1</v>
      </c>
      <c r="AC123" s="13">
        <v>7.2</v>
      </c>
      <c r="AD123" s="13">
        <v>5.7</v>
      </c>
      <c r="AE123" s="13">
        <v>29.5</v>
      </c>
      <c r="AF123" s="13">
        <v>22.7</v>
      </c>
      <c r="AG123" s="13">
        <v>13.1</v>
      </c>
      <c r="AH123" s="13">
        <v>1.7</v>
      </c>
      <c r="AI123" s="13">
        <v>75.599999999999994</v>
      </c>
      <c r="AJ123" s="13">
        <v>34.9</v>
      </c>
      <c r="AK123" s="13">
        <v>37.4</v>
      </c>
      <c r="AL123" s="13">
        <v>92.7</v>
      </c>
      <c r="AM123" s="13">
        <v>15570</v>
      </c>
      <c r="AN123" s="13">
        <v>155934</v>
      </c>
      <c r="AO123" s="13">
        <v>18.7</v>
      </c>
      <c r="AP123" s="13">
        <v>16</v>
      </c>
      <c r="AQ123" s="13">
        <v>38.6</v>
      </c>
      <c r="AR123" s="13">
        <v>22.6</v>
      </c>
      <c r="AS123" s="13">
        <v>2.9</v>
      </c>
      <c r="AT123" s="13">
        <v>1.1000000000000001</v>
      </c>
      <c r="AU123" s="13">
        <v>33201</v>
      </c>
      <c r="AV123" s="13">
        <v>37818</v>
      </c>
      <c r="AW123" s="13">
        <v>211</v>
      </c>
      <c r="AX123" s="13">
        <v>30820</v>
      </c>
      <c r="AY123" s="13">
        <v>27004</v>
      </c>
      <c r="AZ123" s="13">
        <v>35620</v>
      </c>
      <c r="BA123" s="13">
        <v>40354</v>
      </c>
      <c r="BB123" s="13">
        <v>33732</v>
      </c>
      <c r="BC123" s="13">
        <v>20628</v>
      </c>
      <c r="BD123" s="13">
        <v>98</v>
      </c>
      <c r="BE123" s="13">
        <v>92</v>
      </c>
      <c r="BF123" s="13">
        <v>96</v>
      </c>
      <c r="BG123" s="13">
        <v>93</v>
      </c>
      <c r="BH123" s="13">
        <v>103</v>
      </c>
      <c r="BI123" s="13">
        <v>100</v>
      </c>
      <c r="BJ123" s="13">
        <v>102</v>
      </c>
      <c r="BK123" s="13">
        <v>99</v>
      </c>
      <c r="BL123" s="13">
        <v>96</v>
      </c>
      <c r="BM123" s="13">
        <v>97</v>
      </c>
      <c r="BN123" s="13">
        <v>96</v>
      </c>
      <c r="BO123" s="13">
        <v>97</v>
      </c>
      <c r="BP123" s="13">
        <v>99</v>
      </c>
      <c r="BQ123" s="13">
        <v>99</v>
      </c>
      <c r="BR123" s="13">
        <v>101</v>
      </c>
      <c r="BS123" s="13">
        <v>101</v>
      </c>
      <c r="BT123" s="13">
        <v>96</v>
      </c>
      <c r="BU123" s="13">
        <v>97</v>
      </c>
      <c r="BV123" s="13">
        <v>100</v>
      </c>
      <c r="BW123" s="13">
        <v>98</v>
      </c>
      <c r="BX123" s="328">
        <f t="shared" si="10"/>
        <v>187467122</v>
      </c>
      <c r="BY123" s="328">
        <f t="shared" si="11"/>
        <v>70581421</v>
      </c>
      <c r="BZ123" s="329">
        <f t="shared" si="8"/>
        <v>0.82707385025208713</v>
      </c>
      <c r="CA123" s="329">
        <f t="shared" si="9"/>
        <v>0.82693319685890743</v>
      </c>
    </row>
    <row r="124" spans="1:79" x14ac:dyDescent="0.25">
      <c r="A124" s="13">
        <v>6960</v>
      </c>
      <c r="B124" s="13">
        <v>123</v>
      </c>
      <c r="C124" s="13" t="s">
        <v>642</v>
      </c>
      <c r="D124" s="13">
        <v>421518</v>
      </c>
      <c r="E124" s="13">
        <v>399320</v>
      </c>
      <c r="F124" s="13">
        <v>403069</v>
      </c>
      <c r="G124" s="13">
        <v>404249</v>
      </c>
      <c r="H124" s="13">
        <v>0.1</v>
      </c>
      <c r="I124" s="13">
        <v>267</v>
      </c>
      <c r="J124" s="13">
        <v>148235</v>
      </c>
      <c r="K124" s="13">
        <v>153226</v>
      </c>
      <c r="L124" s="13">
        <v>156151</v>
      </c>
      <c r="M124" s="13">
        <v>0.4</v>
      </c>
      <c r="N124" s="13">
        <v>2.59</v>
      </c>
      <c r="O124" s="13">
        <v>108719</v>
      </c>
      <c r="P124" s="13">
        <v>110035</v>
      </c>
      <c r="Q124" s="13">
        <v>0.1</v>
      </c>
      <c r="R124" s="13">
        <v>86.8</v>
      </c>
      <c r="S124" s="13">
        <v>85.3</v>
      </c>
      <c r="T124" s="13">
        <v>9.6999999999999993</v>
      </c>
      <c r="U124" s="13">
        <v>10.5</v>
      </c>
      <c r="V124" s="13">
        <v>0.6</v>
      </c>
      <c r="W124" s="13">
        <v>0.9</v>
      </c>
      <c r="X124" s="13">
        <v>4.4000000000000004</v>
      </c>
      <c r="Y124" s="13">
        <v>5.4</v>
      </c>
      <c r="Z124" s="13">
        <v>6.8</v>
      </c>
      <c r="AA124" s="13">
        <v>7.5</v>
      </c>
      <c r="AB124" s="13">
        <v>7.6</v>
      </c>
      <c r="AC124" s="13">
        <v>7.8</v>
      </c>
      <c r="AD124" s="13">
        <v>6.2</v>
      </c>
      <c r="AE124" s="13">
        <v>29.6</v>
      </c>
      <c r="AF124" s="13">
        <v>22</v>
      </c>
      <c r="AG124" s="13">
        <v>11.1</v>
      </c>
      <c r="AH124" s="13">
        <v>1.4</v>
      </c>
      <c r="AI124" s="13">
        <v>73.5</v>
      </c>
      <c r="AJ124" s="13">
        <v>33</v>
      </c>
      <c r="AK124" s="13">
        <v>35.5</v>
      </c>
      <c r="AL124" s="13">
        <v>94.2</v>
      </c>
      <c r="AM124" s="13">
        <v>17041</v>
      </c>
      <c r="AN124" s="13">
        <v>153226</v>
      </c>
      <c r="AO124" s="13">
        <v>19.8</v>
      </c>
      <c r="AP124" s="13">
        <v>13.4</v>
      </c>
      <c r="AQ124" s="13">
        <v>33.200000000000003</v>
      </c>
      <c r="AR124" s="13">
        <v>27.4</v>
      </c>
      <c r="AS124" s="13">
        <v>4.7</v>
      </c>
      <c r="AT124" s="13">
        <v>1.6</v>
      </c>
      <c r="AU124" s="13">
        <v>37081</v>
      </c>
      <c r="AV124" s="13">
        <v>42300</v>
      </c>
      <c r="AW124" s="13">
        <v>139</v>
      </c>
      <c r="AX124" s="13">
        <v>31841</v>
      </c>
      <c r="AY124" s="13">
        <v>26089</v>
      </c>
      <c r="AZ124" s="13">
        <v>35921</v>
      </c>
      <c r="BA124" s="13">
        <v>43561</v>
      </c>
      <c r="BB124" s="13">
        <v>36285</v>
      </c>
      <c r="BC124" s="13">
        <v>20400</v>
      </c>
      <c r="BD124" s="13">
        <v>98</v>
      </c>
      <c r="BE124" s="13">
        <v>93</v>
      </c>
      <c r="BF124" s="13">
        <v>96</v>
      </c>
      <c r="BG124" s="13">
        <v>94</v>
      </c>
      <c r="BH124" s="13">
        <v>102</v>
      </c>
      <c r="BI124" s="13">
        <v>99</v>
      </c>
      <c r="BJ124" s="13">
        <v>102</v>
      </c>
      <c r="BK124" s="13">
        <v>99</v>
      </c>
      <c r="BL124" s="13">
        <v>96</v>
      </c>
      <c r="BM124" s="13">
        <v>97</v>
      </c>
      <c r="BN124" s="13">
        <v>96</v>
      </c>
      <c r="BO124" s="13">
        <v>97</v>
      </c>
      <c r="BP124" s="13">
        <v>99</v>
      </c>
      <c r="BQ124" s="13">
        <v>99</v>
      </c>
      <c r="BR124" s="13">
        <v>100</v>
      </c>
      <c r="BS124" s="13">
        <v>101</v>
      </c>
      <c r="BT124" s="13">
        <v>97</v>
      </c>
      <c r="BU124" s="13">
        <v>97</v>
      </c>
      <c r="BV124" s="13">
        <v>99</v>
      </c>
      <c r="BW124" s="13">
        <v>98</v>
      </c>
      <c r="BX124" s="328">
        <f t="shared" si="10"/>
        <v>187871371</v>
      </c>
      <c r="BY124" s="328">
        <f t="shared" si="11"/>
        <v>70737572</v>
      </c>
      <c r="BZ124" s="329">
        <f t="shared" si="8"/>
        <v>0.82885732979411886</v>
      </c>
      <c r="CA124" s="329">
        <f t="shared" si="9"/>
        <v>0.82876266478110638</v>
      </c>
    </row>
    <row r="125" spans="1:79" x14ac:dyDescent="0.25">
      <c r="A125" s="13">
        <v>5170</v>
      </c>
      <c r="B125" s="13">
        <v>124</v>
      </c>
      <c r="C125" s="13" t="s">
        <v>643</v>
      </c>
      <c r="D125" s="13">
        <v>265900</v>
      </c>
      <c r="E125" s="13">
        <v>370522</v>
      </c>
      <c r="F125" s="13">
        <v>427694</v>
      </c>
      <c r="G125" s="13">
        <v>460081</v>
      </c>
      <c r="H125" s="13">
        <v>1.8</v>
      </c>
      <c r="I125" s="13">
        <v>66</v>
      </c>
      <c r="J125" s="13">
        <v>125375</v>
      </c>
      <c r="K125" s="13">
        <v>144376</v>
      </c>
      <c r="L125" s="13">
        <v>155190</v>
      </c>
      <c r="M125" s="13">
        <v>1.7</v>
      </c>
      <c r="N125" s="13">
        <v>2.92</v>
      </c>
      <c r="O125" s="13">
        <v>94306</v>
      </c>
      <c r="P125" s="13">
        <v>107075</v>
      </c>
      <c r="Q125" s="13">
        <v>1.6</v>
      </c>
      <c r="R125" s="13">
        <v>80.2</v>
      </c>
      <c r="S125" s="13">
        <v>75.2</v>
      </c>
      <c r="T125" s="13">
        <v>1.7</v>
      </c>
      <c r="U125" s="13">
        <v>1.8</v>
      </c>
      <c r="V125" s="13">
        <v>5.2</v>
      </c>
      <c r="W125" s="13">
        <v>6.7</v>
      </c>
      <c r="X125" s="13">
        <v>21.8</v>
      </c>
      <c r="Y125" s="13">
        <v>28.5</v>
      </c>
      <c r="Z125" s="13">
        <v>9.6</v>
      </c>
      <c r="AA125" s="13">
        <v>9.3000000000000007</v>
      </c>
      <c r="AB125" s="13">
        <v>8.6</v>
      </c>
      <c r="AC125" s="13">
        <v>7.7</v>
      </c>
      <c r="AD125" s="13">
        <v>5.8</v>
      </c>
      <c r="AE125" s="13">
        <v>29.9</v>
      </c>
      <c r="AF125" s="13">
        <v>18</v>
      </c>
      <c r="AG125" s="13">
        <v>9.8000000000000007</v>
      </c>
      <c r="AH125" s="13">
        <v>1.2</v>
      </c>
      <c r="AI125" s="13">
        <v>67.8</v>
      </c>
      <c r="AJ125" s="13">
        <v>30.5</v>
      </c>
      <c r="AK125" s="13">
        <v>31.6</v>
      </c>
      <c r="AL125" s="13">
        <v>97.2</v>
      </c>
      <c r="AM125" s="13">
        <v>14997</v>
      </c>
      <c r="AN125" s="13">
        <v>144364</v>
      </c>
      <c r="AO125" s="13">
        <v>18.399999999999999</v>
      </c>
      <c r="AP125" s="13">
        <v>15.2</v>
      </c>
      <c r="AQ125" s="13">
        <v>35.700000000000003</v>
      </c>
      <c r="AR125" s="13">
        <v>24.5</v>
      </c>
      <c r="AS125" s="13">
        <v>4.2</v>
      </c>
      <c r="AT125" s="13">
        <v>2</v>
      </c>
      <c r="AU125" s="13">
        <v>35129</v>
      </c>
      <c r="AV125" s="13">
        <v>40441</v>
      </c>
      <c r="AW125" s="13">
        <v>182</v>
      </c>
      <c r="AX125" s="13">
        <v>33418</v>
      </c>
      <c r="AY125" s="13">
        <v>30120</v>
      </c>
      <c r="AZ125" s="13">
        <v>37186</v>
      </c>
      <c r="BA125" s="13">
        <v>42333</v>
      </c>
      <c r="BB125" s="13">
        <v>36365</v>
      </c>
      <c r="BC125" s="13">
        <v>22552</v>
      </c>
      <c r="BD125" s="13">
        <v>100</v>
      </c>
      <c r="BE125" s="13">
        <v>96</v>
      </c>
      <c r="BF125" s="13">
        <v>93</v>
      </c>
      <c r="BG125" s="13">
        <v>93</v>
      </c>
      <c r="BH125" s="13">
        <v>98</v>
      </c>
      <c r="BI125" s="13">
        <v>97</v>
      </c>
      <c r="BJ125" s="13">
        <v>99</v>
      </c>
      <c r="BK125" s="13">
        <v>100</v>
      </c>
      <c r="BL125" s="13">
        <v>100</v>
      </c>
      <c r="BM125" s="13">
        <v>98</v>
      </c>
      <c r="BN125" s="13">
        <v>98</v>
      </c>
      <c r="BO125" s="13">
        <v>94</v>
      </c>
      <c r="BP125" s="13">
        <v>93</v>
      </c>
      <c r="BQ125" s="13">
        <v>95</v>
      </c>
      <c r="BR125" s="13">
        <v>92</v>
      </c>
      <c r="BS125" s="13">
        <v>97</v>
      </c>
      <c r="BT125" s="13">
        <v>95</v>
      </c>
      <c r="BU125" s="13">
        <v>97</v>
      </c>
      <c r="BV125" s="13">
        <v>98</v>
      </c>
      <c r="BW125" s="13">
        <v>97</v>
      </c>
      <c r="BX125" s="328">
        <f t="shared" si="10"/>
        <v>188331452</v>
      </c>
      <c r="BY125" s="328">
        <f t="shared" si="11"/>
        <v>70892762</v>
      </c>
      <c r="BZ125" s="329">
        <f t="shared" si="8"/>
        <v>0.83088713086023769</v>
      </c>
      <c r="CA125" s="329">
        <f t="shared" si="9"/>
        <v>0.83058087361003508</v>
      </c>
    </row>
    <row r="126" spans="1:79" x14ac:dyDescent="0.25">
      <c r="A126" s="13">
        <v>9280</v>
      </c>
      <c r="B126" s="13">
        <v>125</v>
      </c>
      <c r="C126" s="13" t="s">
        <v>644</v>
      </c>
      <c r="D126" s="13">
        <v>312963</v>
      </c>
      <c r="E126" s="13">
        <v>339574</v>
      </c>
      <c r="F126" s="13">
        <v>374238</v>
      </c>
      <c r="G126" s="13">
        <v>394674</v>
      </c>
      <c r="H126" s="13">
        <v>1.2</v>
      </c>
      <c r="I126" s="13">
        <v>129</v>
      </c>
      <c r="J126" s="13">
        <v>128666</v>
      </c>
      <c r="K126" s="13">
        <v>143789</v>
      </c>
      <c r="L126" s="13">
        <v>153051</v>
      </c>
      <c r="M126" s="13">
        <v>1.4</v>
      </c>
      <c r="N126" s="13">
        <v>2.56</v>
      </c>
      <c r="O126" s="13">
        <v>94919</v>
      </c>
      <c r="P126" s="13">
        <v>104132</v>
      </c>
      <c r="Q126" s="13">
        <v>1.1000000000000001</v>
      </c>
      <c r="R126" s="13">
        <v>95.2</v>
      </c>
      <c r="S126" s="13">
        <v>94</v>
      </c>
      <c r="T126" s="13">
        <v>3.2</v>
      </c>
      <c r="U126" s="13">
        <v>3.8</v>
      </c>
      <c r="V126" s="13">
        <v>0.6</v>
      </c>
      <c r="W126" s="13">
        <v>0.9</v>
      </c>
      <c r="X126" s="13">
        <v>1.5</v>
      </c>
      <c r="Y126" s="13">
        <v>2.1</v>
      </c>
      <c r="Z126" s="13">
        <v>6.4</v>
      </c>
      <c r="AA126" s="13">
        <v>7</v>
      </c>
      <c r="AB126" s="13">
        <v>6.9</v>
      </c>
      <c r="AC126" s="13">
        <v>6.6</v>
      </c>
      <c r="AD126" s="13">
        <v>5.5</v>
      </c>
      <c r="AE126" s="13">
        <v>32</v>
      </c>
      <c r="AF126" s="13">
        <v>22.2</v>
      </c>
      <c r="AG126" s="13">
        <v>11.9</v>
      </c>
      <c r="AH126" s="13">
        <v>1.6</v>
      </c>
      <c r="AI126" s="13">
        <v>75.900000000000006</v>
      </c>
      <c r="AJ126" s="13">
        <v>34.5</v>
      </c>
      <c r="AK126" s="13">
        <v>36.9</v>
      </c>
      <c r="AL126" s="13">
        <v>96.7</v>
      </c>
      <c r="AM126" s="13">
        <v>18472</v>
      </c>
      <c r="AN126" s="13">
        <v>143788</v>
      </c>
      <c r="AO126" s="13">
        <v>11.4</v>
      </c>
      <c r="AP126" s="13">
        <v>12.4</v>
      </c>
      <c r="AQ126" s="13">
        <v>39.4</v>
      </c>
      <c r="AR126" s="13">
        <v>30.9</v>
      </c>
      <c r="AS126" s="13">
        <v>4.5</v>
      </c>
      <c r="AT126" s="13">
        <v>1.3</v>
      </c>
      <c r="AU126" s="13">
        <v>41198</v>
      </c>
      <c r="AV126" s="13">
        <v>48913</v>
      </c>
      <c r="AW126" s="13">
        <v>76</v>
      </c>
      <c r="AX126" s="13">
        <v>35871</v>
      </c>
      <c r="AY126" s="13">
        <v>33313</v>
      </c>
      <c r="AZ126" s="13">
        <v>41021</v>
      </c>
      <c r="BA126" s="13">
        <v>45150</v>
      </c>
      <c r="BB126" s="13">
        <v>39294</v>
      </c>
      <c r="BC126" s="13">
        <v>22147</v>
      </c>
      <c r="BD126" s="13">
        <v>101</v>
      </c>
      <c r="BE126" s="13">
        <v>90</v>
      </c>
      <c r="BF126" s="13">
        <v>95</v>
      </c>
      <c r="BG126" s="13">
        <v>94</v>
      </c>
      <c r="BH126" s="13">
        <v>92</v>
      </c>
      <c r="BI126" s="13">
        <v>91</v>
      </c>
      <c r="BJ126" s="13">
        <v>98</v>
      </c>
      <c r="BK126" s="13">
        <v>98</v>
      </c>
      <c r="BL126" s="13">
        <v>96</v>
      </c>
      <c r="BM126" s="13">
        <v>95</v>
      </c>
      <c r="BN126" s="13">
        <v>96</v>
      </c>
      <c r="BO126" s="13">
        <v>100</v>
      </c>
      <c r="BP126" s="13">
        <v>96</v>
      </c>
      <c r="BQ126" s="13">
        <v>102</v>
      </c>
      <c r="BR126" s="13">
        <v>96</v>
      </c>
      <c r="BS126" s="13">
        <v>99</v>
      </c>
      <c r="BT126" s="13">
        <v>98</v>
      </c>
      <c r="BU126" s="13">
        <v>96</v>
      </c>
      <c r="BV126" s="13">
        <v>101</v>
      </c>
      <c r="BW126" s="13">
        <v>101</v>
      </c>
      <c r="BX126" s="328">
        <f t="shared" si="10"/>
        <v>188726126</v>
      </c>
      <c r="BY126" s="328">
        <f t="shared" si="11"/>
        <v>71045813</v>
      </c>
      <c r="BZ126" s="329">
        <f t="shared" si="8"/>
        <v>0.83262836709031318</v>
      </c>
      <c r="CA126" s="329">
        <f t="shared" si="9"/>
        <v>0.83237402187652365</v>
      </c>
    </row>
    <row r="127" spans="1:79" x14ac:dyDescent="0.25">
      <c r="A127" s="13">
        <v>3880</v>
      </c>
      <c r="B127" s="13">
        <v>126</v>
      </c>
      <c r="C127" s="13" t="s">
        <v>645</v>
      </c>
      <c r="D127" s="13">
        <v>330786</v>
      </c>
      <c r="E127" s="13">
        <v>344953</v>
      </c>
      <c r="F127" s="13">
        <v>376018</v>
      </c>
      <c r="G127" s="13">
        <v>395194</v>
      </c>
      <c r="H127" s="13">
        <v>1.1000000000000001</v>
      </c>
      <c r="I127" s="13">
        <v>154</v>
      </c>
      <c r="J127" s="13">
        <v>121807</v>
      </c>
      <c r="K127" s="13">
        <v>137349</v>
      </c>
      <c r="L127" s="13">
        <v>147334</v>
      </c>
      <c r="M127" s="13">
        <v>1.5</v>
      </c>
      <c r="N127" s="13">
        <v>2.69</v>
      </c>
      <c r="O127" s="13">
        <v>89586</v>
      </c>
      <c r="P127" s="13">
        <v>99179</v>
      </c>
      <c r="Q127" s="13">
        <v>1.2</v>
      </c>
      <c r="R127" s="13">
        <v>71.7</v>
      </c>
      <c r="S127" s="13">
        <v>69</v>
      </c>
      <c r="T127" s="13">
        <v>27.2</v>
      </c>
      <c r="U127" s="13">
        <v>29.6</v>
      </c>
      <c r="V127" s="13">
        <v>0.6</v>
      </c>
      <c r="W127" s="13">
        <v>0.9</v>
      </c>
      <c r="X127" s="13">
        <v>1.2</v>
      </c>
      <c r="Y127" s="13">
        <v>1.5</v>
      </c>
      <c r="Z127" s="13">
        <v>8</v>
      </c>
      <c r="AA127" s="13">
        <v>8.1999999999999993</v>
      </c>
      <c r="AB127" s="13">
        <v>8.5</v>
      </c>
      <c r="AC127" s="13">
        <v>8.5</v>
      </c>
      <c r="AD127" s="13">
        <v>7.2</v>
      </c>
      <c r="AE127" s="13">
        <v>29.4</v>
      </c>
      <c r="AF127" s="13">
        <v>19.899999999999999</v>
      </c>
      <c r="AG127" s="13">
        <v>9.1999999999999993</v>
      </c>
      <c r="AH127" s="13">
        <v>1.1000000000000001</v>
      </c>
      <c r="AI127" s="13">
        <v>70.400000000000006</v>
      </c>
      <c r="AJ127" s="13">
        <v>30</v>
      </c>
      <c r="AK127" s="13">
        <v>32</v>
      </c>
      <c r="AL127" s="13">
        <v>93</v>
      </c>
      <c r="AM127" s="13">
        <v>13144</v>
      </c>
      <c r="AN127" s="13">
        <v>137339</v>
      </c>
      <c r="AO127" s="13">
        <v>30.4</v>
      </c>
      <c r="AP127" s="13">
        <v>16.7</v>
      </c>
      <c r="AQ127" s="13">
        <v>30.8</v>
      </c>
      <c r="AR127" s="13">
        <v>17.2</v>
      </c>
      <c r="AS127" s="13">
        <v>3.3</v>
      </c>
      <c r="AT127" s="13">
        <v>1.6</v>
      </c>
      <c r="AU127" s="13">
        <v>26640</v>
      </c>
      <c r="AV127" s="13">
        <v>32010</v>
      </c>
      <c r="AW127" s="13">
        <v>302</v>
      </c>
      <c r="AX127" s="13">
        <v>29282</v>
      </c>
      <c r="AY127" s="13">
        <v>25128</v>
      </c>
      <c r="AZ127" s="13">
        <v>34755</v>
      </c>
      <c r="BA127" s="13">
        <v>34961</v>
      </c>
      <c r="BB127" s="13">
        <v>29733</v>
      </c>
      <c r="BC127" s="13">
        <v>20082</v>
      </c>
      <c r="BD127" s="13">
        <v>97</v>
      </c>
      <c r="BE127" s="13">
        <v>86</v>
      </c>
      <c r="BF127" s="13">
        <v>86</v>
      </c>
      <c r="BG127" s="13">
        <v>88</v>
      </c>
      <c r="BH127" s="13">
        <v>98</v>
      </c>
      <c r="BI127" s="13">
        <v>95</v>
      </c>
      <c r="BJ127" s="13">
        <v>104</v>
      </c>
      <c r="BK127" s="13">
        <v>98</v>
      </c>
      <c r="BL127" s="13">
        <v>96</v>
      </c>
      <c r="BM127" s="13">
        <v>92</v>
      </c>
      <c r="BN127" s="13">
        <v>89</v>
      </c>
      <c r="BO127" s="13">
        <v>97</v>
      </c>
      <c r="BP127" s="13">
        <v>90</v>
      </c>
      <c r="BQ127" s="13">
        <v>97</v>
      </c>
      <c r="BR127" s="13">
        <v>85</v>
      </c>
      <c r="BS127" s="13">
        <v>98</v>
      </c>
      <c r="BT127" s="13">
        <v>89</v>
      </c>
      <c r="BU127" s="13">
        <v>94</v>
      </c>
      <c r="BV127" s="13">
        <v>96</v>
      </c>
      <c r="BW127" s="13">
        <v>98</v>
      </c>
      <c r="BX127" s="328">
        <f t="shared" si="10"/>
        <v>189121320</v>
      </c>
      <c r="BY127" s="328">
        <f t="shared" si="11"/>
        <v>71193147</v>
      </c>
      <c r="BZ127" s="329">
        <f t="shared" si="8"/>
        <v>0.83437189747414509</v>
      </c>
      <c r="CA127" s="329">
        <f t="shared" si="9"/>
        <v>0.83410018966827171</v>
      </c>
    </row>
    <row r="128" spans="1:79" x14ac:dyDescent="0.25">
      <c r="A128" s="13">
        <v>7680</v>
      </c>
      <c r="B128" s="13">
        <v>127</v>
      </c>
      <c r="C128" s="13" t="s">
        <v>646</v>
      </c>
      <c r="D128" s="13">
        <v>376789</v>
      </c>
      <c r="E128" s="13">
        <v>376330</v>
      </c>
      <c r="F128" s="13">
        <v>380487</v>
      </c>
      <c r="G128" s="13">
        <v>382967</v>
      </c>
      <c r="H128" s="13">
        <v>0.1</v>
      </c>
      <c r="I128" s="13">
        <v>264</v>
      </c>
      <c r="J128" s="13">
        <v>139815</v>
      </c>
      <c r="K128" s="13">
        <v>144266</v>
      </c>
      <c r="L128" s="13">
        <v>147305</v>
      </c>
      <c r="M128" s="13">
        <v>0.4</v>
      </c>
      <c r="N128" s="13">
        <v>2.58</v>
      </c>
      <c r="O128" s="13">
        <v>100012</v>
      </c>
      <c r="P128" s="13">
        <v>101221</v>
      </c>
      <c r="Q128" s="13">
        <v>0.1</v>
      </c>
      <c r="R128" s="13">
        <v>64.3</v>
      </c>
      <c r="S128" s="13">
        <v>61.8</v>
      </c>
      <c r="T128" s="13">
        <v>34.6</v>
      </c>
      <c r="U128" s="13">
        <v>36.700000000000003</v>
      </c>
      <c r="V128" s="13">
        <v>0.6</v>
      </c>
      <c r="W128" s="13">
        <v>0.8</v>
      </c>
      <c r="X128" s="13">
        <v>1.2</v>
      </c>
      <c r="Y128" s="13">
        <v>1.6</v>
      </c>
      <c r="Z128" s="13">
        <v>7.3</v>
      </c>
      <c r="AA128" s="13">
        <v>7.5</v>
      </c>
      <c r="AB128" s="13">
        <v>7.8</v>
      </c>
      <c r="AC128" s="13">
        <v>8</v>
      </c>
      <c r="AD128" s="13">
        <v>6.4</v>
      </c>
      <c r="AE128" s="13">
        <v>28.4</v>
      </c>
      <c r="AF128" s="13">
        <v>21.6</v>
      </c>
      <c r="AG128" s="13">
        <v>11.3</v>
      </c>
      <c r="AH128" s="13">
        <v>1.6</v>
      </c>
      <c r="AI128" s="13">
        <v>72.5</v>
      </c>
      <c r="AJ128" s="13">
        <v>32.4</v>
      </c>
      <c r="AK128" s="13">
        <v>35</v>
      </c>
      <c r="AL128" s="13">
        <v>89.5</v>
      </c>
      <c r="AM128" s="13">
        <v>16248</v>
      </c>
      <c r="AN128" s="13">
        <v>144243</v>
      </c>
      <c r="AO128" s="13">
        <v>22.4</v>
      </c>
      <c r="AP128" s="13">
        <v>15.1</v>
      </c>
      <c r="AQ128" s="13">
        <v>32.6</v>
      </c>
      <c r="AR128" s="13">
        <v>23.4</v>
      </c>
      <c r="AS128" s="13">
        <v>4.5999999999999996</v>
      </c>
      <c r="AT128" s="13">
        <v>1.8</v>
      </c>
      <c r="AU128" s="13">
        <v>33145</v>
      </c>
      <c r="AV128" s="13">
        <v>40385</v>
      </c>
      <c r="AW128" s="13">
        <v>212</v>
      </c>
      <c r="AX128" s="13">
        <v>34180</v>
      </c>
      <c r="AY128" s="13">
        <v>28372</v>
      </c>
      <c r="AZ128" s="13">
        <v>39859</v>
      </c>
      <c r="BA128" s="13">
        <v>42898</v>
      </c>
      <c r="BB128" s="13">
        <v>36732</v>
      </c>
      <c r="BC128" s="13">
        <v>23075</v>
      </c>
      <c r="BD128" s="13">
        <v>97</v>
      </c>
      <c r="BE128" s="13">
        <v>90</v>
      </c>
      <c r="BF128" s="13">
        <v>95</v>
      </c>
      <c r="BG128" s="13">
        <v>92</v>
      </c>
      <c r="BH128" s="13">
        <v>101</v>
      </c>
      <c r="BI128" s="13">
        <v>98</v>
      </c>
      <c r="BJ128" s="13">
        <v>101</v>
      </c>
      <c r="BK128" s="13">
        <v>99</v>
      </c>
      <c r="BL128" s="13">
        <v>96</v>
      </c>
      <c r="BM128" s="13">
        <v>95</v>
      </c>
      <c r="BN128" s="13">
        <v>92</v>
      </c>
      <c r="BO128" s="13">
        <v>97</v>
      </c>
      <c r="BP128" s="13">
        <v>94</v>
      </c>
      <c r="BQ128" s="13">
        <v>98</v>
      </c>
      <c r="BR128" s="13">
        <v>90</v>
      </c>
      <c r="BS128" s="13">
        <v>99</v>
      </c>
      <c r="BT128" s="13">
        <v>93</v>
      </c>
      <c r="BU128" s="13">
        <v>96</v>
      </c>
      <c r="BV128" s="13">
        <v>96</v>
      </c>
      <c r="BW128" s="13">
        <v>98</v>
      </c>
      <c r="BX128" s="328">
        <f t="shared" si="10"/>
        <v>189504287</v>
      </c>
      <c r="BY128" s="328">
        <f t="shared" si="11"/>
        <v>71340452</v>
      </c>
      <c r="BZ128" s="329">
        <f t="shared" si="8"/>
        <v>0.83606148436186345</v>
      </c>
      <c r="CA128" s="329">
        <f t="shared" si="9"/>
        <v>0.83582601769549858</v>
      </c>
    </row>
    <row r="129" spans="1:79" x14ac:dyDescent="0.25">
      <c r="A129" s="13">
        <v>840</v>
      </c>
      <c r="B129" s="13">
        <v>128</v>
      </c>
      <c r="C129" s="13" t="s">
        <v>647</v>
      </c>
      <c r="D129" s="13">
        <v>373211</v>
      </c>
      <c r="E129" s="13">
        <v>361226</v>
      </c>
      <c r="F129" s="13">
        <v>375233</v>
      </c>
      <c r="G129" s="13">
        <v>381206</v>
      </c>
      <c r="H129" s="13">
        <v>0.5</v>
      </c>
      <c r="I129" s="13">
        <v>227</v>
      </c>
      <c r="J129" s="13">
        <v>134238</v>
      </c>
      <c r="K129" s="13">
        <v>141484</v>
      </c>
      <c r="L129" s="13">
        <v>146084</v>
      </c>
      <c r="M129" s="13">
        <v>0.6</v>
      </c>
      <c r="N129" s="13">
        <v>2.58</v>
      </c>
      <c r="O129" s="13">
        <v>98499</v>
      </c>
      <c r="P129" s="13">
        <v>102185</v>
      </c>
      <c r="Q129" s="13">
        <v>0.4</v>
      </c>
      <c r="R129" s="13">
        <v>73.2</v>
      </c>
      <c r="S129" s="13">
        <v>70.900000000000006</v>
      </c>
      <c r="T129" s="13">
        <v>23.4</v>
      </c>
      <c r="U129" s="13">
        <v>24.7</v>
      </c>
      <c r="V129" s="13">
        <v>1.6</v>
      </c>
      <c r="W129" s="13">
        <v>2.2000000000000002</v>
      </c>
      <c r="X129" s="13">
        <v>4.2</v>
      </c>
      <c r="Y129" s="13">
        <v>5.4</v>
      </c>
      <c r="Z129" s="13">
        <v>6.9</v>
      </c>
      <c r="AA129" s="13">
        <v>7.4</v>
      </c>
      <c r="AB129" s="13">
        <v>7.9</v>
      </c>
      <c r="AC129" s="13">
        <v>7.8</v>
      </c>
      <c r="AD129" s="13">
        <v>5.9</v>
      </c>
      <c r="AE129" s="13">
        <v>28.3</v>
      </c>
      <c r="AF129" s="13">
        <v>22.4</v>
      </c>
      <c r="AG129" s="13">
        <v>12</v>
      </c>
      <c r="AH129" s="13">
        <v>1.5</v>
      </c>
      <c r="AI129" s="13">
        <v>73.099999999999994</v>
      </c>
      <c r="AJ129" s="13">
        <v>33.299999999999997</v>
      </c>
      <c r="AK129" s="13">
        <v>36</v>
      </c>
      <c r="AL129" s="13">
        <v>95</v>
      </c>
      <c r="AM129" s="13">
        <v>14489</v>
      </c>
      <c r="AN129" s="13">
        <v>141465</v>
      </c>
      <c r="AO129" s="13">
        <v>25</v>
      </c>
      <c r="AP129" s="13">
        <v>16.5</v>
      </c>
      <c r="AQ129" s="13">
        <v>33.6</v>
      </c>
      <c r="AR129" s="13">
        <v>20.9</v>
      </c>
      <c r="AS129" s="13">
        <v>2.8</v>
      </c>
      <c r="AT129" s="13">
        <v>1.3</v>
      </c>
      <c r="AU129" s="13">
        <v>30718</v>
      </c>
      <c r="AV129" s="13">
        <v>34098</v>
      </c>
      <c r="AW129" s="13">
        <v>267</v>
      </c>
      <c r="AX129" s="13">
        <v>30685</v>
      </c>
      <c r="AY129" s="13">
        <v>26221</v>
      </c>
      <c r="AZ129" s="13">
        <v>36129</v>
      </c>
      <c r="BA129" s="13">
        <v>38321</v>
      </c>
      <c r="BB129" s="13">
        <v>32318</v>
      </c>
      <c r="BC129" s="13">
        <v>20755</v>
      </c>
      <c r="BD129" s="13">
        <v>97</v>
      </c>
      <c r="BE129" s="13">
        <v>89</v>
      </c>
      <c r="BF129" s="13">
        <v>94</v>
      </c>
      <c r="BG129" s="13">
        <v>91</v>
      </c>
      <c r="BH129" s="13">
        <v>101</v>
      </c>
      <c r="BI129" s="13">
        <v>98</v>
      </c>
      <c r="BJ129" s="13">
        <v>104</v>
      </c>
      <c r="BK129" s="13">
        <v>99</v>
      </c>
      <c r="BL129" s="13">
        <v>96</v>
      </c>
      <c r="BM129" s="13">
        <v>95</v>
      </c>
      <c r="BN129" s="13">
        <v>92</v>
      </c>
      <c r="BO129" s="13">
        <v>97</v>
      </c>
      <c r="BP129" s="13">
        <v>94</v>
      </c>
      <c r="BQ129" s="13">
        <v>99</v>
      </c>
      <c r="BR129" s="13">
        <v>88</v>
      </c>
      <c r="BS129" s="13">
        <v>99</v>
      </c>
      <c r="BT129" s="13">
        <v>93</v>
      </c>
      <c r="BU129" s="13">
        <v>96</v>
      </c>
      <c r="BV129" s="13">
        <v>98</v>
      </c>
      <c r="BW129" s="13">
        <v>99</v>
      </c>
      <c r="BX129" s="328">
        <f t="shared" si="10"/>
        <v>189885493</v>
      </c>
      <c r="BY129" s="328">
        <f t="shared" si="11"/>
        <v>71486536</v>
      </c>
      <c r="BZ129" s="329">
        <f t="shared" si="8"/>
        <v>0.83774330200964908</v>
      </c>
      <c r="CA129" s="329">
        <f t="shared" si="9"/>
        <v>0.8375375404647829</v>
      </c>
    </row>
    <row r="130" spans="1:79" x14ac:dyDescent="0.25">
      <c r="A130" s="13">
        <v>3440</v>
      </c>
      <c r="B130" s="13">
        <v>129</v>
      </c>
      <c r="C130" s="13" t="s">
        <v>648</v>
      </c>
      <c r="D130" s="13">
        <v>242971</v>
      </c>
      <c r="E130" s="13">
        <v>293047</v>
      </c>
      <c r="F130" s="13">
        <v>335665</v>
      </c>
      <c r="G130" s="13">
        <v>361217</v>
      </c>
      <c r="H130" s="13">
        <v>1.7</v>
      </c>
      <c r="I130" s="13">
        <v>70</v>
      </c>
      <c r="J130" s="13">
        <v>110893</v>
      </c>
      <c r="K130" s="13">
        <v>131794</v>
      </c>
      <c r="L130" s="13">
        <v>145066</v>
      </c>
      <c r="M130" s="13">
        <v>2.1</v>
      </c>
      <c r="N130" s="13">
        <v>2.4900000000000002</v>
      </c>
      <c r="O130" s="13">
        <v>80752</v>
      </c>
      <c r="P130" s="13">
        <v>93925</v>
      </c>
      <c r="Q130" s="13">
        <v>1.8</v>
      </c>
      <c r="R130" s="13">
        <v>78.8</v>
      </c>
      <c r="S130" s="13">
        <v>77.099999999999994</v>
      </c>
      <c r="T130" s="13">
        <v>18.899999999999999</v>
      </c>
      <c r="U130" s="13">
        <v>20.100000000000001</v>
      </c>
      <c r="V130" s="13">
        <v>1.5</v>
      </c>
      <c r="W130" s="13">
        <v>1.9</v>
      </c>
      <c r="X130" s="13">
        <v>1.1000000000000001</v>
      </c>
      <c r="Y130" s="13">
        <v>1.7</v>
      </c>
      <c r="Z130" s="13">
        <v>7</v>
      </c>
      <c r="AA130" s="13">
        <v>7</v>
      </c>
      <c r="AB130" s="13">
        <v>6.4</v>
      </c>
      <c r="AC130" s="13">
        <v>6.6</v>
      </c>
      <c r="AD130" s="13">
        <v>7</v>
      </c>
      <c r="AE130" s="13">
        <v>33.9</v>
      </c>
      <c r="AF130" s="13">
        <v>22.2</v>
      </c>
      <c r="AG130" s="13">
        <v>8.9</v>
      </c>
      <c r="AH130" s="13">
        <v>1</v>
      </c>
      <c r="AI130" s="13">
        <v>76</v>
      </c>
      <c r="AJ130" s="13">
        <v>32</v>
      </c>
      <c r="AK130" s="13">
        <v>34.299999999999997</v>
      </c>
      <c r="AL130" s="13">
        <v>97.6</v>
      </c>
      <c r="AM130" s="13">
        <v>18324</v>
      </c>
      <c r="AN130" s="13">
        <v>131786</v>
      </c>
      <c r="AO130" s="13">
        <v>16.8</v>
      </c>
      <c r="AP130" s="13">
        <v>13.4</v>
      </c>
      <c r="AQ130" s="13">
        <v>34.200000000000003</v>
      </c>
      <c r="AR130" s="13">
        <v>28.9</v>
      </c>
      <c r="AS130" s="13">
        <v>5</v>
      </c>
      <c r="AT130" s="13">
        <v>1.7</v>
      </c>
      <c r="AU130" s="13">
        <v>38392</v>
      </c>
      <c r="AV130" s="13">
        <v>44675</v>
      </c>
      <c r="AW130" s="13">
        <v>119</v>
      </c>
      <c r="AX130" s="13">
        <v>36324</v>
      </c>
      <c r="AY130" s="13">
        <v>31071</v>
      </c>
      <c r="AZ130" s="13">
        <v>39990</v>
      </c>
      <c r="BA130" s="13">
        <v>46186</v>
      </c>
      <c r="BB130" s="13">
        <v>41506</v>
      </c>
      <c r="BC130" s="13">
        <v>22127</v>
      </c>
      <c r="BD130" s="13">
        <v>101</v>
      </c>
      <c r="BE130" s="13">
        <v>102</v>
      </c>
      <c r="BF130" s="13">
        <v>100</v>
      </c>
      <c r="BG130" s="13">
        <v>103</v>
      </c>
      <c r="BH130" s="13">
        <v>104</v>
      </c>
      <c r="BI130" s="13">
        <v>105</v>
      </c>
      <c r="BJ130" s="13">
        <v>106</v>
      </c>
      <c r="BK130" s="13">
        <v>102</v>
      </c>
      <c r="BL130" s="13">
        <v>103</v>
      </c>
      <c r="BM130" s="13">
        <v>104</v>
      </c>
      <c r="BN130" s="13">
        <v>104</v>
      </c>
      <c r="BO130" s="13">
        <v>105</v>
      </c>
      <c r="BP130" s="13">
        <v>102</v>
      </c>
      <c r="BQ130" s="13">
        <v>104</v>
      </c>
      <c r="BR130" s="13">
        <v>96</v>
      </c>
      <c r="BS130" s="13">
        <v>101</v>
      </c>
      <c r="BT130" s="13">
        <v>103</v>
      </c>
      <c r="BU130" s="13">
        <v>103</v>
      </c>
      <c r="BV130" s="13">
        <v>101</v>
      </c>
      <c r="BW130" s="13">
        <v>103</v>
      </c>
      <c r="BX130" s="328">
        <f t="shared" si="10"/>
        <v>190246710</v>
      </c>
      <c r="BY130" s="328">
        <f t="shared" si="11"/>
        <v>71631602</v>
      </c>
      <c r="BZ130" s="329">
        <f t="shared" ref="BZ130:BZ193" si="12">BX130/$CC$43</f>
        <v>0.83933693150467337</v>
      </c>
      <c r="CA130" s="329">
        <f t="shared" ref="CA130:CA193" si="13">BY130/$CD$43</f>
        <v>0.83923713632777253</v>
      </c>
    </row>
    <row r="131" spans="1:79" x14ac:dyDescent="0.25">
      <c r="A131" s="13">
        <v>1880</v>
      </c>
      <c r="B131" s="13">
        <v>130</v>
      </c>
      <c r="C131" s="13" t="s">
        <v>649</v>
      </c>
      <c r="D131" s="13">
        <v>326228</v>
      </c>
      <c r="E131" s="13">
        <v>349894</v>
      </c>
      <c r="F131" s="13">
        <v>390883</v>
      </c>
      <c r="G131" s="13">
        <v>413632</v>
      </c>
      <c r="H131" s="13">
        <v>1.4</v>
      </c>
      <c r="I131" s="13">
        <v>97</v>
      </c>
      <c r="J131" s="13">
        <v>118516</v>
      </c>
      <c r="K131" s="13">
        <v>134758</v>
      </c>
      <c r="L131" s="13">
        <v>145058</v>
      </c>
      <c r="M131" s="13">
        <v>1.6</v>
      </c>
      <c r="N131" s="13">
        <v>2.83</v>
      </c>
      <c r="O131" s="13">
        <v>89144</v>
      </c>
      <c r="P131" s="13">
        <v>99578</v>
      </c>
      <c r="Q131" s="13">
        <v>1.4</v>
      </c>
      <c r="R131" s="13">
        <v>75.7</v>
      </c>
      <c r="S131" s="13">
        <v>73.099999999999994</v>
      </c>
      <c r="T131" s="13">
        <v>3.9</v>
      </c>
      <c r="U131" s="13">
        <v>4</v>
      </c>
      <c r="V131" s="13">
        <v>0.8</v>
      </c>
      <c r="W131" s="13">
        <v>1.1000000000000001</v>
      </c>
      <c r="X131" s="13">
        <v>52</v>
      </c>
      <c r="Y131" s="13">
        <v>57.9</v>
      </c>
      <c r="Z131" s="13">
        <v>8.4</v>
      </c>
      <c r="AA131" s="13">
        <v>8</v>
      </c>
      <c r="AB131" s="13">
        <v>8.4</v>
      </c>
      <c r="AC131" s="13">
        <v>8.5</v>
      </c>
      <c r="AD131" s="13">
        <v>7.1</v>
      </c>
      <c r="AE131" s="13">
        <v>29.5</v>
      </c>
      <c r="AF131" s="13">
        <v>19.7</v>
      </c>
      <c r="AG131" s="13">
        <v>9.4</v>
      </c>
      <c r="AH131" s="13">
        <v>1.1000000000000001</v>
      </c>
      <c r="AI131" s="13">
        <v>70.099999999999994</v>
      </c>
      <c r="AJ131" s="13">
        <v>30.5</v>
      </c>
      <c r="AK131" s="13">
        <v>32.200000000000003</v>
      </c>
      <c r="AL131" s="13">
        <v>97.8</v>
      </c>
      <c r="AM131" s="13">
        <v>14445</v>
      </c>
      <c r="AN131" s="13">
        <v>134752</v>
      </c>
      <c r="AO131" s="13">
        <v>22.2</v>
      </c>
      <c r="AP131" s="13">
        <v>15.7</v>
      </c>
      <c r="AQ131" s="13">
        <v>33.700000000000003</v>
      </c>
      <c r="AR131" s="13">
        <v>22.8</v>
      </c>
      <c r="AS131" s="13">
        <v>3.9</v>
      </c>
      <c r="AT131" s="13">
        <v>1.7</v>
      </c>
      <c r="AU131" s="13">
        <v>32679</v>
      </c>
      <c r="AV131" s="13">
        <v>38716</v>
      </c>
      <c r="AW131" s="13">
        <v>217</v>
      </c>
      <c r="AX131" s="13">
        <v>33028</v>
      </c>
      <c r="AY131" s="13">
        <v>27939</v>
      </c>
      <c r="AZ131" s="13">
        <v>36588</v>
      </c>
      <c r="BA131" s="13">
        <v>40059</v>
      </c>
      <c r="BB131" s="13">
        <v>35454</v>
      </c>
      <c r="BC131" s="13">
        <v>24402</v>
      </c>
      <c r="BD131" s="13">
        <v>98</v>
      </c>
      <c r="BE131" s="13">
        <v>98</v>
      </c>
      <c r="BF131" s="13">
        <v>93</v>
      </c>
      <c r="BG131" s="13">
        <v>93</v>
      </c>
      <c r="BH131" s="13">
        <v>99</v>
      </c>
      <c r="BI131" s="13">
        <v>99</v>
      </c>
      <c r="BJ131" s="13">
        <v>100</v>
      </c>
      <c r="BK131" s="13">
        <v>100</v>
      </c>
      <c r="BL131" s="13">
        <v>99</v>
      </c>
      <c r="BM131" s="13">
        <v>97</v>
      </c>
      <c r="BN131" s="13">
        <v>98</v>
      </c>
      <c r="BO131" s="13">
        <v>98</v>
      </c>
      <c r="BP131" s="13">
        <v>96</v>
      </c>
      <c r="BQ131" s="13">
        <v>99</v>
      </c>
      <c r="BR131" s="13">
        <v>91</v>
      </c>
      <c r="BS131" s="13">
        <v>100</v>
      </c>
      <c r="BT131" s="13">
        <v>93</v>
      </c>
      <c r="BU131" s="13">
        <v>99</v>
      </c>
      <c r="BV131" s="13">
        <v>99</v>
      </c>
      <c r="BW131" s="13">
        <v>102</v>
      </c>
      <c r="BX131" s="328">
        <f t="shared" ref="BX131:BX194" si="14">BX130+G131</f>
        <v>190660342</v>
      </c>
      <c r="BY131" s="328">
        <f t="shared" ref="BY131:BY194" si="15">BY130+L131</f>
        <v>71776660</v>
      </c>
      <c r="BZ131" s="329">
        <f t="shared" si="12"/>
        <v>0.84116180728650503</v>
      </c>
      <c r="CA131" s="329">
        <f t="shared" si="13"/>
        <v>0.84093663846261846</v>
      </c>
    </row>
    <row r="132" spans="1:79" x14ac:dyDescent="0.25">
      <c r="A132" s="13">
        <v>7480</v>
      </c>
      <c r="B132" s="13">
        <v>131</v>
      </c>
      <c r="C132" s="13" t="s">
        <v>650</v>
      </c>
      <c r="D132" s="13">
        <v>298694</v>
      </c>
      <c r="E132" s="13">
        <v>369608</v>
      </c>
      <c r="F132" s="13">
        <v>393552</v>
      </c>
      <c r="G132" s="13">
        <v>407708</v>
      </c>
      <c r="H132" s="13">
        <v>0.8</v>
      </c>
      <c r="I132" s="13">
        <v>190</v>
      </c>
      <c r="J132" s="13">
        <v>129802</v>
      </c>
      <c r="K132" s="13">
        <v>138051</v>
      </c>
      <c r="L132" s="13">
        <v>143014</v>
      </c>
      <c r="M132" s="13">
        <v>0.7</v>
      </c>
      <c r="N132" s="13">
        <v>2.73</v>
      </c>
      <c r="O132" s="13">
        <v>86077</v>
      </c>
      <c r="P132" s="13">
        <v>89764</v>
      </c>
      <c r="Q132" s="13">
        <v>0.5</v>
      </c>
      <c r="R132" s="13">
        <v>77.2</v>
      </c>
      <c r="S132" s="13">
        <v>71.900000000000006</v>
      </c>
      <c r="T132" s="13">
        <v>2.8</v>
      </c>
      <c r="U132" s="13">
        <v>2.9</v>
      </c>
      <c r="V132" s="13">
        <v>4.4000000000000004</v>
      </c>
      <c r="W132" s="13">
        <v>5.6</v>
      </c>
      <c r="X132" s="13">
        <v>26.6</v>
      </c>
      <c r="Y132" s="13">
        <v>34</v>
      </c>
      <c r="Z132" s="13">
        <v>7.8</v>
      </c>
      <c r="AA132" s="13">
        <v>7.5</v>
      </c>
      <c r="AB132" s="13">
        <v>6.2</v>
      </c>
      <c r="AC132" s="13">
        <v>7.5</v>
      </c>
      <c r="AD132" s="13">
        <v>8.1999999999999993</v>
      </c>
      <c r="AE132" s="13">
        <v>31.1</v>
      </c>
      <c r="AF132" s="13">
        <v>18.7</v>
      </c>
      <c r="AG132" s="13">
        <v>11.3</v>
      </c>
      <c r="AH132" s="13">
        <v>1.7</v>
      </c>
      <c r="AI132" s="13">
        <v>75.3</v>
      </c>
      <c r="AJ132" s="13">
        <v>31.6</v>
      </c>
      <c r="AK132" s="13">
        <v>33.299999999999997</v>
      </c>
      <c r="AL132" s="13">
        <v>101.9</v>
      </c>
      <c r="AM132" s="13">
        <v>20962</v>
      </c>
      <c r="AN132" s="13">
        <v>138051</v>
      </c>
      <c r="AO132" s="13">
        <v>12.7</v>
      </c>
      <c r="AP132" s="13">
        <v>12.6</v>
      </c>
      <c r="AQ132" s="13">
        <v>32.1</v>
      </c>
      <c r="AR132" s="13">
        <v>30</v>
      </c>
      <c r="AS132" s="13">
        <v>7.6</v>
      </c>
      <c r="AT132" s="13">
        <v>5</v>
      </c>
      <c r="AU132" s="13">
        <v>43036</v>
      </c>
      <c r="AV132" s="13">
        <v>47991</v>
      </c>
      <c r="AW132" s="13">
        <v>56</v>
      </c>
      <c r="AX132" s="13">
        <v>42332</v>
      </c>
      <c r="AY132" s="13">
        <v>33050</v>
      </c>
      <c r="AZ132" s="13">
        <v>45031</v>
      </c>
      <c r="BA132" s="13">
        <v>53384</v>
      </c>
      <c r="BB132" s="13">
        <v>49733</v>
      </c>
      <c r="BC132" s="13">
        <v>35439</v>
      </c>
      <c r="BD132" s="13">
        <v>102</v>
      </c>
      <c r="BE132" s="13">
        <v>119</v>
      </c>
      <c r="BF132" s="13">
        <v>115</v>
      </c>
      <c r="BG132" s="13">
        <v>112</v>
      </c>
      <c r="BH132" s="13">
        <v>107</v>
      </c>
      <c r="BI132" s="13">
        <v>110</v>
      </c>
      <c r="BJ132" s="13">
        <v>99</v>
      </c>
      <c r="BK132" s="13">
        <v>102</v>
      </c>
      <c r="BL132" s="13">
        <v>107</v>
      </c>
      <c r="BM132" s="13">
        <v>106</v>
      </c>
      <c r="BN132" s="13">
        <v>110</v>
      </c>
      <c r="BO132" s="13">
        <v>100</v>
      </c>
      <c r="BP132" s="13">
        <v>106</v>
      </c>
      <c r="BQ132" s="13">
        <v>99</v>
      </c>
      <c r="BR132" s="13">
        <v>109</v>
      </c>
      <c r="BS132" s="13">
        <v>98</v>
      </c>
      <c r="BT132" s="13">
        <v>107</v>
      </c>
      <c r="BU132" s="13">
        <v>107</v>
      </c>
      <c r="BV132" s="13">
        <v>101</v>
      </c>
      <c r="BW132" s="13">
        <v>100</v>
      </c>
      <c r="BX132" s="328">
        <f t="shared" si="14"/>
        <v>191068050</v>
      </c>
      <c r="BY132" s="328">
        <f t="shared" si="15"/>
        <v>71919674</v>
      </c>
      <c r="BZ132" s="329">
        <f t="shared" si="12"/>
        <v>0.84296054736285064</v>
      </c>
      <c r="CA132" s="329">
        <f t="shared" si="13"/>
        <v>0.84261219305673163</v>
      </c>
    </row>
    <row r="133" spans="1:79" x14ac:dyDescent="0.25">
      <c r="A133" s="13">
        <v>6880</v>
      </c>
      <c r="B133" s="13">
        <v>132</v>
      </c>
      <c r="C133" s="13" t="s">
        <v>651</v>
      </c>
      <c r="D133" s="13">
        <v>325852</v>
      </c>
      <c r="E133" s="13">
        <v>329676</v>
      </c>
      <c r="F133" s="13">
        <v>357763</v>
      </c>
      <c r="G133" s="13">
        <v>374794</v>
      </c>
      <c r="H133" s="13">
        <v>1</v>
      </c>
      <c r="I133" s="13">
        <v>166</v>
      </c>
      <c r="J133" s="13">
        <v>124809</v>
      </c>
      <c r="K133" s="13">
        <v>135766</v>
      </c>
      <c r="L133" s="13">
        <v>142426</v>
      </c>
      <c r="M133" s="13">
        <v>1</v>
      </c>
      <c r="N133" s="13">
        <v>2.6</v>
      </c>
      <c r="O133" s="13">
        <v>89953</v>
      </c>
      <c r="P133" s="13">
        <v>96310</v>
      </c>
      <c r="Q133" s="13">
        <v>0.8</v>
      </c>
      <c r="R133" s="13">
        <v>90</v>
      </c>
      <c r="S133" s="13">
        <v>88.3</v>
      </c>
      <c r="T133" s="13">
        <v>7.1</v>
      </c>
      <c r="U133" s="13">
        <v>7.8</v>
      </c>
      <c r="V133" s="13">
        <v>1</v>
      </c>
      <c r="W133" s="13">
        <v>1.3</v>
      </c>
      <c r="X133" s="13">
        <v>3.4</v>
      </c>
      <c r="Y133" s="13">
        <v>4.8</v>
      </c>
      <c r="Z133" s="13">
        <v>7.5</v>
      </c>
      <c r="AA133" s="13">
        <v>7.6</v>
      </c>
      <c r="AB133" s="13">
        <v>7.4</v>
      </c>
      <c r="AC133" s="13">
        <v>7.1</v>
      </c>
      <c r="AD133" s="13">
        <v>5.8</v>
      </c>
      <c r="AE133" s="13">
        <v>30.2</v>
      </c>
      <c r="AF133" s="13">
        <v>21.7</v>
      </c>
      <c r="AG133" s="13">
        <v>11.2</v>
      </c>
      <c r="AH133" s="13">
        <v>1.6</v>
      </c>
      <c r="AI133" s="13">
        <v>73.2</v>
      </c>
      <c r="AJ133" s="13">
        <v>33.5</v>
      </c>
      <c r="AK133" s="13">
        <v>35.5</v>
      </c>
      <c r="AL133" s="13">
        <v>95.6</v>
      </c>
      <c r="AM133" s="13">
        <v>17001</v>
      </c>
      <c r="AN133" s="13">
        <v>135766</v>
      </c>
      <c r="AO133" s="13">
        <v>15.7</v>
      </c>
      <c r="AP133" s="13">
        <v>13.8</v>
      </c>
      <c r="AQ133" s="13">
        <v>37.5</v>
      </c>
      <c r="AR133" s="13">
        <v>27.5</v>
      </c>
      <c r="AS133" s="13">
        <v>3.9</v>
      </c>
      <c r="AT133" s="13">
        <v>1.4</v>
      </c>
      <c r="AU133" s="13">
        <v>37825</v>
      </c>
      <c r="AV133" s="13">
        <v>43445</v>
      </c>
      <c r="AW133" s="13">
        <v>128</v>
      </c>
      <c r="AX133" s="13">
        <v>33998</v>
      </c>
      <c r="AY133" s="13">
        <v>29882</v>
      </c>
      <c r="AZ133" s="13">
        <v>39632</v>
      </c>
      <c r="BA133" s="13">
        <v>42907</v>
      </c>
      <c r="BB133" s="13">
        <v>36771</v>
      </c>
      <c r="BC133" s="13">
        <v>21223</v>
      </c>
      <c r="BD133" s="13">
        <v>98</v>
      </c>
      <c r="BE133" s="13">
        <v>95</v>
      </c>
      <c r="BF133" s="13">
        <v>94</v>
      </c>
      <c r="BG133" s="13">
        <v>95</v>
      </c>
      <c r="BH133" s="13">
        <v>101</v>
      </c>
      <c r="BI133" s="13">
        <v>99</v>
      </c>
      <c r="BJ133" s="13">
        <v>102</v>
      </c>
      <c r="BK133" s="13">
        <v>99</v>
      </c>
      <c r="BL133" s="13">
        <v>98</v>
      </c>
      <c r="BM133" s="13">
        <v>98</v>
      </c>
      <c r="BN133" s="13">
        <v>98</v>
      </c>
      <c r="BO133" s="13">
        <v>98</v>
      </c>
      <c r="BP133" s="13">
        <v>100</v>
      </c>
      <c r="BQ133" s="13">
        <v>100</v>
      </c>
      <c r="BR133" s="13">
        <v>100</v>
      </c>
      <c r="BS133" s="13">
        <v>102</v>
      </c>
      <c r="BT133" s="13">
        <v>98</v>
      </c>
      <c r="BU133" s="13">
        <v>99</v>
      </c>
      <c r="BV133" s="13">
        <v>99</v>
      </c>
      <c r="BW133" s="13">
        <v>99</v>
      </c>
      <c r="BX133" s="328">
        <f t="shared" si="14"/>
        <v>191442844</v>
      </c>
      <c r="BY133" s="328">
        <f t="shared" si="15"/>
        <v>72062100</v>
      </c>
      <c r="BZ133" s="329">
        <f t="shared" si="12"/>
        <v>0.84461407633008667</v>
      </c>
      <c r="CA133" s="329">
        <f t="shared" si="13"/>
        <v>0.84428085863227764</v>
      </c>
    </row>
    <row r="134" spans="1:79" x14ac:dyDescent="0.25">
      <c r="A134" s="13">
        <v>1960</v>
      </c>
      <c r="B134" s="13">
        <v>133</v>
      </c>
      <c r="C134" s="13" t="s">
        <v>652</v>
      </c>
      <c r="D134" s="13">
        <v>384749</v>
      </c>
      <c r="E134" s="13">
        <v>350861</v>
      </c>
      <c r="F134" s="13">
        <v>357336</v>
      </c>
      <c r="G134" s="13">
        <v>361065</v>
      </c>
      <c r="H134" s="13">
        <v>0.2</v>
      </c>
      <c r="I134" s="13">
        <v>252</v>
      </c>
      <c r="J134" s="13">
        <v>136269</v>
      </c>
      <c r="K134" s="13">
        <v>139979</v>
      </c>
      <c r="L134" s="13">
        <v>142259</v>
      </c>
      <c r="M134" s="13">
        <v>0.3</v>
      </c>
      <c r="N134" s="13">
        <v>2.5</v>
      </c>
      <c r="O134" s="13">
        <v>94694</v>
      </c>
      <c r="P134" s="13">
        <v>94753</v>
      </c>
      <c r="Q134" s="13">
        <v>0</v>
      </c>
      <c r="R134" s="13">
        <v>92</v>
      </c>
      <c r="S134" s="13">
        <v>90.4</v>
      </c>
      <c r="T134" s="13">
        <v>5.4</v>
      </c>
      <c r="U134" s="13">
        <v>6.1</v>
      </c>
      <c r="V134" s="13">
        <v>0.7</v>
      </c>
      <c r="W134" s="13">
        <v>1</v>
      </c>
      <c r="X134" s="13">
        <v>3.7</v>
      </c>
      <c r="Y134" s="13">
        <v>5.6</v>
      </c>
      <c r="Z134" s="13">
        <v>6.9</v>
      </c>
      <c r="AA134" s="13">
        <v>7.1</v>
      </c>
      <c r="AB134" s="13">
        <v>7.5</v>
      </c>
      <c r="AC134" s="13">
        <v>7.8</v>
      </c>
      <c r="AD134" s="13">
        <v>6.1</v>
      </c>
      <c r="AE134" s="13">
        <v>29.1</v>
      </c>
      <c r="AF134" s="13">
        <v>22</v>
      </c>
      <c r="AG134" s="13">
        <v>11.9</v>
      </c>
      <c r="AH134" s="13">
        <v>1.7</v>
      </c>
      <c r="AI134" s="13">
        <v>73.8</v>
      </c>
      <c r="AJ134" s="13">
        <v>33.9</v>
      </c>
      <c r="AK134" s="13">
        <v>36.1</v>
      </c>
      <c r="AL134" s="13">
        <v>94.5</v>
      </c>
      <c r="AM134" s="13">
        <v>15611</v>
      </c>
      <c r="AN134" s="13">
        <v>139979</v>
      </c>
      <c r="AO134" s="13">
        <v>20.6</v>
      </c>
      <c r="AP134" s="13">
        <v>16.899999999999999</v>
      </c>
      <c r="AQ134" s="13">
        <v>35.5</v>
      </c>
      <c r="AR134" s="13">
        <v>22.9</v>
      </c>
      <c r="AS134" s="13">
        <v>3</v>
      </c>
      <c r="AT134" s="13">
        <v>1.1000000000000001</v>
      </c>
      <c r="AU134" s="13">
        <v>32538</v>
      </c>
      <c r="AV134" s="13">
        <v>36428</v>
      </c>
      <c r="AW134" s="13">
        <v>221</v>
      </c>
      <c r="AX134" s="13">
        <v>29872</v>
      </c>
      <c r="AY134" s="13">
        <v>24369</v>
      </c>
      <c r="AZ134" s="13">
        <v>34963</v>
      </c>
      <c r="BA134" s="13">
        <v>39515</v>
      </c>
      <c r="BB134" s="13">
        <v>32941</v>
      </c>
      <c r="BC134" s="13">
        <v>19497</v>
      </c>
      <c r="BD134" s="13">
        <v>97</v>
      </c>
      <c r="BE134" s="13">
        <v>93</v>
      </c>
      <c r="BF134" s="13">
        <v>94</v>
      </c>
      <c r="BG134" s="13">
        <v>93</v>
      </c>
      <c r="BH134" s="13">
        <v>101</v>
      </c>
      <c r="BI134" s="13">
        <v>98</v>
      </c>
      <c r="BJ134" s="13">
        <v>100</v>
      </c>
      <c r="BK134" s="13">
        <v>98</v>
      </c>
      <c r="BL134" s="13">
        <v>96</v>
      </c>
      <c r="BM134" s="13">
        <v>96</v>
      </c>
      <c r="BN134" s="13">
        <v>96</v>
      </c>
      <c r="BO134" s="13">
        <v>96</v>
      </c>
      <c r="BP134" s="13">
        <v>98</v>
      </c>
      <c r="BQ134" s="13">
        <v>98</v>
      </c>
      <c r="BR134" s="13">
        <v>100</v>
      </c>
      <c r="BS134" s="13">
        <v>101</v>
      </c>
      <c r="BT134" s="13">
        <v>95</v>
      </c>
      <c r="BU134" s="13">
        <v>97</v>
      </c>
      <c r="BV134" s="13">
        <v>100</v>
      </c>
      <c r="BW134" s="13">
        <v>97</v>
      </c>
      <c r="BX134" s="328">
        <f t="shared" si="14"/>
        <v>191803909</v>
      </c>
      <c r="BY134" s="328">
        <f t="shared" si="15"/>
        <v>72204359</v>
      </c>
      <c r="BZ134" s="329">
        <f t="shared" si="12"/>
        <v>0.84620703522632068</v>
      </c>
      <c r="CA134" s="329">
        <f t="shared" si="13"/>
        <v>0.84594756763282264</v>
      </c>
    </row>
    <row r="135" spans="1:79" x14ac:dyDescent="0.25">
      <c r="A135" s="13">
        <v>6680</v>
      </c>
      <c r="B135" s="13">
        <v>134</v>
      </c>
      <c r="C135" s="13" t="s">
        <v>653</v>
      </c>
      <c r="D135" s="13">
        <v>312509</v>
      </c>
      <c r="E135" s="13">
        <v>336523</v>
      </c>
      <c r="F135" s="13">
        <v>355974</v>
      </c>
      <c r="G135" s="13">
        <v>367455</v>
      </c>
      <c r="H135" s="13">
        <v>0.7</v>
      </c>
      <c r="I135" s="13">
        <v>199</v>
      </c>
      <c r="J135" s="13">
        <v>127649</v>
      </c>
      <c r="K135" s="13">
        <v>136712</v>
      </c>
      <c r="L135" s="13">
        <v>142220</v>
      </c>
      <c r="M135" s="13">
        <v>0.8</v>
      </c>
      <c r="N135" s="13">
        <v>2.5299999999999998</v>
      </c>
      <c r="O135" s="13">
        <v>91268</v>
      </c>
      <c r="P135" s="13">
        <v>95931</v>
      </c>
      <c r="Q135" s="13">
        <v>0.6</v>
      </c>
      <c r="R135" s="13">
        <v>93.5</v>
      </c>
      <c r="S135" s="13">
        <v>91.7</v>
      </c>
      <c r="T135" s="13">
        <v>3</v>
      </c>
      <c r="U135" s="13">
        <v>3.4</v>
      </c>
      <c r="V135" s="13">
        <v>0.8</v>
      </c>
      <c r="W135" s="13">
        <v>1.2</v>
      </c>
      <c r="X135" s="13">
        <v>5.0999999999999996</v>
      </c>
      <c r="Y135" s="13">
        <v>6.9</v>
      </c>
      <c r="Z135" s="13">
        <v>6.2</v>
      </c>
      <c r="AA135" s="13">
        <v>6.8</v>
      </c>
      <c r="AB135" s="13">
        <v>6.8</v>
      </c>
      <c r="AC135" s="13">
        <v>6.7</v>
      </c>
      <c r="AD135" s="13">
        <v>5.7</v>
      </c>
      <c r="AE135" s="13">
        <v>29.6</v>
      </c>
      <c r="AF135" s="13">
        <v>22.3</v>
      </c>
      <c r="AG135" s="13">
        <v>14.1</v>
      </c>
      <c r="AH135" s="13">
        <v>1.9</v>
      </c>
      <c r="AI135" s="13">
        <v>76.599999999999994</v>
      </c>
      <c r="AJ135" s="13">
        <v>35.4</v>
      </c>
      <c r="AK135" s="13">
        <v>37.700000000000003</v>
      </c>
      <c r="AL135" s="13">
        <v>94.4</v>
      </c>
      <c r="AM135" s="13">
        <v>20965</v>
      </c>
      <c r="AN135" s="13">
        <v>136712</v>
      </c>
      <c r="AO135" s="13">
        <v>11</v>
      </c>
      <c r="AP135" s="13">
        <v>10.6</v>
      </c>
      <c r="AQ135" s="13">
        <v>35.1</v>
      </c>
      <c r="AR135" s="13">
        <v>33.200000000000003</v>
      </c>
      <c r="AS135" s="13">
        <v>7.4</v>
      </c>
      <c r="AT135" s="13">
        <v>2.5</v>
      </c>
      <c r="AU135" s="13">
        <v>45169</v>
      </c>
      <c r="AV135" s="13">
        <v>54373</v>
      </c>
      <c r="AW135" s="13">
        <v>36</v>
      </c>
      <c r="AX135" s="13">
        <v>40119</v>
      </c>
      <c r="AY135" s="13">
        <v>37398</v>
      </c>
      <c r="AZ135" s="13">
        <v>45787</v>
      </c>
      <c r="BA135" s="13">
        <v>52488</v>
      </c>
      <c r="BB135" s="13">
        <v>45311</v>
      </c>
      <c r="BC135" s="13">
        <v>25209</v>
      </c>
      <c r="BD135" s="13">
        <v>100</v>
      </c>
      <c r="BE135" s="13">
        <v>90</v>
      </c>
      <c r="BF135" s="13">
        <v>99</v>
      </c>
      <c r="BG135" s="13">
        <v>95</v>
      </c>
      <c r="BH135" s="13">
        <v>95</v>
      </c>
      <c r="BI135" s="13">
        <v>93</v>
      </c>
      <c r="BJ135" s="13">
        <v>97</v>
      </c>
      <c r="BK135" s="13">
        <v>98</v>
      </c>
      <c r="BL135" s="13">
        <v>95</v>
      </c>
      <c r="BM135" s="13">
        <v>96</v>
      </c>
      <c r="BN135" s="13">
        <v>96</v>
      </c>
      <c r="BO135" s="13">
        <v>99</v>
      </c>
      <c r="BP135" s="13">
        <v>97</v>
      </c>
      <c r="BQ135" s="13">
        <v>102</v>
      </c>
      <c r="BR135" s="13">
        <v>99</v>
      </c>
      <c r="BS135" s="13">
        <v>98</v>
      </c>
      <c r="BT135" s="13">
        <v>98</v>
      </c>
      <c r="BU135" s="13">
        <v>96</v>
      </c>
      <c r="BV135" s="13">
        <v>102</v>
      </c>
      <c r="BW135" s="13">
        <v>100</v>
      </c>
      <c r="BX135" s="328">
        <f t="shared" si="14"/>
        <v>192171364</v>
      </c>
      <c r="BY135" s="328">
        <f t="shared" si="15"/>
        <v>72346579</v>
      </c>
      <c r="BZ135" s="329">
        <f t="shared" si="12"/>
        <v>0.84782818574275298</v>
      </c>
      <c r="CA135" s="329">
        <f t="shared" si="13"/>
        <v>0.84761381970866667</v>
      </c>
    </row>
    <row r="136" spans="1:79" x14ac:dyDescent="0.25">
      <c r="A136" s="13">
        <v>6720</v>
      </c>
      <c r="B136" s="13">
        <v>135</v>
      </c>
      <c r="C136" s="13" t="s">
        <v>654</v>
      </c>
      <c r="D136" s="13">
        <v>193623</v>
      </c>
      <c r="E136" s="13">
        <v>254667</v>
      </c>
      <c r="F136" s="13">
        <v>313188</v>
      </c>
      <c r="G136" s="13">
        <v>348354</v>
      </c>
      <c r="H136" s="13">
        <v>2.5</v>
      </c>
      <c r="I136" s="13">
        <v>22</v>
      </c>
      <c r="J136" s="13">
        <v>102294</v>
      </c>
      <c r="K136" s="13">
        <v>125637</v>
      </c>
      <c r="L136" s="13">
        <v>139723</v>
      </c>
      <c r="M136" s="13">
        <v>2.5</v>
      </c>
      <c r="N136" s="13">
        <v>2.44</v>
      </c>
      <c r="O136" s="13">
        <v>64311</v>
      </c>
      <c r="P136" s="13">
        <v>76850</v>
      </c>
      <c r="Q136" s="13">
        <v>2.2000000000000002</v>
      </c>
      <c r="R136" s="13">
        <v>88.4</v>
      </c>
      <c r="S136" s="13">
        <v>84.9</v>
      </c>
      <c r="T136" s="13">
        <v>2.2000000000000002</v>
      </c>
      <c r="U136" s="13">
        <v>2.5</v>
      </c>
      <c r="V136" s="13">
        <v>3.9</v>
      </c>
      <c r="W136" s="13">
        <v>5.3</v>
      </c>
      <c r="X136" s="13">
        <v>9</v>
      </c>
      <c r="Y136" s="13">
        <v>13.3</v>
      </c>
      <c r="Z136" s="13">
        <v>7.3</v>
      </c>
      <c r="AA136" s="13">
        <v>6.9</v>
      </c>
      <c r="AB136" s="13">
        <v>6.3</v>
      </c>
      <c r="AC136" s="13">
        <v>6.5</v>
      </c>
      <c r="AD136" s="13">
        <v>6.4</v>
      </c>
      <c r="AE136" s="13">
        <v>33.4</v>
      </c>
      <c r="AF136" s="13">
        <v>22.1</v>
      </c>
      <c r="AG136" s="13">
        <v>10.1</v>
      </c>
      <c r="AH136" s="13">
        <v>1</v>
      </c>
      <c r="AI136" s="13">
        <v>75.900000000000006</v>
      </c>
      <c r="AJ136" s="13">
        <v>33.6</v>
      </c>
      <c r="AK136" s="13">
        <v>35.6</v>
      </c>
      <c r="AL136" s="13">
        <v>103.4</v>
      </c>
      <c r="AM136" s="13">
        <v>20422</v>
      </c>
      <c r="AN136" s="13">
        <v>125637</v>
      </c>
      <c r="AO136" s="13">
        <v>12.4</v>
      </c>
      <c r="AP136" s="13">
        <v>14.1</v>
      </c>
      <c r="AQ136" s="13">
        <v>35.5</v>
      </c>
      <c r="AR136" s="13">
        <v>29.5</v>
      </c>
      <c r="AS136" s="13">
        <v>6.1</v>
      </c>
      <c r="AT136" s="13">
        <v>2.5</v>
      </c>
      <c r="AU136" s="13">
        <v>40695</v>
      </c>
      <c r="AV136" s="13">
        <v>46284</v>
      </c>
      <c r="AW136" s="13">
        <v>81</v>
      </c>
      <c r="AX136" s="13">
        <v>40097</v>
      </c>
      <c r="AY136" s="13">
        <v>33945</v>
      </c>
      <c r="AZ136" s="13">
        <v>44286</v>
      </c>
      <c r="BA136" s="13">
        <v>49841</v>
      </c>
      <c r="BB136" s="13">
        <v>43055</v>
      </c>
      <c r="BC136" s="13">
        <v>28676</v>
      </c>
      <c r="BD136" s="13">
        <v>101</v>
      </c>
      <c r="BE136" s="13">
        <v>106</v>
      </c>
      <c r="BF136" s="13">
        <v>101</v>
      </c>
      <c r="BG136" s="13">
        <v>103</v>
      </c>
      <c r="BH136" s="13">
        <v>102</v>
      </c>
      <c r="BI136" s="13">
        <v>102</v>
      </c>
      <c r="BJ136" s="13">
        <v>100</v>
      </c>
      <c r="BK136" s="13">
        <v>100</v>
      </c>
      <c r="BL136" s="13">
        <v>102</v>
      </c>
      <c r="BM136" s="13">
        <v>103</v>
      </c>
      <c r="BN136" s="13">
        <v>104</v>
      </c>
      <c r="BO136" s="13">
        <v>97</v>
      </c>
      <c r="BP136" s="13">
        <v>98</v>
      </c>
      <c r="BQ136" s="13">
        <v>97</v>
      </c>
      <c r="BR136" s="13">
        <v>99</v>
      </c>
      <c r="BS136" s="13">
        <v>96</v>
      </c>
      <c r="BT136" s="13">
        <v>101</v>
      </c>
      <c r="BU136" s="13">
        <v>100</v>
      </c>
      <c r="BV136" s="13">
        <v>98</v>
      </c>
      <c r="BW136" s="13">
        <v>97</v>
      </c>
      <c r="BX136" s="328">
        <f t="shared" si="14"/>
        <v>192519718</v>
      </c>
      <c r="BY136" s="328">
        <f t="shared" si="15"/>
        <v>72486302</v>
      </c>
      <c r="BZ136" s="329">
        <f t="shared" si="12"/>
        <v>0.84936506581514626</v>
      </c>
      <c r="CA136" s="329">
        <f t="shared" si="13"/>
        <v>0.84925081688763704</v>
      </c>
    </row>
    <row r="137" spans="1:79" x14ac:dyDescent="0.25">
      <c r="A137" s="13">
        <v>920</v>
      </c>
      <c r="B137" s="13">
        <v>136</v>
      </c>
      <c r="C137" s="13" t="s">
        <v>655</v>
      </c>
      <c r="D137" s="13">
        <v>300176</v>
      </c>
      <c r="E137" s="13">
        <v>312368</v>
      </c>
      <c r="F137" s="13">
        <v>346914</v>
      </c>
      <c r="G137" s="13">
        <v>368576</v>
      </c>
      <c r="H137" s="13">
        <v>1.3</v>
      </c>
      <c r="I137" s="13">
        <v>108</v>
      </c>
      <c r="J137" s="13">
        <v>111828</v>
      </c>
      <c r="K137" s="13">
        <v>128541</v>
      </c>
      <c r="L137" s="13">
        <v>139283</v>
      </c>
      <c r="M137" s="13">
        <v>1.7</v>
      </c>
      <c r="N137" s="13">
        <v>2.63</v>
      </c>
      <c r="O137" s="13">
        <v>83221</v>
      </c>
      <c r="P137" s="13">
        <v>94094</v>
      </c>
      <c r="Q137" s="13">
        <v>1.5</v>
      </c>
      <c r="R137" s="13">
        <v>78.900000000000006</v>
      </c>
      <c r="S137" s="13">
        <v>76.7</v>
      </c>
      <c r="T137" s="13">
        <v>18.8</v>
      </c>
      <c r="U137" s="13">
        <v>20.2</v>
      </c>
      <c r="V137" s="13">
        <v>1.8</v>
      </c>
      <c r="W137" s="13">
        <v>2.4</v>
      </c>
      <c r="X137" s="13">
        <v>1.5</v>
      </c>
      <c r="Y137" s="13">
        <v>2</v>
      </c>
      <c r="Z137" s="13">
        <v>7.5</v>
      </c>
      <c r="AA137" s="13">
        <v>7.4</v>
      </c>
      <c r="AB137" s="13">
        <v>7.4</v>
      </c>
      <c r="AC137" s="13">
        <v>7.9</v>
      </c>
      <c r="AD137" s="13">
        <v>7.4</v>
      </c>
      <c r="AE137" s="13">
        <v>29.9</v>
      </c>
      <c r="AF137" s="13">
        <v>21.4</v>
      </c>
      <c r="AG137" s="13">
        <v>10.199999999999999</v>
      </c>
      <c r="AH137" s="13">
        <v>1</v>
      </c>
      <c r="AI137" s="13">
        <v>73.099999999999994</v>
      </c>
      <c r="AJ137" s="13">
        <v>31.4</v>
      </c>
      <c r="AK137" s="13">
        <v>33.6</v>
      </c>
      <c r="AL137" s="13">
        <v>98</v>
      </c>
      <c r="AM137" s="13">
        <v>14629</v>
      </c>
      <c r="AN137" s="13">
        <v>128541</v>
      </c>
      <c r="AO137" s="13">
        <v>21.7</v>
      </c>
      <c r="AP137" s="13">
        <v>16.5</v>
      </c>
      <c r="AQ137" s="13">
        <v>35.4</v>
      </c>
      <c r="AR137" s="13">
        <v>22.3</v>
      </c>
      <c r="AS137" s="13">
        <v>3.1</v>
      </c>
      <c r="AT137" s="13">
        <v>0.9</v>
      </c>
      <c r="AU137" s="13">
        <v>31690</v>
      </c>
      <c r="AV137" s="13">
        <v>37368</v>
      </c>
      <c r="AW137" s="13">
        <v>243</v>
      </c>
      <c r="AX137" s="13">
        <v>30796</v>
      </c>
      <c r="AY137" s="13">
        <v>26965</v>
      </c>
      <c r="AZ137" s="13">
        <v>35552</v>
      </c>
      <c r="BA137" s="13">
        <v>36799</v>
      </c>
      <c r="BB137" s="13">
        <v>33343</v>
      </c>
      <c r="BC137" s="13">
        <v>21963</v>
      </c>
      <c r="BD137" s="13">
        <v>98</v>
      </c>
      <c r="BE137" s="13">
        <v>89</v>
      </c>
      <c r="BF137" s="13">
        <v>93</v>
      </c>
      <c r="BG137" s="13">
        <v>90</v>
      </c>
      <c r="BH137" s="13">
        <v>101</v>
      </c>
      <c r="BI137" s="13">
        <v>98</v>
      </c>
      <c r="BJ137" s="13">
        <v>105</v>
      </c>
      <c r="BK137" s="13">
        <v>99</v>
      </c>
      <c r="BL137" s="13">
        <v>97</v>
      </c>
      <c r="BM137" s="13">
        <v>94</v>
      </c>
      <c r="BN137" s="13">
        <v>92</v>
      </c>
      <c r="BO137" s="13">
        <v>97</v>
      </c>
      <c r="BP137" s="13">
        <v>93</v>
      </c>
      <c r="BQ137" s="13">
        <v>99</v>
      </c>
      <c r="BR137" s="13">
        <v>88</v>
      </c>
      <c r="BS137" s="13">
        <v>99</v>
      </c>
      <c r="BT137" s="13">
        <v>92</v>
      </c>
      <c r="BU137" s="13">
        <v>96</v>
      </c>
      <c r="BV137" s="13">
        <v>99</v>
      </c>
      <c r="BW137" s="13">
        <v>99</v>
      </c>
      <c r="BX137" s="328">
        <f t="shared" si="14"/>
        <v>192888294</v>
      </c>
      <c r="BY137" s="328">
        <f t="shared" si="15"/>
        <v>72625585</v>
      </c>
      <c r="BZ137" s="329">
        <f t="shared" si="12"/>
        <v>0.85099116199765712</v>
      </c>
      <c r="CA137" s="329">
        <f t="shared" si="13"/>
        <v>0.85088265901870008</v>
      </c>
    </row>
    <row r="138" spans="1:79" x14ac:dyDescent="0.25">
      <c r="A138" s="13">
        <v>460</v>
      </c>
      <c r="B138" s="13">
        <v>137</v>
      </c>
      <c r="C138" s="13" t="s">
        <v>656</v>
      </c>
      <c r="D138" s="13">
        <v>291369</v>
      </c>
      <c r="E138" s="13">
        <v>315121</v>
      </c>
      <c r="F138" s="13">
        <v>345437</v>
      </c>
      <c r="G138" s="13">
        <v>363235</v>
      </c>
      <c r="H138" s="13">
        <v>1.1000000000000001</v>
      </c>
      <c r="I138" s="13">
        <v>144</v>
      </c>
      <c r="J138" s="13">
        <v>115515</v>
      </c>
      <c r="K138" s="13">
        <v>129618</v>
      </c>
      <c r="L138" s="13">
        <v>138449</v>
      </c>
      <c r="M138" s="13">
        <v>1.4</v>
      </c>
      <c r="N138" s="13">
        <v>2.59</v>
      </c>
      <c r="O138" s="13">
        <v>82793</v>
      </c>
      <c r="P138" s="13">
        <v>91053</v>
      </c>
      <c r="Q138" s="13">
        <v>1.2</v>
      </c>
      <c r="R138" s="13">
        <v>97.4</v>
      </c>
      <c r="S138" s="13">
        <v>96.3</v>
      </c>
      <c r="T138" s="13">
        <v>0.3</v>
      </c>
      <c r="U138" s="13">
        <v>0.6</v>
      </c>
      <c r="V138" s="13">
        <v>1.2</v>
      </c>
      <c r="W138" s="13">
        <v>1.8</v>
      </c>
      <c r="X138" s="13">
        <v>0.7</v>
      </c>
      <c r="Y138" s="13">
        <v>1.1000000000000001</v>
      </c>
      <c r="Z138" s="13">
        <v>6.6</v>
      </c>
      <c r="AA138" s="13">
        <v>7.5</v>
      </c>
      <c r="AB138" s="13">
        <v>7.7</v>
      </c>
      <c r="AC138" s="13">
        <v>7.7</v>
      </c>
      <c r="AD138" s="13">
        <v>6.4</v>
      </c>
      <c r="AE138" s="13">
        <v>32</v>
      </c>
      <c r="AF138" s="13">
        <v>20.3</v>
      </c>
      <c r="AG138" s="13">
        <v>10.3</v>
      </c>
      <c r="AH138" s="13">
        <v>1.6</v>
      </c>
      <c r="AI138" s="13">
        <v>73.900000000000006</v>
      </c>
      <c r="AJ138" s="13">
        <v>31.9</v>
      </c>
      <c r="AK138" s="13">
        <v>34.5</v>
      </c>
      <c r="AL138" s="13">
        <v>98.3</v>
      </c>
      <c r="AM138" s="13">
        <v>19812</v>
      </c>
      <c r="AN138" s="13">
        <v>129618</v>
      </c>
      <c r="AO138" s="13">
        <v>10</v>
      </c>
      <c r="AP138" s="13">
        <v>10.4</v>
      </c>
      <c r="AQ138" s="13">
        <v>37.299999999999997</v>
      </c>
      <c r="AR138" s="13">
        <v>34.1</v>
      </c>
      <c r="AS138" s="13">
        <v>6.5</v>
      </c>
      <c r="AT138" s="13">
        <v>1.7</v>
      </c>
      <c r="AU138" s="13">
        <v>44608</v>
      </c>
      <c r="AV138" s="13">
        <v>54005</v>
      </c>
      <c r="AW138" s="13">
        <v>42</v>
      </c>
      <c r="AX138" s="13">
        <v>35583</v>
      </c>
      <c r="AY138" s="13">
        <v>31750</v>
      </c>
      <c r="AZ138" s="13">
        <v>39867</v>
      </c>
      <c r="BA138" s="13">
        <v>46424</v>
      </c>
      <c r="BB138" s="13">
        <v>40347</v>
      </c>
      <c r="BC138" s="13">
        <v>22577</v>
      </c>
      <c r="BD138" s="13">
        <v>98</v>
      </c>
      <c r="BE138" s="13">
        <v>94</v>
      </c>
      <c r="BF138" s="13">
        <v>91</v>
      </c>
      <c r="BG138" s="13">
        <v>93</v>
      </c>
      <c r="BH138" s="13">
        <v>100</v>
      </c>
      <c r="BI138" s="13">
        <v>97</v>
      </c>
      <c r="BJ138" s="13">
        <v>103</v>
      </c>
      <c r="BK138" s="13">
        <v>99</v>
      </c>
      <c r="BL138" s="13">
        <v>97</v>
      </c>
      <c r="BM138" s="13">
        <v>97</v>
      </c>
      <c r="BN138" s="13">
        <v>99</v>
      </c>
      <c r="BO138" s="13">
        <v>97</v>
      </c>
      <c r="BP138" s="13">
        <v>99</v>
      </c>
      <c r="BQ138" s="13">
        <v>100</v>
      </c>
      <c r="BR138" s="13">
        <v>98</v>
      </c>
      <c r="BS138" s="13">
        <v>102</v>
      </c>
      <c r="BT138" s="13">
        <v>98</v>
      </c>
      <c r="BU138" s="13">
        <v>98</v>
      </c>
      <c r="BV138" s="13">
        <v>99</v>
      </c>
      <c r="BW138" s="13">
        <v>99</v>
      </c>
      <c r="BX138" s="328">
        <f t="shared" si="14"/>
        <v>193251529</v>
      </c>
      <c r="BY138" s="328">
        <f t="shared" si="15"/>
        <v>72764034</v>
      </c>
      <c r="BZ138" s="329">
        <f t="shared" si="12"/>
        <v>0.8525936945739897</v>
      </c>
      <c r="CA138" s="329">
        <f t="shared" si="13"/>
        <v>0.85250472999077531</v>
      </c>
    </row>
    <row r="139" spans="1:79" x14ac:dyDescent="0.25">
      <c r="A139" s="13">
        <v>7080</v>
      </c>
      <c r="B139" s="13">
        <v>138</v>
      </c>
      <c r="C139" s="13" t="s">
        <v>657</v>
      </c>
      <c r="D139" s="13">
        <v>249895</v>
      </c>
      <c r="E139" s="13">
        <v>278024</v>
      </c>
      <c r="F139" s="13">
        <v>331451</v>
      </c>
      <c r="G139" s="13">
        <v>364201</v>
      </c>
      <c r="H139" s="13">
        <v>2.2000000000000002</v>
      </c>
      <c r="I139" s="13">
        <v>41</v>
      </c>
      <c r="J139" s="13">
        <v>101661</v>
      </c>
      <c r="K139" s="13">
        <v>122965</v>
      </c>
      <c r="L139" s="13">
        <v>135931</v>
      </c>
      <c r="M139" s="13">
        <v>2.2999999999999998</v>
      </c>
      <c r="N139" s="13">
        <v>2.6</v>
      </c>
      <c r="O139" s="13">
        <v>71379</v>
      </c>
      <c r="P139" s="13">
        <v>84311</v>
      </c>
      <c r="Q139" s="13">
        <v>2</v>
      </c>
      <c r="R139" s="13">
        <v>91.8</v>
      </c>
      <c r="S139" s="13">
        <v>89.3</v>
      </c>
      <c r="T139" s="13">
        <v>0.8</v>
      </c>
      <c r="U139" s="13">
        <v>0.9</v>
      </c>
      <c r="V139" s="13">
        <v>1.7</v>
      </c>
      <c r="W139" s="13">
        <v>2.1</v>
      </c>
      <c r="X139" s="13">
        <v>7.6</v>
      </c>
      <c r="Y139" s="13">
        <v>11.4</v>
      </c>
      <c r="Z139" s="13">
        <v>6.8</v>
      </c>
      <c r="AA139" s="13">
        <v>7.3</v>
      </c>
      <c r="AB139" s="13">
        <v>7.5</v>
      </c>
      <c r="AC139" s="13">
        <v>7.7</v>
      </c>
      <c r="AD139" s="13">
        <v>6.3</v>
      </c>
      <c r="AE139" s="13">
        <v>29.1</v>
      </c>
      <c r="AF139" s="13">
        <v>21.3</v>
      </c>
      <c r="AG139" s="13">
        <v>12</v>
      </c>
      <c r="AH139" s="13">
        <v>1.9</v>
      </c>
      <c r="AI139" s="13">
        <v>73.900000000000006</v>
      </c>
      <c r="AJ139" s="13">
        <v>33.799999999999997</v>
      </c>
      <c r="AK139" s="13">
        <v>35.799999999999997</v>
      </c>
      <c r="AL139" s="13">
        <v>98.7</v>
      </c>
      <c r="AM139" s="13">
        <v>16364</v>
      </c>
      <c r="AN139" s="13">
        <v>122959</v>
      </c>
      <c r="AO139" s="13">
        <v>15.2</v>
      </c>
      <c r="AP139" s="13">
        <v>16.3</v>
      </c>
      <c r="AQ139" s="13">
        <v>37.700000000000003</v>
      </c>
      <c r="AR139" s="13">
        <v>25.5</v>
      </c>
      <c r="AS139" s="13">
        <v>4.0999999999999996</v>
      </c>
      <c r="AT139" s="13">
        <v>1.2</v>
      </c>
      <c r="AU139" s="13">
        <v>36135</v>
      </c>
      <c r="AV139" s="13">
        <v>43754</v>
      </c>
      <c r="AW139" s="13">
        <v>155</v>
      </c>
      <c r="AX139" s="13">
        <v>30628</v>
      </c>
      <c r="AY139" s="13">
        <v>25368</v>
      </c>
      <c r="AZ139" s="13">
        <v>34524</v>
      </c>
      <c r="BA139" s="13">
        <v>39556</v>
      </c>
      <c r="BB139" s="13">
        <v>34092</v>
      </c>
      <c r="BC139" s="13">
        <v>22084</v>
      </c>
      <c r="BD139" s="13">
        <v>99</v>
      </c>
      <c r="BE139" s="13">
        <v>91</v>
      </c>
      <c r="BF139" s="13">
        <v>95</v>
      </c>
      <c r="BG139" s="13">
        <v>92</v>
      </c>
      <c r="BH139" s="13">
        <v>99</v>
      </c>
      <c r="BI139" s="13">
        <v>98</v>
      </c>
      <c r="BJ139" s="13">
        <v>102</v>
      </c>
      <c r="BK139" s="13">
        <v>99</v>
      </c>
      <c r="BL139" s="13">
        <v>97</v>
      </c>
      <c r="BM139" s="13">
        <v>95</v>
      </c>
      <c r="BN139" s="13">
        <v>95</v>
      </c>
      <c r="BO139" s="13">
        <v>93</v>
      </c>
      <c r="BP139" s="13">
        <v>92</v>
      </c>
      <c r="BQ139" s="13">
        <v>96</v>
      </c>
      <c r="BR139" s="13">
        <v>90</v>
      </c>
      <c r="BS139" s="13">
        <v>96</v>
      </c>
      <c r="BT139" s="13">
        <v>93</v>
      </c>
      <c r="BU139" s="13">
        <v>94</v>
      </c>
      <c r="BV139" s="13">
        <v>99</v>
      </c>
      <c r="BW139" s="13">
        <v>95</v>
      </c>
      <c r="BX139" s="328">
        <f t="shared" si="14"/>
        <v>193615730</v>
      </c>
      <c r="BY139" s="328">
        <f t="shared" si="15"/>
        <v>72899965</v>
      </c>
      <c r="BZ139" s="329">
        <f t="shared" si="12"/>
        <v>0.85420048898210821</v>
      </c>
      <c r="CA139" s="329">
        <f t="shared" si="13"/>
        <v>0.85409730002959938</v>
      </c>
    </row>
    <row r="140" spans="1:79" x14ac:dyDescent="0.25">
      <c r="A140" s="13">
        <v>560</v>
      </c>
      <c r="B140" s="13">
        <v>139</v>
      </c>
      <c r="C140" s="13" t="s">
        <v>658</v>
      </c>
      <c r="D140" s="13">
        <v>276385</v>
      </c>
      <c r="E140" s="13">
        <v>319416</v>
      </c>
      <c r="F140" s="13">
        <v>336526</v>
      </c>
      <c r="G140" s="13">
        <v>346643</v>
      </c>
      <c r="H140" s="13">
        <v>0.6</v>
      </c>
      <c r="I140" s="13">
        <v>205</v>
      </c>
      <c r="J140" s="13">
        <v>122979</v>
      </c>
      <c r="K140" s="13">
        <v>130050</v>
      </c>
      <c r="L140" s="13">
        <v>134263</v>
      </c>
      <c r="M140" s="13">
        <v>0.7</v>
      </c>
      <c r="N140" s="13">
        <v>2.52</v>
      </c>
      <c r="O140" s="13">
        <v>82243</v>
      </c>
      <c r="P140" s="13">
        <v>84683</v>
      </c>
      <c r="Q140" s="13">
        <v>0.4</v>
      </c>
      <c r="R140" s="13">
        <v>81.5</v>
      </c>
      <c r="S140" s="13">
        <v>77.599999999999994</v>
      </c>
      <c r="T140" s="13">
        <v>13.9</v>
      </c>
      <c r="U140" s="13">
        <v>15.8</v>
      </c>
      <c r="V140" s="13">
        <v>1.7</v>
      </c>
      <c r="W140" s="13">
        <v>2.6</v>
      </c>
      <c r="X140" s="13">
        <v>5.6</v>
      </c>
      <c r="Y140" s="13">
        <v>7.8</v>
      </c>
      <c r="Z140" s="13">
        <v>7.2</v>
      </c>
      <c r="AA140" s="13">
        <v>7.2</v>
      </c>
      <c r="AB140" s="13">
        <v>6.2</v>
      </c>
      <c r="AC140" s="13">
        <v>6.2</v>
      </c>
      <c r="AD140" s="13">
        <v>5.8</v>
      </c>
      <c r="AE140" s="13">
        <v>30.1</v>
      </c>
      <c r="AF140" s="13">
        <v>20.7</v>
      </c>
      <c r="AG140" s="13">
        <v>14.5</v>
      </c>
      <c r="AH140" s="13">
        <v>2</v>
      </c>
      <c r="AI140" s="13">
        <v>75.8</v>
      </c>
      <c r="AJ140" s="13">
        <v>34.9</v>
      </c>
      <c r="AK140" s="13">
        <v>37</v>
      </c>
      <c r="AL140" s="13">
        <v>93.3</v>
      </c>
      <c r="AM140" s="13">
        <v>20217</v>
      </c>
      <c r="AN140" s="13">
        <v>130039</v>
      </c>
      <c r="AO140" s="13">
        <v>14.2</v>
      </c>
      <c r="AP140" s="13">
        <v>12.5</v>
      </c>
      <c r="AQ140" s="13">
        <v>33.9</v>
      </c>
      <c r="AR140" s="13">
        <v>29.9</v>
      </c>
      <c r="AS140" s="13">
        <v>6.5</v>
      </c>
      <c r="AT140" s="13">
        <v>3.1</v>
      </c>
      <c r="AU140" s="13">
        <v>41125</v>
      </c>
      <c r="AV140" s="13">
        <v>48811</v>
      </c>
      <c r="AW140" s="13">
        <v>78</v>
      </c>
      <c r="AX140" s="13">
        <v>35667</v>
      </c>
      <c r="AY140" s="13">
        <v>36127</v>
      </c>
      <c r="AZ140" s="13">
        <v>39861</v>
      </c>
      <c r="BA140" s="13">
        <v>47480</v>
      </c>
      <c r="BB140" s="13">
        <v>39947</v>
      </c>
      <c r="BC140" s="13">
        <v>22304</v>
      </c>
      <c r="BD140" s="13">
        <v>101</v>
      </c>
      <c r="BE140" s="13">
        <v>94</v>
      </c>
      <c r="BF140" s="13">
        <v>99</v>
      </c>
      <c r="BG140" s="13">
        <v>97</v>
      </c>
      <c r="BH140" s="13">
        <v>94</v>
      </c>
      <c r="BI140" s="13">
        <v>94</v>
      </c>
      <c r="BJ140" s="13">
        <v>95</v>
      </c>
      <c r="BK140" s="13">
        <v>99</v>
      </c>
      <c r="BL140" s="13">
        <v>96</v>
      </c>
      <c r="BM140" s="13">
        <v>98</v>
      </c>
      <c r="BN140" s="13">
        <v>97</v>
      </c>
      <c r="BO140" s="13">
        <v>100</v>
      </c>
      <c r="BP140" s="13">
        <v>99</v>
      </c>
      <c r="BQ140" s="13">
        <v>102</v>
      </c>
      <c r="BR140" s="13">
        <v>101</v>
      </c>
      <c r="BS140" s="13">
        <v>100</v>
      </c>
      <c r="BT140" s="13">
        <v>101</v>
      </c>
      <c r="BU140" s="13">
        <v>98</v>
      </c>
      <c r="BV140" s="13">
        <v>101</v>
      </c>
      <c r="BW140" s="13">
        <v>101</v>
      </c>
      <c r="BX140" s="328">
        <f t="shared" si="14"/>
        <v>193962373</v>
      </c>
      <c r="BY140" s="328">
        <f t="shared" si="15"/>
        <v>73034228</v>
      </c>
      <c r="BZ140" s="329">
        <f t="shared" si="12"/>
        <v>0.85572982040627621</v>
      </c>
      <c r="CA140" s="329">
        <f t="shared" si="13"/>
        <v>0.85567032775044771</v>
      </c>
    </row>
    <row r="141" spans="1:79" x14ac:dyDescent="0.25">
      <c r="A141" s="13">
        <v>5660</v>
      </c>
      <c r="B141" s="13">
        <v>140</v>
      </c>
      <c r="C141" s="13" t="s">
        <v>659</v>
      </c>
      <c r="D141" s="13">
        <v>277874</v>
      </c>
      <c r="E141" s="13">
        <v>335613</v>
      </c>
      <c r="F141" s="13">
        <v>370371</v>
      </c>
      <c r="G141" s="13">
        <v>391432</v>
      </c>
      <c r="H141" s="13">
        <v>1.2</v>
      </c>
      <c r="I141" s="13">
        <v>122</v>
      </c>
      <c r="J141" s="13">
        <v>112042</v>
      </c>
      <c r="K141" s="13">
        <v>125764</v>
      </c>
      <c r="L141" s="13">
        <v>133923</v>
      </c>
      <c r="M141" s="13">
        <v>1.4</v>
      </c>
      <c r="N141" s="13">
        <v>2.84</v>
      </c>
      <c r="O141" s="13">
        <v>85115</v>
      </c>
      <c r="P141" s="13">
        <v>93470</v>
      </c>
      <c r="Q141" s="13">
        <v>1.1000000000000001</v>
      </c>
      <c r="R141" s="13">
        <v>89.7</v>
      </c>
      <c r="S141" s="13">
        <v>88.2</v>
      </c>
      <c r="T141" s="13">
        <v>6.7</v>
      </c>
      <c r="U141" s="13">
        <v>7.1</v>
      </c>
      <c r="V141" s="13">
        <v>1.1000000000000001</v>
      </c>
      <c r="W141" s="13">
        <v>1.6</v>
      </c>
      <c r="X141" s="13">
        <v>6.6</v>
      </c>
      <c r="Y141" s="13">
        <v>8.4</v>
      </c>
      <c r="Z141" s="13">
        <v>8.3000000000000007</v>
      </c>
      <c r="AA141" s="13">
        <v>8.5</v>
      </c>
      <c r="AB141" s="13">
        <v>7.5</v>
      </c>
      <c r="AC141" s="13">
        <v>6.7</v>
      </c>
      <c r="AD141" s="13">
        <v>5.8</v>
      </c>
      <c r="AE141" s="13">
        <v>31.2</v>
      </c>
      <c r="AF141" s="13">
        <v>20.8</v>
      </c>
      <c r="AG141" s="13">
        <v>9.8000000000000007</v>
      </c>
      <c r="AH141" s="13">
        <v>1.3</v>
      </c>
      <c r="AI141" s="13">
        <v>71.900000000000006</v>
      </c>
      <c r="AJ141" s="13">
        <v>32.200000000000003</v>
      </c>
      <c r="AK141" s="13">
        <v>34.200000000000003</v>
      </c>
      <c r="AL141" s="13">
        <v>100.5</v>
      </c>
      <c r="AM141" s="13">
        <v>18972</v>
      </c>
      <c r="AN141" s="13">
        <v>125763</v>
      </c>
      <c r="AO141" s="13">
        <v>12.7</v>
      </c>
      <c r="AP141" s="13">
        <v>10.3</v>
      </c>
      <c r="AQ141" s="13">
        <v>31.2</v>
      </c>
      <c r="AR141" s="13">
        <v>35.6</v>
      </c>
      <c r="AS141" s="13">
        <v>7.6</v>
      </c>
      <c r="AT141" s="13">
        <v>2.5</v>
      </c>
      <c r="AU141" s="13">
        <v>46488</v>
      </c>
      <c r="AV141" s="13">
        <v>54688</v>
      </c>
      <c r="AW141" s="13">
        <v>32</v>
      </c>
      <c r="AX141" s="13">
        <v>38327</v>
      </c>
      <c r="AY141" s="13">
        <v>36774</v>
      </c>
      <c r="AZ141" s="13">
        <v>42299</v>
      </c>
      <c r="BA141" s="13">
        <v>47927</v>
      </c>
      <c r="BB141" s="13">
        <v>42238</v>
      </c>
      <c r="BC141" s="13">
        <v>21279</v>
      </c>
      <c r="BD141" s="13">
        <v>103</v>
      </c>
      <c r="BE141" s="13">
        <v>100</v>
      </c>
      <c r="BF141" s="13">
        <v>99</v>
      </c>
      <c r="BG141" s="13">
        <v>102</v>
      </c>
      <c r="BH141" s="13">
        <v>94</v>
      </c>
      <c r="BI141" s="13">
        <v>95</v>
      </c>
      <c r="BJ141" s="13">
        <v>96</v>
      </c>
      <c r="BK141" s="13">
        <v>100</v>
      </c>
      <c r="BL141" s="13">
        <v>101</v>
      </c>
      <c r="BM141" s="13">
        <v>102</v>
      </c>
      <c r="BN141" s="13">
        <v>103</v>
      </c>
      <c r="BO141" s="13">
        <v>104</v>
      </c>
      <c r="BP141" s="13">
        <v>103</v>
      </c>
      <c r="BQ141" s="13">
        <v>105</v>
      </c>
      <c r="BR141" s="13">
        <v>103</v>
      </c>
      <c r="BS141" s="13">
        <v>101</v>
      </c>
      <c r="BT141" s="13">
        <v>107</v>
      </c>
      <c r="BU141" s="13">
        <v>102</v>
      </c>
      <c r="BV141" s="13">
        <v>101</v>
      </c>
      <c r="BW141" s="13">
        <v>104</v>
      </c>
      <c r="BX141" s="328">
        <f t="shared" si="14"/>
        <v>194353805</v>
      </c>
      <c r="BY141" s="328">
        <f t="shared" si="15"/>
        <v>73168151</v>
      </c>
      <c r="BZ141" s="329">
        <f t="shared" si="12"/>
        <v>0.85745675347004768</v>
      </c>
      <c r="CA141" s="329">
        <f t="shared" si="13"/>
        <v>0.85723937202518585</v>
      </c>
    </row>
    <row r="142" spans="1:79" x14ac:dyDescent="0.25">
      <c r="A142" s="13">
        <v>2400</v>
      </c>
      <c r="B142" s="13">
        <v>141</v>
      </c>
      <c r="C142" s="13" t="s">
        <v>660</v>
      </c>
      <c r="D142" s="13">
        <v>275226</v>
      </c>
      <c r="E142" s="13">
        <v>282912</v>
      </c>
      <c r="F142" s="13">
        <v>315795</v>
      </c>
      <c r="G142" s="13">
        <v>335528</v>
      </c>
      <c r="H142" s="13">
        <v>1.3</v>
      </c>
      <c r="I142" s="13">
        <v>100</v>
      </c>
      <c r="J142" s="13">
        <v>110799</v>
      </c>
      <c r="K142" s="13">
        <v>125119</v>
      </c>
      <c r="L142" s="13">
        <v>133790</v>
      </c>
      <c r="M142" s="13">
        <v>1.5</v>
      </c>
      <c r="N142" s="13">
        <v>2.46</v>
      </c>
      <c r="O142" s="13">
        <v>73498</v>
      </c>
      <c r="P142" s="13">
        <v>80654</v>
      </c>
      <c r="Q142" s="13">
        <v>1.1000000000000001</v>
      </c>
      <c r="R142" s="13">
        <v>95.4</v>
      </c>
      <c r="S142" s="13">
        <v>94.3</v>
      </c>
      <c r="T142" s="13">
        <v>0.7</v>
      </c>
      <c r="U142" s="13">
        <v>0.9</v>
      </c>
      <c r="V142" s="13">
        <v>2</v>
      </c>
      <c r="W142" s="13">
        <v>2.4</v>
      </c>
      <c r="X142" s="13">
        <v>2.4</v>
      </c>
      <c r="Y142" s="13">
        <v>4</v>
      </c>
      <c r="Z142" s="13">
        <v>6</v>
      </c>
      <c r="AA142" s="13">
        <v>6.5</v>
      </c>
      <c r="AB142" s="13">
        <v>6.9</v>
      </c>
      <c r="AC142" s="13">
        <v>7.8</v>
      </c>
      <c r="AD142" s="13">
        <v>7.8</v>
      </c>
      <c r="AE142" s="13">
        <v>30.1</v>
      </c>
      <c r="AF142" s="13">
        <v>22</v>
      </c>
      <c r="AG142" s="13">
        <v>11.4</v>
      </c>
      <c r="AH142" s="13">
        <v>1.5</v>
      </c>
      <c r="AI142" s="13">
        <v>76.5</v>
      </c>
      <c r="AJ142" s="13">
        <v>33.9</v>
      </c>
      <c r="AK142" s="13">
        <v>36.200000000000003</v>
      </c>
      <c r="AL142" s="13">
        <v>96</v>
      </c>
      <c r="AM142" s="13">
        <v>15960</v>
      </c>
      <c r="AN142" s="13">
        <v>125108</v>
      </c>
      <c r="AO142" s="13">
        <v>20</v>
      </c>
      <c r="AP142" s="13">
        <v>17.2</v>
      </c>
      <c r="AQ142" s="13">
        <v>36.200000000000003</v>
      </c>
      <c r="AR142" s="13">
        <v>22.1</v>
      </c>
      <c r="AS142" s="13">
        <v>3.3</v>
      </c>
      <c r="AT142" s="13">
        <v>1.2</v>
      </c>
      <c r="AU142" s="13">
        <v>32319</v>
      </c>
      <c r="AV142" s="13">
        <v>37256</v>
      </c>
      <c r="AW142" s="13">
        <v>225</v>
      </c>
      <c r="AX142" s="13">
        <v>28347</v>
      </c>
      <c r="AY142" s="13">
        <v>22144</v>
      </c>
      <c r="AZ142" s="13">
        <v>32604</v>
      </c>
      <c r="BA142" s="13">
        <v>37367</v>
      </c>
      <c r="BB142" s="13">
        <v>32405</v>
      </c>
      <c r="BC142" s="13">
        <v>19959</v>
      </c>
      <c r="BD142" s="13">
        <v>99</v>
      </c>
      <c r="BE142" s="13">
        <v>92</v>
      </c>
      <c r="BF142" s="13">
        <v>96</v>
      </c>
      <c r="BG142" s="13">
        <v>92</v>
      </c>
      <c r="BH142" s="13">
        <v>99</v>
      </c>
      <c r="BI142" s="13">
        <v>97</v>
      </c>
      <c r="BJ142" s="13">
        <v>102</v>
      </c>
      <c r="BK142" s="13">
        <v>98</v>
      </c>
      <c r="BL142" s="13">
        <v>96</v>
      </c>
      <c r="BM142" s="13">
        <v>94</v>
      </c>
      <c r="BN142" s="13">
        <v>94</v>
      </c>
      <c r="BO142" s="13">
        <v>92</v>
      </c>
      <c r="BP142" s="13">
        <v>91</v>
      </c>
      <c r="BQ142" s="13">
        <v>95</v>
      </c>
      <c r="BR142" s="13">
        <v>91</v>
      </c>
      <c r="BS142" s="13">
        <v>95</v>
      </c>
      <c r="BT142" s="13">
        <v>92</v>
      </c>
      <c r="BU142" s="13">
        <v>94</v>
      </c>
      <c r="BV142" s="13">
        <v>99</v>
      </c>
      <c r="BW142" s="13">
        <v>95</v>
      </c>
      <c r="BX142" s="328">
        <f t="shared" si="14"/>
        <v>194689333</v>
      </c>
      <c r="BY142" s="328">
        <f t="shared" si="15"/>
        <v>73301941</v>
      </c>
      <c r="BZ142" s="329">
        <f t="shared" si="12"/>
        <v>0.85893704735767329</v>
      </c>
      <c r="CA142" s="329">
        <f t="shared" si="13"/>
        <v>0.85880685806953394</v>
      </c>
    </row>
    <row r="143" spans="1:79" x14ac:dyDescent="0.25">
      <c r="A143" s="13">
        <v>6120</v>
      </c>
      <c r="B143" s="13">
        <v>142</v>
      </c>
      <c r="C143" s="13" t="s">
        <v>661</v>
      </c>
      <c r="D143" s="13">
        <v>365864</v>
      </c>
      <c r="E143" s="13">
        <v>339172</v>
      </c>
      <c r="F143" s="13">
        <v>346775</v>
      </c>
      <c r="G143" s="13">
        <v>350089</v>
      </c>
      <c r="H143" s="13">
        <v>0.3</v>
      </c>
      <c r="I143" s="13">
        <v>249</v>
      </c>
      <c r="J143" s="13">
        <v>129363</v>
      </c>
      <c r="K143" s="13">
        <v>131951</v>
      </c>
      <c r="L143" s="13">
        <v>133359</v>
      </c>
      <c r="M143" s="13">
        <v>0.2</v>
      </c>
      <c r="N143" s="13">
        <v>2.5499999999999998</v>
      </c>
      <c r="O143" s="13">
        <v>91728</v>
      </c>
      <c r="P143" s="13">
        <v>91379</v>
      </c>
      <c r="Q143" s="13">
        <v>0</v>
      </c>
      <c r="R143" s="13">
        <v>91.2</v>
      </c>
      <c r="S143" s="13">
        <v>89.8</v>
      </c>
      <c r="T143" s="13">
        <v>7.4</v>
      </c>
      <c r="U143" s="13">
        <v>8.3000000000000007</v>
      </c>
      <c r="V143" s="13">
        <v>0.8</v>
      </c>
      <c r="W143" s="13">
        <v>1.1000000000000001</v>
      </c>
      <c r="X143" s="13">
        <v>1.1000000000000001</v>
      </c>
      <c r="Y143" s="13">
        <v>1.6</v>
      </c>
      <c r="Z143" s="13">
        <v>7</v>
      </c>
      <c r="AA143" s="13">
        <v>7</v>
      </c>
      <c r="AB143" s="13">
        <v>7.4</v>
      </c>
      <c r="AC143" s="13">
        <v>7.9</v>
      </c>
      <c r="AD143" s="13">
        <v>6.4</v>
      </c>
      <c r="AE143" s="13">
        <v>28.5</v>
      </c>
      <c r="AF143" s="13">
        <v>22</v>
      </c>
      <c r="AG143" s="13">
        <v>12.1</v>
      </c>
      <c r="AH143" s="13">
        <v>1.8</v>
      </c>
      <c r="AI143" s="13">
        <v>73.900000000000006</v>
      </c>
      <c r="AJ143" s="13">
        <v>34.200000000000003</v>
      </c>
      <c r="AK143" s="13">
        <v>36.1</v>
      </c>
      <c r="AL143" s="13">
        <v>94.5</v>
      </c>
      <c r="AM143" s="13">
        <v>17768</v>
      </c>
      <c r="AN143" s="13">
        <v>131941</v>
      </c>
      <c r="AO143" s="13">
        <v>17</v>
      </c>
      <c r="AP143" s="13">
        <v>13.6</v>
      </c>
      <c r="AQ143" s="13">
        <v>33.9</v>
      </c>
      <c r="AR143" s="13">
        <v>28.7</v>
      </c>
      <c r="AS143" s="13">
        <v>5.2</v>
      </c>
      <c r="AT143" s="13">
        <v>1.7</v>
      </c>
      <c r="AU143" s="13">
        <v>38836</v>
      </c>
      <c r="AV143" s="13">
        <v>43204</v>
      </c>
      <c r="AW143" s="13">
        <v>112</v>
      </c>
      <c r="AX143" s="13">
        <v>35002</v>
      </c>
      <c r="AY143" s="13">
        <v>28698</v>
      </c>
      <c r="AZ143" s="13">
        <v>41102</v>
      </c>
      <c r="BA143" s="13">
        <v>45787</v>
      </c>
      <c r="BB143" s="13">
        <v>38412</v>
      </c>
      <c r="BC143" s="13">
        <v>23252</v>
      </c>
      <c r="BD143" s="13">
        <v>97</v>
      </c>
      <c r="BE143" s="13">
        <v>94</v>
      </c>
      <c r="BF143" s="13">
        <v>96</v>
      </c>
      <c r="BG143" s="13">
        <v>94</v>
      </c>
      <c r="BH143" s="13">
        <v>102</v>
      </c>
      <c r="BI143" s="13">
        <v>99</v>
      </c>
      <c r="BJ143" s="13">
        <v>101</v>
      </c>
      <c r="BK143" s="13">
        <v>98</v>
      </c>
      <c r="BL143" s="13">
        <v>96</v>
      </c>
      <c r="BM143" s="13">
        <v>97</v>
      </c>
      <c r="BN143" s="13">
        <v>97</v>
      </c>
      <c r="BO143" s="13">
        <v>96</v>
      </c>
      <c r="BP143" s="13">
        <v>99</v>
      </c>
      <c r="BQ143" s="13">
        <v>99</v>
      </c>
      <c r="BR143" s="13">
        <v>101</v>
      </c>
      <c r="BS143" s="13">
        <v>101</v>
      </c>
      <c r="BT143" s="13">
        <v>97</v>
      </c>
      <c r="BU143" s="13">
        <v>97</v>
      </c>
      <c r="BV143" s="13">
        <v>99</v>
      </c>
      <c r="BW143" s="13">
        <v>98</v>
      </c>
      <c r="BX143" s="328">
        <f t="shared" si="14"/>
        <v>195039422</v>
      </c>
      <c r="BY143" s="328">
        <f t="shared" si="15"/>
        <v>73435300</v>
      </c>
      <c r="BZ143" s="329">
        <f t="shared" si="12"/>
        <v>0.86048158196231139</v>
      </c>
      <c r="CA143" s="329">
        <f t="shared" si="13"/>
        <v>0.86036929451013644</v>
      </c>
    </row>
    <row r="144" spans="1:79" x14ac:dyDescent="0.25">
      <c r="A144" s="13">
        <v>3290</v>
      </c>
      <c r="B144" s="13">
        <v>143</v>
      </c>
      <c r="C144" s="13" t="s">
        <v>662</v>
      </c>
      <c r="D144" s="13">
        <v>270457</v>
      </c>
      <c r="E144" s="13">
        <v>292409</v>
      </c>
      <c r="F144" s="13">
        <v>322439</v>
      </c>
      <c r="G144" s="13">
        <v>340125</v>
      </c>
      <c r="H144" s="13">
        <v>1.2</v>
      </c>
      <c r="I144" s="13">
        <v>126</v>
      </c>
      <c r="J144" s="13">
        <v>112387</v>
      </c>
      <c r="K144" s="13">
        <v>125231</v>
      </c>
      <c r="L144" s="13">
        <v>133134</v>
      </c>
      <c r="M144" s="13">
        <v>1.3</v>
      </c>
      <c r="N144" s="13">
        <v>2.52</v>
      </c>
      <c r="O144" s="13">
        <v>84189</v>
      </c>
      <c r="P144" s="13">
        <v>91854</v>
      </c>
      <c r="Q144" s="13">
        <v>1.1000000000000001</v>
      </c>
      <c r="R144" s="13">
        <v>91.7</v>
      </c>
      <c r="S144" s="13">
        <v>90.6</v>
      </c>
      <c r="T144" s="13">
        <v>7.3</v>
      </c>
      <c r="U144" s="13">
        <v>7.7</v>
      </c>
      <c r="V144" s="13">
        <v>0.6</v>
      </c>
      <c r="W144" s="13">
        <v>1</v>
      </c>
      <c r="X144" s="13">
        <v>0.6</v>
      </c>
      <c r="Y144" s="13">
        <v>1.3</v>
      </c>
      <c r="Z144" s="13">
        <v>6.3</v>
      </c>
      <c r="AA144" s="13">
        <v>6.8</v>
      </c>
      <c r="AB144" s="13">
        <v>6.7</v>
      </c>
      <c r="AC144" s="13">
        <v>6.7</v>
      </c>
      <c r="AD144" s="13">
        <v>5.7</v>
      </c>
      <c r="AE144" s="13">
        <v>30.8</v>
      </c>
      <c r="AF144" s="13">
        <v>24.4</v>
      </c>
      <c r="AG144" s="13">
        <v>11.4</v>
      </c>
      <c r="AH144" s="13">
        <v>1.2</v>
      </c>
      <c r="AI144" s="13">
        <v>76.2</v>
      </c>
      <c r="AJ144" s="13">
        <v>34.6</v>
      </c>
      <c r="AK144" s="13">
        <v>37</v>
      </c>
      <c r="AL144" s="13">
        <v>96.7</v>
      </c>
      <c r="AM144" s="13">
        <v>16345</v>
      </c>
      <c r="AN144" s="13">
        <v>125231</v>
      </c>
      <c r="AO144" s="13">
        <v>15.6</v>
      </c>
      <c r="AP144" s="13">
        <v>15</v>
      </c>
      <c r="AQ144" s="13">
        <v>40.1</v>
      </c>
      <c r="AR144" s="13">
        <v>25.5</v>
      </c>
      <c r="AS144" s="13">
        <v>3</v>
      </c>
      <c r="AT144" s="13">
        <v>0.9</v>
      </c>
      <c r="AU144" s="13">
        <v>35686</v>
      </c>
      <c r="AV144" s="13">
        <v>41994</v>
      </c>
      <c r="AW144" s="13">
        <v>168</v>
      </c>
      <c r="AX144" s="13">
        <v>32181</v>
      </c>
      <c r="AY144" s="13">
        <v>29413</v>
      </c>
      <c r="AZ144" s="13">
        <v>37394</v>
      </c>
      <c r="BA144" s="13">
        <v>40421</v>
      </c>
      <c r="BB144" s="13">
        <v>33988</v>
      </c>
      <c r="BC144" s="13">
        <v>20077</v>
      </c>
      <c r="BD144" s="13">
        <v>99</v>
      </c>
      <c r="BE144" s="13">
        <v>80</v>
      </c>
      <c r="BF144" s="13">
        <v>87</v>
      </c>
      <c r="BG144" s="13">
        <v>87</v>
      </c>
      <c r="BH144" s="13">
        <v>99</v>
      </c>
      <c r="BI144" s="13">
        <v>97</v>
      </c>
      <c r="BJ144" s="13">
        <v>115</v>
      </c>
      <c r="BK144" s="13">
        <v>99</v>
      </c>
      <c r="BL144" s="13">
        <v>96</v>
      </c>
      <c r="BM144" s="13">
        <v>88</v>
      </c>
      <c r="BN144" s="13">
        <v>88</v>
      </c>
      <c r="BO144" s="13">
        <v>99</v>
      </c>
      <c r="BP144" s="13">
        <v>90</v>
      </c>
      <c r="BQ144" s="13">
        <v>101</v>
      </c>
      <c r="BR144" s="13">
        <v>82</v>
      </c>
      <c r="BS144" s="13">
        <v>99</v>
      </c>
      <c r="BT144" s="13">
        <v>88</v>
      </c>
      <c r="BU144" s="13">
        <v>93</v>
      </c>
      <c r="BV144" s="13">
        <v>103</v>
      </c>
      <c r="BW144" s="13">
        <v>100</v>
      </c>
      <c r="BX144" s="328">
        <f t="shared" si="14"/>
        <v>195379547</v>
      </c>
      <c r="BY144" s="328">
        <f t="shared" si="15"/>
        <v>73568434</v>
      </c>
      <c r="BZ144" s="329">
        <f t="shared" si="12"/>
        <v>0.86198215705151016</v>
      </c>
      <c r="CA144" s="329">
        <f t="shared" si="13"/>
        <v>0.86192909484669544</v>
      </c>
    </row>
    <row r="145" spans="1:79" x14ac:dyDescent="0.25">
      <c r="A145" s="13">
        <v>3200</v>
      </c>
      <c r="B145" s="13">
        <v>144</v>
      </c>
      <c r="C145" s="13" t="s">
        <v>663</v>
      </c>
      <c r="D145" s="13">
        <v>258787</v>
      </c>
      <c r="E145" s="13">
        <v>291479</v>
      </c>
      <c r="F145" s="13">
        <v>330425</v>
      </c>
      <c r="G145" s="13">
        <v>354401</v>
      </c>
      <c r="H145" s="13">
        <v>1.5</v>
      </c>
      <c r="I145" s="13">
        <v>75</v>
      </c>
      <c r="J145" s="13">
        <v>104535</v>
      </c>
      <c r="K145" s="13">
        <v>121456</v>
      </c>
      <c r="L145" s="13">
        <v>131895</v>
      </c>
      <c r="M145" s="13">
        <v>1.8</v>
      </c>
      <c r="N145" s="13">
        <v>2.64</v>
      </c>
      <c r="O145" s="13">
        <v>77931</v>
      </c>
      <c r="P145" s="13">
        <v>89118</v>
      </c>
      <c r="Q145" s="13">
        <v>1.6</v>
      </c>
      <c r="R145" s="13">
        <v>94.3</v>
      </c>
      <c r="S145" s="13">
        <v>93.3</v>
      </c>
      <c r="T145" s="13">
        <v>4.5</v>
      </c>
      <c r="U145" s="13">
        <v>5.0999999999999996</v>
      </c>
      <c r="V145" s="13">
        <v>0.9</v>
      </c>
      <c r="W145" s="13">
        <v>1.2</v>
      </c>
      <c r="X145" s="13">
        <v>0.5</v>
      </c>
      <c r="Y145" s="13">
        <v>0.7</v>
      </c>
      <c r="Z145" s="13">
        <v>6.7</v>
      </c>
      <c r="AA145" s="13">
        <v>7.3</v>
      </c>
      <c r="AB145" s="13">
        <v>7.3</v>
      </c>
      <c r="AC145" s="13">
        <v>8.1</v>
      </c>
      <c r="AD145" s="13">
        <v>8</v>
      </c>
      <c r="AE145" s="13">
        <v>30.9</v>
      </c>
      <c r="AF145" s="13">
        <v>20.9</v>
      </c>
      <c r="AG145" s="13">
        <v>9.6999999999999993</v>
      </c>
      <c r="AH145" s="13">
        <v>1.1000000000000001</v>
      </c>
      <c r="AI145" s="13">
        <v>74.5</v>
      </c>
      <c r="AJ145" s="13">
        <v>31.5</v>
      </c>
      <c r="AK145" s="13">
        <v>34</v>
      </c>
      <c r="AL145" s="13">
        <v>94.4</v>
      </c>
      <c r="AM145" s="13">
        <v>17722</v>
      </c>
      <c r="AN145" s="13">
        <v>121455</v>
      </c>
      <c r="AO145" s="13">
        <v>15.1</v>
      </c>
      <c r="AP145" s="13">
        <v>13.3</v>
      </c>
      <c r="AQ145" s="13">
        <v>34.200000000000003</v>
      </c>
      <c r="AR145" s="13">
        <v>30.3</v>
      </c>
      <c r="AS145" s="13">
        <v>5.2</v>
      </c>
      <c r="AT145" s="13">
        <v>1.8</v>
      </c>
      <c r="AU145" s="13">
        <v>40160</v>
      </c>
      <c r="AV145" s="13">
        <v>46475</v>
      </c>
      <c r="AW145" s="13">
        <v>94</v>
      </c>
      <c r="AX145" s="13">
        <v>36117</v>
      </c>
      <c r="AY145" s="13">
        <v>30353</v>
      </c>
      <c r="AZ145" s="13">
        <v>41991</v>
      </c>
      <c r="BA145" s="13">
        <v>47376</v>
      </c>
      <c r="BB145" s="13">
        <v>39388</v>
      </c>
      <c r="BC145" s="13">
        <v>22676</v>
      </c>
      <c r="BD145" s="13">
        <v>100</v>
      </c>
      <c r="BE145" s="13">
        <v>101</v>
      </c>
      <c r="BF145" s="13">
        <v>96</v>
      </c>
      <c r="BG145" s="13">
        <v>100</v>
      </c>
      <c r="BH145" s="13">
        <v>102</v>
      </c>
      <c r="BI145" s="13">
        <v>101</v>
      </c>
      <c r="BJ145" s="13">
        <v>102</v>
      </c>
      <c r="BK145" s="13">
        <v>100</v>
      </c>
      <c r="BL145" s="13">
        <v>100</v>
      </c>
      <c r="BM145" s="13">
        <v>101</v>
      </c>
      <c r="BN145" s="13">
        <v>103</v>
      </c>
      <c r="BO145" s="13">
        <v>101</v>
      </c>
      <c r="BP145" s="13">
        <v>103</v>
      </c>
      <c r="BQ145" s="13">
        <v>102</v>
      </c>
      <c r="BR145" s="13">
        <v>103</v>
      </c>
      <c r="BS145" s="13">
        <v>103</v>
      </c>
      <c r="BT145" s="13">
        <v>102</v>
      </c>
      <c r="BU145" s="13">
        <v>101</v>
      </c>
      <c r="BV145" s="13">
        <v>99</v>
      </c>
      <c r="BW145" s="13">
        <v>100</v>
      </c>
      <c r="BX145" s="328">
        <f t="shared" si="14"/>
        <v>195733948</v>
      </c>
      <c r="BY145" s="328">
        <f t="shared" si="15"/>
        <v>73700329</v>
      </c>
      <c r="BZ145" s="329">
        <f t="shared" si="12"/>
        <v>0.86354571548498948</v>
      </c>
      <c r="CA145" s="329">
        <f t="shared" si="13"/>
        <v>0.86347437903698832</v>
      </c>
    </row>
    <row r="146" spans="1:79" x14ac:dyDescent="0.25">
      <c r="A146" s="13">
        <v>2710</v>
      </c>
      <c r="B146" s="13">
        <v>145</v>
      </c>
      <c r="C146" s="13" t="s">
        <v>664</v>
      </c>
      <c r="D146" s="13">
        <v>151196</v>
      </c>
      <c r="E146" s="13">
        <v>251071</v>
      </c>
      <c r="F146" s="13">
        <v>301664</v>
      </c>
      <c r="G146" s="13">
        <v>331093</v>
      </c>
      <c r="H146" s="13">
        <v>2.2999999999999998</v>
      </c>
      <c r="I146" s="13">
        <v>34</v>
      </c>
      <c r="J146" s="13">
        <v>101196</v>
      </c>
      <c r="K146" s="13">
        <v>120185</v>
      </c>
      <c r="L146" s="13">
        <v>130988</v>
      </c>
      <c r="M146" s="13">
        <v>2.1</v>
      </c>
      <c r="N146" s="13">
        <v>2.4700000000000002</v>
      </c>
      <c r="O146" s="13">
        <v>73377</v>
      </c>
      <c r="P146" s="13">
        <v>86123</v>
      </c>
      <c r="Q146" s="13">
        <v>2</v>
      </c>
      <c r="R146" s="13">
        <v>85.3</v>
      </c>
      <c r="S146" s="13">
        <v>81.900000000000006</v>
      </c>
      <c r="T146" s="13">
        <v>12.2</v>
      </c>
      <c r="U146" s="13">
        <v>14.4</v>
      </c>
      <c r="V146" s="13">
        <v>0.6</v>
      </c>
      <c r="W146" s="13">
        <v>1</v>
      </c>
      <c r="X146" s="13">
        <v>4.3</v>
      </c>
      <c r="Y146" s="13">
        <v>6.4</v>
      </c>
      <c r="Z146" s="13">
        <v>6.3</v>
      </c>
      <c r="AA146" s="13">
        <v>6.6</v>
      </c>
      <c r="AB146" s="13">
        <v>6.3</v>
      </c>
      <c r="AC146" s="13">
        <v>5.5</v>
      </c>
      <c r="AD146" s="13">
        <v>4.3</v>
      </c>
      <c r="AE146" s="13">
        <v>25.8</v>
      </c>
      <c r="AF146" s="13">
        <v>21.4</v>
      </c>
      <c r="AG146" s="13">
        <v>21.8</v>
      </c>
      <c r="AH146" s="13">
        <v>1.9</v>
      </c>
      <c r="AI146" s="13">
        <v>77.400000000000006</v>
      </c>
      <c r="AJ146" s="13">
        <v>40.299999999999997</v>
      </c>
      <c r="AK146" s="13">
        <v>41.5</v>
      </c>
      <c r="AL146" s="13">
        <v>96.8</v>
      </c>
      <c r="AM146" s="13">
        <v>18827</v>
      </c>
      <c r="AN146" s="13">
        <v>120185</v>
      </c>
      <c r="AO146" s="13">
        <v>15.4</v>
      </c>
      <c r="AP146" s="13">
        <v>15.8</v>
      </c>
      <c r="AQ146" s="13">
        <v>36.6</v>
      </c>
      <c r="AR146" s="13">
        <v>24.9</v>
      </c>
      <c r="AS146" s="13">
        <v>4.7</v>
      </c>
      <c r="AT146" s="13">
        <v>2.6</v>
      </c>
      <c r="AU146" s="13">
        <v>36184</v>
      </c>
      <c r="AV146" s="13">
        <v>40843</v>
      </c>
      <c r="AW146" s="13">
        <v>154</v>
      </c>
      <c r="AX146" s="13">
        <v>37436</v>
      </c>
      <c r="AY146" s="13">
        <v>34943</v>
      </c>
      <c r="AZ146" s="13">
        <v>40017</v>
      </c>
      <c r="BA146" s="13">
        <v>45378</v>
      </c>
      <c r="BB146" s="13">
        <v>42073</v>
      </c>
      <c r="BC146" s="13">
        <v>30903</v>
      </c>
      <c r="BD146" s="13">
        <v>101</v>
      </c>
      <c r="BE146" s="13">
        <v>94</v>
      </c>
      <c r="BF146" s="13">
        <v>108</v>
      </c>
      <c r="BG146" s="13">
        <v>100</v>
      </c>
      <c r="BH146" s="13">
        <v>107</v>
      </c>
      <c r="BI146" s="13">
        <v>111</v>
      </c>
      <c r="BJ146" s="13">
        <v>109</v>
      </c>
      <c r="BK146" s="13">
        <v>104</v>
      </c>
      <c r="BL146" s="13">
        <v>97</v>
      </c>
      <c r="BM146" s="13">
        <v>98</v>
      </c>
      <c r="BN146" s="13">
        <v>99</v>
      </c>
      <c r="BO146" s="13">
        <v>101</v>
      </c>
      <c r="BP146" s="13">
        <v>99</v>
      </c>
      <c r="BQ146" s="13">
        <v>103</v>
      </c>
      <c r="BR146" s="13">
        <v>97</v>
      </c>
      <c r="BS146" s="13">
        <v>99</v>
      </c>
      <c r="BT146" s="13">
        <v>96</v>
      </c>
      <c r="BU146" s="13">
        <v>99</v>
      </c>
      <c r="BV146" s="13">
        <v>107</v>
      </c>
      <c r="BW146" s="13">
        <v>103</v>
      </c>
      <c r="BX146" s="328">
        <f t="shared" si="14"/>
        <v>196065041</v>
      </c>
      <c r="BY146" s="328">
        <f t="shared" si="15"/>
        <v>73831317</v>
      </c>
      <c r="BZ146" s="329">
        <f t="shared" si="12"/>
        <v>0.86500644288817385</v>
      </c>
      <c r="CA146" s="329">
        <f t="shared" si="13"/>
        <v>0.86500903679898145</v>
      </c>
    </row>
    <row r="147" spans="1:79" x14ac:dyDescent="0.25">
      <c r="A147" s="13">
        <v>4680</v>
      </c>
      <c r="B147" s="13">
        <v>146</v>
      </c>
      <c r="C147" s="13" t="s">
        <v>665</v>
      </c>
      <c r="D147" s="13">
        <v>272945</v>
      </c>
      <c r="E147" s="13">
        <v>290909</v>
      </c>
      <c r="F147" s="13">
        <v>319563</v>
      </c>
      <c r="G147" s="13">
        <v>336937</v>
      </c>
      <c r="H147" s="13">
        <v>1.1000000000000001</v>
      </c>
      <c r="I147" s="13">
        <v>138</v>
      </c>
      <c r="J147" s="13">
        <v>106478</v>
      </c>
      <c r="K147" s="13">
        <v>119860</v>
      </c>
      <c r="L147" s="13">
        <v>128175</v>
      </c>
      <c r="M147" s="13">
        <v>1.4</v>
      </c>
      <c r="N147" s="13">
        <v>2.6</v>
      </c>
      <c r="O147" s="13">
        <v>77832</v>
      </c>
      <c r="P147" s="13">
        <v>86127</v>
      </c>
      <c r="Q147" s="13">
        <v>1.2</v>
      </c>
      <c r="R147" s="13">
        <v>63.8</v>
      </c>
      <c r="S147" s="13">
        <v>59.2</v>
      </c>
      <c r="T147" s="13">
        <v>35</v>
      </c>
      <c r="U147" s="13">
        <v>38.799999999999997</v>
      </c>
      <c r="V147" s="13">
        <v>0.7</v>
      </c>
      <c r="W147" s="13">
        <v>1.1000000000000001</v>
      </c>
      <c r="X147" s="13">
        <v>1</v>
      </c>
      <c r="Y147" s="13">
        <v>1.8</v>
      </c>
      <c r="Z147" s="13">
        <v>7.4</v>
      </c>
      <c r="AA147" s="13">
        <v>7.6</v>
      </c>
      <c r="AB147" s="13">
        <v>7.3</v>
      </c>
      <c r="AC147" s="13">
        <v>7.7</v>
      </c>
      <c r="AD147" s="13">
        <v>6.9</v>
      </c>
      <c r="AE147" s="13">
        <v>31.1</v>
      </c>
      <c r="AF147" s="13">
        <v>21.2</v>
      </c>
      <c r="AG147" s="13">
        <v>9.6</v>
      </c>
      <c r="AH147" s="13">
        <v>1.1000000000000001</v>
      </c>
      <c r="AI147" s="13">
        <v>73.2</v>
      </c>
      <c r="AJ147" s="13">
        <v>31.8</v>
      </c>
      <c r="AK147" s="13">
        <v>33.9</v>
      </c>
      <c r="AL147" s="13">
        <v>91.2</v>
      </c>
      <c r="AM147" s="13">
        <v>14622</v>
      </c>
      <c r="AN147" s="13">
        <v>119847</v>
      </c>
      <c r="AO147" s="13">
        <v>23.6</v>
      </c>
      <c r="AP147" s="13">
        <v>15.7</v>
      </c>
      <c r="AQ147" s="13">
        <v>34.9</v>
      </c>
      <c r="AR147" s="13">
        <v>21.7</v>
      </c>
      <c r="AS147" s="13">
        <v>2.8</v>
      </c>
      <c r="AT147" s="13">
        <v>1.3</v>
      </c>
      <c r="AU147" s="13">
        <v>31481</v>
      </c>
      <c r="AV147" s="13">
        <v>34111</v>
      </c>
      <c r="AW147" s="13">
        <v>246</v>
      </c>
      <c r="AX147" s="13">
        <v>29651</v>
      </c>
      <c r="AY147" s="13">
        <v>25237</v>
      </c>
      <c r="AZ147" s="13">
        <v>34046</v>
      </c>
      <c r="BA147" s="13">
        <v>39014</v>
      </c>
      <c r="BB147" s="13">
        <v>30422</v>
      </c>
      <c r="BC147" s="13">
        <v>19807</v>
      </c>
      <c r="BD147" s="13">
        <v>98</v>
      </c>
      <c r="BE147" s="13">
        <v>93</v>
      </c>
      <c r="BF147" s="13">
        <v>95</v>
      </c>
      <c r="BG147" s="13">
        <v>93</v>
      </c>
      <c r="BH147" s="13">
        <v>102</v>
      </c>
      <c r="BI147" s="13">
        <v>99</v>
      </c>
      <c r="BJ147" s="13">
        <v>102</v>
      </c>
      <c r="BK147" s="13">
        <v>99</v>
      </c>
      <c r="BL147" s="13">
        <v>97</v>
      </c>
      <c r="BM147" s="13">
        <v>98</v>
      </c>
      <c r="BN147" s="13">
        <v>94</v>
      </c>
      <c r="BO147" s="13">
        <v>98</v>
      </c>
      <c r="BP147" s="13">
        <v>95</v>
      </c>
      <c r="BQ147" s="13">
        <v>99</v>
      </c>
      <c r="BR147" s="13">
        <v>90</v>
      </c>
      <c r="BS147" s="13">
        <v>99</v>
      </c>
      <c r="BT147" s="13">
        <v>95</v>
      </c>
      <c r="BU147" s="13">
        <v>97</v>
      </c>
      <c r="BV147" s="13">
        <v>97</v>
      </c>
      <c r="BW147" s="13">
        <v>99</v>
      </c>
      <c r="BX147" s="328">
        <f t="shared" si="14"/>
        <v>196401978</v>
      </c>
      <c r="BY147" s="328">
        <f t="shared" si="15"/>
        <v>73959492</v>
      </c>
      <c r="BZ147" s="329">
        <f t="shared" si="12"/>
        <v>0.86649295305011254</v>
      </c>
      <c r="CA147" s="329">
        <f t="shared" si="13"/>
        <v>0.86651073740242202</v>
      </c>
    </row>
    <row r="148" spans="1:79" x14ac:dyDescent="0.25">
      <c r="A148" s="13">
        <v>7920</v>
      </c>
      <c r="B148" s="13">
        <v>147</v>
      </c>
      <c r="C148" s="13" t="s">
        <v>666</v>
      </c>
      <c r="D148" s="13">
        <v>228118</v>
      </c>
      <c r="E148" s="13">
        <v>264346</v>
      </c>
      <c r="F148" s="13">
        <v>305147</v>
      </c>
      <c r="G148" s="13">
        <v>329876</v>
      </c>
      <c r="H148" s="13">
        <v>1.8</v>
      </c>
      <c r="I148" s="13">
        <v>65</v>
      </c>
      <c r="J148" s="13">
        <v>101791</v>
      </c>
      <c r="K148" s="13">
        <v>117780</v>
      </c>
      <c r="L148" s="13">
        <v>127531</v>
      </c>
      <c r="M148" s="13">
        <v>1.8</v>
      </c>
      <c r="N148" s="13">
        <v>2.4900000000000002</v>
      </c>
      <c r="O148" s="13">
        <v>70604</v>
      </c>
      <c r="P148" s="13">
        <v>80931</v>
      </c>
      <c r="Q148" s="13">
        <v>1.7</v>
      </c>
      <c r="R148" s="13">
        <v>97</v>
      </c>
      <c r="S148" s="13">
        <v>96.6</v>
      </c>
      <c r="T148" s="13">
        <v>1.5</v>
      </c>
      <c r="U148" s="13">
        <v>1.7</v>
      </c>
      <c r="V148" s="13">
        <v>0.6</v>
      </c>
      <c r="W148" s="13">
        <v>0.8</v>
      </c>
      <c r="X148" s="13">
        <v>0.8</v>
      </c>
      <c r="Y148" s="13">
        <v>1.1000000000000001</v>
      </c>
      <c r="Z148" s="13">
        <v>6.2</v>
      </c>
      <c r="AA148" s="13">
        <v>6.6</v>
      </c>
      <c r="AB148" s="13">
        <v>7.1</v>
      </c>
      <c r="AC148" s="13">
        <v>8.3000000000000007</v>
      </c>
      <c r="AD148" s="13">
        <v>7.9</v>
      </c>
      <c r="AE148" s="13">
        <v>30.5</v>
      </c>
      <c r="AF148" s="13">
        <v>20.7</v>
      </c>
      <c r="AG148" s="13">
        <v>11.1</v>
      </c>
      <c r="AH148" s="13">
        <v>1.6</v>
      </c>
      <c r="AI148" s="13">
        <v>76.099999999999994</v>
      </c>
      <c r="AJ148" s="13">
        <v>32.6</v>
      </c>
      <c r="AK148" s="13">
        <v>34.799999999999997</v>
      </c>
      <c r="AL148" s="13">
        <v>94.7</v>
      </c>
      <c r="AM148" s="13">
        <v>16816</v>
      </c>
      <c r="AN148" s="13">
        <v>117774</v>
      </c>
      <c r="AO148" s="13">
        <v>17</v>
      </c>
      <c r="AP148" s="13">
        <v>15.8</v>
      </c>
      <c r="AQ148" s="13">
        <v>37</v>
      </c>
      <c r="AR148" s="13">
        <v>24.7</v>
      </c>
      <c r="AS148" s="13">
        <v>4</v>
      </c>
      <c r="AT148" s="13">
        <v>1.5</v>
      </c>
      <c r="AU148" s="13">
        <v>35091</v>
      </c>
      <c r="AV148" s="13">
        <v>41343</v>
      </c>
      <c r="AW148" s="13">
        <v>184</v>
      </c>
      <c r="AX148" s="13">
        <v>33402</v>
      </c>
      <c r="AY148" s="13">
        <v>27644</v>
      </c>
      <c r="AZ148" s="13">
        <v>39300</v>
      </c>
      <c r="BA148" s="13">
        <v>42207</v>
      </c>
      <c r="BB148" s="13">
        <v>37525</v>
      </c>
      <c r="BC148" s="13">
        <v>22983</v>
      </c>
      <c r="BD148" s="13">
        <v>99</v>
      </c>
      <c r="BE148" s="13">
        <v>92</v>
      </c>
      <c r="BF148" s="13">
        <v>92</v>
      </c>
      <c r="BG148" s="13">
        <v>94</v>
      </c>
      <c r="BH148" s="13">
        <v>99</v>
      </c>
      <c r="BI148" s="13">
        <v>97</v>
      </c>
      <c r="BJ148" s="13">
        <v>105</v>
      </c>
      <c r="BK148" s="13">
        <v>98</v>
      </c>
      <c r="BL148" s="13">
        <v>97</v>
      </c>
      <c r="BM148" s="13">
        <v>94</v>
      </c>
      <c r="BN148" s="13">
        <v>96</v>
      </c>
      <c r="BO148" s="13">
        <v>98</v>
      </c>
      <c r="BP148" s="13">
        <v>97</v>
      </c>
      <c r="BQ148" s="13">
        <v>99</v>
      </c>
      <c r="BR148" s="13">
        <v>97</v>
      </c>
      <c r="BS148" s="13">
        <v>101</v>
      </c>
      <c r="BT148" s="13">
        <v>95</v>
      </c>
      <c r="BU148" s="13">
        <v>97</v>
      </c>
      <c r="BV148" s="13">
        <v>100</v>
      </c>
      <c r="BW148" s="13">
        <v>99</v>
      </c>
      <c r="BX148" s="328">
        <f t="shared" si="14"/>
        <v>196731854</v>
      </c>
      <c r="BY148" s="328">
        <f t="shared" si="15"/>
        <v>74087023</v>
      </c>
      <c r="BZ148" s="329">
        <f t="shared" si="12"/>
        <v>0.86794831125114014</v>
      </c>
      <c r="CA148" s="329">
        <f t="shared" si="13"/>
        <v>0.86800489289028915</v>
      </c>
    </row>
    <row r="149" spans="1:79" x14ac:dyDescent="0.25">
      <c r="A149" s="13">
        <v>5240</v>
      </c>
      <c r="B149" s="13">
        <v>148</v>
      </c>
      <c r="C149" s="13" t="s">
        <v>667</v>
      </c>
      <c r="D149" s="13">
        <v>272687</v>
      </c>
      <c r="E149" s="13">
        <v>292517</v>
      </c>
      <c r="F149" s="13">
        <v>321848</v>
      </c>
      <c r="G149" s="13">
        <v>338864</v>
      </c>
      <c r="H149" s="13">
        <v>1.2</v>
      </c>
      <c r="I149" s="13">
        <v>135</v>
      </c>
      <c r="J149" s="13">
        <v>105531</v>
      </c>
      <c r="K149" s="13">
        <v>118716</v>
      </c>
      <c r="L149" s="13">
        <v>127055</v>
      </c>
      <c r="M149" s="13">
        <v>1.4</v>
      </c>
      <c r="N149" s="13">
        <v>2.61</v>
      </c>
      <c r="O149" s="13">
        <v>76074</v>
      </c>
      <c r="P149" s="13">
        <v>84114</v>
      </c>
      <c r="Q149" s="13">
        <v>1.2</v>
      </c>
      <c r="R149" s="13">
        <v>63</v>
      </c>
      <c r="S149" s="13">
        <v>62</v>
      </c>
      <c r="T149" s="13">
        <v>36</v>
      </c>
      <c r="U149" s="13">
        <v>36.9</v>
      </c>
      <c r="V149" s="13">
        <v>0.6</v>
      </c>
      <c r="W149" s="13">
        <v>0.7</v>
      </c>
      <c r="X149" s="13">
        <v>0.7</v>
      </c>
      <c r="Y149" s="13">
        <v>1.1000000000000001</v>
      </c>
      <c r="Z149" s="13">
        <v>7.3</v>
      </c>
      <c r="AA149" s="13">
        <v>7.4</v>
      </c>
      <c r="AB149" s="13">
        <v>7</v>
      </c>
      <c r="AC149" s="13">
        <v>7.7</v>
      </c>
      <c r="AD149" s="13">
        <v>7.3</v>
      </c>
      <c r="AE149" s="13">
        <v>31.3</v>
      </c>
      <c r="AF149" s="13">
        <v>20.6</v>
      </c>
      <c r="AG149" s="13">
        <v>10</v>
      </c>
      <c r="AH149" s="13">
        <v>1.3</v>
      </c>
      <c r="AI149" s="13">
        <v>74</v>
      </c>
      <c r="AJ149" s="13">
        <v>31.9</v>
      </c>
      <c r="AK149" s="13">
        <v>33.9</v>
      </c>
      <c r="AL149" s="13">
        <v>93.1</v>
      </c>
      <c r="AM149" s="13">
        <v>17550</v>
      </c>
      <c r="AN149" s="13">
        <v>118716</v>
      </c>
      <c r="AO149" s="13">
        <v>17.5</v>
      </c>
      <c r="AP149" s="13">
        <v>14</v>
      </c>
      <c r="AQ149" s="13">
        <v>33.200000000000003</v>
      </c>
      <c r="AR149" s="13">
        <v>27.9</v>
      </c>
      <c r="AS149" s="13">
        <v>5.4</v>
      </c>
      <c r="AT149" s="13">
        <v>2</v>
      </c>
      <c r="AU149" s="13">
        <v>38135</v>
      </c>
      <c r="AV149" s="13">
        <v>45237</v>
      </c>
      <c r="AW149" s="13">
        <v>123</v>
      </c>
      <c r="AX149" s="13">
        <v>36479</v>
      </c>
      <c r="AY149" s="13">
        <v>30995</v>
      </c>
      <c r="AZ149" s="13">
        <v>41570</v>
      </c>
      <c r="BA149" s="13">
        <v>45883</v>
      </c>
      <c r="BB149" s="13">
        <v>38702</v>
      </c>
      <c r="BC149" s="13">
        <v>24803</v>
      </c>
      <c r="BD149" s="13">
        <v>99</v>
      </c>
      <c r="BE149" s="13">
        <v>95</v>
      </c>
      <c r="BF149" s="13">
        <v>96</v>
      </c>
      <c r="BG149" s="13">
        <v>96</v>
      </c>
      <c r="BH149" s="13">
        <v>102</v>
      </c>
      <c r="BI149" s="13">
        <v>101</v>
      </c>
      <c r="BJ149" s="13">
        <v>104</v>
      </c>
      <c r="BK149" s="13">
        <v>100</v>
      </c>
      <c r="BL149" s="13">
        <v>99</v>
      </c>
      <c r="BM149" s="13">
        <v>99</v>
      </c>
      <c r="BN149" s="13">
        <v>96</v>
      </c>
      <c r="BO149" s="13">
        <v>101</v>
      </c>
      <c r="BP149" s="13">
        <v>97</v>
      </c>
      <c r="BQ149" s="13">
        <v>101</v>
      </c>
      <c r="BR149" s="13">
        <v>92</v>
      </c>
      <c r="BS149" s="13">
        <v>100</v>
      </c>
      <c r="BT149" s="13">
        <v>97</v>
      </c>
      <c r="BU149" s="13">
        <v>99</v>
      </c>
      <c r="BV149" s="13">
        <v>98</v>
      </c>
      <c r="BW149" s="13">
        <v>100</v>
      </c>
      <c r="BX149" s="328">
        <f t="shared" si="14"/>
        <v>197070718</v>
      </c>
      <c r="BY149" s="328">
        <f t="shared" si="15"/>
        <v>74214078</v>
      </c>
      <c r="BZ149" s="329">
        <f t="shared" si="12"/>
        <v>0.86944332301747984</v>
      </c>
      <c r="CA149" s="329">
        <f t="shared" si="13"/>
        <v>0.86949347155360213</v>
      </c>
    </row>
    <row r="150" spans="1:79" x14ac:dyDescent="0.25">
      <c r="A150" s="13">
        <v>3400</v>
      </c>
      <c r="B150" s="13">
        <v>149</v>
      </c>
      <c r="C150" s="13" t="s">
        <v>668</v>
      </c>
      <c r="D150" s="13">
        <v>336410</v>
      </c>
      <c r="E150" s="13">
        <v>312529</v>
      </c>
      <c r="F150" s="13">
        <v>314885</v>
      </c>
      <c r="G150" s="13">
        <v>316239</v>
      </c>
      <c r="H150" s="13">
        <v>0.1</v>
      </c>
      <c r="I150" s="13">
        <v>272</v>
      </c>
      <c r="J150" s="13">
        <v>119640</v>
      </c>
      <c r="K150" s="13">
        <v>123553</v>
      </c>
      <c r="L150" s="13">
        <v>126004</v>
      </c>
      <c r="M150" s="13">
        <v>0.4</v>
      </c>
      <c r="N150" s="13">
        <v>2.4900000000000002</v>
      </c>
      <c r="O150" s="13">
        <v>88354</v>
      </c>
      <c r="P150" s="13">
        <v>89268</v>
      </c>
      <c r="Q150" s="13">
        <v>0.1</v>
      </c>
      <c r="R150" s="13">
        <v>97.3</v>
      </c>
      <c r="S150" s="13">
        <v>97.2</v>
      </c>
      <c r="T150" s="13">
        <v>2.2000000000000002</v>
      </c>
      <c r="U150" s="13">
        <v>2.2999999999999998</v>
      </c>
      <c r="V150" s="13">
        <v>0.3</v>
      </c>
      <c r="W150" s="13">
        <v>0.4</v>
      </c>
      <c r="X150" s="13">
        <v>0.4</v>
      </c>
      <c r="Y150" s="13">
        <v>0.5</v>
      </c>
      <c r="Z150" s="13">
        <v>5.6</v>
      </c>
      <c r="AA150" s="13">
        <v>5.9</v>
      </c>
      <c r="AB150" s="13">
        <v>6.6</v>
      </c>
      <c r="AC150" s="13">
        <v>7.9</v>
      </c>
      <c r="AD150" s="13">
        <v>7</v>
      </c>
      <c r="AE150" s="13">
        <v>27.7</v>
      </c>
      <c r="AF150" s="13">
        <v>24.7</v>
      </c>
      <c r="AG150" s="13">
        <v>12.9</v>
      </c>
      <c r="AH150" s="13">
        <v>1.6</v>
      </c>
      <c r="AI150" s="13">
        <v>77.400000000000006</v>
      </c>
      <c r="AJ150" s="13">
        <v>35.299999999999997</v>
      </c>
      <c r="AK150" s="13">
        <v>38.1</v>
      </c>
      <c r="AL150" s="13">
        <v>92.2</v>
      </c>
      <c r="AM150" s="13">
        <v>13536</v>
      </c>
      <c r="AN150" s="13">
        <v>123553</v>
      </c>
      <c r="AO150" s="13">
        <v>29.8</v>
      </c>
      <c r="AP150" s="13">
        <v>17.5</v>
      </c>
      <c r="AQ150" s="13">
        <v>32.200000000000003</v>
      </c>
      <c r="AR150" s="13">
        <v>17.100000000000001</v>
      </c>
      <c r="AS150" s="13">
        <v>2.4</v>
      </c>
      <c r="AT150" s="13">
        <v>1.1000000000000001</v>
      </c>
      <c r="AU150" s="13">
        <v>26640</v>
      </c>
      <c r="AV150" s="13">
        <v>30750</v>
      </c>
      <c r="AW150" s="13">
        <v>303</v>
      </c>
      <c r="AX150" s="13">
        <v>27198</v>
      </c>
      <c r="AY150" s="13">
        <v>22826</v>
      </c>
      <c r="AZ150" s="13">
        <v>33253</v>
      </c>
      <c r="BA150" s="13">
        <v>34802</v>
      </c>
      <c r="BB150" s="13">
        <v>29184</v>
      </c>
      <c r="BC150" s="13">
        <v>17982</v>
      </c>
      <c r="BD150" s="13">
        <v>98</v>
      </c>
      <c r="BE150" s="13">
        <v>81</v>
      </c>
      <c r="BF150" s="13">
        <v>92</v>
      </c>
      <c r="BG150" s="13">
        <v>87</v>
      </c>
      <c r="BH150" s="13">
        <v>102</v>
      </c>
      <c r="BI150" s="13">
        <v>99</v>
      </c>
      <c r="BJ150" s="13">
        <v>110</v>
      </c>
      <c r="BK150" s="13">
        <v>99</v>
      </c>
      <c r="BL150" s="13">
        <v>95</v>
      </c>
      <c r="BM150" s="13">
        <v>89</v>
      </c>
      <c r="BN150" s="13">
        <v>88</v>
      </c>
      <c r="BO150" s="13">
        <v>97</v>
      </c>
      <c r="BP150" s="13">
        <v>91</v>
      </c>
      <c r="BQ150" s="13">
        <v>98</v>
      </c>
      <c r="BR150" s="13">
        <v>85</v>
      </c>
      <c r="BS150" s="13">
        <v>98</v>
      </c>
      <c r="BT150" s="13">
        <v>87</v>
      </c>
      <c r="BU150" s="13">
        <v>93</v>
      </c>
      <c r="BV150" s="13">
        <v>102</v>
      </c>
      <c r="BW150" s="13">
        <v>98</v>
      </c>
      <c r="BX150" s="328">
        <f t="shared" si="14"/>
        <v>197386957</v>
      </c>
      <c r="BY150" s="328">
        <f t="shared" si="15"/>
        <v>74340082</v>
      </c>
      <c r="BZ150" s="329">
        <f t="shared" si="12"/>
        <v>0.87083851703624682</v>
      </c>
      <c r="CA150" s="329">
        <f t="shared" si="13"/>
        <v>0.87096973668202748</v>
      </c>
    </row>
    <row r="151" spans="1:79" x14ac:dyDescent="0.25">
      <c r="A151" s="13">
        <v>2580</v>
      </c>
      <c r="B151" s="13">
        <v>150</v>
      </c>
      <c r="C151" s="13" t="s">
        <v>669</v>
      </c>
      <c r="D151" s="13">
        <v>178609</v>
      </c>
      <c r="E151" s="13">
        <v>210908</v>
      </c>
      <c r="F151" s="13">
        <v>274451</v>
      </c>
      <c r="G151" s="13">
        <v>313484</v>
      </c>
      <c r="H151" s="13">
        <v>3.2</v>
      </c>
      <c r="I151" s="13">
        <v>8</v>
      </c>
      <c r="J151" s="13">
        <v>80927</v>
      </c>
      <c r="K151" s="13">
        <v>106300</v>
      </c>
      <c r="L151" s="13">
        <v>121802</v>
      </c>
      <c r="M151" s="13">
        <v>3.4</v>
      </c>
      <c r="N151" s="13">
        <v>2.5299999999999998</v>
      </c>
      <c r="O151" s="13">
        <v>58962</v>
      </c>
      <c r="P151" s="13">
        <v>75610</v>
      </c>
      <c r="Q151" s="13">
        <v>3.1</v>
      </c>
      <c r="R151" s="13">
        <v>96.6</v>
      </c>
      <c r="S151" s="13">
        <v>95.8</v>
      </c>
      <c r="T151" s="13">
        <v>0.9</v>
      </c>
      <c r="U151" s="13">
        <v>0.9</v>
      </c>
      <c r="V151" s="13">
        <v>0.7</v>
      </c>
      <c r="W151" s="13">
        <v>0.9</v>
      </c>
      <c r="X151" s="13">
        <v>1.4</v>
      </c>
      <c r="Y151" s="13">
        <v>3.4</v>
      </c>
      <c r="Z151" s="13">
        <v>6.7</v>
      </c>
      <c r="AA151" s="13">
        <v>7.1</v>
      </c>
      <c r="AB151" s="13">
        <v>7.1</v>
      </c>
      <c r="AC151" s="13">
        <v>7.5</v>
      </c>
      <c r="AD151" s="13">
        <v>7.9</v>
      </c>
      <c r="AE151" s="13">
        <v>28.5</v>
      </c>
      <c r="AF151" s="13">
        <v>21</v>
      </c>
      <c r="AG151" s="13">
        <v>12.7</v>
      </c>
      <c r="AH151" s="13">
        <v>1.5</v>
      </c>
      <c r="AI151" s="13">
        <v>75.099999999999994</v>
      </c>
      <c r="AJ151" s="13">
        <v>33.1</v>
      </c>
      <c r="AK151" s="13">
        <v>35</v>
      </c>
      <c r="AL151" s="13">
        <v>96.6</v>
      </c>
      <c r="AM151" s="13">
        <v>14254</v>
      </c>
      <c r="AN151" s="13">
        <v>106300</v>
      </c>
      <c r="AO151" s="13">
        <v>20.399999999999999</v>
      </c>
      <c r="AP151" s="13">
        <v>20</v>
      </c>
      <c r="AQ151" s="13">
        <v>37.799999999999997</v>
      </c>
      <c r="AR151" s="13">
        <v>18.600000000000001</v>
      </c>
      <c r="AS151" s="13">
        <v>2.2999999999999998</v>
      </c>
      <c r="AT151" s="13">
        <v>0.9</v>
      </c>
      <c r="AU151" s="13">
        <v>30063</v>
      </c>
      <c r="AV151" s="13">
        <v>34371</v>
      </c>
      <c r="AW151" s="13">
        <v>277</v>
      </c>
      <c r="AX151" s="13">
        <v>28879</v>
      </c>
      <c r="AY151" s="13">
        <v>24190</v>
      </c>
      <c r="AZ151" s="13">
        <v>34405</v>
      </c>
      <c r="BA151" s="13">
        <v>36938</v>
      </c>
      <c r="BB151" s="13">
        <v>31396</v>
      </c>
      <c r="BC151" s="13">
        <v>22063</v>
      </c>
      <c r="BD151" s="13">
        <v>99</v>
      </c>
      <c r="BE151" s="13">
        <v>87</v>
      </c>
      <c r="BF151" s="13">
        <v>93</v>
      </c>
      <c r="BG151" s="13">
        <v>91</v>
      </c>
      <c r="BH151" s="13">
        <v>100</v>
      </c>
      <c r="BI151" s="13">
        <v>99</v>
      </c>
      <c r="BJ151" s="13">
        <v>111</v>
      </c>
      <c r="BK151" s="13">
        <v>99</v>
      </c>
      <c r="BL151" s="13">
        <v>96</v>
      </c>
      <c r="BM151" s="13">
        <v>90</v>
      </c>
      <c r="BN151" s="13">
        <v>92</v>
      </c>
      <c r="BO151" s="13">
        <v>97</v>
      </c>
      <c r="BP151" s="13">
        <v>91</v>
      </c>
      <c r="BQ151" s="13">
        <v>100</v>
      </c>
      <c r="BR151" s="13">
        <v>86</v>
      </c>
      <c r="BS151" s="13">
        <v>98</v>
      </c>
      <c r="BT151" s="13">
        <v>91</v>
      </c>
      <c r="BU151" s="13">
        <v>95</v>
      </c>
      <c r="BV151" s="13">
        <v>102</v>
      </c>
      <c r="BW151" s="13">
        <v>100</v>
      </c>
      <c r="BX151" s="328">
        <f t="shared" si="14"/>
        <v>197700441</v>
      </c>
      <c r="BY151" s="328">
        <f t="shared" si="15"/>
        <v>74461884</v>
      </c>
      <c r="BZ151" s="329">
        <f t="shared" si="12"/>
        <v>0.87222155645193922</v>
      </c>
      <c r="CA151" s="329">
        <f t="shared" si="13"/>
        <v>0.87239677110293845</v>
      </c>
    </row>
    <row r="152" spans="1:79" x14ac:dyDescent="0.25">
      <c r="A152" s="13">
        <v>7120</v>
      </c>
      <c r="B152" s="13">
        <v>151</v>
      </c>
      <c r="C152" s="13" t="s">
        <v>670</v>
      </c>
      <c r="D152" s="13">
        <v>290444</v>
      </c>
      <c r="E152" s="13">
        <v>355660</v>
      </c>
      <c r="F152" s="13">
        <v>367379</v>
      </c>
      <c r="G152" s="13">
        <v>376272</v>
      </c>
      <c r="H152" s="13">
        <v>0.4</v>
      </c>
      <c r="I152" s="13">
        <v>239</v>
      </c>
      <c r="J152" s="13">
        <v>112965</v>
      </c>
      <c r="K152" s="13">
        <v>117931</v>
      </c>
      <c r="L152" s="13">
        <v>120712</v>
      </c>
      <c r="M152" s="13">
        <v>0.5</v>
      </c>
      <c r="N152" s="13">
        <v>2.97</v>
      </c>
      <c r="O152" s="13">
        <v>83015</v>
      </c>
      <c r="P152" s="13">
        <v>86115</v>
      </c>
      <c r="Q152" s="13">
        <v>0.4</v>
      </c>
      <c r="R152" s="13">
        <v>63.8</v>
      </c>
      <c r="S152" s="13">
        <v>56.8</v>
      </c>
      <c r="T152" s="13">
        <v>6.4</v>
      </c>
      <c r="U152" s="13">
        <v>5.3</v>
      </c>
      <c r="V152" s="13">
        <v>7.8</v>
      </c>
      <c r="W152" s="13">
        <v>9.9</v>
      </c>
      <c r="X152" s="13">
        <v>33.6</v>
      </c>
      <c r="Y152" s="13">
        <v>43.4</v>
      </c>
      <c r="Z152" s="13">
        <v>9.4</v>
      </c>
      <c r="AA152" s="13">
        <v>8.4</v>
      </c>
      <c r="AB152" s="13">
        <v>7.2</v>
      </c>
      <c r="AC152" s="13">
        <v>7.1</v>
      </c>
      <c r="AD152" s="13">
        <v>7.4</v>
      </c>
      <c r="AE152" s="13">
        <v>32.9</v>
      </c>
      <c r="AF152" s="13">
        <v>17</v>
      </c>
      <c r="AG152" s="13">
        <v>9.1999999999999993</v>
      </c>
      <c r="AH152" s="13">
        <v>1.2</v>
      </c>
      <c r="AI152" s="13">
        <v>71</v>
      </c>
      <c r="AJ152" s="13">
        <v>29.6</v>
      </c>
      <c r="AK152" s="13">
        <v>31.2</v>
      </c>
      <c r="AL152" s="13">
        <v>106.6</v>
      </c>
      <c r="AM152" s="13">
        <v>18619</v>
      </c>
      <c r="AN152" s="13">
        <v>117930</v>
      </c>
      <c r="AO152" s="13">
        <v>9.8000000000000007</v>
      </c>
      <c r="AP152" s="13">
        <v>12.7</v>
      </c>
      <c r="AQ152" s="13">
        <v>34.700000000000003</v>
      </c>
      <c r="AR152" s="13">
        <v>31.9</v>
      </c>
      <c r="AS152" s="13">
        <v>7.4</v>
      </c>
      <c r="AT152" s="13">
        <v>3.5</v>
      </c>
      <c r="AU152" s="13">
        <v>43771</v>
      </c>
      <c r="AV152" s="13">
        <v>49463</v>
      </c>
      <c r="AW152" s="13">
        <v>47</v>
      </c>
      <c r="AX152" s="13">
        <v>41114</v>
      </c>
      <c r="AY152" s="13">
        <v>34170</v>
      </c>
      <c r="AZ152" s="13">
        <v>42258</v>
      </c>
      <c r="BA152" s="13">
        <v>51140</v>
      </c>
      <c r="BB152" s="13">
        <v>46195</v>
      </c>
      <c r="BC152" s="13">
        <v>37016</v>
      </c>
      <c r="BD152" s="13">
        <v>100</v>
      </c>
      <c r="BE152" s="13">
        <v>115</v>
      </c>
      <c r="BF152" s="13">
        <v>105</v>
      </c>
      <c r="BG152" s="13">
        <v>104</v>
      </c>
      <c r="BH152" s="13">
        <v>102</v>
      </c>
      <c r="BI152" s="13">
        <v>104</v>
      </c>
      <c r="BJ152" s="13">
        <v>94</v>
      </c>
      <c r="BK152" s="13">
        <v>101</v>
      </c>
      <c r="BL152" s="13">
        <v>105</v>
      </c>
      <c r="BM152" s="13">
        <v>101</v>
      </c>
      <c r="BN152" s="13">
        <v>106</v>
      </c>
      <c r="BO152" s="13">
        <v>97</v>
      </c>
      <c r="BP152" s="13">
        <v>101</v>
      </c>
      <c r="BQ152" s="13">
        <v>96</v>
      </c>
      <c r="BR152" s="13">
        <v>103</v>
      </c>
      <c r="BS152" s="13">
        <v>98</v>
      </c>
      <c r="BT152" s="13">
        <v>101</v>
      </c>
      <c r="BU152" s="13">
        <v>104</v>
      </c>
      <c r="BV152" s="13">
        <v>99</v>
      </c>
      <c r="BW152" s="13">
        <v>100</v>
      </c>
      <c r="BX152" s="328">
        <f t="shared" si="14"/>
        <v>198076713</v>
      </c>
      <c r="BY152" s="328">
        <f t="shared" si="15"/>
        <v>74582596</v>
      </c>
      <c r="BZ152" s="329">
        <f t="shared" si="12"/>
        <v>0.8738816061100444</v>
      </c>
      <c r="CA152" s="329">
        <f t="shared" si="13"/>
        <v>0.87381103506426094</v>
      </c>
    </row>
    <row r="153" spans="1:79" x14ac:dyDescent="0.25">
      <c r="A153" s="13">
        <v>8480</v>
      </c>
      <c r="B153" s="13">
        <v>152</v>
      </c>
      <c r="C153" s="13" t="s">
        <v>671</v>
      </c>
      <c r="D153" s="13">
        <v>307863</v>
      </c>
      <c r="E153" s="13">
        <v>325824</v>
      </c>
      <c r="F153" s="13">
        <v>330303</v>
      </c>
      <c r="G153" s="13">
        <v>333136</v>
      </c>
      <c r="H153" s="13">
        <v>0.2</v>
      </c>
      <c r="I153" s="13">
        <v>259</v>
      </c>
      <c r="J153" s="13">
        <v>116941</v>
      </c>
      <c r="K153" s="13">
        <v>119215</v>
      </c>
      <c r="L153" s="13">
        <v>120515</v>
      </c>
      <c r="M153" s="13">
        <v>0.2</v>
      </c>
      <c r="N153" s="13">
        <v>2.64</v>
      </c>
      <c r="O153" s="13">
        <v>82447</v>
      </c>
      <c r="P153" s="13">
        <v>81836</v>
      </c>
      <c r="Q153" s="13">
        <v>-0.1</v>
      </c>
      <c r="R153" s="13">
        <v>75.099999999999994</v>
      </c>
      <c r="S153" s="13">
        <v>70.5</v>
      </c>
      <c r="T153" s="13">
        <v>18.899999999999999</v>
      </c>
      <c r="U153" s="13">
        <v>20.9</v>
      </c>
      <c r="V153" s="13">
        <v>3.1</v>
      </c>
      <c r="W153" s="13">
        <v>4.7</v>
      </c>
      <c r="X153" s="13">
        <v>6</v>
      </c>
      <c r="Y153" s="13">
        <v>8.1</v>
      </c>
      <c r="Z153" s="13">
        <v>6.8</v>
      </c>
      <c r="AA153" s="13">
        <v>7.1</v>
      </c>
      <c r="AB153" s="13">
        <v>6.4</v>
      </c>
      <c r="AC153" s="13">
        <v>7.2</v>
      </c>
      <c r="AD153" s="13">
        <v>6.8</v>
      </c>
      <c r="AE153" s="13">
        <v>30.9</v>
      </c>
      <c r="AF153" s="13">
        <v>21.6</v>
      </c>
      <c r="AG153" s="13">
        <v>11.8</v>
      </c>
      <c r="AH153" s="13">
        <v>1.5</v>
      </c>
      <c r="AI153" s="13">
        <v>76.2</v>
      </c>
      <c r="AJ153" s="13">
        <v>34.1</v>
      </c>
      <c r="AK153" s="13">
        <v>36.200000000000003</v>
      </c>
      <c r="AL153" s="13">
        <v>94.3</v>
      </c>
      <c r="AM153" s="13">
        <v>25414</v>
      </c>
      <c r="AN153" s="13">
        <v>119209</v>
      </c>
      <c r="AO153" s="13">
        <v>9.6999999999999993</v>
      </c>
      <c r="AP153" s="13">
        <v>8.9</v>
      </c>
      <c r="AQ153" s="13">
        <v>27.1</v>
      </c>
      <c r="AR153" s="13">
        <v>36.1</v>
      </c>
      <c r="AS153" s="13">
        <v>11.5</v>
      </c>
      <c r="AT153" s="13">
        <v>6.8</v>
      </c>
      <c r="AU153" s="13">
        <v>53923</v>
      </c>
      <c r="AV153" s="13">
        <v>61832</v>
      </c>
      <c r="AW153" s="13">
        <v>11</v>
      </c>
      <c r="AX153" s="13">
        <v>46061</v>
      </c>
      <c r="AY153" s="13">
        <v>42340</v>
      </c>
      <c r="AZ153" s="13">
        <v>49567</v>
      </c>
      <c r="BA153" s="13">
        <v>59555</v>
      </c>
      <c r="BB153" s="13">
        <v>49983</v>
      </c>
      <c r="BC153" s="13">
        <v>29210</v>
      </c>
      <c r="BD153" s="13">
        <v>103</v>
      </c>
      <c r="BE153" s="13">
        <v>110</v>
      </c>
      <c r="BF153" s="13">
        <v>113</v>
      </c>
      <c r="BG153" s="13">
        <v>112</v>
      </c>
      <c r="BH153" s="13">
        <v>100</v>
      </c>
      <c r="BI153" s="13">
        <v>102</v>
      </c>
      <c r="BJ153" s="13">
        <v>92</v>
      </c>
      <c r="BK153" s="13">
        <v>101</v>
      </c>
      <c r="BL153" s="13">
        <v>102</v>
      </c>
      <c r="BM153" s="13">
        <v>108</v>
      </c>
      <c r="BN153" s="13">
        <v>107</v>
      </c>
      <c r="BO153" s="13">
        <v>106</v>
      </c>
      <c r="BP153" s="13">
        <v>110</v>
      </c>
      <c r="BQ153" s="13">
        <v>105</v>
      </c>
      <c r="BR153" s="13">
        <v>115</v>
      </c>
      <c r="BS153" s="13">
        <v>101</v>
      </c>
      <c r="BT153" s="13">
        <v>112</v>
      </c>
      <c r="BU153" s="13">
        <v>106</v>
      </c>
      <c r="BV153" s="13">
        <v>101</v>
      </c>
      <c r="BW153" s="13">
        <v>103</v>
      </c>
      <c r="BX153" s="328">
        <f t="shared" si="14"/>
        <v>198409849</v>
      </c>
      <c r="BY153" s="328">
        <f t="shared" si="15"/>
        <v>74703111</v>
      </c>
      <c r="BZ153" s="329">
        <f t="shared" si="12"/>
        <v>0.87535134689039085</v>
      </c>
      <c r="CA153" s="329">
        <f t="shared" si="13"/>
        <v>0.87522299097004319</v>
      </c>
    </row>
    <row r="154" spans="1:79" x14ac:dyDescent="0.25">
      <c r="A154" s="13">
        <v>8780</v>
      </c>
      <c r="B154" s="13">
        <v>153</v>
      </c>
      <c r="C154" s="13" t="s">
        <v>672</v>
      </c>
      <c r="D154" s="13">
        <v>245738</v>
      </c>
      <c r="E154" s="13">
        <v>311921</v>
      </c>
      <c r="F154" s="13">
        <v>356261</v>
      </c>
      <c r="G154" s="13">
        <v>382956</v>
      </c>
      <c r="H154" s="13">
        <v>1.6</v>
      </c>
      <c r="I154" s="13">
        <v>71</v>
      </c>
      <c r="J154" s="13">
        <v>97861</v>
      </c>
      <c r="K154" s="13">
        <v>111852</v>
      </c>
      <c r="L154" s="13">
        <v>120145</v>
      </c>
      <c r="M154" s="13">
        <v>1.6</v>
      </c>
      <c r="N154" s="13">
        <v>3.14</v>
      </c>
      <c r="O154" s="13">
        <v>76529</v>
      </c>
      <c r="P154" s="13">
        <v>86684</v>
      </c>
      <c r="Q154" s="13">
        <v>1.5</v>
      </c>
      <c r="R154" s="13">
        <v>65.7</v>
      </c>
      <c r="S154" s="13">
        <v>59.2</v>
      </c>
      <c r="T154" s="13">
        <v>1.5</v>
      </c>
      <c r="U154" s="13">
        <v>1.4</v>
      </c>
      <c r="V154" s="13">
        <v>4.3</v>
      </c>
      <c r="W154" s="13">
        <v>5.2</v>
      </c>
      <c r="X154" s="13">
        <v>38.799999999999997</v>
      </c>
      <c r="Y154" s="13">
        <v>46.8</v>
      </c>
      <c r="Z154" s="13">
        <v>10</v>
      </c>
      <c r="AA154" s="13">
        <v>10.6</v>
      </c>
      <c r="AB154" s="13">
        <v>9.3000000000000007</v>
      </c>
      <c r="AC154" s="13">
        <v>7.7</v>
      </c>
      <c r="AD154" s="13">
        <v>5.6</v>
      </c>
      <c r="AE154" s="13">
        <v>28.3</v>
      </c>
      <c r="AF154" s="13">
        <v>17.3</v>
      </c>
      <c r="AG154" s="13">
        <v>9.9</v>
      </c>
      <c r="AH154" s="13">
        <v>1.2</v>
      </c>
      <c r="AI154" s="13">
        <v>65.3</v>
      </c>
      <c r="AJ154" s="13">
        <v>29.2</v>
      </c>
      <c r="AK154" s="13">
        <v>30.1</v>
      </c>
      <c r="AL154" s="13">
        <v>101.5</v>
      </c>
      <c r="AM154" s="13">
        <v>13040</v>
      </c>
      <c r="AN154" s="13">
        <v>111852</v>
      </c>
      <c r="AO154" s="13">
        <v>21.6</v>
      </c>
      <c r="AP154" s="13">
        <v>18</v>
      </c>
      <c r="AQ154" s="13">
        <v>33.9</v>
      </c>
      <c r="AR154" s="13">
        <v>20.9</v>
      </c>
      <c r="AS154" s="13">
        <v>3.6</v>
      </c>
      <c r="AT154" s="13">
        <v>1.9</v>
      </c>
      <c r="AU154" s="13">
        <v>31203</v>
      </c>
      <c r="AV154" s="13">
        <v>35378</v>
      </c>
      <c r="AW154" s="13">
        <v>254</v>
      </c>
      <c r="AX154" s="13">
        <v>31219</v>
      </c>
      <c r="AY154" s="13">
        <v>26223</v>
      </c>
      <c r="AZ154" s="13">
        <v>34416</v>
      </c>
      <c r="BA154" s="13">
        <v>39968</v>
      </c>
      <c r="BB154" s="13">
        <v>35170</v>
      </c>
      <c r="BC154" s="13">
        <v>23770</v>
      </c>
      <c r="BD154" s="13">
        <v>98</v>
      </c>
      <c r="BE154" s="13">
        <v>92</v>
      </c>
      <c r="BF154" s="13">
        <v>91</v>
      </c>
      <c r="BG154" s="13">
        <v>89</v>
      </c>
      <c r="BH154" s="13">
        <v>96</v>
      </c>
      <c r="BI154" s="13">
        <v>96</v>
      </c>
      <c r="BJ154" s="13">
        <v>98</v>
      </c>
      <c r="BK154" s="13">
        <v>99</v>
      </c>
      <c r="BL154" s="13">
        <v>98</v>
      </c>
      <c r="BM154" s="13">
        <v>93</v>
      </c>
      <c r="BN154" s="13">
        <v>93</v>
      </c>
      <c r="BO154" s="13">
        <v>91</v>
      </c>
      <c r="BP154" s="13">
        <v>90</v>
      </c>
      <c r="BQ154" s="13">
        <v>93</v>
      </c>
      <c r="BR154" s="13">
        <v>89</v>
      </c>
      <c r="BS154" s="13">
        <v>96</v>
      </c>
      <c r="BT154" s="13">
        <v>89</v>
      </c>
      <c r="BU154" s="13">
        <v>95</v>
      </c>
      <c r="BV154" s="13">
        <v>99</v>
      </c>
      <c r="BW154" s="13">
        <v>96</v>
      </c>
      <c r="BX154" s="328">
        <f t="shared" si="14"/>
        <v>198792805</v>
      </c>
      <c r="BY154" s="328">
        <f t="shared" si="15"/>
        <v>74823256</v>
      </c>
      <c r="BZ154" s="329">
        <f t="shared" si="12"/>
        <v>0.87704088524793355</v>
      </c>
      <c r="CA154" s="329">
        <f t="shared" si="13"/>
        <v>0.87663061194917613</v>
      </c>
    </row>
    <row r="155" spans="1:79" x14ac:dyDescent="0.25">
      <c r="A155" s="13">
        <v>2440</v>
      </c>
      <c r="B155" s="13">
        <v>154</v>
      </c>
      <c r="C155" s="13" t="s">
        <v>673</v>
      </c>
      <c r="D155" s="13">
        <v>276252</v>
      </c>
      <c r="E155" s="13">
        <v>278990</v>
      </c>
      <c r="F155" s="13">
        <v>289983</v>
      </c>
      <c r="G155" s="13">
        <v>296241</v>
      </c>
      <c r="H155" s="13">
        <v>0.5</v>
      </c>
      <c r="I155" s="13">
        <v>225</v>
      </c>
      <c r="J155" s="13">
        <v>108663</v>
      </c>
      <c r="K155" s="13">
        <v>114787</v>
      </c>
      <c r="L155" s="13">
        <v>118622</v>
      </c>
      <c r="M155" s="13">
        <v>0.7</v>
      </c>
      <c r="N155" s="13">
        <v>2.4700000000000002</v>
      </c>
      <c r="O155" s="13">
        <v>76611</v>
      </c>
      <c r="P155" s="13">
        <v>79533</v>
      </c>
      <c r="Q155" s="13">
        <v>0.5</v>
      </c>
      <c r="R155" s="13">
        <v>93.5</v>
      </c>
      <c r="S155" s="13">
        <v>92.8</v>
      </c>
      <c r="T155" s="13">
        <v>5.8</v>
      </c>
      <c r="U155" s="13">
        <v>6.2</v>
      </c>
      <c r="V155" s="13">
        <v>0.4</v>
      </c>
      <c r="W155" s="13">
        <v>0.6</v>
      </c>
      <c r="X155" s="13">
        <v>0.5</v>
      </c>
      <c r="Y155" s="13">
        <v>0.7</v>
      </c>
      <c r="Z155" s="13">
        <v>6.6</v>
      </c>
      <c r="AA155" s="13">
        <v>6.9</v>
      </c>
      <c r="AB155" s="13">
        <v>7.1</v>
      </c>
      <c r="AC155" s="13">
        <v>7.1</v>
      </c>
      <c r="AD155" s="13">
        <v>5.9</v>
      </c>
      <c r="AE155" s="13">
        <v>31</v>
      </c>
      <c r="AF155" s="13">
        <v>21.5</v>
      </c>
      <c r="AG155" s="13">
        <v>12.2</v>
      </c>
      <c r="AH155" s="13">
        <v>1.7</v>
      </c>
      <c r="AI155" s="13">
        <v>75.400000000000006</v>
      </c>
      <c r="AJ155" s="13">
        <v>34.1</v>
      </c>
      <c r="AK155" s="13">
        <v>36.4</v>
      </c>
      <c r="AL155" s="13">
        <v>92.7</v>
      </c>
      <c r="AM155" s="13">
        <v>18306</v>
      </c>
      <c r="AN155" s="13">
        <v>114784</v>
      </c>
      <c r="AO155" s="13">
        <v>16.5</v>
      </c>
      <c r="AP155" s="13">
        <v>14.4</v>
      </c>
      <c r="AQ155" s="13">
        <v>36</v>
      </c>
      <c r="AR155" s="13">
        <v>26</v>
      </c>
      <c r="AS155" s="13">
        <v>5</v>
      </c>
      <c r="AT155" s="13">
        <v>2</v>
      </c>
      <c r="AU155" s="13">
        <v>37308</v>
      </c>
      <c r="AV155" s="13">
        <v>43876</v>
      </c>
      <c r="AW155" s="13">
        <v>134</v>
      </c>
      <c r="AX155" s="13">
        <v>35256</v>
      </c>
      <c r="AY155" s="13">
        <v>30436</v>
      </c>
      <c r="AZ155" s="13">
        <v>41525</v>
      </c>
      <c r="BA155" s="13">
        <v>45274</v>
      </c>
      <c r="BB155" s="13">
        <v>37520</v>
      </c>
      <c r="BC155" s="13">
        <v>22224</v>
      </c>
      <c r="BD155" s="13">
        <v>98</v>
      </c>
      <c r="BE155" s="13">
        <v>92</v>
      </c>
      <c r="BF155" s="13">
        <v>94</v>
      </c>
      <c r="BG155" s="13">
        <v>93</v>
      </c>
      <c r="BH155" s="13">
        <v>101</v>
      </c>
      <c r="BI155" s="13">
        <v>98</v>
      </c>
      <c r="BJ155" s="13">
        <v>103</v>
      </c>
      <c r="BK155" s="13">
        <v>99</v>
      </c>
      <c r="BL155" s="13">
        <v>96</v>
      </c>
      <c r="BM155" s="13">
        <v>96</v>
      </c>
      <c r="BN155" s="13">
        <v>96</v>
      </c>
      <c r="BO155" s="13">
        <v>97</v>
      </c>
      <c r="BP155" s="13">
        <v>98</v>
      </c>
      <c r="BQ155" s="13">
        <v>99</v>
      </c>
      <c r="BR155" s="13">
        <v>99</v>
      </c>
      <c r="BS155" s="13">
        <v>101</v>
      </c>
      <c r="BT155" s="13">
        <v>96</v>
      </c>
      <c r="BU155" s="13">
        <v>97</v>
      </c>
      <c r="BV155" s="13">
        <v>99</v>
      </c>
      <c r="BW155" s="13">
        <v>98</v>
      </c>
      <c r="BX155" s="328">
        <f t="shared" si="14"/>
        <v>199089046</v>
      </c>
      <c r="BY155" s="328">
        <f t="shared" si="15"/>
        <v>74941878</v>
      </c>
      <c r="BZ155" s="329">
        <f t="shared" si="12"/>
        <v>0.87834785140743177</v>
      </c>
      <c r="CA155" s="329">
        <f t="shared" si="13"/>
        <v>0.87802038943293914</v>
      </c>
    </row>
    <row r="156" spans="1:79" x14ac:dyDescent="0.25">
      <c r="A156" s="13">
        <v>1125</v>
      </c>
      <c r="B156" s="13">
        <v>155</v>
      </c>
      <c r="C156" s="13" t="s">
        <v>674</v>
      </c>
      <c r="D156" s="13">
        <v>189625</v>
      </c>
      <c r="E156" s="13">
        <v>225339</v>
      </c>
      <c r="F156" s="13">
        <v>265857</v>
      </c>
      <c r="G156" s="13">
        <v>290794</v>
      </c>
      <c r="H156" s="13">
        <v>2</v>
      </c>
      <c r="I156" s="13">
        <v>50</v>
      </c>
      <c r="J156" s="13">
        <v>88402</v>
      </c>
      <c r="K156" s="13">
        <v>106868</v>
      </c>
      <c r="L156" s="13">
        <v>118495</v>
      </c>
      <c r="M156" s="13">
        <v>2.2999999999999998</v>
      </c>
      <c r="N156" s="13">
        <v>2.41</v>
      </c>
      <c r="O156" s="13">
        <v>54375</v>
      </c>
      <c r="P156" s="13">
        <v>64231</v>
      </c>
      <c r="Q156" s="13">
        <v>2</v>
      </c>
      <c r="R156" s="13">
        <v>93.3</v>
      </c>
      <c r="S156" s="13">
        <v>92</v>
      </c>
      <c r="T156" s="13">
        <v>0.9</v>
      </c>
      <c r="U156" s="13">
        <v>1</v>
      </c>
      <c r="V156" s="13">
        <v>2.4</v>
      </c>
      <c r="W156" s="13">
        <v>3.1</v>
      </c>
      <c r="X156" s="13">
        <v>6.7</v>
      </c>
      <c r="Y156" s="13">
        <v>8</v>
      </c>
      <c r="Z156" s="13">
        <v>6.2</v>
      </c>
      <c r="AA156" s="13">
        <v>6.6</v>
      </c>
      <c r="AB156" s="13">
        <v>6.5</v>
      </c>
      <c r="AC156" s="13">
        <v>7.8</v>
      </c>
      <c r="AD156" s="13">
        <v>8.8000000000000007</v>
      </c>
      <c r="AE156" s="13">
        <v>34.299999999999997</v>
      </c>
      <c r="AF156" s="13">
        <v>22</v>
      </c>
      <c r="AG156" s="13">
        <v>6.8</v>
      </c>
      <c r="AH156" s="13">
        <v>1</v>
      </c>
      <c r="AI156" s="13">
        <v>77.099999999999994</v>
      </c>
      <c r="AJ156" s="13">
        <v>31.6</v>
      </c>
      <c r="AK156" s="13">
        <v>34.6</v>
      </c>
      <c r="AL156" s="13">
        <v>100</v>
      </c>
      <c r="AM156" s="13">
        <v>31207</v>
      </c>
      <c r="AN156" s="13">
        <v>106864</v>
      </c>
      <c r="AO156" s="13">
        <v>6.9</v>
      </c>
      <c r="AP156" s="13">
        <v>7.6</v>
      </c>
      <c r="AQ156" s="13">
        <v>26.3</v>
      </c>
      <c r="AR156" s="13">
        <v>36.9</v>
      </c>
      <c r="AS156" s="13">
        <v>13.6</v>
      </c>
      <c r="AT156" s="13">
        <v>8.8000000000000007</v>
      </c>
      <c r="AU156" s="13">
        <v>58696</v>
      </c>
      <c r="AV156" s="13">
        <v>73100</v>
      </c>
      <c r="AW156" s="13">
        <v>4</v>
      </c>
      <c r="AX156" s="13">
        <v>54872</v>
      </c>
      <c r="AY156" s="13">
        <v>39071</v>
      </c>
      <c r="AZ156" s="13">
        <v>57486</v>
      </c>
      <c r="BA156" s="13">
        <v>70290</v>
      </c>
      <c r="BB156" s="13">
        <v>62646</v>
      </c>
      <c r="BC156" s="13">
        <v>37566</v>
      </c>
      <c r="BD156" s="13">
        <v>103</v>
      </c>
      <c r="BE156" s="13">
        <v>108</v>
      </c>
      <c r="BF156" s="13">
        <v>98</v>
      </c>
      <c r="BG156" s="13">
        <v>104</v>
      </c>
      <c r="BH156" s="13">
        <v>101</v>
      </c>
      <c r="BI156" s="13">
        <v>102</v>
      </c>
      <c r="BJ156" s="13">
        <v>101</v>
      </c>
      <c r="BK156" s="13">
        <v>101</v>
      </c>
      <c r="BL156" s="13">
        <v>104</v>
      </c>
      <c r="BM156" s="13">
        <v>105</v>
      </c>
      <c r="BN156" s="13">
        <v>107</v>
      </c>
      <c r="BO156" s="13">
        <v>99</v>
      </c>
      <c r="BP156" s="13">
        <v>99</v>
      </c>
      <c r="BQ156" s="13">
        <v>100</v>
      </c>
      <c r="BR156" s="13">
        <v>98</v>
      </c>
      <c r="BS156" s="13">
        <v>97</v>
      </c>
      <c r="BT156" s="13">
        <v>105</v>
      </c>
      <c r="BU156" s="13">
        <v>102</v>
      </c>
      <c r="BV156" s="13">
        <v>98</v>
      </c>
      <c r="BW156" s="13">
        <v>99</v>
      </c>
      <c r="BX156" s="328">
        <f t="shared" si="14"/>
        <v>199379840</v>
      </c>
      <c r="BY156" s="328">
        <f t="shared" si="15"/>
        <v>75060373</v>
      </c>
      <c r="BZ156" s="329">
        <f t="shared" si="12"/>
        <v>0.87963078630633207</v>
      </c>
      <c r="CA156" s="329">
        <f t="shared" si="13"/>
        <v>0.87940867898241981</v>
      </c>
    </row>
    <row r="157" spans="1:79" x14ac:dyDescent="0.25">
      <c r="A157" s="13">
        <v>7520</v>
      </c>
      <c r="B157" s="13">
        <v>156</v>
      </c>
      <c r="C157" s="13" t="s">
        <v>675</v>
      </c>
      <c r="D157" s="13">
        <v>230728</v>
      </c>
      <c r="E157" s="13">
        <v>258060</v>
      </c>
      <c r="F157" s="13">
        <v>288368</v>
      </c>
      <c r="G157" s="13">
        <v>305920</v>
      </c>
      <c r="H157" s="13">
        <v>1.4</v>
      </c>
      <c r="I157" s="13">
        <v>94</v>
      </c>
      <c r="J157" s="13">
        <v>94940</v>
      </c>
      <c r="K157" s="13">
        <v>107445</v>
      </c>
      <c r="L157" s="13">
        <v>115134</v>
      </c>
      <c r="M157" s="13">
        <v>1.5</v>
      </c>
      <c r="N157" s="13">
        <v>2.6</v>
      </c>
      <c r="O157" s="13">
        <v>67935</v>
      </c>
      <c r="P157" s="13">
        <v>75978</v>
      </c>
      <c r="Q157" s="13">
        <v>1.4</v>
      </c>
      <c r="R157" s="13">
        <v>64.099999999999994</v>
      </c>
      <c r="S157" s="13">
        <v>60.6</v>
      </c>
      <c r="T157" s="13">
        <v>34.299999999999997</v>
      </c>
      <c r="U157" s="13">
        <v>37</v>
      </c>
      <c r="V157" s="13">
        <v>1</v>
      </c>
      <c r="W157" s="13">
        <v>1.5</v>
      </c>
      <c r="X157" s="13">
        <v>1.2</v>
      </c>
      <c r="Y157" s="13">
        <v>2.1</v>
      </c>
      <c r="Z157" s="13">
        <v>7.6</v>
      </c>
      <c r="AA157" s="13">
        <v>7.7</v>
      </c>
      <c r="AB157" s="13">
        <v>7.4</v>
      </c>
      <c r="AC157" s="13">
        <v>7.7</v>
      </c>
      <c r="AD157" s="13">
        <v>6.9</v>
      </c>
      <c r="AE157" s="13">
        <v>31</v>
      </c>
      <c r="AF157" s="13">
        <v>20</v>
      </c>
      <c r="AG157" s="13">
        <v>10.5</v>
      </c>
      <c r="AH157" s="13">
        <v>1.2</v>
      </c>
      <c r="AI157" s="13">
        <v>72.900000000000006</v>
      </c>
      <c r="AJ157" s="13">
        <v>31.8</v>
      </c>
      <c r="AK157" s="13">
        <v>33.700000000000003</v>
      </c>
      <c r="AL157" s="13">
        <v>93.9</v>
      </c>
      <c r="AM157" s="13">
        <v>15799</v>
      </c>
      <c r="AN157" s="13">
        <v>107445</v>
      </c>
      <c r="AO157" s="13">
        <v>20.6</v>
      </c>
      <c r="AP157" s="13">
        <v>15.2</v>
      </c>
      <c r="AQ157" s="13">
        <v>35.1</v>
      </c>
      <c r="AR157" s="13">
        <v>23.7</v>
      </c>
      <c r="AS157" s="13">
        <v>3.8</v>
      </c>
      <c r="AT157" s="13">
        <v>1.6</v>
      </c>
      <c r="AU157" s="13">
        <v>33805</v>
      </c>
      <c r="AV157" s="13">
        <v>38092</v>
      </c>
      <c r="AW157" s="13">
        <v>204</v>
      </c>
      <c r="AX157" s="13">
        <v>31810</v>
      </c>
      <c r="AY157" s="13">
        <v>27659</v>
      </c>
      <c r="AZ157" s="13">
        <v>36194</v>
      </c>
      <c r="BA157" s="13">
        <v>40338</v>
      </c>
      <c r="BB157" s="13">
        <v>34146</v>
      </c>
      <c r="BC157" s="13">
        <v>23096</v>
      </c>
      <c r="BD157" s="13">
        <v>97</v>
      </c>
      <c r="BE157" s="13">
        <v>93</v>
      </c>
      <c r="BF157" s="13">
        <v>95</v>
      </c>
      <c r="BG157" s="13">
        <v>93</v>
      </c>
      <c r="BH157" s="13">
        <v>102</v>
      </c>
      <c r="BI157" s="13">
        <v>99</v>
      </c>
      <c r="BJ157" s="13">
        <v>101</v>
      </c>
      <c r="BK157" s="13">
        <v>99</v>
      </c>
      <c r="BL157" s="13">
        <v>97</v>
      </c>
      <c r="BM157" s="13">
        <v>98</v>
      </c>
      <c r="BN157" s="13">
        <v>94</v>
      </c>
      <c r="BO157" s="13">
        <v>98</v>
      </c>
      <c r="BP157" s="13">
        <v>95</v>
      </c>
      <c r="BQ157" s="13">
        <v>99</v>
      </c>
      <c r="BR157" s="13">
        <v>91</v>
      </c>
      <c r="BS157" s="13">
        <v>99</v>
      </c>
      <c r="BT157" s="13">
        <v>95</v>
      </c>
      <c r="BU157" s="13">
        <v>98</v>
      </c>
      <c r="BV157" s="13">
        <v>96</v>
      </c>
      <c r="BW157" s="13">
        <v>99</v>
      </c>
      <c r="BX157" s="328">
        <f t="shared" si="14"/>
        <v>199685760</v>
      </c>
      <c r="BY157" s="328">
        <f t="shared" si="15"/>
        <v>75175507</v>
      </c>
      <c r="BZ157" s="329">
        <f t="shared" si="12"/>
        <v>0.8809804546085378</v>
      </c>
      <c r="CA157" s="329">
        <f t="shared" si="13"/>
        <v>0.88075759099549977</v>
      </c>
    </row>
    <row r="158" spans="1:79" x14ac:dyDescent="0.25">
      <c r="A158" s="13">
        <v>3810</v>
      </c>
      <c r="B158" s="13">
        <v>157</v>
      </c>
      <c r="C158" s="13" t="s">
        <v>676</v>
      </c>
      <c r="D158" s="13">
        <v>214587</v>
      </c>
      <c r="E158" s="13">
        <v>255301</v>
      </c>
      <c r="F158" s="13">
        <v>301913</v>
      </c>
      <c r="G158" s="13">
        <v>327948</v>
      </c>
      <c r="H158" s="13">
        <v>2.1</v>
      </c>
      <c r="I158" s="13">
        <v>47</v>
      </c>
      <c r="J158" s="13">
        <v>83927</v>
      </c>
      <c r="K158" s="13">
        <v>101242</v>
      </c>
      <c r="L158" s="13">
        <v>112122</v>
      </c>
      <c r="M158" s="13">
        <v>2.2999999999999998</v>
      </c>
      <c r="N158" s="13">
        <v>2.7</v>
      </c>
      <c r="O158" s="13">
        <v>63983</v>
      </c>
      <c r="P158" s="13">
        <v>75932</v>
      </c>
      <c r="Q158" s="13">
        <v>2.1</v>
      </c>
      <c r="R158" s="13">
        <v>71</v>
      </c>
      <c r="S158" s="13">
        <v>68.099999999999994</v>
      </c>
      <c r="T158" s="13">
        <v>19.5</v>
      </c>
      <c r="U158" s="13">
        <v>19.2</v>
      </c>
      <c r="V158" s="13">
        <v>2.8</v>
      </c>
      <c r="W158" s="13">
        <v>4.2</v>
      </c>
      <c r="X158" s="13">
        <v>12.2</v>
      </c>
      <c r="Y158" s="13">
        <v>15.9</v>
      </c>
      <c r="Z158" s="13">
        <v>9</v>
      </c>
      <c r="AA158" s="13">
        <v>8.1999999999999993</v>
      </c>
      <c r="AB158" s="13">
        <v>7.2</v>
      </c>
      <c r="AC158" s="13">
        <v>7.9</v>
      </c>
      <c r="AD158" s="13">
        <v>11.3</v>
      </c>
      <c r="AE158" s="13">
        <v>31.8</v>
      </c>
      <c r="AF158" s="13">
        <v>16.399999999999999</v>
      </c>
      <c r="AG158" s="13">
        <v>7.2</v>
      </c>
      <c r="AH158" s="13">
        <v>1</v>
      </c>
      <c r="AI158" s="13">
        <v>71.8</v>
      </c>
      <c r="AJ158" s="13">
        <v>27.2</v>
      </c>
      <c r="AK158" s="13">
        <v>28.5</v>
      </c>
      <c r="AL158" s="13">
        <v>106.8</v>
      </c>
      <c r="AM158" s="13">
        <v>14352</v>
      </c>
      <c r="AN158" s="13">
        <v>101242</v>
      </c>
      <c r="AO158" s="13">
        <v>15.8</v>
      </c>
      <c r="AP158" s="13">
        <v>19.7</v>
      </c>
      <c r="AQ158" s="13">
        <v>37.6</v>
      </c>
      <c r="AR158" s="13">
        <v>22.8</v>
      </c>
      <c r="AS158" s="13">
        <v>3.1</v>
      </c>
      <c r="AT158" s="13">
        <v>0.9</v>
      </c>
      <c r="AU158" s="13">
        <v>32900</v>
      </c>
      <c r="AV158" s="13">
        <v>40720</v>
      </c>
      <c r="AW158" s="13">
        <v>214</v>
      </c>
      <c r="AX158" s="13">
        <v>32342</v>
      </c>
      <c r="AY158" s="13">
        <v>26498</v>
      </c>
      <c r="AZ158" s="13">
        <v>36442</v>
      </c>
      <c r="BA158" s="13">
        <v>41997</v>
      </c>
      <c r="BB158" s="13">
        <v>38243</v>
      </c>
      <c r="BC158" s="13">
        <v>24105</v>
      </c>
      <c r="BD158" s="13">
        <v>95</v>
      </c>
      <c r="BE158" s="13">
        <v>93</v>
      </c>
      <c r="BF158" s="13">
        <v>85</v>
      </c>
      <c r="BG158" s="13">
        <v>86</v>
      </c>
      <c r="BH158" s="13">
        <v>96</v>
      </c>
      <c r="BI158" s="13">
        <v>93</v>
      </c>
      <c r="BJ158" s="13">
        <v>98</v>
      </c>
      <c r="BK158" s="13">
        <v>96</v>
      </c>
      <c r="BL158" s="13">
        <v>97</v>
      </c>
      <c r="BM158" s="13">
        <v>91</v>
      </c>
      <c r="BN158" s="13">
        <v>94</v>
      </c>
      <c r="BO158" s="13">
        <v>95</v>
      </c>
      <c r="BP158" s="13">
        <v>91</v>
      </c>
      <c r="BQ158" s="13">
        <v>96</v>
      </c>
      <c r="BR158" s="13">
        <v>85</v>
      </c>
      <c r="BS158" s="13">
        <v>98</v>
      </c>
      <c r="BT158" s="13">
        <v>90</v>
      </c>
      <c r="BU158" s="13">
        <v>96</v>
      </c>
      <c r="BV158" s="13">
        <v>96</v>
      </c>
      <c r="BW158" s="13">
        <v>99</v>
      </c>
      <c r="BX158" s="328">
        <f t="shared" si="14"/>
        <v>200013708</v>
      </c>
      <c r="BY158" s="328">
        <f t="shared" si="15"/>
        <v>75287629</v>
      </c>
      <c r="BZ158" s="329">
        <f t="shared" si="12"/>
        <v>0.88242730679333026</v>
      </c>
      <c r="CA158" s="329">
        <f t="shared" si="13"/>
        <v>0.88207121436245084</v>
      </c>
    </row>
    <row r="159" spans="1:79" x14ac:dyDescent="0.25">
      <c r="A159" s="13">
        <v>1240</v>
      </c>
      <c r="B159" s="13">
        <v>158</v>
      </c>
      <c r="C159" s="13" t="s">
        <v>677</v>
      </c>
      <c r="D159" s="13">
        <v>209727</v>
      </c>
      <c r="E159" s="13">
        <v>260120</v>
      </c>
      <c r="F159" s="13">
        <v>328244</v>
      </c>
      <c r="G159" s="13">
        <v>369819</v>
      </c>
      <c r="H159" s="13">
        <v>2.9</v>
      </c>
      <c r="I159" s="13">
        <v>13</v>
      </c>
      <c r="J159" s="13">
        <v>73278</v>
      </c>
      <c r="K159" s="13">
        <v>94303</v>
      </c>
      <c r="L159" s="13">
        <v>107415</v>
      </c>
      <c r="M159" s="13">
        <v>3.1</v>
      </c>
      <c r="N159" s="13">
        <v>3.43</v>
      </c>
      <c r="O159" s="13">
        <v>60178</v>
      </c>
      <c r="P159" s="13">
        <v>77245</v>
      </c>
      <c r="Q159" s="13">
        <v>3.1</v>
      </c>
      <c r="R159" s="13">
        <v>82.4</v>
      </c>
      <c r="S159" s="13">
        <v>81.599999999999994</v>
      </c>
      <c r="T159" s="13">
        <v>0.3</v>
      </c>
      <c r="U159" s="13">
        <v>0.3</v>
      </c>
      <c r="V159" s="13">
        <v>0.3</v>
      </c>
      <c r="W159" s="13">
        <v>0.4</v>
      </c>
      <c r="X159" s="13">
        <v>81.900000000000006</v>
      </c>
      <c r="Y159" s="13">
        <v>85.1</v>
      </c>
      <c r="Z159" s="13">
        <v>9.5</v>
      </c>
      <c r="AA159" s="13">
        <v>8.9</v>
      </c>
      <c r="AB159" s="13">
        <v>9.8000000000000007</v>
      </c>
      <c r="AC159" s="13">
        <v>10</v>
      </c>
      <c r="AD159" s="13">
        <v>7</v>
      </c>
      <c r="AE159" s="13">
        <v>26.4</v>
      </c>
      <c r="AF159" s="13">
        <v>17.7</v>
      </c>
      <c r="AG159" s="13">
        <v>9.6</v>
      </c>
      <c r="AH159" s="13">
        <v>1.1000000000000001</v>
      </c>
      <c r="AI159" s="13">
        <v>65.400000000000006</v>
      </c>
      <c r="AJ159" s="13">
        <v>27.4</v>
      </c>
      <c r="AK159" s="13">
        <v>29.1</v>
      </c>
      <c r="AL159" s="13">
        <v>92.8</v>
      </c>
      <c r="AM159" s="13">
        <v>8832</v>
      </c>
      <c r="AN159" s="13">
        <v>94303</v>
      </c>
      <c r="AO159" s="13">
        <v>35.299999999999997</v>
      </c>
      <c r="AP159" s="13">
        <v>19.5</v>
      </c>
      <c r="AQ159" s="13">
        <v>28.2</v>
      </c>
      <c r="AR159" s="13">
        <v>14.2</v>
      </c>
      <c r="AS159" s="13">
        <v>2</v>
      </c>
      <c r="AT159" s="13">
        <v>0.8</v>
      </c>
      <c r="AU159" s="13">
        <v>22102</v>
      </c>
      <c r="AV159" s="13">
        <v>25635</v>
      </c>
      <c r="AW159" s="13">
        <v>314</v>
      </c>
      <c r="AX159" s="13">
        <v>25018</v>
      </c>
      <c r="AY159" s="13">
        <v>21527</v>
      </c>
      <c r="AZ159" s="13">
        <v>27304</v>
      </c>
      <c r="BA159" s="13">
        <v>28912</v>
      </c>
      <c r="BB159" s="13">
        <v>26889</v>
      </c>
      <c r="BC159" s="13">
        <v>20512</v>
      </c>
      <c r="BD159" s="13">
        <v>95</v>
      </c>
      <c r="BE159" s="13">
        <v>92</v>
      </c>
      <c r="BF159" s="13">
        <v>94</v>
      </c>
      <c r="BG159" s="13">
        <v>86</v>
      </c>
      <c r="BH159" s="13">
        <v>97</v>
      </c>
      <c r="BI159" s="13">
        <v>97</v>
      </c>
      <c r="BJ159" s="13">
        <v>100</v>
      </c>
      <c r="BK159" s="13">
        <v>99</v>
      </c>
      <c r="BL159" s="13">
        <v>97</v>
      </c>
      <c r="BM159" s="13">
        <v>90</v>
      </c>
      <c r="BN159" s="13">
        <v>92</v>
      </c>
      <c r="BO159" s="13">
        <v>93</v>
      </c>
      <c r="BP159" s="13">
        <v>91</v>
      </c>
      <c r="BQ159" s="13">
        <v>95</v>
      </c>
      <c r="BR159" s="13">
        <v>88</v>
      </c>
      <c r="BS159" s="13">
        <v>98</v>
      </c>
      <c r="BT159" s="13">
        <v>85</v>
      </c>
      <c r="BU159" s="13">
        <v>96</v>
      </c>
      <c r="BV159" s="13">
        <v>101</v>
      </c>
      <c r="BW159" s="13">
        <v>102</v>
      </c>
      <c r="BX159" s="328">
        <f t="shared" si="14"/>
        <v>200383527</v>
      </c>
      <c r="BY159" s="328">
        <f t="shared" si="15"/>
        <v>75395044</v>
      </c>
      <c r="BZ159" s="329">
        <f t="shared" si="12"/>
        <v>0.88405888688568579</v>
      </c>
      <c r="CA159" s="329">
        <f t="shared" si="13"/>
        <v>0.88332969043281218</v>
      </c>
    </row>
    <row r="160" spans="1:79" x14ac:dyDescent="0.25">
      <c r="A160" s="13">
        <v>6403</v>
      </c>
      <c r="B160" s="13">
        <v>159</v>
      </c>
      <c r="C160" s="13" t="s">
        <v>678</v>
      </c>
      <c r="D160" s="13">
        <v>215789</v>
      </c>
      <c r="E160" s="13">
        <v>243135</v>
      </c>
      <c r="F160" s="13">
        <v>253868</v>
      </c>
      <c r="G160" s="13">
        <v>260521</v>
      </c>
      <c r="H160" s="13">
        <v>0.5</v>
      </c>
      <c r="I160" s="13">
        <v>220</v>
      </c>
      <c r="J160" s="13">
        <v>94512</v>
      </c>
      <c r="K160" s="13">
        <v>102310</v>
      </c>
      <c r="L160" s="13">
        <v>107184</v>
      </c>
      <c r="M160" s="13">
        <v>1</v>
      </c>
      <c r="N160" s="13">
        <v>2.41</v>
      </c>
      <c r="O160" s="13">
        <v>63087</v>
      </c>
      <c r="P160" s="13">
        <v>66742</v>
      </c>
      <c r="Q160" s="13">
        <v>0.7</v>
      </c>
      <c r="R160" s="13">
        <v>98.1</v>
      </c>
      <c r="S160" s="13">
        <v>97.6</v>
      </c>
      <c r="T160" s="13">
        <v>0.6</v>
      </c>
      <c r="U160" s="13">
        <v>0.8</v>
      </c>
      <c r="V160" s="13">
        <v>0.9</v>
      </c>
      <c r="W160" s="13">
        <v>1.1000000000000001</v>
      </c>
      <c r="X160" s="13">
        <v>0.6</v>
      </c>
      <c r="Y160" s="13">
        <v>0.9</v>
      </c>
      <c r="Z160" s="13">
        <v>5.5</v>
      </c>
      <c r="AA160" s="13">
        <v>6.7</v>
      </c>
      <c r="AB160" s="13">
        <v>6.6</v>
      </c>
      <c r="AC160" s="13">
        <v>6.5</v>
      </c>
      <c r="AD160" s="13">
        <v>6.5</v>
      </c>
      <c r="AE160" s="13">
        <v>33.4</v>
      </c>
      <c r="AF160" s="13">
        <v>21.2</v>
      </c>
      <c r="AG160" s="13">
        <v>11.8</v>
      </c>
      <c r="AH160" s="13">
        <v>1.7</v>
      </c>
      <c r="AI160" s="13">
        <v>77.599999999999994</v>
      </c>
      <c r="AJ160" s="13">
        <v>33.700000000000003</v>
      </c>
      <c r="AK160" s="13">
        <v>36.6</v>
      </c>
      <c r="AL160" s="13">
        <v>93.5</v>
      </c>
      <c r="AM160" s="13">
        <v>21831</v>
      </c>
      <c r="AN160" s="13">
        <v>102307</v>
      </c>
      <c r="AO160" s="13">
        <v>11.4</v>
      </c>
      <c r="AP160" s="13">
        <v>11.5</v>
      </c>
      <c r="AQ160" s="13">
        <v>35</v>
      </c>
      <c r="AR160" s="13">
        <v>32</v>
      </c>
      <c r="AS160" s="13">
        <v>7.4</v>
      </c>
      <c r="AT160" s="13">
        <v>2.7</v>
      </c>
      <c r="AU160" s="13">
        <v>43640</v>
      </c>
      <c r="AV160" s="13">
        <v>50494</v>
      </c>
      <c r="AW160" s="13">
        <v>51</v>
      </c>
      <c r="AX160" s="13">
        <v>38364</v>
      </c>
      <c r="AY160" s="13">
        <v>34922</v>
      </c>
      <c r="AZ160" s="13">
        <v>44429</v>
      </c>
      <c r="BA160" s="13">
        <v>47580</v>
      </c>
      <c r="BB160" s="13">
        <v>41392</v>
      </c>
      <c r="BC160" s="13">
        <v>24930</v>
      </c>
      <c r="BD160" s="13">
        <v>102</v>
      </c>
      <c r="BE160" s="13">
        <v>101</v>
      </c>
      <c r="BF160" s="13">
        <v>103</v>
      </c>
      <c r="BG160" s="13">
        <v>102</v>
      </c>
      <c r="BH160" s="13">
        <v>95</v>
      </c>
      <c r="BI160" s="13">
        <v>95</v>
      </c>
      <c r="BJ160" s="13">
        <v>95</v>
      </c>
      <c r="BK160" s="13">
        <v>99</v>
      </c>
      <c r="BL160" s="13">
        <v>99</v>
      </c>
      <c r="BM160" s="13">
        <v>101</v>
      </c>
      <c r="BN160" s="13">
        <v>102</v>
      </c>
      <c r="BO160" s="13">
        <v>102</v>
      </c>
      <c r="BP160" s="13">
        <v>102</v>
      </c>
      <c r="BQ160" s="13">
        <v>104</v>
      </c>
      <c r="BR160" s="13">
        <v>104</v>
      </c>
      <c r="BS160" s="13">
        <v>100</v>
      </c>
      <c r="BT160" s="13">
        <v>105</v>
      </c>
      <c r="BU160" s="13">
        <v>100</v>
      </c>
      <c r="BV160" s="13">
        <v>101</v>
      </c>
      <c r="BW160" s="13">
        <v>103</v>
      </c>
      <c r="BX160" s="328">
        <f t="shared" si="14"/>
        <v>200644048</v>
      </c>
      <c r="BY160" s="328">
        <f t="shared" si="15"/>
        <v>75502228</v>
      </c>
      <c r="BZ160" s="329">
        <f t="shared" si="12"/>
        <v>0.88520826232945837</v>
      </c>
      <c r="CA160" s="329">
        <f t="shared" si="13"/>
        <v>0.88458546010302219</v>
      </c>
    </row>
    <row r="161" spans="1:79" x14ac:dyDescent="0.25">
      <c r="A161" s="13">
        <v>8680</v>
      </c>
      <c r="B161" s="13">
        <v>160</v>
      </c>
      <c r="C161" s="13" t="s">
        <v>679</v>
      </c>
      <c r="D161" s="13">
        <v>320180</v>
      </c>
      <c r="E161" s="13">
        <v>316633</v>
      </c>
      <c r="F161" s="13">
        <v>295078</v>
      </c>
      <c r="G161" s="13">
        <v>282313</v>
      </c>
      <c r="H161" s="13">
        <v>-0.9</v>
      </c>
      <c r="I161" s="13">
        <v>315</v>
      </c>
      <c r="J161" s="13">
        <v>117498</v>
      </c>
      <c r="K161" s="13">
        <v>111075</v>
      </c>
      <c r="L161" s="13">
        <v>107177</v>
      </c>
      <c r="M161" s="13">
        <v>-0.7</v>
      </c>
      <c r="N161" s="13">
        <v>2.5099999999999998</v>
      </c>
      <c r="O161" s="13">
        <v>81311</v>
      </c>
      <c r="P161" s="13">
        <v>74621</v>
      </c>
      <c r="Q161" s="13">
        <v>-1</v>
      </c>
      <c r="R161" s="13">
        <v>94</v>
      </c>
      <c r="S161" s="13">
        <v>92.6</v>
      </c>
      <c r="T161" s="13">
        <v>4.4000000000000004</v>
      </c>
      <c r="U161" s="13">
        <v>5.2</v>
      </c>
      <c r="V161" s="13">
        <v>0.7</v>
      </c>
      <c r="W161" s="13">
        <v>1.1000000000000001</v>
      </c>
      <c r="X161" s="13">
        <v>1.9</v>
      </c>
      <c r="Y161" s="13">
        <v>2.8</v>
      </c>
      <c r="Z161" s="13">
        <v>7</v>
      </c>
      <c r="AA161" s="13">
        <v>7.3</v>
      </c>
      <c r="AB161" s="13">
        <v>7</v>
      </c>
      <c r="AC161" s="13">
        <v>6.8</v>
      </c>
      <c r="AD161" s="13">
        <v>6.3</v>
      </c>
      <c r="AE161" s="13">
        <v>29.1</v>
      </c>
      <c r="AF161" s="13">
        <v>20.8</v>
      </c>
      <c r="AG161" s="13">
        <v>13.9</v>
      </c>
      <c r="AH161" s="13">
        <v>2</v>
      </c>
      <c r="AI161" s="13">
        <v>75.2</v>
      </c>
      <c r="AJ161" s="13">
        <v>34.1</v>
      </c>
      <c r="AK161" s="13">
        <v>36.200000000000003</v>
      </c>
      <c r="AL161" s="13">
        <v>98.3</v>
      </c>
      <c r="AM161" s="13">
        <v>13907</v>
      </c>
      <c r="AN161" s="13">
        <v>111067</v>
      </c>
      <c r="AO161" s="13">
        <v>22.8</v>
      </c>
      <c r="AP161" s="13">
        <v>18.399999999999999</v>
      </c>
      <c r="AQ161" s="13">
        <v>36.4</v>
      </c>
      <c r="AR161" s="13">
        <v>19.5</v>
      </c>
      <c r="AS161" s="13">
        <v>2.1</v>
      </c>
      <c r="AT161" s="13">
        <v>0.8</v>
      </c>
      <c r="AU161" s="13">
        <v>30122</v>
      </c>
      <c r="AV161" s="13">
        <v>32403</v>
      </c>
      <c r="AW161" s="13">
        <v>276</v>
      </c>
      <c r="AX161" s="13">
        <v>26495</v>
      </c>
      <c r="AY161" s="13">
        <v>24700</v>
      </c>
      <c r="AZ161" s="13">
        <v>30804</v>
      </c>
      <c r="BA161" s="13">
        <v>34865</v>
      </c>
      <c r="BB161" s="13">
        <v>30805</v>
      </c>
      <c r="BC161" s="13">
        <v>16451</v>
      </c>
      <c r="BD161" s="13">
        <v>98</v>
      </c>
      <c r="BE161" s="13">
        <v>88</v>
      </c>
      <c r="BF161" s="13">
        <v>97</v>
      </c>
      <c r="BG161" s="13">
        <v>90</v>
      </c>
      <c r="BH161" s="13">
        <v>94</v>
      </c>
      <c r="BI161" s="13">
        <v>91</v>
      </c>
      <c r="BJ161" s="13">
        <v>94</v>
      </c>
      <c r="BK161" s="13">
        <v>96</v>
      </c>
      <c r="BL161" s="13">
        <v>92</v>
      </c>
      <c r="BM161" s="13">
        <v>93</v>
      </c>
      <c r="BN161" s="13">
        <v>93</v>
      </c>
      <c r="BO161" s="13">
        <v>96</v>
      </c>
      <c r="BP161" s="13">
        <v>95</v>
      </c>
      <c r="BQ161" s="13">
        <v>99</v>
      </c>
      <c r="BR161" s="13">
        <v>97</v>
      </c>
      <c r="BS161" s="13">
        <v>97</v>
      </c>
      <c r="BT161" s="13">
        <v>95</v>
      </c>
      <c r="BU161" s="13">
        <v>93</v>
      </c>
      <c r="BV161" s="13">
        <v>101</v>
      </c>
      <c r="BW161" s="13">
        <v>98</v>
      </c>
      <c r="BX161" s="328">
        <f t="shared" si="14"/>
        <v>200926361</v>
      </c>
      <c r="BY161" s="328">
        <f t="shared" si="15"/>
        <v>75609405</v>
      </c>
      <c r="BZ161" s="329">
        <f t="shared" si="12"/>
        <v>0.88645378046295931</v>
      </c>
      <c r="CA161" s="329">
        <f t="shared" si="13"/>
        <v>0.88584114776110645</v>
      </c>
    </row>
    <row r="162" spans="1:79" x14ac:dyDescent="0.25">
      <c r="A162" s="13">
        <v>1480</v>
      </c>
      <c r="B162" s="13">
        <v>161</v>
      </c>
      <c r="C162" s="13" t="s">
        <v>680</v>
      </c>
      <c r="D162" s="13">
        <v>269595</v>
      </c>
      <c r="E162" s="13">
        <v>250454</v>
      </c>
      <c r="F162" s="13">
        <v>254063</v>
      </c>
      <c r="G162" s="13">
        <v>256197</v>
      </c>
      <c r="H162" s="13">
        <v>0.2</v>
      </c>
      <c r="I162" s="13">
        <v>258</v>
      </c>
      <c r="J162" s="13">
        <v>100408</v>
      </c>
      <c r="K162" s="13">
        <v>104422</v>
      </c>
      <c r="L162" s="13">
        <v>106998</v>
      </c>
      <c r="M162" s="13">
        <v>0.5</v>
      </c>
      <c r="N162" s="13">
        <v>2.4</v>
      </c>
      <c r="O162" s="13">
        <v>71583</v>
      </c>
      <c r="P162" s="13">
        <v>72911</v>
      </c>
      <c r="Q162" s="13">
        <v>0.2</v>
      </c>
      <c r="R162" s="13">
        <v>93.6</v>
      </c>
      <c r="S162" s="13">
        <v>93.6</v>
      </c>
      <c r="T162" s="13">
        <v>5.6</v>
      </c>
      <c r="U162" s="13">
        <v>5.5</v>
      </c>
      <c r="V162" s="13">
        <v>0.6</v>
      </c>
      <c r="W162" s="13">
        <v>0.6</v>
      </c>
      <c r="X162" s="13">
        <v>0.4</v>
      </c>
      <c r="Y162" s="13">
        <v>0.5</v>
      </c>
      <c r="Z162" s="13">
        <v>5.7</v>
      </c>
      <c r="AA162" s="13">
        <v>6.1</v>
      </c>
      <c r="AB162" s="13">
        <v>6.3</v>
      </c>
      <c r="AC162" s="13">
        <v>6.9</v>
      </c>
      <c r="AD162" s="13">
        <v>6.1</v>
      </c>
      <c r="AE162" s="13">
        <v>29.2</v>
      </c>
      <c r="AF162" s="13">
        <v>24.5</v>
      </c>
      <c r="AG162" s="13">
        <v>13.6</v>
      </c>
      <c r="AH162" s="13">
        <v>1.5</v>
      </c>
      <c r="AI162" s="13">
        <v>77.599999999999994</v>
      </c>
      <c r="AJ162" s="13">
        <v>36.299999999999997</v>
      </c>
      <c r="AK162" s="13">
        <v>38.9</v>
      </c>
      <c r="AL162" s="13">
        <v>91.6</v>
      </c>
      <c r="AM162" s="13">
        <v>15625</v>
      </c>
      <c r="AN162" s="13">
        <v>104422</v>
      </c>
      <c r="AO162" s="13">
        <v>24.5</v>
      </c>
      <c r="AP162" s="13">
        <v>17.899999999999999</v>
      </c>
      <c r="AQ162" s="13">
        <v>33.6</v>
      </c>
      <c r="AR162" s="13">
        <v>19.7</v>
      </c>
      <c r="AS162" s="13">
        <v>2.9</v>
      </c>
      <c r="AT162" s="13">
        <v>1.5</v>
      </c>
      <c r="AU162" s="13">
        <v>29812</v>
      </c>
      <c r="AV162" s="13">
        <v>32421</v>
      </c>
      <c r="AW162" s="13">
        <v>282</v>
      </c>
      <c r="AX162" s="13">
        <v>29968</v>
      </c>
      <c r="AY162" s="13">
        <v>26881</v>
      </c>
      <c r="AZ162" s="13">
        <v>35986</v>
      </c>
      <c r="BA162" s="13">
        <v>38223</v>
      </c>
      <c r="BB162" s="13">
        <v>30740</v>
      </c>
      <c r="BC162" s="13">
        <v>20044</v>
      </c>
      <c r="BD162" s="13">
        <v>99</v>
      </c>
      <c r="BE162" s="13">
        <v>89</v>
      </c>
      <c r="BF162" s="13">
        <v>99</v>
      </c>
      <c r="BG162" s="13">
        <v>94</v>
      </c>
      <c r="BH162" s="13">
        <v>105</v>
      </c>
      <c r="BI162" s="13">
        <v>103</v>
      </c>
      <c r="BJ162" s="13">
        <v>108</v>
      </c>
      <c r="BK162" s="13">
        <v>100</v>
      </c>
      <c r="BL162" s="13">
        <v>97</v>
      </c>
      <c r="BM162" s="13">
        <v>96</v>
      </c>
      <c r="BN162" s="13">
        <v>94</v>
      </c>
      <c r="BO162" s="13">
        <v>99</v>
      </c>
      <c r="BP162" s="13">
        <v>96</v>
      </c>
      <c r="BQ162" s="13">
        <v>101</v>
      </c>
      <c r="BR162" s="13">
        <v>91</v>
      </c>
      <c r="BS162" s="13">
        <v>99</v>
      </c>
      <c r="BT162" s="13">
        <v>93</v>
      </c>
      <c r="BU162" s="13">
        <v>96</v>
      </c>
      <c r="BV162" s="13">
        <v>102</v>
      </c>
      <c r="BW162" s="13">
        <v>99</v>
      </c>
      <c r="BX162" s="328">
        <f t="shared" si="14"/>
        <v>201182558</v>
      </c>
      <c r="BY162" s="328">
        <f t="shared" si="15"/>
        <v>75716403</v>
      </c>
      <c r="BZ162" s="329">
        <f t="shared" si="12"/>
        <v>0.88758407913588089</v>
      </c>
      <c r="CA162" s="329">
        <f t="shared" si="13"/>
        <v>0.88709473825197382</v>
      </c>
    </row>
    <row r="163" spans="1:79" x14ac:dyDescent="0.25">
      <c r="A163" s="13">
        <v>5790</v>
      </c>
      <c r="B163" s="13">
        <v>162</v>
      </c>
      <c r="C163" s="13" t="s">
        <v>681</v>
      </c>
      <c r="D163" s="13">
        <v>122488</v>
      </c>
      <c r="E163" s="13">
        <v>194833</v>
      </c>
      <c r="F163" s="13">
        <v>243318</v>
      </c>
      <c r="G163" s="13">
        <v>272395</v>
      </c>
      <c r="H163" s="13">
        <v>2.7</v>
      </c>
      <c r="I163" s="13">
        <v>18</v>
      </c>
      <c r="J163" s="13">
        <v>78177</v>
      </c>
      <c r="K163" s="13">
        <v>96277</v>
      </c>
      <c r="L163" s="13">
        <v>106762</v>
      </c>
      <c r="M163" s="13">
        <v>2.6</v>
      </c>
      <c r="N163" s="13">
        <v>2.4900000000000002</v>
      </c>
      <c r="O163" s="13">
        <v>57039</v>
      </c>
      <c r="P163" s="13">
        <v>68645</v>
      </c>
      <c r="Q163" s="13">
        <v>2.2999999999999998</v>
      </c>
      <c r="R163" s="13">
        <v>85.8</v>
      </c>
      <c r="S163" s="13">
        <v>82.8</v>
      </c>
      <c r="T163" s="13">
        <v>12.8</v>
      </c>
      <c r="U163" s="13">
        <v>15</v>
      </c>
      <c r="V163" s="13">
        <v>0.5</v>
      </c>
      <c r="W163" s="13">
        <v>0.8</v>
      </c>
      <c r="X163" s="13">
        <v>3</v>
      </c>
      <c r="Y163" s="13">
        <v>4.5</v>
      </c>
      <c r="Z163" s="13">
        <v>6.2</v>
      </c>
      <c r="AA163" s="13">
        <v>7</v>
      </c>
      <c r="AB163" s="13">
        <v>6.8</v>
      </c>
      <c r="AC163" s="13">
        <v>5.9</v>
      </c>
      <c r="AD163" s="13">
        <v>4.5</v>
      </c>
      <c r="AE163" s="13">
        <v>24.7</v>
      </c>
      <c r="AF163" s="13">
        <v>23</v>
      </c>
      <c r="AG163" s="13">
        <v>20.2</v>
      </c>
      <c r="AH163" s="13">
        <v>1.7</v>
      </c>
      <c r="AI163" s="13">
        <v>76.5</v>
      </c>
      <c r="AJ163" s="13">
        <v>40</v>
      </c>
      <c r="AK163" s="13">
        <v>41.3</v>
      </c>
      <c r="AL163" s="13">
        <v>93.8</v>
      </c>
      <c r="AM163" s="13">
        <v>13186</v>
      </c>
      <c r="AN163" s="13">
        <v>96276</v>
      </c>
      <c r="AO163" s="13">
        <v>24.3</v>
      </c>
      <c r="AP163" s="13">
        <v>22.9</v>
      </c>
      <c r="AQ163" s="13">
        <v>35.4</v>
      </c>
      <c r="AR163" s="13">
        <v>14.6</v>
      </c>
      <c r="AS163" s="13">
        <v>1.8</v>
      </c>
      <c r="AT163" s="13">
        <v>0.9</v>
      </c>
      <c r="AU163" s="13">
        <v>26338</v>
      </c>
      <c r="AV163" s="13">
        <v>29174</v>
      </c>
      <c r="AW163" s="13">
        <v>305</v>
      </c>
      <c r="AX163" s="13">
        <v>27270</v>
      </c>
      <c r="AY163" s="13">
        <v>25719</v>
      </c>
      <c r="AZ163" s="13">
        <v>31523</v>
      </c>
      <c r="BA163" s="13">
        <v>34923</v>
      </c>
      <c r="BB163" s="13">
        <v>29771</v>
      </c>
      <c r="BC163" s="13">
        <v>20545</v>
      </c>
      <c r="BD163" s="13">
        <v>99</v>
      </c>
      <c r="BE163" s="13">
        <v>88</v>
      </c>
      <c r="BF163" s="13">
        <v>109</v>
      </c>
      <c r="BG163" s="13">
        <v>94</v>
      </c>
      <c r="BH163" s="13">
        <v>105</v>
      </c>
      <c r="BI163" s="13">
        <v>107</v>
      </c>
      <c r="BJ163" s="13">
        <v>107</v>
      </c>
      <c r="BK163" s="13">
        <v>102</v>
      </c>
      <c r="BL163" s="13">
        <v>94</v>
      </c>
      <c r="BM163" s="13">
        <v>92</v>
      </c>
      <c r="BN163" s="13">
        <v>93</v>
      </c>
      <c r="BO163" s="13">
        <v>98</v>
      </c>
      <c r="BP163" s="13">
        <v>95</v>
      </c>
      <c r="BQ163" s="13">
        <v>101</v>
      </c>
      <c r="BR163" s="13">
        <v>93</v>
      </c>
      <c r="BS163" s="13">
        <v>98</v>
      </c>
      <c r="BT163" s="13">
        <v>88</v>
      </c>
      <c r="BU163" s="13">
        <v>95</v>
      </c>
      <c r="BV163" s="13">
        <v>107</v>
      </c>
      <c r="BW163" s="13">
        <v>100</v>
      </c>
      <c r="BX163" s="328">
        <f t="shared" si="14"/>
        <v>201454953</v>
      </c>
      <c r="BY163" s="328">
        <f t="shared" si="15"/>
        <v>75823165</v>
      </c>
      <c r="BZ163" s="329">
        <f t="shared" si="12"/>
        <v>0.88878584069831323</v>
      </c>
      <c r="CA163" s="329">
        <f t="shared" si="13"/>
        <v>0.8883455637626001</v>
      </c>
    </row>
    <row r="164" spans="1:79" x14ac:dyDescent="0.25">
      <c r="A164" s="13">
        <v>2360</v>
      </c>
      <c r="B164" s="13">
        <v>163</v>
      </c>
      <c r="C164" s="13" t="s">
        <v>682</v>
      </c>
      <c r="D164" s="13">
        <v>279780</v>
      </c>
      <c r="E164" s="13">
        <v>275572</v>
      </c>
      <c r="F164" s="13">
        <v>279049</v>
      </c>
      <c r="G164" s="13">
        <v>280357</v>
      </c>
      <c r="H164" s="13">
        <v>0.2</v>
      </c>
      <c r="I164" s="13">
        <v>263</v>
      </c>
      <c r="J164" s="13">
        <v>101564</v>
      </c>
      <c r="K164" s="13">
        <v>104157</v>
      </c>
      <c r="L164" s="13">
        <v>105724</v>
      </c>
      <c r="M164" s="13">
        <v>0.3</v>
      </c>
      <c r="N164" s="13">
        <v>2.57</v>
      </c>
      <c r="O164" s="13">
        <v>71125</v>
      </c>
      <c r="P164" s="13">
        <v>71358</v>
      </c>
      <c r="Q164" s="13">
        <v>0</v>
      </c>
      <c r="R164" s="13">
        <v>93.6</v>
      </c>
      <c r="S164" s="13">
        <v>92.1</v>
      </c>
      <c r="T164" s="13">
        <v>5.2</v>
      </c>
      <c r="U164" s="13">
        <v>6.2</v>
      </c>
      <c r="V164" s="13">
        <v>0.5</v>
      </c>
      <c r="W164" s="13">
        <v>0.7</v>
      </c>
      <c r="X164" s="13">
        <v>1.2</v>
      </c>
      <c r="Y164" s="13">
        <v>1.7</v>
      </c>
      <c r="Z164" s="13">
        <v>6.7</v>
      </c>
      <c r="AA164" s="13">
        <v>7.3</v>
      </c>
      <c r="AB164" s="13">
        <v>7.4</v>
      </c>
      <c r="AC164" s="13">
        <v>8</v>
      </c>
      <c r="AD164" s="13">
        <v>7.1</v>
      </c>
      <c r="AE164" s="13">
        <v>29</v>
      </c>
      <c r="AF164" s="13">
        <v>20.2</v>
      </c>
      <c r="AG164" s="13">
        <v>12.9</v>
      </c>
      <c r="AH164" s="13">
        <v>1.5</v>
      </c>
      <c r="AI164" s="13">
        <v>74.599999999999994</v>
      </c>
      <c r="AJ164" s="13">
        <v>32.9</v>
      </c>
      <c r="AK164" s="13">
        <v>35.299999999999997</v>
      </c>
      <c r="AL164" s="13">
        <v>94.3</v>
      </c>
      <c r="AM164" s="13">
        <v>16064</v>
      </c>
      <c r="AN164" s="13">
        <v>104157</v>
      </c>
      <c r="AO164" s="13">
        <v>17.5</v>
      </c>
      <c r="AP164" s="13">
        <v>14.8</v>
      </c>
      <c r="AQ164" s="13">
        <v>38.1</v>
      </c>
      <c r="AR164" s="13">
        <v>24.5</v>
      </c>
      <c r="AS164" s="13">
        <v>3.8</v>
      </c>
      <c r="AT164" s="13">
        <v>1.3</v>
      </c>
      <c r="AU164" s="13">
        <v>35429</v>
      </c>
      <c r="AV164" s="13">
        <v>40253</v>
      </c>
      <c r="AW164" s="13">
        <v>173</v>
      </c>
      <c r="AX164" s="13">
        <v>32330</v>
      </c>
      <c r="AY164" s="13">
        <v>28034</v>
      </c>
      <c r="AZ164" s="13">
        <v>36636</v>
      </c>
      <c r="BA164" s="13">
        <v>42579</v>
      </c>
      <c r="BB164" s="13">
        <v>37804</v>
      </c>
      <c r="BC164" s="13">
        <v>21094</v>
      </c>
      <c r="BD164" s="13">
        <v>99</v>
      </c>
      <c r="BE164" s="13">
        <v>88</v>
      </c>
      <c r="BF164" s="13">
        <v>95</v>
      </c>
      <c r="BG164" s="13">
        <v>91</v>
      </c>
      <c r="BH164" s="13">
        <v>93</v>
      </c>
      <c r="BI164" s="13">
        <v>90</v>
      </c>
      <c r="BJ164" s="13">
        <v>94</v>
      </c>
      <c r="BK164" s="13">
        <v>97</v>
      </c>
      <c r="BL164" s="13">
        <v>93</v>
      </c>
      <c r="BM164" s="13">
        <v>93</v>
      </c>
      <c r="BN164" s="13">
        <v>93</v>
      </c>
      <c r="BO164" s="13">
        <v>97</v>
      </c>
      <c r="BP164" s="13">
        <v>95</v>
      </c>
      <c r="BQ164" s="13">
        <v>100</v>
      </c>
      <c r="BR164" s="13">
        <v>96</v>
      </c>
      <c r="BS164" s="13">
        <v>98</v>
      </c>
      <c r="BT164" s="13">
        <v>95</v>
      </c>
      <c r="BU164" s="13">
        <v>94</v>
      </c>
      <c r="BV164" s="13">
        <v>100</v>
      </c>
      <c r="BW164" s="13">
        <v>99</v>
      </c>
      <c r="BX164" s="328">
        <f t="shared" si="14"/>
        <v>201735310</v>
      </c>
      <c r="BY164" s="328">
        <f t="shared" si="15"/>
        <v>75928889</v>
      </c>
      <c r="BZ164" s="329">
        <f t="shared" si="12"/>
        <v>0.89002272928422288</v>
      </c>
      <c r="CA164" s="329">
        <f t="shared" si="13"/>
        <v>0.88958422804657244</v>
      </c>
    </row>
    <row r="165" spans="1:79" x14ac:dyDescent="0.25">
      <c r="A165" s="13">
        <v>380</v>
      </c>
      <c r="B165" s="13">
        <v>164</v>
      </c>
      <c r="C165" s="13" t="s">
        <v>683</v>
      </c>
      <c r="D165" s="13">
        <v>174431</v>
      </c>
      <c r="E165" s="13">
        <v>226338</v>
      </c>
      <c r="F165" s="13">
        <v>252094</v>
      </c>
      <c r="G165" s="13">
        <v>267828</v>
      </c>
      <c r="H165" s="13">
        <v>1.3</v>
      </c>
      <c r="I165" s="13">
        <v>102</v>
      </c>
      <c r="J165" s="13">
        <v>82702</v>
      </c>
      <c r="K165" s="13">
        <v>96036</v>
      </c>
      <c r="L165" s="13">
        <v>104433</v>
      </c>
      <c r="M165" s="13">
        <v>1.8</v>
      </c>
      <c r="N165" s="13">
        <v>2.58</v>
      </c>
      <c r="O165" s="13">
        <v>56503</v>
      </c>
      <c r="P165" s="13">
        <v>64063</v>
      </c>
      <c r="Q165" s="13">
        <v>1.5</v>
      </c>
      <c r="R165" s="13">
        <v>80.7</v>
      </c>
      <c r="S165" s="13">
        <v>79.599999999999994</v>
      </c>
      <c r="T165" s="13">
        <v>6.4</v>
      </c>
      <c r="U165" s="13">
        <v>6</v>
      </c>
      <c r="V165" s="13">
        <v>4.8</v>
      </c>
      <c r="W165" s="13">
        <v>6.1</v>
      </c>
      <c r="X165" s="13">
        <v>4.0999999999999996</v>
      </c>
      <c r="Y165" s="13">
        <v>5</v>
      </c>
      <c r="Z165" s="13">
        <v>7.4</v>
      </c>
      <c r="AA165" s="13">
        <v>8.1999999999999993</v>
      </c>
      <c r="AB165" s="13">
        <v>7.5</v>
      </c>
      <c r="AC165" s="13">
        <v>7.8</v>
      </c>
      <c r="AD165" s="13">
        <v>7.6</v>
      </c>
      <c r="AE165" s="13">
        <v>34.200000000000003</v>
      </c>
      <c r="AF165" s="13">
        <v>22</v>
      </c>
      <c r="AG165" s="13">
        <v>5</v>
      </c>
      <c r="AH165" s="13">
        <v>0.4</v>
      </c>
      <c r="AI165" s="13">
        <v>72.3</v>
      </c>
      <c r="AJ165" s="13">
        <v>29.8</v>
      </c>
      <c r="AK165" s="13">
        <v>33.200000000000003</v>
      </c>
      <c r="AL165" s="13">
        <v>105.8</v>
      </c>
      <c r="AM165" s="13">
        <v>26285</v>
      </c>
      <c r="AN165" s="13">
        <v>96036</v>
      </c>
      <c r="AO165" s="13">
        <v>7.8</v>
      </c>
      <c r="AP165" s="13">
        <v>9.3000000000000007</v>
      </c>
      <c r="AQ165" s="13">
        <v>27.4</v>
      </c>
      <c r="AR165" s="13">
        <v>38.4</v>
      </c>
      <c r="AS165" s="13">
        <v>11.7</v>
      </c>
      <c r="AT165" s="13">
        <v>5.6</v>
      </c>
      <c r="AU165" s="13">
        <v>55310</v>
      </c>
      <c r="AV165" s="13">
        <v>66972</v>
      </c>
      <c r="AW165" s="13">
        <v>7</v>
      </c>
      <c r="AX165" s="13">
        <v>51564</v>
      </c>
      <c r="AY165" s="13">
        <v>38147</v>
      </c>
      <c r="AZ165" s="13">
        <v>53806</v>
      </c>
      <c r="BA165" s="13">
        <v>62257</v>
      </c>
      <c r="BB165" s="13">
        <v>54868</v>
      </c>
      <c r="BC165" s="13">
        <v>37964</v>
      </c>
      <c r="BD165" s="13">
        <v>104</v>
      </c>
      <c r="BE165" s="13">
        <v>113</v>
      </c>
      <c r="BF165" s="13">
        <v>96</v>
      </c>
      <c r="BG165" s="13">
        <v>107</v>
      </c>
      <c r="BH165" s="13">
        <v>100</v>
      </c>
      <c r="BI165" s="13">
        <v>103</v>
      </c>
      <c r="BJ165" s="13">
        <v>100</v>
      </c>
      <c r="BK165" s="13">
        <v>103</v>
      </c>
      <c r="BL165" s="13">
        <v>107</v>
      </c>
      <c r="BM165" s="13">
        <v>109</v>
      </c>
      <c r="BN165" s="13">
        <v>112</v>
      </c>
      <c r="BO165" s="13">
        <v>103</v>
      </c>
      <c r="BP165" s="13">
        <v>102</v>
      </c>
      <c r="BQ165" s="13">
        <v>101</v>
      </c>
      <c r="BR165" s="13">
        <v>100</v>
      </c>
      <c r="BS165" s="13">
        <v>99</v>
      </c>
      <c r="BT165" s="13">
        <v>109</v>
      </c>
      <c r="BU165" s="13">
        <v>105</v>
      </c>
      <c r="BV165" s="13">
        <v>97</v>
      </c>
      <c r="BW165" s="13">
        <v>100</v>
      </c>
      <c r="BX165" s="328">
        <f t="shared" si="14"/>
        <v>202003138</v>
      </c>
      <c r="BY165" s="328">
        <f t="shared" si="15"/>
        <v>76033322</v>
      </c>
      <c r="BZ165" s="329">
        <f t="shared" si="12"/>
        <v>0.89120434200010656</v>
      </c>
      <c r="CA165" s="329">
        <f t="shared" si="13"/>
        <v>0.890807766951344</v>
      </c>
    </row>
    <row r="166" spans="1:79" x14ac:dyDescent="0.25">
      <c r="A166" s="13">
        <v>8240</v>
      </c>
      <c r="B166" s="13">
        <v>165</v>
      </c>
      <c r="C166" s="13" t="s">
        <v>684</v>
      </c>
      <c r="D166" s="13">
        <v>190329</v>
      </c>
      <c r="E166" s="13">
        <v>233598</v>
      </c>
      <c r="F166" s="13">
        <v>263343</v>
      </c>
      <c r="G166" s="13">
        <v>280544</v>
      </c>
      <c r="H166" s="13">
        <v>1.5</v>
      </c>
      <c r="I166" s="13">
        <v>85</v>
      </c>
      <c r="J166" s="13">
        <v>88233</v>
      </c>
      <c r="K166" s="13">
        <v>98152</v>
      </c>
      <c r="L166" s="13">
        <v>103871</v>
      </c>
      <c r="M166" s="13">
        <v>1.3</v>
      </c>
      <c r="N166" s="13">
        <v>2.54</v>
      </c>
      <c r="O166" s="13">
        <v>55257</v>
      </c>
      <c r="P166" s="13">
        <v>60499</v>
      </c>
      <c r="Q166" s="13">
        <v>1.1000000000000001</v>
      </c>
      <c r="R166" s="13">
        <v>67.8</v>
      </c>
      <c r="S166" s="13">
        <v>62.9</v>
      </c>
      <c r="T166" s="13">
        <v>30.1</v>
      </c>
      <c r="U166" s="13">
        <v>34</v>
      </c>
      <c r="V166" s="13">
        <v>1.2</v>
      </c>
      <c r="W166" s="13">
        <v>1.8</v>
      </c>
      <c r="X166" s="13">
        <v>2.4</v>
      </c>
      <c r="Y166" s="13">
        <v>3.5</v>
      </c>
      <c r="Z166" s="13">
        <v>6.4</v>
      </c>
      <c r="AA166" s="13">
        <v>7.2</v>
      </c>
      <c r="AB166" s="13">
        <v>7.1</v>
      </c>
      <c r="AC166" s="13">
        <v>9.3000000000000007</v>
      </c>
      <c r="AD166" s="13">
        <v>11.6</v>
      </c>
      <c r="AE166" s="13">
        <v>31.4</v>
      </c>
      <c r="AF166" s="13">
        <v>18</v>
      </c>
      <c r="AG166" s="13">
        <v>8.1</v>
      </c>
      <c r="AH166" s="13">
        <v>0.9</v>
      </c>
      <c r="AI166" s="13">
        <v>75.400000000000006</v>
      </c>
      <c r="AJ166" s="13">
        <v>29.3</v>
      </c>
      <c r="AK166" s="13">
        <v>30.5</v>
      </c>
      <c r="AL166" s="13">
        <v>92.9</v>
      </c>
      <c r="AM166" s="13">
        <v>15031</v>
      </c>
      <c r="AN166" s="13">
        <v>98138</v>
      </c>
      <c r="AO166" s="13">
        <v>24.1</v>
      </c>
      <c r="AP166" s="13">
        <v>16.8</v>
      </c>
      <c r="AQ166" s="13">
        <v>31.6</v>
      </c>
      <c r="AR166" s="13">
        <v>22.3</v>
      </c>
      <c r="AS166" s="13">
        <v>3.5</v>
      </c>
      <c r="AT166" s="13">
        <v>1.6</v>
      </c>
      <c r="AU166" s="13">
        <v>31009</v>
      </c>
      <c r="AV166" s="13">
        <v>33773</v>
      </c>
      <c r="AW166" s="13">
        <v>258</v>
      </c>
      <c r="AX166" s="13">
        <v>32174</v>
      </c>
      <c r="AY166" s="13">
        <v>23031</v>
      </c>
      <c r="AZ166" s="13">
        <v>37615</v>
      </c>
      <c r="BA166" s="13">
        <v>44175</v>
      </c>
      <c r="BB166" s="13">
        <v>39384</v>
      </c>
      <c r="BC166" s="13">
        <v>23413</v>
      </c>
      <c r="BD166" s="13">
        <v>98</v>
      </c>
      <c r="BE166" s="13">
        <v>101</v>
      </c>
      <c r="BF166" s="13">
        <v>94</v>
      </c>
      <c r="BG166" s="13">
        <v>98</v>
      </c>
      <c r="BH166" s="13">
        <v>100</v>
      </c>
      <c r="BI166" s="13">
        <v>98</v>
      </c>
      <c r="BJ166" s="13">
        <v>101</v>
      </c>
      <c r="BK166" s="13">
        <v>98</v>
      </c>
      <c r="BL166" s="13">
        <v>98</v>
      </c>
      <c r="BM166" s="13">
        <v>98</v>
      </c>
      <c r="BN166" s="13">
        <v>98</v>
      </c>
      <c r="BO166" s="13">
        <v>99</v>
      </c>
      <c r="BP166" s="13">
        <v>95</v>
      </c>
      <c r="BQ166" s="13">
        <v>99</v>
      </c>
      <c r="BR166" s="13">
        <v>91</v>
      </c>
      <c r="BS166" s="13">
        <v>98</v>
      </c>
      <c r="BT166" s="13">
        <v>97</v>
      </c>
      <c r="BU166" s="13">
        <v>99</v>
      </c>
      <c r="BV166" s="13">
        <v>96</v>
      </c>
      <c r="BW166" s="13">
        <v>100</v>
      </c>
      <c r="BX166" s="328">
        <f t="shared" si="14"/>
        <v>202283682</v>
      </c>
      <c r="BY166" s="328">
        <f t="shared" si="15"/>
        <v>76137193</v>
      </c>
      <c r="BZ166" s="329">
        <f t="shared" si="12"/>
        <v>0.89244205559900158</v>
      </c>
      <c r="CA166" s="329">
        <f t="shared" si="13"/>
        <v>0.8920247214540159</v>
      </c>
    </row>
    <row r="167" spans="1:79" x14ac:dyDescent="0.25">
      <c r="A167" s="13">
        <v>6520</v>
      </c>
      <c r="B167" s="13">
        <v>166</v>
      </c>
      <c r="C167" s="13" t="s">
        <v>685</v>
      </c>
      <c r="D167" s="13">
        <v>218106</v>
      </c>
      <c r="E167" s="13">
        <v>263590</v>
      </c>
      <c r="F167" s="13">
        <v>336748</v>
      </c>
      <c r="G167" s="13">
        <v>381820</v>
      </c>
      <c r="H167" s="13">
        <v>3</v>
      </c>
      <c r="I167" s="13">
        <v>10</v>
      </c>
      <c r="J167" s="13">
        <v>70168</v>
      </c>
      <c r="K167" s="13">
        <v>90569</v>
      </c>
      <c r="L167" s="13">
        <v>103175</v>
      </c>
      <c r="M167" s="13">
        <v>3.1</v>
      </c>
      <c r="N167" s="13">
        <v>3.62</v>
      </c>
      <c r="O167" s="13">
        <v>56511</v>
      </c>
      <c r="P167" s="13">
        <v>72174</v>
      </c>
      <c r="Q167" s="13">
        <v>3</v>
      </c>
      <c r="R167" s="13">
        <v>96.2</v>
      </c>
      <c r="S167" s="13">
        <v>95.3</v>
      </c>
      <c r="T167" s="13">
        <v>0.1</v>
      </c>
      <c r="U167" s="13">
        <v>0.2</v>
      </c>
      <c r="V167" s="13">
        <v>1.5</v>
      </c>
      <c r="W167" s="13">
        <v>1.9</v>
      </c>
      <c r="X167" s="13">
        <v>3.2</v>
      </c>
      <c r="Y167" s="13">
        <v>4.4000000000000004</v>
      </c>
      <c r="Z167" s="13">
        <v>10.199999999999999</v>
      </c>
      <c r="AA167" s="13">
        <v>8.9</v>
      </c>
      <c r="AB167" s="13">
        <v>9.3000000000000007</v>
      </c>
      <c r="AC167" s="13">
        <v>13</v>
      </c>
      <c r="AD167" s="13">
        <v>14</v>
      </c>
      <c r="AE167" s="13">
        <v>24.7</v>
      </c>
      <c r="AF167" s="13">
        <v>13</v>
      </c>
      <c r="AG167" s="13">
        <v>6.2</v>
      </c>
      <c r="AH167" s="13">
        <v>0.8</v>
      </c>
      <c r="AI167" s="13">
        <v>64.900000000000006</v>
      </c>
      <c r="AJ167" s="13">
        <v>22.5</v>
      </c>
      <c r="AK167" s="13">
        <v>23.1</v>
      </c>
      <c r="AL167" s="13">
        <v>98.2</v>
      </c>
      <c r="AM167" s="13">
        <v>12388</v>
      </c>
      <c r="AN167" s="13">
        <v>90569</v>
      </c>
      <c r="AO167" s="13">
        <v>13.8</v>
      </c>
      <c r="AP167" s="13">
        <v>14.4</v>
      </c>
      <c r="AQ167" s="13">
        <v>38.700000000000003</v>
      </c>
      <c r="AR167" s="13">
        <v>27.1</v>
      </c>
      <c r="AS167" s="13">
        <v>4.5</v>
      </c>
      <c r="AT167" s="13">
        <v>1.4</v>
      </c>
      <c r="AU167" s="13">
        <v>37673</v>
      </c>
      <c r="AV167" s="13">
        <v>46183</v>
      </c>
      <c r="AW167" s="13">
        <v>129</v>
      </c>
      <c r="AX167" s="13">
        <v>34286</v>
      </c>
      <c r="AY167" s="13">
        <v>26771</v>
      </c>
      <c r="AZ167" s="13">
        <v>40096</v>
      </c>
      <c r="BA167" s="13">
        <v>47556</v>
      </c>
      <c r="BB167" s="13">
        <v>42950</v>
      </c>
      <c r="BC167" s="13">
        <v>25562</v>
      </c>
      <c r="BD167" s="13">
        <v>99</v>
      </c>
      <c r="BE167" s="13">
        <v>96</v>
      </c>
      <c r="BF167" s="13">
        <v>88</v>
      </c>
      <c r="BG167" s="13">
        <v>92</v>
      </c>
      <c r="BH167" s="13">
        <v>96</v>
      </c>
      <c r="BI167" s="13">
        <v>94</v>
      </c>
      <c r="BJ167" s="13">
        <v>99</v>
      </c>
      <c r="BK167" s="13">
        <v>97</v>
      </c>
      <c r="BL167" s="13">
        <v>98</v>
      </c>
      <c r="BM167" s="13">
        <v>94</v>
      </c>
      <c r="BN167" s="13">
        <v>97</v>
      </c>
      <c r="BO167" s="13">
        <v>92</v>
      </c>
      <c r="BP167" s="13">
        <v>90</v>
      </c>
      <c r="BQ167" s="13">
        <v>95</v>
      </c>
      <c r="BR167" s="13">
        <v>88</v>
      </c>
      <c r="BS167" s="13">
        <v>95</v>
      </c>
      <c r="BT167" s="13">
        <v>95</v>
      </c>
      <c r="BU167" s="13">
        <v>96</v>
      </c>
      <c r="BV167" s="13">
        <v>95</v>
      </c>
      <c r="BW167" s="13">
        <v>95</v>
      </c>
      <c r="BX167" s="328">
        <f t="shared" si="14"/>
        <v>202665502</v>
      </c>
      <c r="BY167" s="328">
        <f t="shared" si="15"/>
        <v>76240368</v>
      </c>
      <c r="BZ167" s="329">
        <f t="shared" si="12"/>
        <v>0.89412658211295348</v>
      </c>
      <c r="CA167" s="329">
        <f t="shared" si="13"/>
        <v>0.89323352160818004</v>
      </c>
    </row>
    <row r="168" spans="1:79" x14ac:dyDescent="0.25">
      <c r="A168" s="13">
        <v>1800</v>
      </c>
      <c r="B168" s="13">
        <v>167</v>
      </c>
      <c r="C168" s="13" t="s">
        <v>686</v>
      </c>
      <c r="D168" s="13">
        <v>254660</v>
      </c>
      <c r="E168" s="13">
        <v>260860</v>
      </c>
      <c r="F168" s="13">
        <v>272691</v>
      </c>
      <c r="G168" s="13">
        <v>279559</v>
      </c>
      <c r="H168" s="13">
        <v>0.5</v>
      </c>
      <c r="I168" s="13">
        <v>217</v>
      </c>
      <c r="J168" s="13">
        <v>92695</v>
      </c>
      <c r="K168" s="13">
        <v>99205</v>
      </c>
      <c r="L168" s="13">
        <v>103082</v>
      </c>
      <c r="M168" s="13">
        <v>0.8</v>
      </c>
      <c r="N168" s="13">
        <v>2.6</v>
      </c>
      <c r="O168" s="13">
        <v>67700</v>
      </c>
      <c r="P168" s="13">
        <v>70924</v>
      </c>
      <c r="Q168" s="13">
        <v>0.6</v>
      </c>
      <c r="R168" s="13">
        <v>60.3</v>
      </c>
      <c r="S168" s="13">
        <v>55.6</v>
      </c>
      <c r="T168" s="13">
        <v>36.799999999999997</v>
      </c>
      <c r="U168" s="13">
        <v>40</v>
      </c>
      <c r="V168" s="13">
        <v>1.2</v>
      </c>
      <c r="W168" s="13">
        <v>1.9</v>
      </c>
      <c r="X168" s="13">
        <v>2.9</v>
      </c>
      <c r="Y168" s="13">
        <v>4.8</v>
      </c>
      <c r="Z168" s="13">
        <v>7.6</v>
      </c>
      <c r="AA168" s="13">
        <v>7.6</v>
      </c>
      <c r="AB168" s="13">
        <v>7</v>
      </c>
      <c r="AC168" s="13">
        <v>7.7</v>
      </c>
      <c r="AD168" s="13">
        <v>8.6</v>
      </c>
      <c r="AE168" s="13">
        <v>31</v>
      </c>
      <c r="AF168" s="13">
        <v>19.3</v>
      </c>
      <c r="AG168" s="13">
        <v>10</v>
      </c>
      <c r="AH168" s="13">
        <v>1.1000000000000001</v>
      </c>
      <c r="AI168" s="13">
        <v>73.7</v>
      </c>
      <c r="AJ168" s="13">
        <v>30.4</v>
      </c>
      <c r="AK168" s="13">
        <v>32.299999999999997</v>
      </c>
      <c r="AL168" s="13">
        <v>98.6</v>
      </c>
      <c r="AM168" s="13">
        <v>14221</v>
      </c>
      <c r="AN168" s="13">
        <v>99186</v>
      </c>
      <c r="AO168" s="13">
        <v>23.7</v>
      </c>
      <c r="AP168" s="13">
        <v>18.100000000000001</v>
      </c>
      <c r="AQ168" s="13">
        <v>34</v>
      </c>
      <c r="AR168" s="13">
        <v>19.899999999999999</v>
      </c>
      <c r="AS168" s="13">
        <v>3</v>
      </c>
      <c r="AT168" s="13">
        <v>1.2</v>
      </c>
      <c r="AU168" s="13">
        <v>29924</v>
      </c>
      <c r="AV168" s="13">
        <v>33775</v>
      </c>
      <c r="AW168" s="13">
        <v>280</v>
      </c>
      <c r="AX168" s="13">
        <v>29126</v>
      </c>
      <c r="AY168" s="13">
        <v>25224</v>
      </c>
      <c r="AZ168" s="13">
        <v>33372</v>
      </c>
      <c r="BA168" s="13">
        <v>37719</v>
      </c>
      <c r="BB168" s="13">
        <v>31143</v>
      </c>
      <c r="BC168" s="13">
        <v>20475</v>
      </c>
      <c r="BD168" s="13">
        <v>96</v>
      </c>
      <c r="BE168" s="13">
        <v>91</v>
      </c>
      <c r="BF168" s="13">
        <v>95</v>
      </c>
      <c r="BG168" s="13">
        <v>90</v>
      </c>
      <c r="BH168" s="13">
        <v>102</v>
      </c>
      <c r="BI168" s="13">
        <v>98</v>
      </c>
      <c r="BJ168" s="13">
        <v>99</v>
      </c>
      <c r="BK168" s="13">
        <v>98</v>
      </c>
      <c r="BL168" s="13">
        <v>95</v>
      </c>
      <c r="BM168" s="13">
        <v>95</v>
      </c>
      <c r="BN168" s="13">
        <v>92</v>
      </c>
      <c r="BO168" s="13">
        <v>96</v>
      </c>
      <c r="BP168" s="13">
        <v>94</v>
      </c>
      <c r="BQ168" s="13">
        <v>97</v>
      </c>
      <c r="BR168" s="13">
        <v>90</v>
      </c>
      <c r="BS168" s="13">
        <v>99</v>
      </c>
      <c r="BT168" s="13">
        <v>93</v>
      </c>
      <c r="BU168" s="13">
        <v>96</v>
      </c>
      <c r="BV168" s="13">
        <v>96</v>
      </c>
      <c r="BW168" s="13">
        <v>98</v>
      </c>
      <c r="BX168" s="328">
        <f t="shared" si="14"/>
        <v>202945061</v>
      </c>
      <c r="BY168" s="328">
        <f t="shared" si="15"/>
        <v>76343450</v>
      </c>
      <c r="BZ168" s="329">
        <f t="shared" si="12"/>
        <v>0.89535995005521385</v>
      </c>
      <c r="CA168" s="329">
        <f t="shared" si="13"/>
        <v>0.89444123217267268</v>
      </c>
    </row>
    <row r="169" spans="1:79" x14ac:dyDescent="0.25">
      <c r="A169" s="13">
        <v>2920</v>
      </c>
      <c r="B169" s="13">
        <v>168</v>
      </c>
      <c r="C169" s="13" t="s">
        <v>687</v>
      </c>
      <c r="D169" s="13">
        <v>195738</v>
      </c>
      <c r="E169" s="13">
        <v>217399</v>
      </c>
      <c r="F169" s="13">
        <v>245825</v>
      </c>
      <c r="G169" s="13">
        <v>262812</v>
      </c>
      <c r="H169" s="13">
        <v>1.5</v>
      </c>
      <c r="I169" s="13">
        <v>78</v>
      </c>
      <c r="J169" s="13">
        <v>81451</v>
      </c>
      <c r="K169" s="13">
        <v>94563</v>
      </c>
      <c r="L169" s="13">
        <v>102828</v>
      </c>
      <c r="M169" s="13">
        <v>1.8</v>
      </c>
      <c r="N169" s="13">
        <v>2.57</v>
      </c>
      <c r="O169" s="13">
        <v>58178</v>
      </c>
      <c r="P169" s="13">
        <v>66342</v>
      </c>
      <c r="Q169" s="13">
        <v>1.6</v>
      </c>
      <c r="R169" s="13">
        <v>75.5</v>
      </c>
      <c r="S169" s="13">
        <v>72.900000000000006</v>
      </c>
      <c r="T169" s="13">
        <v>17.600000000000001</v>
      </c>
      <c r="U169" s="13">
        <v>18.2</v>
      </c>
      <c r="V169" s="13">
        <v>1.6</v>
      </c>
      <c r="W169" s="13">
        <v>2.4</v>
      </c>
      <c r="X169" s="13">
        <v>14.2</v>
      </c>
      <c r="Y169" s="13">
        <v>17.8</v>
      </c>
      <c r="Z169" s="13">
        <v>7.3</v>
      </c>
      <c r="AA169" s="13">
        <v>7.6</v>
      </c>
      <c r="AB169" s="13">
        <v>7.7</v>
      </c>
      <c r="AC169" s="13">
        <v>7.4</v>
      </c>
      <c r="AD169" s="13">
        <v>5.9</v>
      </c>
      <c r="AE169" s="13">
        <v>30.7</v>
      </c>
      <c r="AF169" s="13">
        <v>22.3</v>
      </c>
      <c r="AG169" s="13">
        <v>10.1</v>
      </c>
      <c r="AH169" s="13">
        <v>1.1000000000000001</v>
      </c>
      <c r="AI169" s="13">
        <v>72.900000000000006</v>
      </c>
      <c r="AJ169" s="13">
        <v>32.6</v>
      </c>
      <c r="AK169" s="13">
        <v>35.299999999999997</v>
      </c>
      <c r="AL169" s="13">
        <v>96.8</v>
      </c>
      <c r="AM169" s="13">
        <v>17399</v>
      </c>
      <c r="AN169" s="13">
        <v>94563</v>
      </c>
      <c r="AO169" s="13">
        <v>20.5</v>
      </c>
      <c r="AP169" s="13">
        <v>14.2</v>
      </c>
      <c r="AQ169" s="13">
        <v>32.1</v>
      </c>
      <c r="AR169" s="13">
        <v>26.5</v>
      </c>
      <c r="AS169" s="13">
        <v>4.7</v>
      </c>
      <c r="AT169" s="13">
        <v>2.1</v>
      </c>
      <c r="AU169" s="13">
        <v>36045</v>
      </c>
      <c r="AV169" s="13">
        <v>41352</v>
      </c>
      <c r="AW169" s="13">
        <v>158</v>
      </c>
      <c r="AX169" s="13">
        <v>35672</v>
      </c>
      <c r="AY169" s="13">
        <v>29677</v>
      </c>
      <c r="AZ169" s="13">
        <v>39751</v>
      </c>
      <c r="BA169" s="13">
        <v>45011</v>
      </c>
      <c r="BB169" s="13">
        <v>38828</v>
      </c>
      <c r="BC169" s="13">
        <v>22867</v>
      </c>
      <c r="BD169" s="13">
        <v>99</v>
      </c>
      <c r="BE169" s="13">
        <v>99</v>
      </c>
      <c r="BF169" s="13">
        <v>97</v>
      </c>
      <c r="BG169" s="13">
        <v>98</v>
      </c>
      <c r="BH169" s="13">
        <v>102</v>
      </c>
      <c r="BI169" s="13">
        <v>101</v>
      </c>
      <c r="BJ169" s="13">
        <v>102</v>
      </c>
      <c r="BK169" s="13">
        <v>101</v>
      </c>
      <c r="BL169" s="13">
        <v>100</v>
      </c>
      <c r="BM169" s="13">
        <v>101</v>
      </c>
      <c r="BN169" s="13">
        <v>99</v>
      </c>
      <c r="BO169" s="13">
        <v>101</v>
      </c>
      <c r="BP169" s="13">
        <v>99</v>
      </c>
      <c r="BQ169" s="13">
        <v>101</v>
      </c>
      <c r="BR169" s="13">
        <v>93</v>
      </c>
      <c r="BS169" s="13">
        <v>100</v>
      </c>
      <c r="BT169" s="13">
        <v>99</v>
      </c>
      <c r="BU169" s="13">
        <v>100</v>
      </c>
      <c r="BV169" s="13">
        <v>98</v>
      </c>
      <c r="BW169" s="13">
        <v>101</v>
      </c>
      <c r="BX169" s="328">
        <f t="shared" si="14"/>
        <v>203207873</v>
      </c>
      <c r="BY169" s="328">
        <f t="shared" si="15"/>
        <v>76446278</v>
      </c>
      <c r="BZ169" s="329">
        <f t="shared" si="12"/>
        <v>0.89651943301101689</v>
      </c>
      <c r="CA169" s="329">
        <f t="shared" si="13"/>
        <v>0.89564596686860087</v>
      </c>
    </row>
    <row r="170" spans="1:79" x14ac:dyDescent="0.25">
      <c r="A170" s="13">
        <v>7800</v>
      </c>
      <c r="B170" s="13">
        <v>169</v>
      </c>
      <c r="C170" s="13" t="s">
        <v>688</v>
      </c>
      <c r="D170" s="13">
        <v>241617</v>
      </c>
      <c r="E170" s="13">
        <v>247052</v>
      </c>
      <c r="F170" s="13">
        <v>259108</v>
      </c>
      <c r="G170" s="13">
        <v>266171</v>
      </c>
      <c r="H170" s="13">
        <v>0.6</v>
      </c>
      <c r="I170" s="13">
        <v>213</v>
      </c>
      <c r="J170" s="13">
        <v>92365</v>
      </c>
      <c r="K170" s="13">
        <v>98788</v>
      </c>
      <c r="L170" s="13">
        <v>102745</v>
      </c>
      <c r="M170" s="13">
        <v>0.8</v>
      </c>
      <c r="N170" s="13">
        <v>2.5</v>
      </c>
      <c r="O170" s="13">
        <v>63629</v>
      </c>
      <c r="P170" s="13">
        <v>66706</v>
      </c>
      <c r="Q170" s="13">
        <v>0.6</v>
      </c>
      <c r="R170" s="13">
        <v>87.8</v>
      </c>
      <c r="S170" s="13">
        <v>86</v>
      </c>
      <c r="T170" s="13">
        <v>9.8000000000000007</v>
      </c>
      <c r="U170" s="13">
        <v>10.8</v>
      </c>
      <c r="V170" s="13">
        <v>1</v>
      </c>
      <c r="W170" s="13">
        <v>1.4</v>
      </c>
      <c r="X170" s="13">
        <v>2.1</v>
      </c>
      <c r="Y170" s="13">
        <v>3</v>
      </c>
      <c r="Z170" s="13">
        <v>6.9</v>
      </c>
      <c r="AA170" s="13">
        <v>6.9</v>
      </c>
      <c r="AB170" s="13">
        <v>6.8</v>
      </c>
      <c r="AC170" s="13">
        <v>7.9</v>
      </c>
      <c r="AD170" s="13">
        <v>7.9</v>
      </c>
      <c r="AE170" s="13">
        <v>29.7</v>
      </c>
      <c r="AF170" s="13">
        <v>19.899999999999999</v>
      </c>
      <c r="AG170" s="13">
        <v>12.4</v>
      </c>
      <c r="AH170" s="13">
        <v>1.7</v>
      </c>
      <c r="AI170" s="13">
        <v>75.400000000000006</v>
      </c>
      <c r="AJ170" s="13">
        <v>32.799999999999997</v>
      </c>
      <c r="AK170" s="13">
        <v>35</v>
      </c>
      <c r="AL170" s="13">
        <v>94</v>
      </c>
      <c r="AM170" s="13">
        <v>16929</v>
      </c>
      <c r="AN170" s="13">
        <v>98788</v>
      </c>
      <c r="AO170" s="13">
        <v>16.3</v>
      </c>
      <c r="AP170" s="13">
        <v>15.7</v>
      </c>
      <c r="AQ170" s="13">
        <v>36.700000000000003</v>
      </c>
      <c r="AR170" s="13">
        <v>26</v>
      </c>
      <c r="AS170" s="13">
        <v>4</v>
      </c>
      <c r="AT170" s="13">
        <v>1.4</v>
      </c>
      <c r="AU170" s="13">
        <v>36313</v>
      </c>
      <c r="AV170" s="13">
        <v>41359</v>
      </c>
      <c r="AW170" s="13">
        <v>151</v>
      </c>
      <c r="AX170" s="13">
        <v>33691</v>
      </c>
      <c r="AY170" s="13">
        <v>29415</v>
      </c>
      <c r="AZ170" s="13">
        <v>39200</v>
      </c>
      <c r="BA170" s="13">
        <v>44844</v>
      </c>
      <c r="BB170" s="13">
        <v>36592</v>
      </c>
      <c r="BC170" s="13">
        <v>20705</v>
      </c>
      <c r="BD170" s="13">
        <v>98</v>
      </c>
      <c r="BE170" s="13">
        <v>96</v>
      </c>
      <c r="BF170" s="13">
        <v>98</v>
      </c>
      <c r="BG170" s="13">
        <v>97</v>
      </c>
      <c r="BH170" s="13">
        <v>103</v>
      </c>
      <c r="BI170" s="13">
        <v>100</v>
      </c>
      <c r="BJ170" s="13">
        <v>101</v>
      </c>
      <c r="BK170" s="13">
        <v>99</v>
      </c>
      <c r="BL170" s="13">
        <v>97</v>
      </c>
      <c r="BM170" s="13">
        <v>98</v>
      </c>
      <c r="BN170" s="13">
        <v>98</v>
      </c>
      <c r="BO170" s="13">
        <v>97</v>
      </c>
      <c r="BP170" s="13">
        <v>100</v>
      </c>
      <c r="BQ170" s="13">
        <v>99</v>
      </c>
      <c r="BR170" s="13">
        <v>103</v>
      </c>
      <c r="BS170" s="13">
        <v>101</v>
      </c>
      <c r="BT170" s="13">
        <v>98</v>
      </c>
      <c r="BU170" s="13">
        <v>98</v>
      </c>
      <c r="BV170" s="13">
        <v>99</v>
      </c>
      <c r="BW170" s="13">
        <v>98</v>
      </c>
      <c r="BX170" s="328">
        <f t="shared" si="14"/>
        <v>203474044</v>
      </c>
      <c r="BY170" s="328">
        <f t="shared" si="15"/>
        <v>76549023</v>
      </c>
      <c r="BZ170" s="329">
        <f t="shared" si="12"/>
        <v>0.89769373531771923</v>
      </c>
      <c r="CA170" s="329">
        <f t="shared" si="13"/>
        <v>0.89684972913503735</v>
      </c>
    </row>
    <row r="171" spans="1:79" x14ac:dyDescent="0.25">
      <c r="A171" s="13">
        <v>9200</v>
      </c>
      <c r="B171" s="13">
        <v>170</v>
      </c>
      <c r="C171" s="13" t="s">
        <v>689</v>
      </c>
      <c r="D171" s="13">
        <v>139248</v>
      </c>
      <c r="E171" s="13">
        <v>171269</v>
      </c>
      <c r="F171" s="13">
        <v>220125</v>
      </c>
      <c r="G171" s="13">
        <v>249502</v>
      </c>
      <c r="H171" s="13">
        <v>3.1</v>
      </c>
      <c r="I171" s="13">
        <v>9</v>
      </c>
      <c r="J171" s="13">
        <v>68208</v>
      </c>
      <c r="K171" s="13">
        <v>88799</v>
      </c>
      <c r="L171" s="13">
        <v>101648</v>
      </c>
      <c r="M171" s="13">
        <v>3.2</v>
      </c>
      <c r="N171" s="13">
        <v>2.4300000000000002</v>
      </c>
      <c r="O171" s="13">
        <v>47691</v>
      </c>
      <c r="P171" s="13">
        <v>61240</v>
      </c>
      <c r="Q171" s="13">
        <v>3.1</v>
      </c>
      <c r="R171" s="13">
        <v>79.5</v>
      </c>
      <c r="S171" s="13">
        <v>78.5</v>
      </c>
      <c r="T171" s="13">
        <v>19.399999999999999</v>
      </c>
      <c r="U171" s="13">
        <v>20</v>
      </c>
      <c r="V171" s="13">
        <v>0.4</v>
      </c>
      <c r="W171" s="13">
        <v>0.7</v>
      </c>
      <c r="X171" s="13">
        <v>0.8</v>
      </c>
      <c r="Y171" s="13">
        <v>1.6</v>
      </c>
      <c r="Z171" s="13">
        <v>6.2</v>
      </c>
      <c r="AA171" s="13">
        <v>6.7</v>
      </c>
      <c r="AB171" s="13">
        <v>6.5</v>
      </c>
      <c r="AC171" s="13">
        <v>7</v>
      </c>
      <c r="AD171" s="13">
        <v>6.4</v>
      </c>
      <c r="AE171" s="13">
        <v>29.9</v>
      </c>
      <c r="AF171" s="13">
        <v>23.2</v>
      </c>
      <c r="AG171" s="13">
        <v>12.9</v>
      </c>
      <c r="AH171" s="13">
        <v>1.2</v>
      </c>
      <c r="AI171" s="13">
        <v>76.900000000000006</v>
      </c>
      <c r="AJ171" s="13">
        <v>34.799999999999997</v>
      </c>
      <c r="AK171" s="13">
        <v>37.1</v>
      </c>
      <c r="AL171" s="13">
        <v>92.2</v>
      </c>
      <c r="AM171" s="13">
        <v>18304</v>
      </c>
      <c r="AN171" s="13">
        <v>88794</v>
      </c>
      <c r="AO171" s="13">
        <v>17.8</v>
      </c>
      <c r="AP171" s="13">
        <v>15.2</v>
      </c>
      <c r="AQ171" s="13">
        <v>34.700000000000003</v>
      </c>
      <c r="AR171" s="13">
        <v>25.3</v>
      </c>
      <c r="AS171" s="13">
        <v>4.9000000000000004</v>
      </c>
      <c r="AT171" s="13">
        <v>2.1</v>
      </c>
      <c r="AU171" s="13">
        <v>35948</v>
      </c>
      <c r="AV171" s="13">
        <v>41636</v>
      </c>
      <c r="AW171" s="13">
        <v>161</v>
      </c>
      <c r="AX171" s="13">
        <v>34079</v>
      </c>
      <c r="AY171" s="13">
        <v>28294</v>
      </c>
      <c r="AZ171" s="13">
        <v>39409</v>
      </c>
      <c r="BA171" s="13">
        <v>43753</v>
      </c>
      <c r="BB171" s="13">
        <v>36497</v>
      </c>
      <c r="BC171" s="13">
        <v>24218</v>
      </c>
      <c r="BD171" s="13">
        <v>99</v>
      </c>
      <c r="BE171" s="13">
        <v>91</v>
      </c>
      <c r="BF171" s="13">
        <v>96</v>
      </c>
      <c r="BG171" s="13">
        <v>94</v>
      </c>
      <c r="BH171" s="13">
        <v>102</v>
      </c>
      <c r="BI171" s="13">
        <v>101</v>
      </c>
      <c r="BJ171" s="13">
        <v>109</v>
      </c>
      <c r="BK171" s="13">
        <v>100</v>
      </c>
      <c r="BL171" s="13">
        <v>97</v>
      </c>
      <c r="BM171" s="13">
        <v>95</v>
      </c>
      <c r="BN171" s="13">
        <v>94</v>
      </c>
      <c r="BO171" s="13">
        <v>99</v>
      </c>
      <c r="BP171" s="13">
        <v>94</v>
      </c>
      <c r="BQ171" s="13">
        <v>101</v>
      </c>
      <c r="BR171" s="13">
        <v>90</v>
      </c>
      <c r="BS171" s="13">
        <v>99</v>
      </c>
      <c r="BT171" s="13">
        <v>94</v>
      </c>
      <c r="BU171" s="13">
        <v>97</v>
      </c>
      <c r="BV171" s="13">
        <v>101</v>
      </c>
      <c r="BW171" s="13">
        <v>100</v>
      </c>
      <c r="BX171" s="328">
        <f t="shared" si="14"/>
        <v>203723546</v>
      </c>
      <c r="BY171" s="328">
        <f t="shared" si="15"/>
        <v>76650671</v>
      </c>
      <c r="BZ171" s="329">
        <f t="shared" si="12"/>
        <v>0.89879449676102774</v>
      </c>
      <c r="CA171" s="329">
        <f t="shared" si="13"/>
        <v>0.8980406389297596</v>
      </c>
    </row>
    <row r="172" spans="1:79" x14ac:dyDescent="0.25">
      <c r="A172" s="13">
        <v>2560</v>
      </c>
      <c r="B172" s="13">
        <v>171</v>
      </c>
      <c r="C172" s="13" t="s">
        <v>690</v>
      </c>
      <c r="D172" s="13">
        <v>247160</v>
      </c>
      <c r="E172" s="13">
        <v>274566</v>
      </c>
      <c r="F172" s="13">
        <v>284669</v>
      </c>
      <c r="G172" s="13">
        <v>293208</v>
      </c>
      <c r="H172" s="13">
        <v>0.4</v>
      </c>
      <c r="I172" s="13">
        <v>231</v>
      </c>
      <c r="J172" s="13">
        <v>91500</v>
      </c>
      <c r="K172" s="13">
        <v>97603</v>
      </c>
      <c r="L172" s="13">
        <v>101301</v>
      </c>
      <c r="M172" s="13">
        <v>0.8</v>
      </c>
      <c r="N172" s="13">
        <v>2.74</v>
      </c>
      <c r="O172" s="13">
        <v>69966</v>
      </c>
      <c r="P172" s="13">
        <v>73310</v>
      </c>
      <c r="Q172" s="13">
        <v>0.6</v>
      </c>
      <c r="R172" s="13">
        <v>61.9</v>
      </c>
      <c r="S172" s="13">
        <v>59.2</v>
      </c>
      <c r="T172" s="13">
        <v>31.9</v>
      </c>
      <c r="U172" s="13">
        <v>31.3</v>
      </c>
      <c r="V172" s="13">
        <v>2.1</v>
      </c>
      <c r="W172" s="13">
        <v>3.3</v>
      </c>
      <c r="X172" s="13">
        <v>4.8</v>
      </c>
      <c r="Y172" s="13">
        <v>8.8000000000000007</v>
      </c>
      <c r="Z172" s="13">
        <v>9.4</v>
      </c>
      <c r="AA172" s="13">
        <v>8.4</v>
      </c>
      <c r="AB172" s="13">
        <v>7.1</v>
      </c>
      <c r="AC172" s="13">
        <v>7.4</v>
      </c>
      <c r="AD172" s="13">
        <v>10.6</v>
      </c>
      <c r="AE172" s="13">
        <v>34.1</v>
      </c>
      <c r="AF172" s="13">
        <v>16.399999999999999</v>
      </c>
      <c r="AG172" s="13">
        <v>6.1</v>
      </c>
      <c r="AH172" s="13">
        <v>0.5</v>
      </c>
      <c r="AI172" s="13">
        <v>71.5</v>
      </c>
      <c r="AJ172" s="13">
        <v>27.3</v>
      </c>
      <c r="AK172" s="13">
        <v>28.4</v>
      </c>
      <c r="AL172" s="13">
        <v>104.6</v>
      </c>
      <c r="AM172" s="13">
        <v>18185</v>
      </c>
      <c r="AN172" s="13">
        <v>97603</v>
      </c>
      <c r="AO172" s="13">
        <v>9.9</v>
      </c>
      <c r="AP172" s="13">
        <v>14.3</v>
      </c>
      <c r="AQ172" s="13">
        <v>35.6</v>
      </c>
      <c r="AR172" s="13">
        <v>32</v>
      </c>
      <c r="AS172" s="13">
        <v>6.4</v>
      </c>
      <c r="AT172" s="13">
        <v>1.8</v>
      </c>
      <c r="AU172" s="13">
        <v>42171</v>
      </c>
      <c r="AV172" s="13">
        <v>54337</v>
      </c>
      <c r="AW172" s="13">
        <v>65</v>
      </c>
      <c r="AX172" s="13">
        <v>38149</v>
      </c>
      <c r="AY172" s="13">
        <v>32742</v>
      </c>
      <c r="AZ172" s="13">
        <v>43532</v>
      </c>
      <c r="BA172" s="13">
        <v>47535</v>
      </c>
      <c r="BB172" s="13">
        <v>41466</v>
      </c>
      <c r="BC172" s="13">
        <v>27203</v>
      </c>
      <c r="BD172" s="13">
        <v>96</v>
      </c>
      <c r="BE172" s="13">
        <v>94</v>
      </c>
      <c r="BF172" s="13">
        <v>86</v>
      </c>
      <c r="BG172" s="13">
        <v>88</v>
      </c>
      <c r="BH172" s="13">
        <v>97</v>
      </c>
      <c r="BI172" s="13">
        <v>94</v>
      </c>
      <c r="BJ172" s="13">
        <v>98</v>
      </c>
      <c r="BK172" s="13">
        <v>97</v>
      </c>
      <c r="BL172" s="13">
        <v>97</v>
      </c>
      <c r="BM172" s="13">
        <v>93</v>
      </c>
      <c r="BN172" s="13">
        <v>95</v>
      </c>
      <c r="BO172" s="13">
        <v>96</v>
      </c>
      <c r="BP172" s="13">
        <v>92</v>
      </c>
      <c r="BQ172" s="13">
        <v>97</v>
      </c>
      <c r="BR172" s="13">
        <v>86</v>
      </c>
      <c r="BS172" s="13">
        <v>99</v>
      </c>
      <c r="BT172" s="13">
        <v>92</v>
      </c>
      <c r="BU172" s="13">
        <v>97</v>
      </c>
      <c r="BV172" s="13">
        <v>94</v>
      </c>
      <c r="BW172" s="13">
        <v>99</v>
      </c>
      <c r="BX172" s="328">
        <f t="shared" si="14"/>
        <v>204016754</v>
      </c>
      <c r="BY172" s="328">
        <f t="shared" si="15"/>
        <v>76751972</v>
      </c>
      <c r="BZ172" s="329">
        <f t="shared" si="12"/>
        <v>0.90008808182755851</v>
      </c>
      <c r="CA172" s="329">
        <f t="shared" si="13"/>
        <v>0.8992274832662458</v>
      </c>
    </row>
    <row r="173" spans="1:79" x14ac:dyDescent="0.25">
      <c r="A173" s="13">
        <v>2670</v>
      </c>
      <c r="B173" s="13">
        <v>172</v>
      </c>
      <c r="C173" s="13" t="s">
        <v>691</v>
      </c>
      <c r="D173" s="13">
        <v>149184</v>
      </c>
      <c r="E173" s="13">
        <v>186136</v>
      </c>
      <c r="F173" s="13">
        <v>230603</v>
      </c>
      <c r="G173" s="13">
        <v>257650</v>
      </c>
      <c r="H173" s="13">
        <v>2.6</v>
      </c>
      <c r="I173" s="13">
        <v>19</v>
      </c>
      <c r="J173" s="13">
        <v>70472</v>
      </c>
      <c r="K173" s="13">
        <v>88859</v>
      </c>
      <c r="L173" s="13">
        <v>100302</v>
      </c>
      <c r="M173" s="13">
        <v>2.8</v>
      </c>
      <c r="N173" s="13">
        <v>2.52</v>
      </c>
      <c r="O173" s="13">
        <v>47247</v>
      </c>
      <c r="P173" s="13">
        <v>58011</v>
      </c>
      <c r="Q173" s="13">
        <v>2.5</v>
      </c>
      <c r="R173" s="13">
        <v>94.5</v>
      </c>
      <c r="S173" s="13">
        <v>93.5</v>
      </c>
      <c r="T173" s="13">
        <v>0.6</v>
      </c>
      <c r="U173" s="13">
        <v>0.7</v>
      </c>
      <c r="V173" s="13">
        <v>1.5</v>
      </c>
      <c r="W173" s="13">
        <v>1.9</v>
      </c>
      <c r="X173" s="13">
        <v>6.6</v>
      </c>
      <c r="Y173" s="13">
        <v>7.9</v>
      </c>
      <c r="Z173" s="13">
        <v>6.5</v>
      </c>
      <c r="AA173" s="13">
        <v>6.9</v>
      </c>
      <c r="AB173" s="13">
        <v>7.1</v>
      </c>
      <c r="AC173" s="13">
        <v>8.5</v>
      </c>
      <c r="AD173" s="13">
        <v>9</v>
      </c>
      <c r="AE173" s="13">
        <v>31.7</v>
      </c>
      <c r="AF173" s="13">
        <v>20.7</v>
      </c>
      <c r="AG173" s="13">
        <v>8.4</v>
      </c>
      <c r="AH173" s="13">
        <v>1.2</v>
      </c>
      <c r="AI173" s="13">
        <v>75.5</v>
      </c>
      <c r="AJ173" s="13">
        <v>31.1</v>
      </c>
      <c r="AK173" s="13">
        <v>33.700000000000003</v>
      </c>
      <c r="AL173" s="13">
        <v>98</v>
      </c>
      <c r="AM173" s="13">
        <v>24621</v>
      </c>
      <c r="AN173" s="13">
        <v>88859</v>
      </c>
      <c r="AO173" s="13">
        <v>10</v>
      </c>
      <c r="AP173" s="13">
        <v>10.4</v>
      </c>
      <c r="AQ173" s="13">
        <v>29.8</v>
      </c>
      <c r="AR173" s="13">
        <v>34.4</v>
      </c>
      <c r="AS173" s="13">
        <v>10.3</v>
      </c>
      <c r="AT173" s="13">
        <v>5.0999999999999996</v>
      </c>
      <c r="AU173" s="13">
        <v>49796</v>
      </c>
      <c r="AV173" s="13">
        <v>64235</v>
      </c>
      <c r="AW173" s="13">
        <v>18</v>
      </c>
      <c r="AX173" s="13">
        <v>45962</v>
      </c>
      <c r="AY173" s="13">
        <v>34437</v>
      </c>
      <c r="AZ173" s="13">
        <v>52063</v>
      </c>
      <c r="BA173" s="13">
        <v>59535</v>
      </c>
      <c r="BB173" s="13">
        <v>51212</v>
      </c>
      <c r="BC173" s="13">
        <v>31199</v>
      </c>
      <c r="BD173" s="13">
        <v>102</v>
      </c>
      <c r="BE173" s="13">
        <v>102</v>
      </c>
      <c r="BF173" s="13">
        <v>95</v>
      </c>
      <c r="BG173" s="13">
        <v>100</v>
      </c>
      <c r="BH173" s="13">
        <v>100</v>
      </c>
      <c r="BI173" s="13">
        <v>99</v>
      </c>
      <c r="BJ173" s="13">
        <v>102</v>
      </c>
      <c r="BK173" s="13">
        <v>100</v>
      </c>
      <c r="BL173" s="13">
        <v>101</v>
      </c>
      <c r="BM173" s="13">
        <v>101</v>
      </c>
      <c r="BN173" s="13">
        <v>102</v>
      </c>
      <c r="BO173" s="13">
        <v>97</v>
      </c>
      <c r="BP173" s="13">
        <v>95</v>
      </c>
      <c r="BQ173" s="13">
        <v>98</v>
      </c>
      <c r="BR173" s="13">
        <v>94</v>
      </c>
      <c r="BS173" s="13">
        <v>96</v>
      </c>
      <c r="BT173" s="13">
        <v>100</v>
      </c>
      <c r="BU173" s="13">
        <v>99</v>
      </c>
      <c r="BV173" s="13">
        <v>98</v>
      </c>
      <c r="BW173" s="13">
        <v>97</v>
      </c>
      <c r="BX173" s="328">
        <f t="shared" si="14"/>
        <v>204274404</v>
      </c>
      <c r="BY173" s="328">
        <f t="shared" si="15"/>
        <v>76852274</v>
      </c>
      <c r="BZ173" s="329">
        <f t="shared" si="12"/>
        <v>0.90122479089549556</v>
      </c>
      <c r="CA173" s="329">
        <f t="shared" si="13"/>
        <v>0.90040262330077903</v>
      </c>
    </row>
    <row r="174" spans="1:79" x14ac:dyDescent="0.25">
      <c r="A174" s="13">
        <v>1150</v>
      </c>
      <c r="B174" s="13">
        <v>173</v>
      </c>
      <c r="C174" s="13" t="s">
        <v>692</v>
      </c>
      <c r="D174" s="13">
        <v>147152</v>
      </c>
      <c r="E174" s="13">
        <v>189731</v>
      </c>
      <c r="F174" s="13">
        <v>239304</v>
      </c>
      <c r="G174" s="13">
        <v>268223</v>
      </c>
      <c r="H174" s="13">
        <v>2.9</v>
      </c>
      <c r="I174" s="13">
        <v>14</v>
      </c>
      <c r="J174" s="13">
        <v>69267</v>
      </c>
      <c r="K174" s="13">
        <v>88145</v>
      </c>
      <c r="L174" s="13">
        <v>99452</v>
      </c>
      <c r="M174" s="13">
        <v>3</v>
      </c>
      <c r="N174" s="13">
        <v>2.63</v>
      </c>
      <c r="O174" s="13">
        <v>50100</v>
      </c>
      <c r="P174" s="13">
        <v>62576</v>
      </c>
      <c r="Q174" s="13">
        <v>2.7</v>
      </c>
      <c r="R174" s="13">
        <v>90.2</v>
      </c>
      <c r="S174" s="13">
        <v>88</v>
      </c>
      <c r="T174" s="13">
        <v>2.7</v>
      </c>
      <c r="U174" s="13">
        <v>2.9</v>
      </c>
      <c r="V174" s="13">
        <v>4.4000000000000004</v>
      </c>
      <c r="W174" s="13">
        <v>5.8</v>
      </c>
      <c r="X174" s="13">
        <v>3.3</v>
      </c>
      <c r="Y174" s="13">
        <v>4.7</v>
      </c>
      <c r="Z174" s="13">
        <v>7.3</v>
      </c>
      <c r="AA174" s="13">
        <v>7.6</v>
      </c>
      <c r="AB174" s="13">
        <v>7.6</v>
      </c>
      <c r="AC174" s="13">
        <v>7.6</v>
      </c>
      <c r="AD174" s="13">
        <v>7.3</v>
      </c>
      <c r="AE174" s="13">
        <v>31.4</v>
      </c>
      <c r="AF174" s="13">
        <v>20.7</v>
      </c>
      <c r="AG174" s="13">
        <v>9.3000000000000007</v>
      </c>
      <c r="AH174" s="13">
        <v>1.2</v>
      </c>
      <c r="AI174" s="13">
        <v>73.099999999999994</v>
      </c>
      <c r="AJ174" s="13">
        <v>31.8</v>
      </c>
      <c r="AK174" s="13">
        <v>33.799999999999997</v>
      </c>
      <c r="AL174" s="13">
        <v>105.1</v>
      </c>
      <c r="AM174" s="13">
        <v>16860</v>
      </c>
      <c r="AN174" s="13">
        <v>88145</v>
      </c>
      <c r="AO174" s="13">
        <v>13.4</v>
      </c>
      <c r="AP174" s="13">
        <v>15.1</v>
      </c>
      <c r="AQ174" s="13">
        <v>39.200000000000003</v>
      </c>
      <c r="AR174" s="13">
        <v>27.4</v>
      </c>
      <c r="AS174" s="13">
        <v>3.5</v>
      </c>
      <c r="AT174" s="13">
        <v>1.4</v>
      </c>
      <c r="AU174" s="13">
        <v>37465</v>
      </c>
      <c r="AV174" s="13">
        <v>42726</v>
      </c>
      <c r="AW174" s="13">
        <v>131</v>
      </c>
      <c r="AX174" s="13">
        <v>35518</v>
      </c>
      <c r="AY174" s="13">
        <v>28351</v>
      </c>
      <c r="AZ174" s="13">
        <v>38863</v>
      </c>
      <c r="BA174" s="13">
        <v>45355</v>
      </c>
      <c r="BB174" s="13">
        <v>40289</v>
      </c>
      <c r="BC174" s="13">
        <v>25750</v>
      </c>
      <c r="BD174" s="13">
        <v>100</v>
      </c>
      <c r="BE174" s="13">
        <v>97</v>
      </c>
      <c r="BF174" s="13">
        <v>92</v>
      </c>
      <c r="BG174" s="13">
        <v>94</v>
      </c>
      <c r="BH174" s="13">
        <v>98</v>
      </c>
      <c r="BI174" s="13">
        <v>98</v>
      </c>
      <c r="BJ174" s="13">
        <v>101</v>
      </c>
      <c r="BK174" s="13">
        <v>100</v>
      </c>
      <c r="BL174" s="13">
        <v>101</v>
      </c>
      <c r="BM174" s="13">
        <v>99</v>
      </c>
      <c r="BN174" s="13">
        <v>100</v>
      </c>
      <c r="BO174" s="13">
        <v>95</v>
      </c>
      <c r="BP174" s="13">
        <v>95</v>
      </c>
      <c r="BQ174" s="13">
        <v>97</v>
      </c>
      <c r="BR174" s="13">
        <v>92</v>
      </c>
      <c r="BS174" s="13">
        <v>97</v>
      </c>
      <c r="BT174" s="13">
        <v>98</v>
      </c>
      <c r="BU174" s="13">
        <v>98</v>
      </c>
      <c r="BV174" s="13">
        <v>98</v>
      </c>
      <c r="BW174" s="13">
        <v>97</v>
      </c>
      <c r="BX174" s="328">
        <f t="shared" si="14"/>
        <v>204542627</v>
      </c>
      <c r="BY174" s="328">
        <f t="shared" si="15"/>
        <v>76951726</v>
      </c>
      <c r="BZ174" s="329">
        <f t="shared" si="12"/>
        <v>0.90240814628586719</v>
      </c>
      <c r="CA174" s="329">
        <f t="shared" si="13"/>
        <v>0.90156780472003684</v>
      </c>
    </row>
    <row r="175" spans="1:79" x14ac:dyDescent="0.25">
      <c r="A175" s="13">
        <v>4360</v>
      </c>
      <c r="B175" s="13">
        <v>174</v>
      </c>
      <c r="C175" s="13" t="s">
        <v>693</v>
      </c>
      <c r="D175" s="13">
        <v>192884</v>
      </c>
      <c r="E175" s="13">
        <v>213641</v>
      </c>
      <c r="F175" s="13">
        <v>235590</v>
      </c>
      <c r="G175" s="13">
        <v>248317</v>
      </c>
      <c r="H175" s="13">
        <v>1.2</v>
      </c>
      <c r="I175" s="13">
        <v>125</v>
      </c>
      <c r="J175" s="13">
        <v>82759</v>
      </c>
      <c r="K175" s="13">
        <v>91971</v>
      </c>
      <c r="L175" s="13">
        <v>97546</v>
      </c>
      <c r="M175" s="13">
        <v>1.3</v>
      </c>
      <c r="N175" s="13">
        <v>2.4300000000000002</v>
      </c>
      <c r="O175" s="13">
        <v>52985</v>
      </c>
      <c r="P175" s="13">
        <v>57210</v>
      </c>
      <c r="Q175" s="13">
        <v>0.9</v>
      </c>
      <c r="R175" s="13">
        <v>94.9</v>
      </c>
      <c r="S175" s="13">
        <v>92.9</v>
      </c>
      <c r="T175" s="13">
        <v>2.2000000000000002</v>
      </c>
      <c r="U175" s="13">
        <v>2.4</v>
      </c>
      <c r="V175" s="13">
        <v>1.6</v>
      </c>
      <c r="W175" s="13">
        <v>2.5</v>
      </c>
      <c r="X175" s="13">
        <v>1.8</v>
      </c>
      <c r="Y175" s="13">
        <v>3.6</v>
      </c>
      <c r="Z175" s="13">
        <v>6.3</v>
      </c>
      <c r="AA175" s="13">
        <v>6.6</v>
      </c>
      <c r="AB175" s="13">
        <v>6.6</v>
      </c>
      <c r="AC175" s="13">
        <v>8.3000000000000007</v>
      </c>
      <c r="AD175" s="13">
        <v>10.1</v>
      </c>
      <c r="AE175" s="13">
        <v>32.4</v>
      </c>
      <c r="AF175" s="13">
        <v>18.8</v>
      </c>
      <c r="AG175" s="13">
        <v>9.4</v>
      </c>
      <c r="AH175" s="13">
        <v>1.5</v>
      </c>
      <c r="AI175" s="13">
        <v>76.900000000000006</v>
      </c>
      <c r="AJ175" s="13">
        <v>30.7</v>
      </c>
      <c r="AK175" s="13">
        <v>32.700000000000003</v>
      </c>
      <c r="AL175" s="13">
        <v>96.5</v>
      </c>
      <c r="AM175" s="13">
        <v>19410</v>
      </c>
      <c r="AN175" s="13">
        <v>91964</v>
      </c>
      <c r="AO175" s="13">
        <v>13.2</v>
      </c>
      <c r="AP175" s="13">
        <v>13.1</v>
      </c>
      <c r="AQ175" s="13">
        <v>36.200000000000003</v>
      </c>
      <c r="AR175" s="13">
        <v>29.9</v>
      </c>
      <c r="AS175" s="13">
        <v>5.8</v>
      </c>
      <c r="AT175" s="13">
        <v>1.8</v>
      </c>
      <c r="AU175" s="13">
        <v>40901</v>
      </c>
      <c r="AV175" s="13">
        <v>47810</v>
      </c>
      <c r="AW175" s="13">
        <v>79</v>
      </c>
      <c r="AX175" s="13">
        <v>36317</v>
      </c>
      <c r="AY175" s="13">
        <v>29334</v>
      </c>
      <c r="AZ175" s="13">
        <v>42871</v>
      </c>
      <c r="BA175" s="13">
        <v>47105</v>
      </c>
      <c r="BB175" s="13">
        <v>42320</v>
      </c>
      <c r="BC175" s="13">
        <v>25678</v>
      </c>
      <c r="BD175" s="13">
        <v>98</v>
      </c>
      <c r="BE175" s="13">
        <v>101</v>
      </c>
      <c r="BF175" s="13">
        <v>96</v>
      </c>
      <c r="BG175" s="13">
        <v>97</v>
      </c>
      <c r="BH175" s="13">
        <v>101</v>
      </c>
      <c r="BI175" s="13">
        <v>99</v>
      </c>
      <c r="BJ175" s="13">
        <v>99</v>
      </c>
      <c r="BK175" s="13">
        <v>98</v>
      </c>
      <c r="BL175" s="13">
        <v>98</v>
      </c>
      <c r="BM175" s="13">
        <v>98</v>
      </c>
      <c r="BN175" s="13">
        <v>101</v>
      </c>
      <c r="BO175" s="13">
        <v>97</v>
      </c>
      <c r="BP175" s="13">
        <v>100</v>
      </c>
      <c r="BQ175" s="13">
        <v>99</v>
      </c>
      <c r="BR175" s="13">
        <v>102</v>
      </c>
      <c r="BS175" s="13">
        <v>101</v>
      </c>
      <c r="BT175" s="13">
        <v>99</v>
      </c>
      <c r="BU175" s="13">
        <v>99</v>
      </c>
      <c r="BV175" s="13">
        <v>98</v>
      </c>
      <c r="BW175" s="13">
        <v>99</v>
      </c>
      <c r="BX175" s="328">
        <f t="shared" si="14"/>
        <v>204790944</v>
      </c>
      <c r="BY175" s="328">
        <f t="shared" si="15"/>
        <v>77049272</v>
      </c>
      <c r="BZ175" s="329">
        <f t="shared" si="12"/>
        <v>0.90350367970571155</v>
      </c>
      <c r="CA175" s="329">
        <f t="shared" si="13"/>
        <v>0.90271065540904183</v>
      </c>
    </row>
    <row r="176" spans="1:79" x14ac:dyDescent="0.25">
      <c r="A176" s="13">
        <v>2240</v>
      </c>
      <c r="B176" s="13">
        <v>175</v>
      </c>
      <c r="C176" s="13" t="s">
        <v>694</v>
      </c>
      <c r="D176" s="13">
        <v>266650</v>
      </c>
      <c r="E176" s="13">
        <v>239971</v>
      </c>
      <c r="F176" s="13">
        <v>238450</v>
      </c>
      <c r="G176" s="13">
        <v>238188</v>
      </c>
      <c r="H176" s="13">
        <v>-0.1</v>
      </c>
      <c r="I176" s="13">
        <v>285</v>
      </c>
      <c r="J176" s="13">
        <v>95275</v>
      </c>
      <c r="K176" s="13">
        <v>96565</v>
      </c>
      <c r="L176" s="13">
        <v>97308</v>
      </c>
      <c r="M176" s="13">
        <v>0.2</v>
      </c>
      <c r="N176" s="13">
        <v>2.4</v>
      </c>
      <c r="O176" s="13">
        <v>62916</v>
      </c>
      <c r="P176" s="13">
        <v>62055</v>
      </c>
      <c r="Q176" s="13">
        <v>-0.2</v>
      </c>
      <c r="R176" s="13">
        <v>96.9</v>
      </c>
      <c r="S176" s="13">
        <v>96.2</v>
      </c>
      <c r="T176" s="13">
        <v>0.5</v>
      </c>
      <c r="U176" s="13">
        <v>0.7</v>
      </c>
      <c r="V176" s="13">
        <v>0.6</v>
      </c>
      <c r="W176" s="13">
        <v>0.8</v>
      </c>
      <c r="X176" s="13">
        <v>0.5</v>
      </c>
      <c r="Y176" s="13">
        <v>0.7</v>
      </c>
      <c r="Z176" s="13">
        <v>5.4</v>
      </c>
      <c r="AA176" s="13">
        <v>6.1</v>
      </c>
      <c r="AB176" s="13">
        <v>7.3</v>
      </c>
      <c r="AC176" s="13">
        <v>8</v>
      </c>
      <c r="AD176" s="13">
        <v>6.4</v>
      </c>
      <c r="AE176" s="13">
        <v>28.1</v>
      </c>
      <c r="AF176" s="13">
        <v>21.8</v>
      </c>
      <c r="AG176" s="13">
        <v>14.6</v>
      </c>
      <c r="AH176" s="13">
        <v>2.2000000000000002</v>
      </c>
      <c r="AI176" s="13">
        <v>76.8</v>
      </c>
      <c r="AJ176" s="13">
        <v>35.6</v>
      </c>
      <c r="AK176" s="13">
        <v>38.200000000000003</v>
      </c>
      <c r="AL176" s="13">
        <v>96</v>
      </c>
      <c r="AM176" s="13">
        <v>15683</v>
      </c>
      <c r="AN176" s="13">
        <v>96565</v>
      </c>
      <c r="AO176" s="13">
        <v>22.1</v>
      </c>
      <c r="AP176" s="13">
        <v>16.100000000000001</v>
      </c>
      <c r="AQ176" s="13">
        <v>37.1</v>
      </c>
      <c r="AR176" s="13">
        <v>20.8</v>
      </c>
      <c r="AS176" s="13">
        <v>2.9</v>
      </c>
      <c r="AT176" s="13">
        <v>0.9</v>
      </c>
      <c r="AU176" s="13">
        <v>31868</v>
      </c>
      <c r="AV176" s="13">
        <v>36437</v>
      </c>
      <c r="AW176" s="13">
        <v>238</v>
      </c>
      <c r="AX176" s="13">
        <v>28177</v>
      </c>
      <c r="AY176" s="13">
        <v>24548</v>
      </c>
      <c r="AZ176" s="13">
        <v>34395</v>
      </c>
      <c r="BA176" s="13">
        <v>37416</v>
      </c>
      <c r="BB176" s="13">
        <v>31794</v>
      </c>
      <c r="BC176" s="13">
        <v>18421</v>
      </c>
      <c r="BD176" s="13">
        <v>96</v>
      </c>
      <c r="BE176" s="13">
        <v>86</v>
      </c>
      <c r="BF176" s="13">
        <v>91</v>
      </c>
      <c r="BG176" s="13">
        <v>89</v>
      </c>
      <c r="BH176" s="13">
        <v>100</v>
      </c>
      <c r="BI176" s="13">
        <v>96</v>
      </c>
      <c r="BJ176" s="13">
        <v>104</v>
      </c>
      <c r="BK176" s="13">
        <v>97</v>
      </c>
      <c r="BL176" s="13">
        <v>94</v>
      </c>
      <c r="BM176" s="13">
        <v>90</v>
      </c>
      <c r="BN176" s="13">
        <v>91</v>
      </c>
      <c r="BO176" s="13">
        <v>94</v>
      </c>
      <c r="BP176" s="13">
        <v>94</v>
      </c>
      <c r="BQ176" s="13">
        <v>97</v>
      </c>
      <c r="BR176" s="13">
        <v>96</v>
      </c>
      <c r="BS176" s="13">
        <v>100</v>
      </c>
      <c r="BT176" s="13">
        <v>91</v>
      </c>
      <c r="BU176" s="13">
        <v>94</v>
      </c>
      <c r="BV176" s="13">
        <v>101</v>
      </c>
      <c r="BW176" s="13">
        <v>97</v>
      </c>
      <c r="BX176" s="328">
        <f t="shared" si="14"/>
        <v>205029132</v>
      </c>
      <c r="BY176" s="328">
        <f t="shared" si="15"/>
        <v>77146580</v>
      </c>
      <c r="BZ176" s="329">
        <f t="shared" si="12"/>
        <v>0.90455452565748251</v>
      </c>
      <c r="CA176" s="329">
        <f t="shared" si="13"/>
        <v>0.90385071768576963</v>
      </c>
    </row>
    <row r="177" spans="1:79" x14ac:dyDescent="0.25">
      <c r="A177" s="13">
        <v>743</v>
      </c>
      <c r="B177" s="13">
        <v>176</v>
      </c>
      <c r="C177" s="13" t="s">
        <v>695</v>
      </c>
      <c r="D177" s="13">
        <v>147925</v>
      </c>
      <c r="E177" s="13">
        <v>186605</v>
      </c>
      <c r="F177" s="13">
        <v>208313</v>
      </c>
      <c r="G177" s="13">
        <v>221345</v>
      </c>
      <c r="H177" s="13">
        <v>1.3</v>
      </c>
      <c r="I177" s="13">
        <v>99</v>
      </c>
      <c r="J177" s="13">
        <v>77586</v>
      </c>
      <c r="K177" s="13">
        <v>89386</v>
      </c>
      <c r="L177" s="13">
        <v>96900</v>
      </c>
      <c r="M177" s="13">
        <v>1.7</v>
      </c>
      <c r="N177" s="13">
        <v>2.2799999999999998</v>
      </c>
      <c r="O177" s="13">
        <v>52006</v>
      </c>
      <c r="P177" s="13">
        <v>58462</v>
      </c>
      <c r="Q177" s="13">
        <v>1.4</v>
      </c>
      <c r="R177" s="13">
        <v>96.2</v>
      </c>
      <c r="S177" s="13">
        <v>95.3</v>
      </c>
      <c r="T177" s="13">
        <v>1.5</v>
      </c>
      <c r="U177" s="13">
        <v>1.9</v>
      </c>
      <c r="V177" s="13">
        <v>0.5</v>
      </c>
      <c r="W177" s="13">
        <v>0.8</v>
      </c>
      <c r="X177" s="13">
        <v>1.2</v>
      </c>
      <c r="Y177" s="13">
        <v>1.8</v>
      </c>
      <c r="Z177" s="13">
        <v>5.6</v>
      </c>
      <c r="AA177" s="13">
        <v>6.5</v>
      </c>
      <c r="AB177" s="13">
        <v>6.1</v>
      </c>
      <c r="AC177" s="13">
        <v>4.9000000000000004</v>
      </c>
      <c r="AD177" s="13">
        <v>3.9</v>
      </c>
      <c r="AE177" s="13">
        <v>28.2</v>
      </c>
      <c r="AF177" s="13">
        <v>22.6</v>
      </c>
      <c r="AG177" s="13">
        <v>19.399999999999999</v>
      </c>
      <c r="AH177" s="13">
        <v>2.7</v>
      </c>
      <c r="AI177" s="13">
        <v>78.8</v>
      </c>
      <c r="AJ177" s="13">
        <v>39.5</v>
      </c>
      <c r="AK177" s="13">
        <v>41.7</v>
      </c>
      <c r="AL177" s="13">
        <v>91.2</v>
      </c>
      <c r="AM177" s="13">
        <v>18362</v>
      </c>
      <c r="AN177" s="13">
        <v>89386</v>
      </c>
      <c r="AO177" s="13">
        <v>18.8</v>
      </c>
      <c r="AP177" s="13">
        <v>16</v>
      </c>
      <c r="AQ177" s="13">
        <v>35.200000000000003</v>
      </c>
      <c r="AR177" s="13">
        <v>24.7</v>
      </c>
      <c r="AS177" s="13">
        <v>3.9</v>
      </c>
      <c r="AT177" s="13">
        <v>1.5</v>
      </c>
      <c r="AU177" s="13">
        <v>34515</v>
      </c>
      <c r="AV177" s="13">
        <v>36487</v>
      </c>
      <c r="AW177" s="13">
        <v>193</v>
      </c>
      <c r="AX177" s="13">
        <v>30288</v>
      </c>
      <c r="AY177" s="13">
        <v>28546</v>
      </c>
      <c r="AZ177" s="13">
        <v>35556</v>
      </c>
      <c r="BA177" s="13">
        <v>40619</v>
      </c>
      <c r="BB177" s="13">
        <v>35871</v>
      </c>
      <c r="BC177" s="13">
        <v>20315</v>
      </c>
      <c r="BD177" s="13">
        <v>104</v>
      </c>
      <c r="BE177" s="13">
        <v>94</v>
      </c>
      <c r="BF177" s="13">
        <v>104</v>
      </c>
      <c r="BG177" s="13">
        <v>103</v>
      </c>
      <c r="BH177" s="13">
        <v>96</v>
      </c>
      <c r="BI177" s="13">
        <v>100</v>
      </c>
      <c r="BJ177" s="13">
        <v>102</v>
      </c>
      <c r="BK177" s="13">
        <v>102</v>
      </c>
      <c r="BL177" s="13">
        <v>97</v>
      </c>
      <c r="BM177" s="13">
        <v>98</v>
      </c>
      <c r="BN177" s="13">
        <v>100</v>
      </c>
      <c r="BO177" s="13">
        <v>103</v>
      </c>
      <c r="BP177" s="13">
        <v>101</v>
      </c>
      <c r="BQ177" s="13">
        <v>105</v>
      </c>
      <c r="BR177" s="13">
        <v>104</v>
      </c>
      <c r="BS177" s="13">
        <v>100</v>
      </c>
      <c r="BT177" s="13">
        <v>103</v>
      </c>
      <c r="BU177" s="13">
        <v>99</v>
      </c>
      <c r="BV177" s="13">
        <v>108</v>
      </c>
      <c r="BW177" s="13">
        <v>104</v>
      </c>
      <c r="BX177" s="328">
        <f t="shared" si="14"/>
        <v>205250477</v>
      </c>
      <c r="BY177" s="328">
        <f t="shared" si="15"/>
        <v>77243480</v>
      </c>
      <c r="BZ177" s="329">
        <f t="shared" si="12"/>
        <v>0.90553106308671794</v>
      </c>
      <c r="CA177" s="329">
        <f t="shared" si="13"/>
        <v>0.90498599982716532</v>
      </c>
    </row>
    <row r="178" spans="1:79" x14ac:dyDescent="0.25">
      <c r="A178" s="13">
        <v>2281</v>
      </c>
      <c r="B178" s="13">
        <v>177</v>
      </c>
      <c r="C178" s="13" t="s">
        <v>696</v>
      </c>
      <c r="D178" s="13">
        <v>245055</v>
      </c>
      <c r="E178" s="13">
        <v>259462</v>
      </c>
      <c r="F178" s="13">
        <v>266230</v>
      </c>
      <c r="G178" s="13">
        <v>270706</v>
      </c>
      <c r="H178" s="13">
        <v>0.3</v>
      </c>
      <c r="I178" s="13">
        <v>244</v>
      </c>
      <c r="J178" s="13">
        <v>89567</v>
      </c>
      <c r="K178" s="13">
        <v>93830</v>
      </c>
      <c r="L178" s="13">
        <v>96397</v>
      </c>
      <c r="M178" s="13">
        <v>0.6</v>
      </c>
      <c r="N178" s="13">
        <v>2.65</v>
      </c>
      <c r="O178" s="13">
        <v>64757</v>
      </c>
      <c r="P178" s="13">
        <v>66305</v>
      </c>
      <c r="Q178" s="13">
        <v>0.3</v>
      </c>
      <c r="R178" s="13">
        <v>88.3</v>
      </c>
      <c r="S178" s="13">
        <v>86.2</v>
      </c>
      <c r="T178" s="13">
        <v>8.4</v>
      </c>
      <c r="U178" s="13">
        <v>9.1</v>
      </c>
      <c r="V178" s="13">
        <v>2.2000000000000002</v>
      </c>
      <c r="W178" s="13">
        <v>3.4</v>
      </c>
      <c r="X178" s="13">
        <v>3.8</v>
      </c>
      <c r="Y178" s="13">
        <v>5.0999999999999996</v>
      </c>
      <c r="Z178" s="13">
        <v>7</v>
      </c>
      <c r="AA178" s="13">
        <v>7.6</v>
      </c>
      <c r="AB178" s="13">
        <v>6.7</v>
      </c>
      <c r="AC178" s="13">
        <v>6.8</v>
      </c>
      <c r="AD178" s="13">
        <v>5.9</v>
      </c>
      <c r="AE178" s="13">
        <v>32</v>
      </c>
      <c r="AF178" s="13">
        <v>22.2</v>
      </c>
      <c r="AG178" s="13">
        <v>10.199999999999999</v>
      </c>
      <c r="AH178" s="13">
        <v>1.5</v>
      </c>
      <c r="AI178" s="13">
        <v>75.099999999999994</v>
      </c>
      <c r="AJ178" s="13">
        <v>33.4</v>
      </c>
      <c r="AK178" s="13">
        <v>35.6</v>
      </c>
      <c r="AL178" s="13">
        <v>101.2</v>
      </c>
      <c r="AM178" s="13">
        <v>20040</v>
      </c>
      <c r="AN178" s="13">
        <v>93826</v>
      </c>
      <c r="AO178" s="13">
        <v>11.1</v>
      </c>
      <c r="AP178" s="13">
        <v>9.9</v>
      </c>
      <c r="AQ178" s="13">
        <v>30.8</v>
      </c>
      <c r="AR178" s="13">
        <v>38.799999999999997</v>
      </c>
      <c r="AS178" s="13">
        <v>7.3</v>
      </c>
      <c r="AT178" s="13">
        <v>2.2000000000000002</v>
      </c>
      <c r="AU178" s="13">
        <v>48532</v>
      </c>
      <c r="AV178" s="13">
        <v>54803</v>
      </c>
      <c r="AW178" s="13">
        <v>22</v>
      </c>
      <c r="AX178" s="13">
        <v>38784</v>
      </c>
      <c r="AY178" s="13">
        <v>36837</v>
      </c>
      <c r="AZ178" s="13">
        <v>42309</v>
      </c>
      <c r="BA178" s="13">
        <v>47839</v>
      </c>
      <c r="BB178" s="13">
        <v>44809</v>
      </c>
      <c r="BC178" s="13">
        <v>22086</v>
      </c>
      <c r="BD178" s="13">
        <v>104</v>
      </c>
      <c r="BE178" s="13">
        <v>108</v>
      </c>
      <c r="BF178" s="13">
        <v>108</v>
      </c>
      <c r="BG178" s="13">
        <v>108</v>
      </c>
      <c r="BH178" s="13">
        <v>97</v>
      </c>
      <c r="BI178" s="13">
        <v>99</v>
      </c>
      <c r="BJ178" s="13">
        <v>94</v>
      </c>
      <c r="BK178" s="13">
        <v>101</v>
      </c>
      <c r="BL178" s="13">
        <v>103</v>
      </c>
      <c r="BM178" s="13">
        <v>107</v>
      </c>
      <c r="BN178" s="13">
        <v>109</v>
      </c>
      <c r="BO178" s="13">
        <v>106</v>
      </c>
      <c r="BP178" s="13">
        <v>108</v>
      </c>
      <c r="BQ178" s="13">
        <v>107</v>
      </c>
      <c r="BR178" s="13">
        <v>110</v>
      </c>
      <c r="BS178" s="13">
        <v>101</v>
      </c>
      <c r="BT178" s="13">
        <v>113</v>
      </c>
      <c r="BU178" s="13">
        <v>106</v>
      </c>
      <c r="BV178" s="13">
        <v>102</v>
      </c>
      <c r="BW178" s="13">
        <v>105</v>
      </c>
      <c r="BX178" s="328">
        <f t="shared" si="14"/>
        <v>205521183</v>
      </c>
      <c r="BY178" s="328">
        <f t="shared" si="15"/>
        <v>77339877</v>
      </c>
      <c r="BZ178" s="329">
        <f t="shared" si="12"/>
        <v>0.90672537306127632</v>
      </c>
      <c r="CA178" s="329">
        <f t="shared" si="13"/>
        <v>0.90611538881152154</v>
      </c>
    </row>
    <row r="179" spans="1:79" x14ac:dyDescent="0.25">
      <c r="A179" s="13">
        <v>6800</v>
      </c>
      <c r="B179" s="13">
        <v>178</v>
      </c>
      <c r="C179" s="13" t="s">
        <v>697</v>
      </c>
      <c r="D179" s="13">
        <v>220393</v>
      </c>
      <c r="E179" s="13">
        <v>224477</v>
      </c>
      <c r="F179" s="13">
        <v>228571</v>
      </c>
      <c r="G179" s="13">
        <v>230670</v>
      </c>
      <c r="H179" s="13">
        <v>0.2</v>
      </c>
      <c r="I179" s="13">
        <v>254</v>
      </c>
      <c r="J179" s="13">
        <v>89694</v>
      </c>
      <c r="K179" s="13">
        <v>93156</v>
      </c>
      <c r="L179" s="13">
        <v>95156</v>
      </c>
      <c r="M179" s="13">
        <v>0.5</v>
      </c>
      <c r="N179" s="13">
        <v>2.38</v>
      </c>
      <c r="O179" s="13">
        <v>62197</v>
      </c>
      <c r="P179" s="13">
        <v>63107</v>
      </c>
      <c r="Q179" s="13">
        <v>0.2</v>
      </c>
      <c r="R179" s="13">
        <v>86.7</v>
      </c>
      <c r="S179" s="13">
        <v>85.3</v>
      </c>
      <c r="T179" s="13">
        <v>12.3</v>
      </c>
      <c r="U179" s="13">
        <v>13.4</v>
      </c>
      <c r="V179" s="13">
        <v>0.7</v>
      </c>
      <c r="W179" s="13">
        <v>1</v>
      </c>
      <c r="X179" s="13">
        <v>0.6</v>
      </c>
      <c r="Y179" s="13">
        <v>1</v>
      </c>
      <c r="Z179" s="13">
        <v>5.6</v>
      </c>
      <c r="AA179" s="13">
        <v>6.1</v>
      </c>
      <c r="AB179" s="13">
        <v>6</v>
      </c>
      <c r="AC179" s="13">
        <v>6.5</v>
      </c>
      <c r="AD179" s="13">
        <v>5.6</v>
      </c>
      <c r="AE179" s="13">
        <v>30.6</v>
      </c>
      <c r="AF179" s="13">
        <v>23.5</v>
      </c>
      <c r="AG179" s="13">
        <v>13.9</v>
      </c>
      <c r="AH179" s="13">
        <v>2.1</v>
      </c>
      <c r="AI179" s="13">
        <v>78.7</v>
      </c>
      <c r="AJ179" s="13">
        <v>36.4</v>
      </c>
      <c r="AK179" s="13">
        <v>38.799999999999997</v>
      </c>
      <c r="AL179" s="13">
        <v>89.7</v>
      </c>
      <c r="AM179" s="13">
        <v>17189</v>
      </c>
      <c r="AN179" s="13">
        <v>93141</v>
      </c>
      <c r="AO179" s="13">
        <v>18.5</v>
      </c>
      <c r="AP179" s="13">
        <v>16.100000000000001</v>
      </c>
      <c r="AQ179" s="13">
        <v>36.700000000000003</v>
      </c>
      <c r="AR179" s="13">
        <v>23.6</v>
      </c>
      <c r="AS179" s="13">
        <v>3.8</v>
      </c>
      <c r="AT179" s="13">
        <v>1.3</v>
      </c>
      <c r="AU179" s="13">
        <v>34283</v>
      </c>
      <c r="AV179" s="13">
        <v>36951</v>
      </c>
      <c r="AW179" s="13">
        <v>199</v>
      </c>
      <c r="AX179" s="13">
        <v>31533</v>
      </c>
      <c r="AY179" s="13">
        <v>27451</v>
      </c>
      <c r="AZ179" s="13">
        <v>35971</v>
      </c>
      <c r="BA179" s="13">
        <v>40380</v>
      </c>
      <c r="BB179" s="13">
        <v>35703</v>
      </c>
      <c r="BC179" s="13">
        <v>21486</v>
      </c>
      <c r="BD179" s="13">
        <v>98</v>
      </c>
      <c r="BE179" s="13">
        <v>95</v>
      </c>
      <c r="BF179" s="13">
        <v>101</v>
      </c>
      <c r="BG179" s="13">
        <v>95</v>
      </c>
      <c r="BH179" s="13">
        <v>105</v>
      </c>
      <c r="BI179" s="13">
        <v>102</v>
      </c>
      <c r="BJ179" s="13">
        <v>103</v>
      </c>
      <c r="BK179" s="13">
        <v>99</v>
      </c>
      <c r="BL179" s="13">
        <v>97</v>
      </c>
      <c r="BM179" s="13">
        <v>99</v>
      </c>
      <c r="BN179" s="13">
        <v>97</v>
      </c>
      <c r="BO179" s="13">
        <v>98</v>
      </c>
      <c r="BP179" s="13">
        <v>98</v>
      </c>
      <c r="BQ179" s="13">
        <v>101</v>
      </c>
      <c r="BR179" s="13">
        <v>94</v>
      </c>
      <c r="BS179" s="13">
        <v>99</v>
      </c>
      <c r="BT179" s="13">
        <v>96</v>
      </c>
      <c r="BU179" s="13">
        <v>98</v>
      </c>
      <c r="BV179" s="13">
        <v>100</v>
      </c>
      <c r="BW179" s="13">
        <v>99</v>
      </c>
      <c r="BX179" s="328">
        <f t="shared" si="14"/>
        <v>205751853</v>
      </c>
      <c r="BY179" s="328">
        <f t="shared" si="15"/>
        <v>77435033</v>
      </c>
      <c r="BZ179" s="329">
        <f t="shared" si="12"/>
        <v>0.90774305084393114</v>
      </c>
      <c r="CA179" s="329">
        <f t="shared" si="13"/>
        <v>0.90723023821757565</v>
      </c>
    </row>
    <row r="180" spans="1:79" x14ac:dyDescent="0.25">
      <c r="A180" s="13">
        <v>5800</v>
      </c>
      <c r="B180" s="13">
        <v>179</v>
      </c>
      <c r="C180" s="13" t="s">
        <v>698</v>
      </c>
      <c r="D180" s="13">
        <v>198010</v>
      </c>
      <c r="E180" s="13">
        <v>225545</v>
      </c>
      <c r="F180" s="13">
        <v>246052</v>
      </c>
      <c r="G180" s="13">
        <v>258253</v>
      </c>
      <c r="H180" s="13">
        <v>1.1000000000000001</v>
      </c>
      <c r="I180" s="13">
        <v>151</v>
      </c>
      <c r="J180" s="13">
        <v>81242</v>
      </c>
      <c r="K180" s="13">
        <v>89567</v>
      </c>
      <c r="L180" s="13">
        <v>94883</v>
      </c>
      <c r="M180" s="13">
        <v>1.2</v>
      </c>
      <c r="N180" s="13">
        <v>2.72</v>
      </c>
      <c r="O180" s="13">
        <v>60122</v>
      </c>
      <c r="P180" s="13">
        <v>65080</v>
      </c>
      <c r="Q180" s="13">
        <v>1</v>
      </c>
      <c r="R180" s="13">
        <v>79</v>
      </c>
      <c r="S180" s="13">
        <v>75.900000000000006</v>
      </c>
      <c r="T180" s="13">
        <v>6.1</v>
      </c>
      <c r="U180" s="13">
        <v>6.5</v>
      </c>
      <c r="V180" s="13">
        <v>0.7</v>
      </c>
      <c r="W180" s="13">
        <v>1</v>
      </c>
      <c r="X180" s="13">
        <v>26.6</v>
      </c>
      <c r="Y180" s="13">
        <v>31.7</v>
      </c>
      <c r="Z180" s="13">
        <v>9.1999999999999993</v>
      </c>
      <c r="AA180" s="13">
        <v>9</v>
      </c>
      <c r="AB180" s="13">
        <v>8.9</v>
      </c>
      <c r="AC180" s="13">
        <v>7.9</v>
      </c>
      <c r="AD180" s="13">
        <v>6.1</v>
      </c>
      <c r="AE180" s="13">
        <v>29.9</v>
      </c>
      <c r="AF180" s="13">
        <v>19.399999999999999</v>
      </c>
      <c r="AG180" s="13">
        <v>8.8000000000000007</v>
      </c>
      <c r="AH180" s="13">
        <v>0.9</v>
      </c>
      <c r="AI180" s="13">
        <v>68.2</v>
      </c>
      <c r="AJ180" s="13">
        <v>30.6</v>
      </c>
      <c r="AK180" s="13">
        <v>32.1</v>
      </c>
      <c r="AL180" s="13">
        <v>95.7</v>
      </c>
      <c r="AM180" s="13">
        <v>17272</v>
      </c>
      <c r="AN180" s="13">
        <v>89567</v>
      </c>
      <c r="AO180" s="13">
        <v>18.3</v>
      </c>
      <c r="AP180" s="13">
        <v>15.7</v>
      </c>
      <c r="AQ180" s="13">
        <v>32.700000000000003</v>
      </c>
      <c r="AR180" s="13">
        <v>25</v>
      </c>
      <c r="AS180" s="13">
        <v>5.2</v>
      </c>
      <c r="AT180" s="13">
        <v>3</v>
      </c>
      <c r="AU180" s="13">
        <v>35979</v>
      </c>
      <c r="AV180" s="13">
        <v>42715</v>
      </c>
      <c r="AW180" s="13">
        <v>159</v>
      </c>
      <c r="AX180" s="13">
        <v>37351</v>
      </c>
      <c r="AY180" s="13">
        <v>29840</v>
      </c>
      <c r="AZ180" s="13">
        <v>41142</v>
      </c>
      <c r="BA180" s="13">
        <v>44047</v>
      </c>
      <c r="BB180" s="13">
        <v>40977</v>
      </c>
      <c r="BC180" s="13">
        <v>29176</v>
      </c>
      <c r="BD180" s="13">
        <v>99</v>
      </c>
      <c r="BE180" s="13">
        <v>100</v>
      </c>
      <c r="BF180" s="13">
        <v>99</v>
      </c>
      <c r="BG180" s="13">
        <v>98</v>
      </c>
      <c r="BH180" s="13">
        <v>101</v>
      </c>
      <c r="BI180" s="13">
        <v>102</v>
      </c>
      <c r="BJ180" s="13">
        <v>103</v>
      </c>
      <c r="BK180" s="13">
        <v>100</v>
      </c>
      <c r="BL180" s="13">
        <v>101</v>
      </c>
      <c r="BM180" s="13">
        <v>101</v>
      </c>
      <c r="BN180" s="13">
        <v>101</v>
      </c>
      <c r="BO180" s="13">
        <v>100</v>
      </c>
      <c r="BP180" s="13">
        <v>99</v>
      </c>
      <c r="BQ180" s="13">
        <v>101</v>
      </c>
      <c r="BR180" s="13">
        <v>93</v>
      </c>
      <c r="BS180" s="13">
        <v>100</v>
      </c>
      <c r="BT180" s="13">
        <v>97</v>
      </c>
      <c r="BU180" s="13">
        <v>100</v>
      </c>
      <c r="BV180" s="13">
        <v>100</v>
      </c>
      <c r="BW180" s="13">
        <v>102</v>
      </c>
      <c r="BX180" s="328">
        <f t="shared" si="14"/>
        <v>206010106</v>
      </c>
      <c r="BY180" s="328">
        <f t="shared" si="15"/>
        <v>77529916</v>
      </c>
      <c r="BZ180" s="329">
        <f t="shared" si="12"/>
        <v>0.9088824202478587</v>
      </c>
      <c r="CA180" s="329">
        <f t="shared" si="13"/>
        <v>0.90834188915072367</v>
      </c>
    </row>
    <row r="181" spans="1:79" x14ac:dyDescent="0.25">
      <c r="A181" s="13">
        <v>960</v>
      </c>
      <c r="B181" s="13">
        <v>180</v>
      </c>
      <c r="C181" s="13" t="s">
        <v>699</v>
      </c>
      <c r="D181" s="13">
        <v>263460</v>
      </c>
      <c r="E181" s="13">
        <v>264497</v>
      </c>
      <c r="F181" s="13">
        <v>249095</v>
      </c>
      <c r="G181" s="13">
        <v>239860</v>
      </c>
      <c r="H181" s="13">
        <v>-0.7</v>
      </c>
      <c r="I181" s="13">
        <v>314</v>
      </c>
      <c r="J181" s="13">
        <v>100681</v>
      </c>
      <c r="K181" s="13">
        <v>96198</v>
      </c>
      <c r="L181" s="13">
        <v>93516</v>
      </c>
      <c r="M181" s="13">
        <v>-0.6</v>
      </c>
      <c r="N181" s="13">
        <v>2.5</v>
      </c>
      <c r="O181" s="13">
        <v>69289</v>
      </c>
      <c r="P181" s="13">
        <v>64730</v>
      </c>
      <c r="Q181" s="13">
        <v>-0.8</v>
      </c>
      <c r="R181" s="13">
        <v>96.2</v>
      </c>
      <c r="S181" s="13">
        <v>95.1</v>
      </c>
      <c r="T181" s="13">
        <v>1.8</v>
      </c>
      <c r="U181" s="13">
        <v>2</v>
      </c>
      <c r="V181" s="13">
        <v>1.5</v>
      </c>
      <c r="W181" s="13">
        <v>2.2000000000000002</v>
      </c>
      <c r="X181" s="13">
        <v>1.1000000000000001</v>
      </c>
      <c r="Y181" s="13">
        <v>1.5</v>
      </c>
      <c r="Z181" s="13">
        <v>7</v>
      </c>
      <c r="AA181" s="13">
        <v>7.5</v>
      </c>
      <c r="AB181" s="13">
        <v>6.8</v>
      </c>
      <c r="AC181" s="13">
        <v>6.9</v>
      </c>
      <c r="AD181" s="13">
        <v>6.1</v>
      </c>
      <c r="AE181" s="13">
        <v>29.8</v>
      </c>
      <c r="AF181" s="13">
        <v>21.5</v>
      </c>
      <c r="AG181" s="13">
        <v>12.6</v>
      </c>
      <c r="AH181" s="13">
        <v>1.8</v>
      </c>
      <c r="AI181" s="13">
        <v>75.099999999999994</v>
      </c>
      <c r="AJ181" s="13">
        <v>33.9</v>
      </c>
      <c r="AK181" s="13">
        <v>36</v>
      </c>
      <c r="AL181" s="13">
        <v>94.8</v>
      </c>
      <c r="AM181" s="13">
        <v>15160</v>
      </c>
      <c r="AN181" s="13">
        <v>96198</v>
      </c>
      <c r="AO181" s="13">
        <v>21.2</v>
      </c>
      <c r="AP181" s="13">
        <v>16.8</v>
      </c>
      <c r="AQ181" s="13">
        <v>35.9</v>
      </c>
      <c r="AR181" s="13">
        <v>22.6</v>
      </c>
      <c r="AS181" s="13">
        <v>2.6</v>
      </c>
      <c r="AT181" s="13">
        <v>0.9</v>
      </c>
      <c r="AU181" s="13">
        <v>31983</v>
      </c>
      <c r="AV181" s="13">
        <v>34791</v>
      </c>
      <c r="AW181" s="13">
        <v>235</v>
      </c>
      <c r="AX181" s="13">
        <v>28094</v>
      </c>
      <c r="AY181" s="13">
        <v>25312</v>
      </c>
      <c r="AZ181" s="13">
        <v>32089</v>
      </c>
      <c r="BA181" s="13">
        <v>37625</v>
      </c>
      <c r="BB181" s="13">
        <v>32483</v>
      </c>
      <c r="BC181" s="13">
        <v>16820</v>
      </c>
      <c r="BD181" s="13">
        <v>99</v>
      </c>
      <c r="BE181" s="13">
        <v>92</v>
      </c>
      <c r="BF181" s="13">
        <v>99</v>
      </c>
      <c r="BG181" s="13">
        <v>94</v>
      </c>
      <c r="BH181" s="13">
        <v>94</v>
      </c>
      <c r="BI181" s="13">
        <v>92</v>
      </c>
      <c r="BJ181" s="13">
        <v>94</v>
      </c>
      <c r="BK181" s="13">
        <v>97</v>
      </c>
      <c r="BL181" s="13">
        <v>95</v>
      </c>
      <c r="BM181" s="13">
        <v>96</v>
      </c>
      <c r="BN181" s="13">
        <v>96</v>
      </c>
      <c r="BO181" s="13">
        <v>98</v>
      </c>
      <c r="BP181" s="13">
        <v>97</v>
      </c>
      <c r="BQ181" s="13">
        <v>101</v>
      </c>
      <c r="BR181" s="13">
        <v>99</v>
      </c>
      <c r="BS181" s="13">
        <v>98</v>
      </c>
      <c r="BT181" s="13">
        <v>98</v>
      </c>
      <c r="BU181" s="13">
        <v>96</v>
      </c>
      <c r="BV181" s="13">
        <v>101</v>
      </c>
      <c r="BW181" s="13">
        <v>100</v>
      </c>
      <c r="BX181" s="328">
        <f t="shared" si="14"/>
        <v>206249966</v>
      </c>
      <c r="BY181" s="328">
        <f t="shared" si="15"/>
        <v>77623432</v>
      </c>
      <c r="BZ181" s="329">
        <f t="shared" si="12"/>
        <v>0.90994064278632314</v>
      </c>
      <c r="CA181" s="329">
        <f t="shared" si="13"/>
        <v>0.90943752428730529</v>
      </c>
    </row>
    <row r="182" spans="1:79" x14ac:dyDescent="0.25">
      <c r="A182" s="13">
        <v>5523</v>
      </c>
      <c r="B182" s="13">
        <v>181</v>
      </c>
      <c r="C182" s="13" t="s">
        <v>700</v>
      </c>
      <c r="D182" s="13">
        <v>238409</v>
      </c>
      <c r="E182" s="13">
        <v>254957</v>
      </c>
      <c r="F182" s="13">
        <v>253228</v>
      </c>
      <c r="G182" s="13">
        <v>251947</v>
      </c>
      <c r="H182" s="13">
        <v>-0.1</v>
      </c>
      <c r="I182" s="13">
        <v>286</v>
      </c>
      <c r="J182" s="13">
        <v>93245</v>
      </c>
      <c r="K182" s="13">
        <v>93270</v>
      </c>
      <c r="L182" s="13">
        <v>93209</v>
      </c>
      <c r="M182" s="13">
        <v>0</v>
      </c>
      <c r="N182" s="13">
        <v>2.57</v>
      </c>
      <c r="O182" s="13">
        <v>66385</v>
      </c>
      <c r="P182" s="13">
        <v>64803</v>
      </c>
      <c r="Q182" s="13">
        <v>-0.3</v>
      </c>
      <c r="R182" s="13">
        <v>91.9</v>
      </c>
      <c r="S182" s="13">
        <v>90.1</v>
      </c>
      <c r="T182" s="13">
        <v>4.8</v>
      </c>
      <c r="U182" s="13">
        <v>5.2</v>
      </c>
      <c r="V182" s="13">
        <v>1.3</v>
      </c>
      <c r="W182" s="13">
        <v>2.1</v>
      </c>
      <c r="X182" s="13">
        <v>3.3</v>
      </c>
      <c r="Y182" s="13">
        <v>4.4000000000000004</v>
      </c>
      <c r="Z182" s="13">
        <v>7.3</v>
      </c>
      <c r="AA182" s="13">
        <v>7.3</v>
      </c>
      <c r="AB182" s="13">
        <v>6.6</v>
      </c>
      <c r="AC182" s="13">
        <v>6.2</v>
      </c>
      <c r="AD182" s="13">
        <v>6.5</v>
      </c>
      <c r="AE182" s="13">
        <v>33</v>
      </c>
      <c r="AF182" s="13">
        <v>20.100000000000001</v>
      </c>
      <c r="AG182" s="13">
        <v>11.5</v>
      </c>
      <c r="AH182" s="13">
        <v>1.5</v>
      </c>
      <c r="AI182" s="13">
        <v>75.7</v>
      </c>
      <c r="AJ182" s="13">
        <v>32.5</v>
      </c>
      <c r="AK182" s="13">
        <v>35</v>
      </c>
      <c r="AL182" s="13">
        <v>101.5</v>
      </c>
      <c r="AM182" s="13">
        <v>18030</v>
      </c>
      <c r="AN182" s="13">
        <v>93270</v>
      </c>
      <c r="AO182" s="13">
        <v>13.6</v>
      </c>
      <c r="AP182" s="13">
        <v>13.1</v>
      </c>
      <c r="AQ182" s="13">
        <v>36.799999999999997</v>
      </c>
      <c r="AR182" s="13">
        <v>30.6</v>
      </c>
      <c r="AS182" s="13">
        <v>4.4000000000000004</v>
      </c>
      <c r="AT182" s="13">
        <v>1.5</v>
      </c>
      <c r="AU182" s="13">
        <v>40188</v>
      </c>
      <c r="AV182" s="13">
        <v>41556</v>
      </c>
      <c r="AW182" s="13">
        <v>92</v>
      </c>
      <c r="AX182" s="13">
        <v>34769</v>
      </c>
      <c r="AY182" s="13">
        <v>32727</v>
      </c>
      <c r="AZ182" s="13">
        <v>37528</v>
      </c>
      <c r="BA182" s="13">
        <v>45534</v>
      </c>
      <c r="BB182" s="13">
        <v>38328</v>
      </c>
      <c r="BC182" s="13">
        <v>21991</v>
      </c>
      <c r="BD182" s="13">
        <v>100</v>
      </c>
      <c r="BE182" s="13">
        <v>101</v>
      </c>
      <c r="BF182" s="13">
        <v>102</v>
      </c>
      <c r="BG182" s="13">
        <v>100</v>
      </c>
      <c r="BH182" s="13">
        <v>94</v>
      </c>
      <c r="BI182" s="13">
        <v>95</v>
      </c>
      <c r="BJ182" s="13">
        <v>92</v>
      </c>
      <c r="BK182" s="13">
        <v>98</v>
      </c>
      <c r="BL182" s="13">
        <v>99</v>
      </c>
      <c r="BM182" s="13">
        <v>101</v>
      </c>
      <c r="BN182" s="13">
        <v>103</v>
      </c>
      <c r="BO182" s="13">
        <v>101</v>
      </c>
      <c r="BP182" s="13">
        <v>102</v>
      </c>
      <c r="BQ182" s="13">
        <v>103</v>
      </c>
      <c r="BR182" s="13">
        <v>104</v>
      </c>
      <c r="BS182" s="13">
        <v>100</v>
      </c>
      <c r="BT182" s="13">
        <v>105</v>
      </c>
      <c r="BU182" s="13">
        <v>101</v>
      </c>
      <c r="BV182" s="13">
        <v>101</v>
      </c>
      <c r="BW182" s="13">
        <v>102</v>
      </c>
      <c r="BX182" s="328">
        <f t="shared" si="14"/>
        <v>206501913</v>
      </c>
      <c r="BY182" s="328">
        <f t="shared" si="15"/>
        <v>77716641</v>
      </c>
      <c r="BZ182" s="329">
        <f t="shared" si="12"/>
        <v>0.91105219116412062</v>
      </c>
      <c r="CA182" s="329">
        <f t="shared" si="13"/>
        <v>0.91052956260636975</v>
      </c>
    </row>
    <row r="183" spans="1:79" x14ac:dyDescent="0.25">
      <c r="A183" s="13">
        <v>5345</v>
      </c>
      <c r="B183" s="13">
        <v>182</v>
      </c>
      <c r="C183" s="13" t="s">
        <v>701</v>
      </c>
      <c r="D183" s="13">
        <v>85971</v>
      </c>
      <c r="E183" s="13">
        <v>152099</v>
      </c>
      <c r="F183" s="13">
        <v>201966</v>
      </c>
      <c r="G183" s="13">
        <v>231745</v>
      </c>
      <c r="H183" s="13">
        <v>3.5</v>
      </c>
      <c r="I183" s="13">
        <v>5</v>
      </c>
      <c r="J183" s="13">
        <v>61703</v>
      </c>
      <c r="K183" s="13">
        <v>81462</v>
      </c>
      <c r="L183" s="13">
        <v>93027</v>
      </c>
      <c r="M183" s="13">
        <v>3.4</v>
      </c>
      <c r="N183" s="13">
        <v>2.44</v>
      </c>
      <c r="O183" s="13">
        <v>43795</v>
      </c>
      <c r="P183" s="13">
        <v>56677</v>
      </c>
      <c r="Q183" s="13">
        <v>3.2</v>
      </c>
      <c r="R183" s="13">
        <v>91.4</v>
      </c>
      <c r="S183" s="13">
        <v>88.8</v>
      </c>
      <c r="T183" s="13">
        <v>4.5999999999999996</v>
      </c>
      <c r="U183" s="13">
        <v>5.6</v>
      </c>
      <c r="V183" s="13">
        <v>0.4</v>
      </c>
      <c r="W183" s="13">
        <v>0.6</v>
      </c>
      <c r="X183" s="13">
        <v>13.6</v>
      </c>
      <c r="Y183" s="13">
        <v>18.5</v>
      </c>
      <c r="Z183" s="13">
        <v>6</v>
      </c>
      <c r="AA183" s="13">
        <v>6.3</v>
      </c>
      <c r="AB183" s="13">
        <v>5.8</v>
      </c>
      <c r="AC183" s="13">
        <v>5.2</v>
      </c>
      <c r="AD183" s="13">
        <v>4.7</v>
      </c>
      <c r="AE183" s="13">
        <v>25.8</v>
      </c>
      <c r="AF183" s="13">
        <v>22.4</v>
      </c>
      <c r="AG183" s="13">
        <v>21.8</v>
      </c>
      <c r="AH183" s="13">
        <v>2</v>
      </c>
      <c r="AI183" s="13">
        <v>78.8</v>
      </c>
      <c r="AJ183" s="13">
        <v>40.700000000000003</v>
      </c>
      <c r="AK183" s="13">
        <v>42.3</v>
      </c>
      <c r="AL183" s="13">
        <v>98.2</v>
      </c>
      <c r="AM183" s="13">
        <v>22205</v>
      </c>
      <c r="AN183" s="13">
        <v>81454</v>
      </c>
      <c r="AO183" s="13">
        <v>12.6</v>
      </c>
      <c r="AP183" s="13">
        <v>15.9</v>
      </c>
      <c r="AQ183" s="13">
        <v>36.200000000000003</v>
      </c>
      <c r="AR183" s="13">
        <v>23.9</v>
      </c>
      <c r="AS183" s="13">
        <v>6.1</v>
      </c>
      <c r="AT183" s="13">
        <v>5.3</v>
      </c>
      <c r="AU183" s="13">
        <v>37955</v>
      </c>
      <c r="AV183" s="13">
        <v>40637</v>
      </c>
      <c r="AW183" s="13">
        <v>127</v>
      </c>
      <c r="AX183" s="13">
        <v>43076</v>
      </c>
      <c r="AY183" s="13">
        <v>32281</v>
      </c>
      <c r="AZ183" s="13">
        <v>40212</v>
      </c>
      <c r="BA183" s="13">
        <v>47846</v>
      </c>
      <c r="BB183" s="13">
        <v>49630</v>
      </c>
      <c r="BC183" s="13">
        <v>40984</v>
      </c>
      <c r="BD183" s="13">
        <v>103</v>
      </c>
      <c r="BE183" s="13">
        <v>103</v>
      </c>
      <c r="BF183" s="13">
        <v>112</v>
      </c>
      <c r="BG183" s="13">
        <v>107</v>
      </c>
      <c r="BH183" s="13">
        <v>109</v>
      </c>
      <c r="BI183" s="13">
        <v>115</v>
      </c>
      <c r="BJ183" s="13">
        <v>108</v>
      </c>
      <c r="BK183" s="13">
        <v>105</v>
      </c>
      <c r="BL183" s="13">
        <v>100</v>
      </c>
      <c r="BM183" s="13">
        <v>102</v>
      </c>
      <c r="BN183" s="13">
        <v>105</v>
      </c>
      <c r="BO183" s="13">
        <v>103</v>
      </c>
      <c r="BP183" s="13">
        <v>104</v>
      </c>
      <c r="BQ183" s="13">
        <v>105</v>
      </c>
      <c r="BR183" s="13">
        <v>103</v>
      </c>
      <c r="BS183" s="13">
        <v>100</v>
      </c>
      <c r="BT183" s="13">
        <v>102</v>
      </c>
      <c r="BU183" s="13">
        <v>102</v>
      </c>
      <c r="BV183" s="13">
        <v>109</v>
      </c>
      <c r="BW183" s="13">
        <v>104</v>
      </c>
      <c r="BX183" s="328">
        <f t="shared" si="14"/>
        <v>206733658</v>
      </c>
      <c r="BY183" s="328">
        <f t="shared" si="15"/>
        <v>77809668</v>
      </c>
      <c r="BZ183" s="329">
        <f t="shared" si="12"/>
        <v>0.91207461166848336</v>
      </c>
      <c r="CA183" s="329">
        <f t="shared" si="13"/>
        <v>0.91161946861016352</v>
      </c>
    </row>
    <row r="184" spans="1:79" x14ac:dyDescent="0.25">
      <c r="A184" s="13">
        <v>480</v>
      </c>
      <c r="B184" s="13">
        <v>183</v>
      </c>
      <c r="C184" s="13" t="s">
        <v>702</v>
      </c>
      <c r="D184" s="13">
        <v>177761</v>
      </c>
      <c r="E184" s="13">
        <v>191774</v>
      </c>
      <c r="F184" s="13">
        <v>213551</v>
      </c>
      <c r="G184" s="13">
        <v>226030</v>
      </c>
      <c r="H184" s="13">
        <v>1.3</v>
      </c>
      <c r="I184" s="13">
        <v>103</v>
      </c>
      <c r="J184" s="13">
        <v>77290</v>
      </c>
      <c r="K184" s="13">
        <v>86820</v>
      </c>
      <c r="L184" s="13">
        <v>92638</v>
      </c>
      <c r="M184" s="13">
        <v>1.4</v>
      </c>
      <c r="N184" s="13">
        <v>2.38</v>
      </c>
      <c r="O184" s="13">
        <v>54141</v>
      </c>
      <c r="P184" s="13">
        <v>59706</v>
      </c>
      <c r="Q184" s="13">
        <v>1.2</v>
      </c>
      <c r="R184" s="13">
        <v>91.6</v>
      </c>
      <c r="S184" s="13">
        <v>90.9</v>
      </c>
      <c r="T184" s="13">
        <v>7.5</v>
      </c>
      <c r="U184" s="13">
        <v>7.8</v>
      </c>
      <c r="V184" s="13">
        <v>0.4</v>
      </c>
      <c r="W184" s="13">
        <v>0.7</v>
      </c>
      <c r="X184" s="13">
        <v>0.7</v>
      </c>
      <c r="Y184" s="13">
        <v>1.4</v>
      </c>
      <c r="Z184" s="13">
        <v>6</v>
      </c>
      <c r="AA184" s="13">
        <v>6.6</v>
      </c>
      <c r="AB184" s="13">
        <v>6.4</v>
      </c>
      <c r="AC184" s="13">
        <v>6.4</v>
      </c>
      <c r="AD184" s="13">
        <v>5.4</v>
      </c>
      <c r="AE184" s="13">
        <v>29.2</v>
      </c>
      <c r="AF184" s="13">
        <v>23.5</v>
      </c>
      <c r="AG184" s="13">
        <v>14.3</v>
      </c>
      <c r="AH184" s="13">
        <v>2</v>
      </c>
      <c r="AI184" s="13">
        <v>77.2</v>
      </c>
      <c r="AJ184" s="13">
        <v>36.799999999999997</v>
      </c>
      <c r="AK184" s="13">
        <v>38.700000000000003</v>
      </c>
      <c r="AL184" s="13">
        <v>92.1</v>
      </c>
      <c r="AM184" s="13">
        <v>17335</v>
      </c>
      <c r="AN184" s="13">
        <v>86809</v>
      </c>
      <c r="AO184" s="13">
        <v>18</v>
      </c>
      <c r="AP184" s="13">
        <v>15.7</v>
      </c>
      <c r="AQ184" s="13">
        <v>37.200000000000003</v>
      </c>
      <c r="AR184" s="13">
        <v>23.9</v>
      </c>
      <c r="AS184" s="13">
        <v>3.9</v>
      </c>
      <c r="AT184" s="13">
        <v>1.3</v>
      </c>
      <c r="AU184" s="13">
        <v>34296</v>
      </c>
      <c r="AV184" s="13">
        <v>41191</v>
      </c>
      <c r="AW184" s="13">
        <v>198</v>
      </c>
      <c r="AX184" s="13">
        <v>32103</v>
      </c>
      <c r="AY184" s="13">
        <v>28865</v>
      </c>
      <c r="AZ184" s="13">
        <v>37540</v>
      </c>
      <c r="BA184" s="13">
        <v>40284</v>
      </c>
      <c r="BB184" s="13">
        <v>33685</v>
      </c>
      <c r="BC184" s="13">
        <v>22852</v>
      </c>
      <c r="BD184" s="13">
        <v>99</v>
      </c>
      <c r="BE184" s="13">
        <v>86</v>
      </c>
      <c r="BF184" s="13">
        <v>95</v>
      </c>
      <c r="BG184" s="13">
        <v>90</v>
      </c>
      <c r="BH184" s="13">
        <v>102</v>
      </c>
      <c r="BI184" s="13">
        <v>100</v>
      </c>
      <c r="BJ184" s="13">
        <v>110</v>
      </c>
      <c r="BK184" s="13">
        <v>99</v>
      </c>
      <c r="BL184" s="13">
        <v>96</v>
      </c>
      <c r="BM184" s="13">
        <v>93</v>
      </c>
      <c r="BN184" s="13">
        <v>92</v>
      </c>
      <c r="BO184" s="13">
        <v>98</v>
      </c>
      <c r="BP184" s="13">
        <v>93</v>
      </c>
      <c r="BQ184" s="13">
        <v>100</v>
      </c>
      <c r="BR184" s="13">
        <v>88</v>
      </c>
      <c r="BS184" s="13">
        <v>99</v>
      </c>
      <c r="BT184" s="13">
        <v>91</v>
      </c>
      <c r="BU184" s="13">
        <v>95</v>
      </c>
      <c r="BV184" s="13">
        <v>102</v>
      </c>
      <c r="BW184" s="13">
        <v>100</v>
      </c>
      <c r="BX184" s="328">
        <f t="shared" si="14"/>
        <v>206959688</v>
      </c>
      <c r="BY184" s="328">
        <f t="shared" si="15"/>
        <v>77902306</v>
      </c>
      <c r="BZ184" s="329">
        <f t="shared" si="12"/>
        <v>0.91307181854069686</v>
      </c>
      <c r="CA184" s="329">
        <f t="shared" si="13"/>
        <v>0.91270481708296647</v>
      </c>
    </row>
    <row r="185" spans="1:79" x14ac:dyDescent="0.25">
      <c r="A185" s="13">
        <v>7460</v>
      </c>
      <c r="B185" s="13">
        <v>184</v>
      </c>
      <c r="C185" s="13" t="s">
        <v>703</v>
      </c>
      <c r="D185" s="13">
        <v>155435</v>
      </c>
      <c r="E185" s="13">
        <v>217162</v>
      </c>
      <c r="F185" s="13">
        <v>236444</v>
      </c>
      <c r="G185" s="13">
        <v>247743</v>
      </c>
      <c r="H185" s="13">
        <v>1</v>
      </c>
      <c r="I185" s="13">
        <v>156</v>
      </c>
      <c r="J185" s="13">
        <v>80281</v>
      </c>
      <c r="K185" s="13">
        <v>87726</v>
      </c>
      <c r="L185" s="13">
        <v>92132</v>
      </c>
      <c r="M185" s="13">
        <v>1.1000000000000001</v>
      </c>
      <c r="N185" s="13">
        <v>2.54</v>
      </c>
      <c r="O185" s="13">
        <v>52320</v>
      </c>
      <c r="P185" s="13">
        <v>55559</v>
      </c>
      <c r="Q185" s="13">
        <v>0.7</v>
      </c>
      <c r="R185" s="13">
        <v>89.2</v>
      </c>
      <c r="S185" s="13">
        <v>86.5</v>
      </c>
      <c r="T185" s="13">
        <v>2.6</v>
      </c>
      <c r="U185" s="13">
        <v>2.8</v>
      </c>
      <c r="V185" s="13">
        <v>2.9</v>
      </c>
      <c r="W185" s="13">
        <v>3.8</v>
      </c>
      <c r="X185" s="13">
        <v>13.3</v>
      </c>
      <c r="Y185" s="13">
        <v>17.899999999999999</v>
      </c>
      <c r="Z185" s="13">
        <v>6.6</v>
      </c>
      <c r="AA185" s="13">
        <v>6.9</v>
      </c>
      <c r="AB185" s="13">
        <v>6.3</v>
      </c>
      <c r="AC185" s="13">
        <v>7.3</v>
      </c>
      <c r="AD185" s="13">
        <v>8.5</v>
      </c>
      <c r="AE185" s="13">
        <v>31</v>
      </c>
      <c r="AF185" s="13">
        <v>18.7</v>
      </c>
      <c r="AG185" s="13">
        <v>13.1</v>
      </c>
      <c r="AH185" s="13">
        <v>1.6</v>
      </c>
      <c r="AI185" s="13">
        <v>77.099999999999994</v>
      </c>
      <c r="AJ185" s="13">
        <v>33.1</v>
      </c>
      <c r="AK185" s="13">
        <v>35.1</v>
      </c>
      <c r="AL185" s="13">
        <v>106.6</v>
      </c>
      <c r="AM185" s="13">
        <v>19796</v>
      </c>
      <c r="AN185" s="13">
        <v>87726</v>
      </c>
      <c r="AO185" s="13">
        <v>13.9</v>
      </c>
      <c r="AP185" s="13">
        <v>13.9</v>
      </c>
      <c r="AQ185" s="13">
        <v>34.299999999999997</v>
      </c>
      <c r="AR185" s="13">
        <v>28.3</v>
      </c>
      <c r="AS185" s="13">
        <v>6.5</v>
      </c>
      <c r="AT185" s="13">
        <v>3.2</v>
      </c>
      <c r="AU185" s="13">
        <v>40071</v>
      </c>
      <c r="AV185" s="13">
        <v>45774</v>
      </c>
      <c r="AW185" s="13">
        <v>96</v>
      </c>
      <c r="AX185" s="13">
        <v>38347</v>
      </c>
      <c r="AY185" s="13">
        <v>30876</v>
      </c>
      <c r="AZ185" s="13">
        <v>43207</v>
      </c>
      <c r="BA185" s="13">
        <v>49343</v>
      </c>
      <c r="BB185" s="13">
        <v>44095</v>
      </c>
      <c r="BC185" s="13">
        <v>30512</v>
      </c>
      <c r="BD185" s="13">
        <v>101</v>
      </c>
      <c r="BE185" s="13">
        <v>100</v>
      </c>
      <c r="BF185" s="13">
        <v>103</v>
      </c>
      <c r="BG185" s="13">
        <v>100</v>
      </c>
      <c r="BH185" s="13">
        <v>102</v>
      </c>
      <c r="BI185" s="13">
        <v>103</v>
      </c>
      <c r="BJ185" s="13">
        <v>102</v>
      </c>
      <c r="BK185" s="13">
        <v>100</v>
      </c>
      <c r="BL185" s="13">
        <v>99</v>
      </c>
      <c r="BM185" s="13">
        <v>99</v>
      </c>
      <c r="BN185" s="13">
        <v>100</v>
      </c>
      <c r="BO185" s="13">
        <v>95</v>
      </c>
      <c r="BP185" s="13">
        <v>96</v>
      </c>
      <c r="BQ185" s="13">
        <v>97</v>
      </c>
      <c r="BR185" s="13">
        <v>97</v>
      </c>
      <c r="BS185" s="13">
        <v>96</v>
      </c>
      <c r="BT185" s="13">
        <v>98</v>
      </c>
      <c r="BU185" s="13">
        <v>98</v>
      </c>
      <c r="BV185" s="13">
        <v>101</v>
      </c>
      <c r="BW185" s="13">
        <v>97</v>
      </c>
      <c r="BX185" s="328">
        <f t="shared" si="14"/>
        <v>207207431</v>
      </c>
      <c r="BY185" s="328">
        <f t="shared" si="15"/>
        <v>77994438</v>
      </c>
      <c r="BZ185" s="329">
        <f t="shared" si="12"/>
        <v>0.91416481956774098</v>
      </c>
      <c r="CA185" s="329">
        <f t="shared" si="13"/>
        <v>0.91378423725067615</v>
      </c>
    </row>
    <row r="186" spans="1:79" x14ac:dyDescent="0.25">
      <c r="A186" s="13">
        <v>7485</v>
      </c>
      <c r="B186" s="13">
        <v>185</v>
      </c>
      <c r="C186" s="13" t="s">
        <v>704</v>
      </c>
      <c r="D186" s="13">
        <v>188141</v>
      </c>
      <c r="E186" s="13">
        <v>229734</v>
      </c>
      <c r="F186" s="13">
        <v>243076</v>
      </c>
      <c r="G186" s="13">
        <v>251525</v>
      </c>
      <c r="H186" s="13">
        <v>0.7</v>
      </c>
      <c r="I186" s="13">
        <v>198</v>
      </c>
      <c r="J186" s="13">
        <v>83566</v>
      </c>
      <c r="K186" s="13">
        <v>88249</v>
      </c>
      <c r="L186" s="13">
        <v>91262</v>
      </c>
      <c r="M186" s="13">
        <v>0.7</v>
      </c>
      <c r="N186" s="13">
        <v>2.67</v>
      </c>
      <c r="O186" s="13">
        <v>53752</v>
      </c>
      <c r="P186" s="13">
        <v>55441</v>
      </c>
      <c r="Q186" s="13">
        <v>0.4</v>
      </c>
      <c r="R186" s="13">
        <v>83.9</v>
      </c>
      <c r="S186" s="13">
        <v>79.5</v>
      </c>
      <c r="T186" s="13">
        <v>1.1000000000000001</v>
      </c>
      <c r="U186" s="13">
        <v>1.2</v>
      </c>
      <c r="V186" s="13">
        <v>3.7</v>
      </c>
      <c r="W186" s="13">
        <v>4.8</v>
      </c>
      <c r="X186" s="13">
        <v>20.399999999999999</v>
      </c>
      <c r="Y186" s="13">
        <v>26.7</v>
      </c>
      <c r="Z186" s="13">
        <v>7.4</v>
      </c>
      <c r="AA186" s="13">
        <v>7.6</v>
      </c>
      <c r="AB186" s="13">
        <v>6.7</v>
      </c>
      <c r="AC186" s="13">
        <v>7.1</v>
      </c>
      <c r="AD186" s="13">
        <v>6.7</v>
      </c>
      <c r="AE186" s="13">
        <v>33.700000000000003</v>
      </c>
      <c r="AF186" s="13">
        <v>19.600000000000001</v>
      </c>
      <c r="AG186" s="13">
        <v>9.6999999999999993</v>
      </c>
      <c r="AH186" s="13">
        <v>1.6</v>
      </c>
      <c r="AI186" s="13">
        <v>74.8</v>
      </c>
      <c r="AJ186" s="13">
        <v>33</v>
      </c>
      <c r="AK186" s="13">
        <v>34.6</v>
      </c>
      <c r="AL186" s="13">
        <v>99.6</v>
      </c>
      <c r="AM186" s="13">
        <v>22883</v>
      </c>
      <c r="AN186" s="13">
        <v>88221</v>
      </c>
      <c r="AO186" s="13">
        <v>11.2</v>
      </c>
      <c r="AP186" s="13">
        <v>10.3</v>
      </c>
      <c r="AQ186" s="13">
        <v>29.6</v>
      </c>
      <c r="AR186" s="13">
        <v>34</v>
      </c>
      <c r="AS186" s="13">
        <v>9.9</v>
      </c>
      <c r="AT186" s="13">
        <v>5.0999999999999996</v>
      </c>
      <c r="AU186" s="13">
        <v>48863</v>
      </c>
      <c r="AV186" s="13">
        <v>55904</v>
      </c>
      <c r="AW186" s="13">
        <v>21</v>
      </c>
      <c r="AX186" s="13">
        <v>44781</v>
      </c>
      <c r="AY186" s="13">
        <v>38931</v>
      </c>
      <c r="AZ186" s="13">
        <v>47733</v>
      </c>
      <c r="BA186" s="13">
        <v>55973</v>
      </c>
      <c r="BB186" s="13">
        <v>49333</v>
      </c>
      <c r="BC186" s="13">
        <v>30665</v>
      </c>
      <c r="BD186" s="13">
        <v>104</v>
      </c>
      <c r="BE186" s="13">
        <v>119</v>
      </c>
      <c r="BF186" s="13">
        <v>113</v>
      </c>
      <c r="BG186" s="13">
        <v>114</v>
      </c>
      <c r="BH186" s="13">
        <v>107</v>
      </c>
      <c r="BI186" s="13">
        <v>110</v>
      </c>
      <c r="BJ186" s="13">
        <v>101</v>
      </c>
      <c r="BK186" s="13">
        <v>104</v>
      </c>
      <c r="BL186" s="13">
        <v>108</v>
      </c>
      <c r="BM186" s="13">
        <v>110</v>
      </c>
      <c r="BN186" s="13">
        <v>112</v>
      </c>
      <c r="BO186" s="13">
        <v>102</v>
      </c>
      <c r="BP186" s="13">
        <v>107</v>
      </c>
      <c r="BQ186" s="13">
        <v>101</v>
      </c>
      <c r="BR186" s="13">
        <v>109</v>
      </c>
      <c r="BS186" s="13">
        <v>99</v>
      </c>
      <c r="BT186" s="13">
        <v>110</v>
      </c>
      <c r="BU186" s="13">
        <v>108</v>
      </c>
      <c r="BV186" s="13">
        <v>102</v>
      </c>
      <c r="BW186" s="13">
        <v>102</v>
      </c>
      <c r="BX186" s="328">
        <f t="shared" si="14"/>
        <v>207458956</v>
      </c>
      <c r="BY186" s="328">
        <f t="shared" si="15"/>
        <v>78085700</v>
      </c>
      <c r="BZ186" s="329">
        <f t="shared" si="12"/>
        <v>0.91527450615152839</v>
      </c>
      <c r="CA186" s="329">
        <f t="shared" si="13"/>
        <v>0.91485346448275096</v>
      </c>
    </row>
    <row r="187" spans="1:79" x14ac:dyDescent="0.25">
      <c r="A187" s="13">
        <v>5910</v>
      </c>
      <c r="B187" s="13">
        <v>186</v>
      </c>
      <c r="C187" s="13" t="s">
        <v>705</v>
      </c>
      <c r="D187" s="13">
        <v>124264</v>
      </c>
      <c r="E187" s="13">
        <v>161238</v>
      </c>
      <c r="F187" s="13">
        <v>204587</v>
      </c>
      <c r="G187" s="13">
        <v>230526</v>
      </c>
      <c r="H187" s="13">
        <v>2.9</v>
      </c>
      <c r="I187" s="13">
        <v>12</v>
      </c>
      <c r="J187" s="13">
        <v>62150</v>
      </c>
      <c r="K187" s="13">
        <v>79825</v>
      </c>
      <c r="L187" s="13">
        <v>90546</v>
      </c>
      <c r="M187" s="13">
        <v>3.1</v>
      </c>
      <c r="N187" s="13">
        <v>2.5299999999999998</v>
      </c>
      <c r="O187" s="13">
        <v>43336</v>
      </c>
      <c r="P187" s="13">
        <v>54643</v>
      </c>
      <c r="Q187" s="13">
        <v>2.9</v>
      </c>
      <c r="R187" s="13">
        <v>91.9</v>
      </c>
      <c r="S187" s="13">
        <v>89.9</v>
      </c>
      <c r="T187" s="13">
        <v>1.8</v>
      </c>
      <c r="U187" s="13">
        <v>2.1</v>
      </c>
      <c r="V187" s="13">
        <v>3.8</v>
      </c>
      <c r="W187" s="13">
        <v>5</v>
      </c>
      <c r="X187" s="13">
        <v>3</v>
      </c>
      <c r="Y187" s="13">
        <v>4.5</v>
      </c>
      <c r="Z187" s="13">
        <v>6.3</v>
      </c>
      <c r="AA187" s="13">
        <v>7</v>
      </c>
      <c r="AB187" s="13">
        <v>7.7</v>
      </c>
      <c r="AC187" s="13">
        <v>7.9</v>
      </c>
      <c r="AD187" s="13">
        <v>6.2</v>
      </c>
      <c r="AE187" s="13">
        <v>31</v>
      </c>
      <c r="AF187" s="13">
        <v>22.3</v>
      </c>
      <c r="AG187" s="13">
        <v>10.1</v>
      </c>
      <c r="AH187" s="13">
        <v>1.4</v>
      </c>
      <c r="AI187" s="13">
        <v>74.099999999999994</v>
      </c>
      <c r="AJ187" s="13">
        <v>33.700000000000003</v>
      </c>
      <c r="AK187" s="13">
        <v>36.1</v>
      </c>
      <c r="AL187" s="13">
        <v>96.1</v>
      </c>
      <c r="AM187" s="13">
        <v>16835</v>
      </c>
      <c r="AN187" s="13">
        <v>79825</v>
      </c>
      <c r="AO187" s="13">
        <v>14.6</v>
      </c>
      <c r="AP187" s="13">
        <v>15.7</v>
      </c>
      <c r="AQ187" s="13">
        <v>38.4</v>
      </c>
      <c r="AR187" s="13">
        <v>26.9</v>
      </c>
      <c r="AS187" s="13">
        <v>3.5</v>
      </c>
      <c r="AT187" s="13">
        <v>0.9</v>
      </c>
      <c r="AU187" s="13">
        <v>36676</v>
      </c>
      <c r="AV187" s="13">
        <v>41371</v>
      </c>
      <c r="AW187" s="13">
        <v>146</v>
      </c>
      <c r="AX187" s="13">
        <v>34188</v>
      </c>
      <c r="AY187" s="13">
        <v>27431</v>
      </c>
      <c r="AZ187" s="13">
        <v>37912</v>
      </c>
      <c r="BA187" s="13">
        <v>43242</v>
      </c>
      <c r="BB187" s="13">
        <v>37716</v>
      </c>
      <c r="BC187" s="13">
        <v>24982</v>
      </c>
      <c r="BD187" s="13">
        <v>101</v>
      </c>
      <c r="BE187" s="13">
        <v>96</v>
      </c>
      <c r="BF187" s="13">
        <v>95</v>
      </c>
      <c r="BG187" s="13">
        <v>95</v>
      </c>
      <c r="BH187" s="13">
        <v>99</v>
      </c>
      <c r="BI187" s="13">
        <v>98</v>
      </c>
      <c r="BJ187" s="13">
        <v>103</v>
      </c>
      <c r="BK187" s="13">
        <v>100</v>
      </c>
      <c r="BL187" s="13">
        <v>100</v>
      </c>
      <c r="BM187" s="13">
        <v>99</v>
      </c>
      <c r="BN187" s="13">
        <v>100</v>
      </c>
      <c r="BO187" s="13">
        <v>95</v>
      </c>
      <c r="BP187" s="13">
        <v>94</v>
      </c>
      <c r="BQ187" s="13">
        <v>97</v>
      </c>
      <c r="BR187" s="13">
        <v>92</v>
      </c>
      <c r="BS187" s="13">
        <v>97</v>
      </c>
      <c r="BT187" s="13">
        <v>97</v>
      </c>
      <c r="BU187" s="13">
        <v>97</v>
      </c>
      <c r="BV187" s="13">
        <v>99</v>
      </c>
      <c r="BW187" s="13">
        <v>97</v>
      </c>
      <c r="BX187" s="328">
        <f t="shared" si="14"/>
        <v>207689482</v>
      </c>
      <c r="BY187" s="328">
        <f t="shared" si="15"/>
        <v>78176246</v>
      </c>
      <c r="BZ187" s="329">
        <f t="shared" si="12"/>
        <v>0.91629154863006612</v>
      </c>
      <c r="CA187" s="329">
        <f t="shared" si="13"/>
        <v>0.91591430304595844</v>
      </c>
    </row>
    <row r="188" spans="1:79" x14ac:dyDescent="0.25">
      <c r="A188" s="13">
        <v>4600</v>
      </c>
      <c r="B188" s="13">
        <v>187</v>
      </c>
      <c r="C188" s="13" t="s">
        <v>706</v>
      </c>
      <c r="D188" s="13">
        <v>211651</v>
      </c>
      <c r="E188" s="13">
        <v>222636</v>
      </c>
      <c r="F188" s="13">
        <v>230562</v>
      </c>
      <c r="G188" s="13">
        <v>235346</v>
      </c>
      <c r="H188" s="13">
        <v>0.4</v>
      </c>
      <c r="I188" s="13">
        <v>235</v>
      </c>
      <c r="J188" s="13">
        <v>81534</v>
      </c>
      <c r="K188" s="13">
        <v>86895</v>
      </c>
      <c r="L188" s="13">
        <v>90188</v>
      </c>
      <c r="M188" s="13">
        <v>0.8</v>
      </c>
      <c r="N188" s="13">
        <v>2.54</v>
      </c>
      <c r="O188" s="13">
        <v>55462</v>
      </c>
      <c r="P188" s="13">
        <v>57745</v>
      </c>
      <c r="Q188" s="13">
        <v>0.5</v>
      </c>
      <c r="R188" s="13">
        <v>79.099999999999994</v>
      </c>
      <c r="S188" s="13">
        <v>75.599999999999994</v>
      </c>
      <c r="T188" s="13">
        <v>7.7</v>
      </c>
      <c r="U188" s="13">
        <v>8.1</v>
      </c>
      <c r="V188" s="13">
        <v>1.2</v>
      </c>
      <c r="W188" s="13">
        <v>1.7</v>
      </c>
      <c r="X188" s="13">
        <v>22.9</v>
      </c>
      <c r="Y188" s="13">
        <v>28.1</v>
      </c>
      <c r="Z188" s="13">
        <v>7.7</v>
      </c>
      <c r="AA188" s="13">
        <v>7.6</v>
      </c>
      <c r="AB188" s="13">
        <v>7.3</v>
      </c>
      <c r="AC188" s="13">
        <v>8.6</v>
      </c>
      <c r="AD188" s="13">
        <v>10.3</v>
      </c>
      <c r="AE188" s="13">
        <v>29.1</v>
      </c>
      <c r="AF188" s="13">
        <v>19.2</v>
      </c>
      <c r="AG188" s="13">
        <v>9</v>
      </c>
      <c r="AH188" s="13">
        <v>1.1000000000000001</v>
      </c>
      <c r="AI188" s="13">
        <v>73.5</v>
      </c>
      <c r="AJ188" s="13">
        <v>28.8</v>
      </c>
      <c r="AK188" s="13">
        <v>30.8</v>
      </c>
      <c r="AL188" s="13">
        <v>97.1</v>
      </c>
      <c r="AM188" s="13">
        <v>15053</v>
      </c>
      <c r="AN188" s="13">
        <v>86895</v>
      </c>
      <c r="AO188" s="13">
        <v>23.7</v>
      </c>
      <c r="AP188" s="13">
        <v>17</v>
      </c>
      <c r="AQ188" s="13">
        <v>33.1</v>
      </c>
      <c r="AR188" s="13">
        <v>21.1</v>
      </c>
      <c r="AS188" s="13">
        <v>3.6</v>
      </c>
      <c r="AT188" s="13">
        <v>1.6</v>
      </c>
      <c r="AU188" s="13">
        <v>30730</v>
      </c>
      <c r="AV188" s="13">
        <v>34924</v>
      </c>
      <c r="AW188" s="13">
        <v>265</v>
      </c>
      <c r="AX188" s="13">
        <v>31890</v>
      </c>
      <c r="AY188" s="13">
        <v>23323</v>
      </c>
      <c r="AZ188" s="13">
        <v>37668</v>
      </c>
      <c r="BA188" s="13">
        <v>42193</v>
      </c>
      <c r="BB188" s="13">
        <v>35733</v>
      </c>
      <c r="BC188" s="13">
        <v>25506</v>
      </c>
      <c r="BD188" s="13">
        <v>97</v>
      </c>
      <c r="BE188" s="13">
        <v>99</v>
      </c>
      <c r="BF188" s="13">
        <v>97</v>
      </c>
      <c r="BG188" s="13">
        <v>95</v>
      </c>
      <c r="BH188" s="13">
        <v>101</v>
      </c>
      <c r="BI188" s="13">
        <v>99</v>
      </c>
      <c r="BJ188" s="13">
        <v>101</v>
      </c>
      <c r="BK188" s="13">
        <v>98</v>
      </c>
      <c r="BL188" s="13">
        <v>98</v>
      </c>
      <c r="BM188" s="13">
        <v>96</v>
      </c>
      <c r="BN188" s="13">
        <v>97</v>
      </c>
      <c r="BO188" s="13">
        <v>97</v>
      </c>
      <c r="BP188" s="13">
        <v>95</v>
      </c>
      <c r="BQ188" s="13">
        <v>99</v>
      </c>
      <c r="BR188" s="13">
        <v>92</v>
      </c>
      <c r="BS188" s="13">
        <v>98</v>
      </c>
      <c r="BT188" s="13">
        <v>95</v>
      </c>
      <c r="BU188" s="13">
        <v>98</v>
      </c>
      <c r="BV188" s="13">
        <v>98</v>
      </c>
      <c r="BW188" s="13">
        <v>100</v>
      </c>
      <c r="BX188" s="328">
        <f t="shared" si="14"/>
        <v>207924828</v>
      </c>
      <c r="BY188" s="328">
        <f t="shared" si="15"/>
        <v>78266434</v>
      </c>
      <c r="BZ188" s="329">
        <f t="shared" si="12"/>
        <v>0.91732985614919171</v>
      </c>
      <c r="CA188" s="329">
        <f t="shared" si="13"/>
        <v>0.91697094727473238</v>
      </c>
    </row>
    <row r="189" spans="1:79" x14ac:dyDescent="0.25">
      <c r="A189" s="13">
        <v>3680</v>
      </c>
      <c r="B189" s="13">
        <v>188</v>
      </c>
      <c r="C189" s="13" t="s">
        <v>707</v>
      </c>
      <c r="D189" s="13">
        <v>264506</v>
      </c>
      <c r="E189" s="13">
        <v>241247</v>
      </c>
      <c r="F189" s="13">
        <v>236426</v>
      </c>
      <c r="G189" s="13">
        <v>231990</v>
      </c>
      <c r="H189" s="13">
        <v>-0.2</v>
      </c>
      <c r="I189" s="13">
        <v>296</v>
      </c>
      <c r="J189" s="13">
        <v>91578</v>
      </c>
      <c r="K189" s="13">
        <v>90329</v>
      </c>
      <c r="L189" s="13">
        <v>89488</v>
      </c>
      <c r="M189" s="13">
        <v>-0.2</v>
      </c>
      <c r="N189" s="13">
        <v>2.5099999999999998</v>
      </c>
      <c r="O189" s="13">
        <v>66236</v>
      </c>
      <c r="P189" s="13">
        <v>63771</v>
      </c>
      <c r="Q189" s="13">
        <v>-0.5</v>
      </c>
      <c r="R189" s="13">
        <v>98</v>
      </c>
      <c r="S189" s="13">
        <v>97.5</v>
      </c>
      <c r="T189" s="13">
        <v>1.6</v>
      </c>
      <c r="U189" s="13">
        <v>2</v>
      </c>
      <c r="V189" s="13">
        <v>0.2</v>
      </c>
      <c r="W189" s="13">
        <v>0.3</v>
      </c>
      <c r="X189" s="13">
        <v>0.5</v>
      </c>
      <c r="Y189" s="13">
        <v>0.7</v>
      </c>
      <c r="Z189" s="13">
        <v>5.3</v>
      </c>
      <c r="AA189" s="13">
        <v>6.6</v>
      </c>
      <c r="AB189" s="13">
        <v>7.4</v>
      </c>
      <c r="AC189" s="13">
        <v>7.1</v>
      </c>
      <c r="AD189" s="13">
        <v>5.0999999999999996</v>
      </c>
      <c r="AE189" s="13">
        <v>27.9</v>
      </c>
      <c r="AF189" s="13">
        <v>22</v>
      </c>
      <c r="AG189" s="13">
        <v>16.7</v>
      </c>
      <c r="AH189" s="13">
        <v>1.9</v>
      </c>
      <c r="AI189" s="13">
        <v>76.599999999999994</v>
      </c>
      <c r="AJ189" s="13">
        <v>37</v>
      </c>
      <c r="AK189" s="13">
        <v>39.1</v>
      </c>
      <c r="AL189" s="13">
        <v>94.7</v>
      </c>
      <c r="AM189" s="13">
        <v>12242</v>
      </c>
      <c r="AN189" s="13">
        <v>90325</v>
      </c>
      <c r="AO189" s="13">
        <v>27.1</v>
      </c>
      <c r="AP189" s="13">
        <v>21.7</v>
      </c>
      <c r="AQ189" s="13">
        <v>35.4</v>
      </c>
      <c r="AR189" s="13">
        <v>14</v>
      </c>
      <c r="AS189" s="13">
        <v>1.3</v>
      </c>
      <c r="AT189" s="13">
        <v>0.6</v>
      </c>
      <c r="AU189" s="13">
        <v>25583</v>
      </c>
      <c r="AV189" s="13">
        <v>28346</v>
      </c>
      <c r="AW189" s="13">
        <v>308</v>
      </c>
      <c r="AX189" s="13">
        <v>24332</v>
      </c>
      <c r="AY189" s="13">
        <v>22915</v>
      </c>
      <c r="AZ189" s="13">
        <v>29311</v>
      </c>
      <c r="BA189" s="13">
        <v>31859</v>
      </c>
      <c r="BB189" s="13">
        <v>26833</v>
      </c>
      <c r="BC189" s="13">
        <v>16493</v>
      </c>
      <c r="BD189" s="13">
        <v>97</v>
      </c>
      <c r="BE189" s="13">
        <v>78</v>
      </c>
      <c r="BF189" s="13">
        <v>91</v>
      </c>
      <c r="BG189" s="13">
        <v>84</v>
      </c>
      <c r="BH189" s="13">
        <v>93</v>
      </c>
      <c r="BI189" s="13">
        <v>90</v>
      </c>
      <c r="BJ189" s="13">
        <v>95</v>
      </c>
      <c r="BK189" s="13">
        <v>96</v>
      </c>
      <c r="BL189" s="13">
        <v>90</v>
      </c>
      <c r="BM189" s="13">
        <v>88</v>
      </c>
      <c r="BN189" s="13">
        <v>87</v>
      </c>
      <c r="BO189" s="13">
        <v>94</v>
      </c>
      <c r="BP189" s="13">
        <v>90</v>
      </c>
      <c r="BQ189" s="13">
        <v>97</v>
      </c>
      <c r="BR189" s="13">
        <v>92</v>
      </c>
      <c r="BS189" s="13">
        <v>97</v>
      </c>
      <c r="BT189" s="13">
        <v>89</v>
      </c>
      <c r="BU189" s="13">
        <v>90</v>
      </c>
      <c r="BV189" s="13">
        <v>102</v>
      </c>
      <c r="BW189" s="13">
        <v>96</v>
      </c>
      <c r="BX189" s="328">
        <f t="shared" si="14"/>
        <v>208156818</v>
      </c>
      <c r="BY189" s="328">
        <f t="shared" si="15"/>
        <v>78355922</v>
      </c>
      <c r="BZ189" s="329">
        <f t="shared" si="12"/>
        <v>0.91835335755292047</v>
      </c>
      <c r="CA189" s="329">
        <f t="shared" si="13"/>
        <v>0.9180193902909265</v>
      </c>
    </row>
    <row r="190" spans="1:79" x14ac:dyDescent="0.25">
      <c r="A190" s="13">
        <v>3080</v>
      </c>
      <c r="B190" s="13">
        <v>189</v>
      </c>
      <c r="C190" s="13" t="s">
        <v>708</v>
      </c>
      <c r="D190" s="13">
        <v>175280</v>
      </c>
      <c r="E190" s="13">
        <v>194594</v>
      </c>
      <c r="F190" s="13">
        <v>216324</v>
      </c>
      <c r="G190" s="13">
        <v>229144</v>
      </c>
      <c r="H190" s="13">
        <v>1.3</v>
      </c>
      <c r="I190" s="13">
        <v>106</v>
      </c>
      <c r="J190" s="13">
        <v>72280</v>
      </c>
      <c r="K190" s="13">
        <v>82520</v>
      </c>
      <c r="L190" s="13">
        <v>88942</v>
      </c>
      <c r="M190" s="13">
        <v>1.6</v>
      </c>
      <c r="N190" s="13">
        <v>2.5499999999999998</v>
      </c>
      <c r="O190" s="13">
        <v>50504</v>
      </c>
      <c r="P190" s="13">
        <v>56395</v>
      </c>
      <c r="Q190" s="13">
        <v>1.3</v>
      </c>
      <c r="R190" s="13">
        <v>95.9</v>
      </c>
      <c r="S190" s="13">
        <v>95</v>
      </c>
      <c r="T190" s="13">
        <v>0.5</v>
      </c>
      <c r="U190" s="13">
        <v>0.7</v>
      </c>
      <c r="V190" s="13">
        <v>1.3</v>
      </c>
      <c r="W190" s="13">
        <v>1.8</v>
      </c>
      <c r="X190" s="13">
        <v>0.8</v>
      </c>
      <c r="Y190" s="13">
        <v>1.1000000000000001</v>
      </c>
      <c r="Z190" s="13">
        <v>6.7</v>
      </c>
      <c r="AA190" s="13">
        <v>7.5</v>
      </c>
      <c r="AB190" s="13">
        <v>7.6</v>
      </c>
      <c r="AC190" s="13">
        <v>7.7</v>
      </c>
      <c r="AD190" s="13">
        <v>6.6</v>
      </c>
      <c r="AE190" s="13">
        <v>33.299999999999997</v>
      </c>
      <c r="AF190" s="13">
        <v>19.8</v>
      </c>
      <c r="AG190" s="13">
        <v>9.4</v>
      </c>
      <c r="AH190" s="13">
        <v>1.4</v>
      </c>
      <c r="AI190" s="13">
        <v>73.900000000000006</v>
      </c>
      <c r="AJ190" s="13">
        <v>31.4</v>
      </c>
      <c r="AK190" s="13">
        <v>33.9</v>
      </c>
      <c r="AL190" s="13">
        <v>95.8</v>
      </c>
      <c r="AM190" s="13">
        <v>19803</v>
      </c>
      <c r="AN190" s="13">
        <v>82517</v>
      </c>
      <c r="AO190" s="13">
        <v>12</v>
      </c>
      <c r="AP190" s="13">
        <v>10.9</v>
      </c>
      <c r="AQ190" s="13">
        <v>37.299999999999997</v>
      </c>
      <c r="AR190" s="13">
        <v>31.3</v>
      </c>
      <c r="AS190" s="13">
        <v>6.2</v>
      </c>
      <c r="AT190" s="13">
        <v>2.2999999999999998</v>
      </c>
      <c r="AU190" s="13">
        <v>42506</v>
      </c>
      <c r="AV190" s="13">
        <v>50142</v>
      </c>
      <c r="AW190" s="13">
        <v>60</v>
      </c>
      <c r="AX190" s="13">
        <v>34991</v>
      </c>
      <c r="AY190" s="13">
        <v>29844</v>
      </c>
      <c r="AZ190" s="13">
        <v>39489</v>
      </c>
      <c r="BA190" s="13">
        <v>46672</v>
      </c>
      <c r="BB190" s="13">
        <v>39758</v>
      </c>
      <c r="BC190" s="13">
        <v>21454</v>
      </c>
      <c r="BD190" s="13">
        <v>98</v>
      </c>
      <c r="BE190" s="13">
        <v>97</v>
      </c>
      <c r="BF190" s="13">
        <v>91</v>
      </c>
      <c r="BG190" s="13">
        <v>94</v>
      </c>
      <c r="BH190" s="13">
        <v>100</v>
      </c>
      <c r="BI190" s="13">
        <v>97</v>
      </c>
      <c r="BJ190" s="13">
        <v>100</v>
      </c>
      <c r="BK190" s="13">
        <v>99</v>
      </c>
      <c r="BL190" s="13">
        <v>98</v>
      </c>
      <c r="BM190" s="13">
        <v>98</v>
      </c>
      <c r="BN190" s="13">
        <v>100</v>
      </c>
      <c r="BO190" s="13">
        <v>98</v>
      </c>
      <c r="BP190" s="13">
        <v>100</v>
      </c>
      <c r="BQ190" s="13">
        <v>100</v>
      </c>
      <c r="BR190" s="13">
        <v>99</v>
      </c>
      <c r="BS190" s="13">
        <v>102</v>
      </c>
      <c r="BT190" s="13">
        <v>99</v>
      </c>
      <c r="BU190" s="13">
        <v>99</v>
      </c>
      <c r="BV190" s="13">
        <v>98</v>
      </c>
      <c r="BW190" s="13">
        <v>99</v>
      </c>
      <c r="BX190" s="328">
        <f t="shared" si="14"/>
        <v>208385962</v>
      </c>
      <c r="BY190" s="328">
        <f t="shared" si="15"/>
        <v>78444864</v>
      </c>
      <c r="BZ190" s="329">
        <f t="shared" si="12"/>
        <v>0.91936430287666715</v>
      </c>
      <c r="CA190" s="329">
        <f t="shared" si="13"/>
        <v>0.91906143636130855</v>
      </c>
    </row>
    <row r="191" spans="1:79" x14ac:dyDescent="0.25">
      <c r="A191" s="13">
        <v>1145</v>
      </c>
      <c r="B191" s="13">
        <v>190</v>
      </c>
      <c r="C191" s="13" t="s">
        <v>709</v>
      </c>
      <c r="D191" s="13">
        <v>169587</v>
      </c>
      <c r="E191" s="13">
        <v>191707</v>
      </c>
      <c r="F191" s="13">
        <v>229753</v>
      </c>
      <c r="G191" s="13">
        <v>251547</v>
      </c>
      <c r="H191" s="13">
        <v>2.2000000000000002</v>
      </c>
      <c r="I191" s="13">
        <v>35</v>
      </c>
      <c r="J191" s="13">
        <v>64019</v>
      </c>
      <c r="K191" s="13">
        <v>78422</v>
      </c>
      <c r="L191" s="13">
        <v>87521</v>
      </c>
      <c r="M191" s="13">
        <v>2.5</v>
      </c>
      <c r="N191" s="13">
        <v>2.79</v>
      </c>
      <c r="O191" s="13">
        <v>50044</v>
      </c>
      <c r="P191" s="13">
        <v>60042</v>
      </c>
      <c r="Q191" s="13">
        <v>2.2000000000000002</v>
      </c>
      <c r="R191" s="13">
        <v>80.8</v>
      </c>
      <c r="S191" s="13">
        <v>77.599999999999994</v>
      </c>
      <c r="T191" s="13">
        <v>8.3000000000000007</v>
      </c>
      <c r="U191" s="13">
        <v>8.9</v>
      </c>
      <c r="V191" s="13">
        <v>1</v>
      </c>
      <c r="W191" s="13">
        <v>1.5</v>
      </c>
      <c r="X191" s="13">
        <v>17.600000000000001</v>
      </c>
      <c r="Y191" s="13">
        <v>21.8</v>
      </c>
      <c r="Z191" s="13">
        <v>7.9</v>
      </c>
      <c r="AA191" s="13">
        <v>8.4</v>
      </c>
      <c r="AB191" s="13">
        <v>8.5</v>
      </c>
      <c r="AC191" s="13">
        <v>7.6</v>
      </c>
      <c r="AD191" s="13">
        <v>5.8</v>
      </c>
      <c r="AE191" s="13">
        <v>33.1</v>
      </c>
      <c r="AF191" s="13">
        <v>20.9</v>
      </c>
      <c r="AG191" s="13">
        <v>7.1</v>
      </c>
      <c r="AH191" s="13">
        <v>0.7</v>
      </c>
      <c r="AI191" s="13">
        <v>70.7</v>
      </c>
      <c r="AJ191" s="13">
        <v>31.1</v>
      </c>
      <c r="AK191" s="13">
        <v>32.9</v>
      </c>
      <c r="AL191" s="13">
        <v>108.5</v>
      </c>
      <c r="AM191" s="13">
        <v>16902</v>
      </c>
      <c r="AN191" s="13">
        <v>78422</v>
      </c>
      <c r="AO191" s="13">
        <v>13.1</v>
      </c>
      <c r="AP191" s="13">
        <v>12.7</v>
      </c>
      <c r="AQ191" s="13">
        <v>34.4</v>
      </c>
      <c r="AR191" s="13">
        <v>33.200000000000003</v>
      </c>
      <c r="AS191" s="13">
        <v>5.2</v>
      </c>
      <c r="AT191" s="13">
        <v>1.4</v>
      </c>
      <c r="AU191" s="13">
        <v>42389</v>
      </c>
      <c r="AV191" s="13">
        <v>50705</v>
      </c>
      <c r="AW191" s="13">
        <v>61</v>
      </c>
      <c r="AX191" s="13">
        <v>38488</v>
      </c>
      <c r="AY191" s="13">
        <v>33520</v>
      </c>
      <c r="AZ191" s="13">
        <v>42718</v>
      </c>
      <c r="BA191" s="13">
        <v>47460</v>
      </c>
      <c r="BB191" s="13">
        <v>38984</v>
      </c>
      <c r="BC191" s="13">
        <v>24076</v>
      </c>
      <c r="BD191" s="13">
        <v>100</v>
      </c>
      <c r="BE191" s="13">
        <v>98</v>
      </c>
      <c r="BF191" s="13">
        <v>91</v>
      </c>
      <c r="BG191" s="13">
        <v>95</v>
      </c>
      <c r="BH191" s="13">
        <v>99</v>
      </c>
      <c r="BI191" s="13">
        <v>99</v>
      </c>
      <c r="BJ191" s="13">
        <v>106</v>
      </c>
      <c r="BK191" s="13">
        <v>101</v>
      </c>
      <c r="BL191" s="13">
        <v>101</v>
      </c>
      <c r="BM191" s="13">
        <v>100</v>
      </c>
      <c r="BN191" s="13">
        <v>101</v>
      </c>
      <c r="BO191" s="13">
        <v>102</v>
      </c>
      <c r="BP191" s="13">
        <v>97</v>
      </c>
      <c r="BQ191" s="13">
        <v>103</v>
      </c>
      <c r="BR191" s="13">
        <v>89</v>
      </c>
      <c r="BS191" s="13">
        <v>101</v>
      </c>
      <c r="BT191" s="13">
        <v>98</v>
      </c>
      <c r="BU191" s="13">
        <v>101</v>
      </c>
      <c r="BV191" s="13">
        <v>99</v>
      </c>
      <c r="BW191" s="13">
        <v>102</v>
      </c>
      <c r="BX191" s="328">
        <f t="shared" si="14"/>
        <v>208637509</v>
      </c>
      <c r="BY191" s="328">
        <f t="shared" si="15"/>
        <v>78532385</v>
      </c>
      <c r="BZ191" s="329">
        <f t="shared" si="12"/>
        <v>0.92047408652080598</v>
      </c>
      <c r="CA191" s="329">
        <f t="shared" si="13"/>
        <v>0.92008683397015356</v>
      </c>
    </row>
    <row r="192" spans="1:79" x14ac:dyDescent="0.25">
      <c r="A192" s="13">
        <v>320</v>
      </c>
      <c r="B192" s="13">
        <v>191</v>
      </c>
      <c r="C192" s="13" t="s">
        <v>710</v>
      </c>
      <c r="D192" s="13">
        <v>173699</v>
      </c>
      <c r="E192" s="13">
        <v>187547</v>
      </c>
      <c r="F192" s="13">
        <v>210503</v>
      </c>
      <c r="G192" s="13">
        <v>222783</v>
      </c>
      <c r="H192" s="13">
        <v>1.4</v>
      </c>
      <c r="I192" s="13">
        <v>89</v>
      </c>
      <c r="J192" s="13">
        <v>71897</v>
      </c>
      <c r="K192" s="13">
        <v>81165</v>
      </c>
      <c r="L192" s="13">
        <v>87088</v>
      </c>
      <c r="M192" s="13">
        <v>1.5</v>
      </c>
      <c r="N192" s="13">
        <v>2.5099999999999998</v>
      </c>
      <c r="O192" s="13">
        <v>50387</v>
      </c>
      <c r="P192" s="13">
        <v>55709</v>
      </c>
      <c r="Q192" s="13">
        <v>1.2</v>
      </c>
      <c r="R192" s="13">
        <v>84.5</v>
      </c>
      <c r="S192" s="13">
        <v>81.400000000000006</v>
      </c>
      <c r="T192" s="13">
        <v>5.2</v>
      </c>
      <c r="U192" s="13">
        <v>5.8</v>
      </c>
      <c r="V192" s="13">
        <v>1.7</v>
      </c>
      <c r="W192" s="13">
        <v>2.4</v>
      </c>
      <c r="X192" s="13">
        <v>13.5</v>
      </c>
      <c r="Y192" s="13">
        <v>16.8</v>
      </c>
      <c r="Z192" s="13">
        <v>7.9</v>
      </c>
      <c r="AA192" s="13">
        <v>7.7</v>
      </c>
      <c r="AB192" s="13">
        <v>7.7</v>
      </c>
      <c r="AC192" s="13">
        <v>7.6</v>
      </c>
      <c r="AD192" s="13">
        <v>6.8</v>
      </c>
      <c r="AE192" s="13">
        <v>29.4</v>
      </c>
      <c r="AF192" s="13">
        <v>20.9</v>
      </c>
      <c r="AG192" s="13">
        <v>10.6</v>
      </c>
      <c r="AH192" s="13">
        <v>1.3</v>
      </c>
      <c r="AI192" s="13">
        <v>72.400000000000006</v>
      </c>
      <c r="AJ192" s="13">
        <v>31.8</v>
      </c>
      <c r="AK192" s="13">
        <v>34</v>
      </c>
      <c r="AL192" s="13">
        <v>94.6</v>
      </c>
      <c r="AM192" s="13">
        <v>15118</v>
      </c>
      <c r="AN192" s="13">
        <v>81158</v>
      </c>
      <c r="AO192" s="13">
        <v>21.9</v>
      </c>
      <c r="AP192" s="13">
        <v>17.600000000000001</v>
      </c>
      <c r="AQ192" s="13">
        <v>35.5</v>
      </c>
      <c r="AR192" s="13">
        <v>20.8</v>
      </c>
      <c r="AS192" s="13">
        <v>2.7</v>
      </c>
      <c r="AT192" s="13">
        <v>1.4</v>
      </c>
      <c r="AU192" s="13">
        <v>30923</v>
      </c>
      <c r="AV192" s="13">
        <v>35424</v>
      </c>
      <c r="AW192" s="13">
        <v>262</v>
      </c>
      <c r="AX192" s="13">
        <v>31252</v>
      </c>
      <c r="AY192" s="13">
        <v>25149</v>
      </c>
      <c r="AZ192" s="13">
        <v>35763</v>
      </c>
      <c r="BA192" s="13">
        <v>38599</v>
      </c>
      <c r="BB192" s="13">
        <v>34792</v>
      </c>
      <c r="BC192" s="13">
        <v>23438</v>
      </c>
      <c r="BD192" s="13">
        <v>97</v>
      </c>
      <c r="BE192" s="13">
        <v>98</v>
      </c>
      <c r="BF192" s="13">
        <v>98</v>
      </c>
      <c r="BG192" s="13">
        <v>95</v>
      </c>
      <c r="BH192" s="13">
        <v>102</v>
      </c>
      <c r="BI192" s="13">
        <v>101</v>
      </c>
      <c r="BJ192" s="13">
        <v>101</v>
      </c>
      <c r="BK192" s="13">
        <v>99</v>
      </c>
      <c r="BL192" s="13">
        <v>98</v>
      </c>
      <c r="BM192" s="13">
        <v>98</v>
      </c>
      <c r="BN192" s="13">
        <v>98</v>
      </c>
      <c r="BO192" s="13">
        <v>98</v>
      </c>
      <c r="BP192" s="13">
        <v>97</v>
      </c>
      <c r="BQ192" s="13">
        <v>100</v>
      </c>
      <c r="BR192" s="13">
        <v>93</v>
      </c>
      <c r="BS192" s="13">
        <v>99</v>
      </c>
      <c r="BT192" s="13">
        <v>95</v>
      </c>
      <c r="BU192" s="13">
        <v>98</v>
      </c>
      <c r="BV192" s="13">
        <v>99</v>
      </c>
      <c r="BW192" s="13">
        <v>100</v>
      </c>
      <c r="BX192" s="328">
        <f t="shared" si="14"/>
        <v>208860292</v>
      </c>
      <c r="BY192" s="328">
        <f t="shared" si="15"/>
        <v>78619473</v>
      </c>
      <c r="BZ192" s="329">
        <f t="shared" si="12"/>
        <v>0.92145696816754452</v>
      </c>
      <c r="CA192" s="329">
        <f t="shared" si="13"/>
        <v>0.92110715854321723</v>
      </c>
    </row>
    <row r="193" spans="1:79" x14ac:dyDescent="0.25">
      <c r="A193" s="13">
        <v>7880</v>
      </c>
      <c r="B193" s="13">
        <v>192</v>
      </c>
      <c r="C193" s="13" t="s">
        <v>711</v>
      </c>
      <c r="D193" s="13">
        <v>187770</v>
      </c>
      <c r="E193" s="13">
        <v>189550</v>
      </c>
      <c r="F193" s="13">
        <v>204732</v>
      </c>
      <c r="G193" s="13">
        <v>213753</v>
      </c>
      <c r="H193" s="13">
        <v>0.9</v>
      </c>
      <c r="I193" s="13">
        <v>174</v>
      </c>
      <c r="J193" s="13">
        <v>76345</v>
      </c>
      <c r="K193" s="13">
        <v>82523</v>
      </c>
      <c r="L193" s="13">
        <v>86323</v>
      </c>
      <c r="M193" s="13">
        <v>0.9</v>
      </c>
      <c r="N193" s="13">
        <v>2.44</v>
      </c>
      <c r="O193" s="13">
        <v>50736</v>
      </c>
      <c r="P193" s="13">
        <v>53639</v>
      </c>
      <c r="Q193" s="13">
        <v>0.7</v>
      </c>
      <c r="R193" s="13">
        <v>91.3</v>
      </c>
      <c r="S193" s="13">
        <v>90</v>
      </c>
      <c r="T193" s="13">
        <v>7.6</v>
      </c>
      <c r="U193" s="13">
        <v>8.5</v>
      </c>
      <c r="V193" s="13">
        <v>0.7</v>
      </c>
      <c r="W193" s="13">
        <v>1</v>
      </c>
      <c r="X193" s="13">
        <v>0.7</v>
      </c>
      <c r="Y193" s="13">
        <v>1</v>
      </c>
      <c r="Z193" s="13">
        <v>7.1</v>
      </c>
      <c r="AA193" s="13">
        <v>7.2</v>
      </c>
      <c r="AB193" s="13">
        <v>7.3</v>
      </c>
      <c r="AC193" s="13">
        <v>7</v>
      </c>
      <c r="AD193" s="13">
        <v>5.6</v>
      </c>
      <c r="AE193" s="13">
        <v>30.7</v>
      </c>
      <c r="AF193" s="13">
        <v>21.5</v>
      </c>
      <c r="AG193" s="13">
        <v>11.8</v>
      </c>
      <c r="AH193" s="13">
        <v>1.8</v>
      </c>
      <c r="AI193" s="13">
        <v>74.099999999999994</v>
      </c>
      <c r="AJ193" s="13">
        <v>34.299999999999997</v>
      </c>
      <c r="AK193" s="13">
        <v>36.299999999999997</v>
      </c>
      <c r="AL193" s="13">
        <v>90.5</v>
      </c>
      <c r="AM193" s="13">
        <v>17383</v>
      </c>
      <c r="AN193" s="13">
        <v>82523</v>
      </c>
      <c r="AO193" s="13">
        <v>17.2</v>
      </c>
      <c r="AP193" s="13">
        <v>15.9</v>
      </c>
      <c r="AQ193" s="13">
        <v>36.299999999999997</v>
      </c>
      <c r="AR193" s="13">
        <v>25.8</v>
      </c>
      <c r="AS193" s="13">
        <v>3.5</v>
      </c>
      <c r="AT193" s="13">
        <v>1.3</v>
      </c>
      <c r="AU193" s="13">
        <v>35849</v>
      </c>
      <c r="AV193" s="13">
        <v>40528</v>
      </c>
      <c r="AW193" s="13">
        <v>163</v>
      </c>
      <c r="AX193" s="13">
        <v>32605</v>
      </c>
      <c r="AY193" s="13">
        <v>27680</v>
      </c>
      <c r="AZ193" s="13">
        <v>37784</v>
      </c>
      <c r="BA193" s="13">
        <v>41658</v>
      </c>
      <c r="BB193" s="13">
        <v>36453</v>
      </c>
      <c r="BC193" s="13">
        <v>21564</v>
      </c>
      <c r="BD193" s="13">
        <v>98</v>
      </c>
      <c r="BE193" s="13">
        <v>97</v>
      </c>
      <c r="BF193" s="13">
        <v>98</v>
      </c>
      <c r="BG193" s="13">
        <v>97</v>
      </c>
      <c r="BH193" s="13">
        <v>102</v>
      </c>
      <c r="BI193" s="13">
        <v>100</v>
      </c>
      <c r="BJ193" s="13">
        <v>102</v>
      </c>
      <c r="BK193" s="13">
        <v>99</v>
      </c>
      <c r="BL193" s="13">
        <v>98</v>
      </c>
      <c r="BM193" s="13">
        <v>99</v>
      </c>
      <c r="BN193" s="13">
        <v>99</v>
      </c>
      <c r="BO193" s="13">
        <v>98</v>
      </c>
      <c r="BP193" s="13">
        <v>101</v>
      </c>
      <c r="BQ193" s="13">
        <v>100</v>
      </c>
      <c r="BR193" s="13">
        <v>103</v>
      </c>
      <c r="BS193" s="13">
        <v>102</v>
      </c>
      <c r="BT193" s="13">
        <v>100</v>
      </c>
      <c r="BU193" s="13">
        <v>99</v>
      </c>
      <c r="BV193" s="13">
        <v>99</v>
      </c>
      <c r="BW193" s="13">
        <v>99</v>
      </c>
      <c r="BX193" s="328">
        <f t="shared" si="14"/>
        <v>209074045</v>
      </c>
      <c r="BY193" s="328">
        <f t="shared" si="15"/>
        <v>78705796</v>
      </c>
      <c r="BZ193" s="329">
        <f t="shared" si="12"/>
        <v>0.92240001095193713</v>
      </c>
      <c r="CA193" s="329">
        <f t="shared" si="13"/>
        <v>0.92211852036253295</v>
      </c>
    </row>
    <row r="194" spans="1:79" x14ac:dyDescent="0.25">
      <c r="A194" s="13">
        <v>4640</v>
      </c>
      <c r="B194" s="13">
        <v>193</v>
      </c>
      <c r="C194" s="13" t="s">
        <v>712</v>
      </c>
      <c r="D194" s="13">
        <v>182207</v>
      </c>
      <c r="E194" s="13">
        <v>193928</v>
      </c>
      <c r="F194" s="13">
        <v>209444</v>
      </c>
      <c r="G194" s="13">
        <v>218815</v>
      </c>
      <c r="H194" s="13">
        <v>0.9</v>
      </c>
      <c r="I194" s="13">
        <v>175</v>
      </c>
      <c r="J194" s="13">
        <v>72689</v>
      </c>
      <c r="K194" s="13">
        <v>80707</v>
      </c>
      <c r="L194" s="13">
        <v>85674</v>
      </c>
      <c r="M194" s="13">
        <v>1.3</v>
      </c>
      <c r="N194" s="13">
        <v>2.48</v>
      </c>
      <c r="O194" s="13">
        <v>53188</v>
      </c>
      <c r="P194" s="13">
        <v>57997</v>
      </c>
      <c r="Q194" s="13">
        <v>1.1000000000000001</v>
      </c>
      <c r="R194" s="13">
        <v>81.2</v>
      </c>
      <c r="S194" s="13">
        <v>79.3</v>
      </c>
      <c r="T194" s="13">
        <v>18.100000000000001</v>
      </c>
      <c r="U194" s="13">
        <v>19.7</v>
      </c>
      <c r="V194" s="13">
        <v>0.5</v>
      </c>
      <c r="W194" s="13">
        <v>0.6</v>
      </c>
      <c r="X194" s="13">
        <v>0.6</v>
      </c>
      <c r="Y194" s="13">
        <v>1.1000000000000001</v>
      </c>
      <c r="Z194" s="13">
        <v>6</v>
      </c>
      <c r="AA194" s="13">
        <v>6.4</v>
      </c>
      <c r="AB194" s="13">
        <v>6.3</v>
      </c>
      <c r="AC194" s="13">
        <v>7.5</v>
      </c>
      <c r="AD194" s="13">
        <v>6.5</v>
      </c>
      <c r="AE194" s="13">
        <v>29.3</v>
      </c>
      <c r="AF194" s="13">
        <v>23.3</v>
      </c>
      <c r="AG194" s="13">
        <v>12.9</v>
      </c>
      <c r="AH194" s="13">
        <v>1.7</v>
      </c>
      <c r="AI194" s="13">
        <v>77.400000000000006</v>
      </c>
      <c r="AJ194" s="13">
        <v>34.5</v>
      </c>
      <c r="AK194" s="13">
        <v>37.4</v>
      </c>
      <c r="AL194" s="13">
        <v>91.9</v>
      </c>
      <c r="AM194" s="13">
        <v>14435</v>
      </c>
      <c r="AN194" s="13">
        <v>80704</v>
      </c>
      <c r="AO194" s="13">
        <v>22</v>
      </c>
      <c r="AP194" s="13">
        <v>18.5</v>
      </c>
      <c r="AQ194" s="13">
        <v>36.5</v>
      </c>
      <c r="AR194" s="13">
        <v>19.8</v>
      </c>
      <c r="AS194" s="13">
        <v>2.2999999999999998</v>
      </c>
      <c r="AT194" s="13">
        <v>1</v>
      </c>
      <c r="AU194" s="13">
        <v>30382</v>
      </c>
      <c r="AV194" s="13">
        <v>32742</v>
      </c>
      <c r="AW194" s="13">
        <v>274</v>
      </c>
      <c r="AX194" s="13">
        <v>28289</v>
      </c>
      <c r="AY194" s="13">
        <v>24949</v>
      </c>
      <c r="AZ194" s="13">
        <v>32167</v>
      </c>
      <c r="BA194" s="13">
        <v>36105</v>
      </c>
      <c r="BB194" s="13">
        <v>31727</v>
      </c>
      <c r="BC194" s="13">
        <v>18839</v>
      </c>
      <c r="BD194" s="13">
        <v>98</v>
      </c>
      <c r="BE194" s="13">
        <v>86</v>
      </c>
      <c r="BF194" s="13">
        <v>91</v>
      </c>
      <c r="BG194" s="13">
        <v>89</v>
      </c>
      <c r="BH194" s="13">
        <v>100</v>
      </c>
      <c r="BI194" s="13">
        <v>98</v>
      </c>
      <c r="BJ194" s="13">
        <v>109</v>
      </c>
      <c r="BK194" s="13">
        <v>99</v>
      </c>
      <c r="BL194" s="13">
        <v>96</v>
      </c>
      <c r="BM194" s="13">
        <v>93</v>
      </c>
      <c r="BN194" s="13">
        <v>92</v>
      </c>
      <c r="BO194" s="13">
        <v>98</v>
      </c>
      <c r="BP194" s="13">
        <v>92</v>
      </c>
      <c r="BQ194" s="13">
        <v>100</v>
      </c>
      <c r="BR194" s="13">
        <v>86</v>
      </c>
      <c r="BS194" s="13">
        <v>99</v>
      </c>
      <c r="BT194" s="13">
        <v>91</v>
      </c>
      <c r="BU194" s="13">
        <v>95</v>
      </c>
      <c r="BV194" s="13">
        <v>100</v>
      </c>
      <c r="BW194" s="13">
        <v>99</v>
      </c>
      <c r="BX194" s="328">
        <f t="shared" si="14"/>
        <v>209292860</v>
      </c>
      <c r="BY194" s="328">
        <f t="shared" si="15"/>
        <v>78791470</v>
      </c>
      <c r="BZ194" s="329">
        <f t="shared" ref="BZ194:BZ257" si="16">BX194/$CC$43</f>
        <v>0.92336538644078103</v>
      </c>
      <c r="CA194" s="329">
        <f t="shared" ref="CA194:CA257" si="17">BY194/$CD$43</f>
        <v>0.92312227848618555</v>
      </c>
    </row>
    <row r="195" spans="1:79" x14ac:dyDescent="0.25">
      <c r="A195" s="13">
        <v>4420</v>
      </c>
      <c r="B195" s="13">
        <v>194</v>
      </c>
      <c r="C195" s="13" t="s">
        <v>713</v>
      </c>
      <c r="D195" s="13">
        <v>180355</v>
      </c>
      <c r="E195" s="13">
        <v>193801</v>
      </c>
      <c r="F195" s="13">
        <v>210526</v>
      </c>
      <c r="G195" s="13">
        <v>220313</v>
      </c>
      <c r="H195" s="13">
        <v>1</v>
      </c>
      <c r="I195" s="13">
        <v>164</v>
      </c>
      <c r="J195" s="13">
        <v>72092</v>
      </c>
      <c r="K195" s="13">
        <v>80137</v>
      </c>
      <c r="L195" s="13">
        <v>85245</v>
      </c>
      <c r="M195" s="13">
        <v>1.3</v>
      </c>
      <c r="N195" s="13">
        <v>2.56</v>
      </c>
      <c r="O195" s="13">
        <v>52593</v>
      </c>
      <c r="P195" s="13">
        <v>57291</v>
      </c>
      <c r="Q195" s="13">
        <v>1</v>
      </c>
      <c r="R195" s="13">
        <v>77.099999999999994</v>
      </c>
      <c r="S195" s="13">
        <v>75.099999999999994</v>
      </c>
      <c r="T195" s="13">
        <v>20.6</v>
      </c>
      <c r="U195" s="13">
        <v>21.8</v>
      </c>
      <c r="V195" s="13">
        <v>0.3</v>
      </c>
      <c r="W195" s="13">
        <v>0.5</v>
      </c>
      <c r="X195" s="13">
        <v>2.9</v>
      </c>
      <c r="Y195" s="13">
        <v>3.8</v>
      </c>
      <c r="Z195" s="13">
        <v>6.8</v>
      </c>
      <c r="AA195" s="13">
        <v>7.8</v>
      </c>
      <c r="AB195" s="13">
        <v>8.1999999999999993</v>
      </c>
      <c r="AC195" s="13">
        <v>7.8</v>
      </c>
      <c r="AD195" s="13">
        <v>5.7</v>
      </c>
      <c r="AE195" s="13">
        <v>27.7</v>
      </c>
      <c r="AF195" s="13">
        <v>22.2</v>
      </c>
      <c r="AG195" s="13">
        <v>12.1</v>
      </c>
      <c r="AH195" s="13">
        <v>1.8</v>
      </c>
      <c r="AI195" s="13">
        <v>72.8</v>
      </c>
      <c r="AJ195" s="13">
        <v>33</v>
      </c>
      <c r="AK195" s="13">
        <v>36</v>
      </c>
      <c r="AL195" s="13">
        <v>92.7</v>
      </c>
      <c r="AM195" s="13">
        <v>13868</v>
      </c>
      <c r="AN195" s="13">
        <v>80120</v>
      </c>
      <c r="AO195" s="13">
        <v>26.1</v>
      </c>
      <c r="AP195" s="13">
        <v>17.2</v>
      </c>
      <c r="AQ195" s="13">
        <v>34.1</v>
      </c>
      <c r="AR195" s="13">
        <v>18.8</v>
      </c>
      <c r="AS195" s="13">
        <v>2.7</v>
      </c>
      <c r="AT195" s="13">
        <v>1.1000000000000001</v>
      </c>
      <c r="AU195" s="13">
        <v>28958</v>
      </c>
      <c r="AV195" s="13">
        <v>33252</v>
      </c>
      <c r="AW195" s="13">
        <v>289</v>
      </c>
      <c r="AX195" s="13">
        <v>29420</v>
      </c>
      <c r="AY195" s="13">
        <v>25819</v>
      </c>
      <c r="AZ195" s="13">
        <v>34415</v>
      </c>
      <c r="BA195" s="13">
        <v>36787</v>
      </c>
      <c r="BB195" s="13">
        <v>31361</v>
      </c>
      <c r="BC195" s="13">
        <v>20081</v>
      </c>
      <c r="BD195" s="13">
        <v>97</v>
      </c>
      <c r="BE195" s="13">
        <v>86</v>
      </c>
      <c r="BF195" s="13">
        <v>90</v>
      </c>
      <c r="BG195" s="13">
        <v>88</v>
      </c>
      <c r="BH195" s="13">
        <v>100</v>
      </c>
      <c r="BI195" s="13">
        <v>97</v>
      </c>
      <c r="BJ195" s="13">
        <v>107</v>
      </c>
      <c r="BK195" s="13">
        <v>99</v>
      </c>
      <c r="BL195" s="13">
        <v>96</v>
      </c>
      <c r="BM195" s="13">
        <v>92</v>
      </c>
      <c r="BN195" s="13">
        <v>90</v>
      </c>
      <c r="BO195" s="13">
        <v>97</v>
      </c>
      <c r="BP195" s="13">
        <v>91</v>
      </c>
      <c r="BQ195" s="13">
        <v>98</v>
      </c>
      <c r="BR195" s="13">
        <v>85</v>
      </c>
      <c r="BS195" s="13">
        <v>98</v>
      </c>
      <c r="BT195" s="13">
        <v>90</v>
      </c>
      <c r="BU195" s="13">
        <v>94</v>
      </c>
      <c r="BV195" s="13">
        <v>99</v>
      </c>
      <c r="BW195" s="13">
        <v>99</v>
      </c>
      <c r="BX195" s="328">
        <f t="shared" ref="BX195:BX258" si="18">BX194+G195</f>
        <v>209513173</v>
      </c>
      <c r="BY195" s="328">
        <f t="shared" ref="BY195:BY258" si="19">BY194+L195</f>
        <v>78876715</v>
      </c>
      <c r="BZ195" s="329">
        <f t="shared" si="16"/>
        <v>0.92433737085717693</v>
      </c>
      <c r="CA195" s="329">
        <f t="shared" si="17"/>
        <v>0.92412101043812844</v>
      </c>
    </row>
    <row r="196" spans="1:79" x14ac:dyDescent="0.25">
      <c r="A196" s="13">
        <v>9260</v>
      </c>
      <c r="B196" s="13">
        <v>195</v>
      </c>
      <c r="C196" s="13" t="s">
        <v>714</v>
      </c>
      <c r="D196" s="13">
        <v>172508</v>
      </c>
      <c r="E196" s="13">
        <v>188823</v>
      </c>
      <c r="F196" s="13">
        <v>221124</v>
      </c>
      <c r="G196" s="13">
        <v>240865</v>
      </c>
      <c r="H196" s="13">
        <v>1.9</v>
      </c>
      <c r="I196" s="13">
        <v>55</v>
      </c>
      <c r="J196" s="13">
        <v>65985</v>
      </c>
      <c r="K196" s="13">
        <v>77613</v>
      </c>
      <c r="L196" s="13">
        <v>84762</v>
      </c>
      <c r="M196" s="13">
        <v>2</v>
      </c>
      <c r="N196" s="13">
        <v>2.8</v>
      </c>
      <c r="O196" s="13">
        <v>48107</v>
      </c>
      <c r="P196" s="13">
        <v>55784</v>
      </c>
      <c r="Q196" s="13">
        <v>1.8</v>
      </c>
      <c r="R196" s="13">
        <v>73.900000000000006</v>
      </c>
      <c r="S196" s="13">
        <v>67.7</v>
      </c>
      <c r="T196" s="13">
        <v>1</v>
      </c>
      <c r="U196" s="13">
        <v>1.3</v>
      </c>
      <c r="V196" s="13">
        <v>1</v>
      </c>
      <c r="W196" s="13">
        <v>1.2</v>
      </c>
      <c r="X196" s="13">
        <v>23.9</v>
      </c>
      <c r="Y196" s="13">
        <v>31.6</v>
      </c>
      <c r="Z196" s="13">
        <v>8.4</v>
      </c>
      <c r="AA196" s="13">
        <v>8.3000000000000007</v>
      </c>
      <c r="AB196" s="13">
        <v>8.4</v>
      </c>
      <c r="AC196" s="13">
        <v>8.6999999999999993</v>
      </c>
      <c r="AD196" s="13">
        <v>6.3</v>
      </c>
      <c r="AE196" s="13">
        <v>28.3</v>
      </c>
      <c r="AF196" s="13">
        <v>19.5</v>
      </c>
      <c r="AG196" s="13">
        <v>10.6</v>
      </c>
      <c r="AH196" s="13">
        <v>1.6</v>
      </c>
      <c r="AI196" s="13">
        <v>69.7</v>
      </c>
      <c r="AJ196" s="13">
        <v>31.5</v>
      </c>
      <c r="AK196" s="13">
        <v>32.700000000000003</v>
      </c>
      <c r="AL196" s="13">
        <v>100.4</v>
      </c>
      <c r="AM196" s="13">
        <v>13005</v>
      </c>
      <c r="AN196" s="13">
        <v>77613</v>
      </c>
      <c r="AO196" s="13">
        <v>23.1</v>
      </c>
      <c r="AP196" s="13">
        <v>19.2</v>
      </c>
      <c r="AQ196" s="13">
        <v>35</v>
      </c>
      <c r="AR196" s="13">
        <v>19.2</v>
      </c>
      <c r="AS196" s="13">
        <v>2.5</v>
      </c>
      <c r="AT196" s="13">
        <v>1.1000000000000001</v>
      </c>
      <c r="AU196" s="13">
        <v>29625</v>
      </c>
      <c r="AV196" s="13">
        <v>33065</v>
      </c>
      <c r="AW196" s="13">
        <v>283</v>
      </c>
      <c r="AX196" s="13">
        <v>29640</v>
      </c>
      <c r="AY196" s="13">
        <v>24528</v>
      </c>
      <c r="AZ196" s="13">
        <v>34475</v>
      </c>
      <c r="BA196" s="13">
        <v>37171</v>
      </c>
      <c r="BB196" s="13">
        <v>33223</v>
      </c>
      <c r="BC196" s="13">
        <v>21478</v>
      </c>
      <c r="BD196" s="13">
        <v>98</v>
      </c>
      <c r="BE196" s="13">
        <v>88</v>
      </c>
      <c r="BF196" s="13">
        <v>94</v>
      </c>
      <c r="BG196" s="13">
        <v>89</v>
      </c>
      <c r="BH196" s="13">
        <v>98</v>
      </c>
      <c r="BI196" s="13">
        <v>97</v>
      </c>
      <c r="BJ196" s="13">
        <v>103</v>
      </c>
      <c r="BK196" s="13">
        <v>99</v>
      </c>
      <c r="BL196" s="13">
        <v>96</v>
      </c>
      <c r="BM196" s="13">
        <v>92</v>
      </c>
      <c r="BN196" s="13">
        <v>92</v>
      </c>
      <c r="BO196" s="13">
        <v>91</v>
      </c>
      <c r="BP196" s="13">
        <v>90</v>
      </c>
      <c r="BQ196" s="13">
        <v>94</v>
      </c>
      <c r="BR196" s="13">
        <v>89</v>
      </c>
      <c r="BS196" s="13">
        <v>95</v>
      </c>
      <c r="BT196" s="13">
        <v>89</v>
      </c>
      <c r="BU196" s="13">
        <v>93</v>
      </c>
      <c r="BV196" s="13">
        <v>99</v>
      </c>
      <c r="BW196" s="13">
        <v>95</v>
      </c>
      <c r="BX196" s="328">
        <f t="shared" si="18"/>
        <v>209754038</v>
      </c>
      <c r="BY196" s="328">
        <f t="shared" si="19"/>
        <v>78961477</v>
      </c>
      <c r="BZ196" s="329">
        <f t="shared" si="16"/>
        <v>0.92540002728895898</v>
      </c>
      <c r="CA196" s="329">
        <f t="shared" si="17"/>
        <v>0.92511408355339142</v>
      </c>
    </row>
    <row r="197" spans="1:79" x14ac:dyDescent="0.25">
      <c r="A197" s="13">
        <v>8800</v>
      </c>
      <c r="B197" s="13">
        <v>196</v>
      </c>
      <c r="C197" s="13" t="s">
        <v>715</v>
      </c>
      <c r="D197" s="13">
        <v>170755</v>
      </c>
      <c r="E197" s="13">
        <v>189123</v>
      </c>
      <c r="F197" s="13">
        <v>204906</v>
      </c>
      <c r="G197" s="13">
        <v>214751</v>
      </c>
      <c r="H197" s="13">
        <v>1</v>
      </c>
      <c r="I197" s="13">
        <v>171</v>
      </c>
      <c r="J197" s="13">
        <v>70208</v>
      </c>
      <c r="K197" s="13">
        <v>77800</v>
      </c>
      <c r="L197" s="13">
        <v>82510</v>
      </c>
      <c r="M197" s="13">
        <v>1.3</v>
      </c>
      <c r="N197" s="13">
        <v>2.54</v>
      </c>
      <c r="O197" s="13">
        <v>47862</v>
      </c>
      <c r="P197" s="13">
        <v>51569</v>
      </c>
      <c r="Q197" s="13">
        <v>0.9</v>
      </c>
      <c r="R197" s="13">
        <v>77.3</v>
      </c>
      <c r="S197" s="13">
        <v>74.599999999999994</v>
      </c>
      <c r="T197" s="13">
        <v>15.6</v>
      </c>
      <c r="U197" s="13">
        <v>16.399999999999999</v>
      </c>
      <c r="V197" s="13">
        <v>0.7</v>
      </c>
      <c r="W197" s="13">
        <v>1</v>
      </c>
      <c r="X197" s="13">
        <v>12.5</v>
      </c>
      <c r="Y197" s="13">
        <v>15.8</v>
      </c>
      <c r="Z197" s="13">
        <v>7.3</v>
      </c>
      <c r="AA197" s="13">
        <v>7.3</v>
      </c>
      <c r="AB197" s="13">
        <v>7.3</v>
      </c>
      <c r="AC197" s="13">
        <v>8.5</v>
      </c>
      <c r="AD197" s="13">
        <v>8.6</v>
      </c>
      <c r="AE197" s="13">
        <v>26.6</v>
      </c>
      <c r="AF197" s="13">
        <v>20.5</v>
      </c>
      <c r="AG197" s="13">
        <v>12.2</v>
      </c>
      <c r="AH197" s="13">
        <v>1.7</v>
      </c>
      <c r="AI197" s="13">
        <v>74.3</v>
      </c>
      <c r="AJ197" s="13">
        <v>31.1</v>
      </c>
      <c r="AK197" s="13">
        <v>34</v>
      </c>
      <c r="AL197" s="13">
        <v>94.3</v>
      </c>
      <c r="AM197" s="13">
        <v>14873</v>
      </c>
      <c r="AN197" s="13">
        <v>77788</v>
      </c>
      <c r="AO197" s="13">
        <v>24.8</v>
      </c>
      <c r="AP197" s="13">
        <v>16</v>
      </c>
      <c r="AQ197" s="13">
        <v>33.1</v>
      </c>
      <c r="AR197" s="13">
        <v>21.4</v>
      </c>
      <c r="AS197" s="13">
        <v>3.3</v>
      </c>
      <c r="AT197" s="13">
        <v>1.3</v>
      </c>
      <c r="AU197" s="13">
        <v>30818</v>
      </c>
      <c r="AV197" s="13">
        <v>37125</v>
      </c>
      <c r="AW197" s="13">
        <v>263</v>
      </c>
      <c r="AX197" s="13">
        <v>31199</v>
      </c>
      <c r="AY197" s="13">
        <v>23652</v>
      </c>
      <c r="AZ197" s="13">
        <v>36712</v>
      </c>
      <c r="BA197" s="13">
        <v>41955</v>
      </c>
      <c r="BB197" s="13">
        <v>35839</v>
      </c>
      <c r="BC197" s="13">
        <v>23196</v>
      </c>
      <c r="BD197" s="13">
        <v>96</v>
      </c>
      <c r="BE197" s="13">
        <v>92</v>
      </c>
      <c r="BF197" s="13">
        <v>95</v>
      </c>
      <c r="BG197" s="13">
        <v>92</v>
      </c>
      <c r="BH197" s="13">
        <v>101</v>
      </c>
      <c r="BI197" s="13">
        <v>98</v>
      </c>
      <c r="BJ197" s="13">
        <v>102</v>
      </c>
      <c r="BK197" s="13">
        <v>97</v>
      </c>
      <c r="BL197" s="13">
        <v>95</v>
      </c>
      <c r="BM197" s="13">
        <v>93</v>
      </c>
      <c r="BN197" s="13">
        <v>92</v>
      </c>
      <c r="BO197" s="13">
        <v>95</v>
      </c>
      <c r="BP197" s="13">
        <v>92</v>
      </c>
      <c r="BQ197" s="13">
        <v>97</v>
      </c>
      <c r="BR197" s="13">
        <v>89</v>
      </c>
      <c r="BS197" s="13">
        <v>97</v>
      </c>
      <c r="BT197" s="13">
        <v>91</v>
      </c>
      <c r="BU197" s="13">
        <v>95</v>
      </c>
      <c r="BV197" s="13">
        <v>98</v>
      </c>
      <c r="BW197" s="13">
        <v>98</v>
      </c>
      <c r="BX197" s="328">
        <f t="shared" si="18"/>
        <v>209968789</v>
      </c>
      <c r="BY197" s="328">
        <f t="shared" si="19"/>
        <v>79043987</v>
      </c>
      <c r="BZ197" s="329">
        <f t="shared" si="16"/>
        <v>0.92634747308383003</v>
      </c>
      <c r="CA197" s="329">
        <f t="shared" si="17"/>
        <v>0.92608077219618345</v>
      </c>
    </row>
    <row r="198" spans="1:79" x14ac:dyDescent="0.25">
      <c r="A198" s="13">
        <v>5330</v>
      </c>
      <c r="B198" s="13">
        <v>197</v>
      </c>
      <c r="C198" s="13" t="s">
        <v>716</v>
      </c>
      <c r="D198" s="13">
        <v>101419</v>
      </c>
      <c r="E198" s="13">
        <v>144053</v>
      </c>
      <c r="F198" s="13">
        <v>174841</v>
      </c>
      <c r="G198" s="13">
        <v>193944</v>
      </c>
      <c r="H198" s="13">
        <v>2.4</v>
      </c>
      <c r="I198" s="13">
        <v>28</v>
      </c>
      <c r="J198" s="13">
        <v>55764</v>
      </c>
      <c r="K198" s="13">
        <v>71488</v>
      </c>
      <c r="L198" s="13">
        <v>81697</v>
      </c>
      <c r="M198" s="13">
        <v>3.1</v>
      </c>
      <c r="N198" s="13">
        <v>2.41</v>
      </c>
      <c r="O198" s="13">
        <v>40450</v>
      </c>
      <c r="P198" s="13">
        <v>50764</v>
      </c>
      <c r="Q198" s="13">
        <v>2.8</v>
      </c>
      <c r="R198" s="13">
        <v>81.3</v>
      </c>
      <c r="S198" s="13">
        <v>80.2</v>
      </c>
      <c r="T198" s="13">
        <v>17.5</v>
      </c>
      <c r="U198" s="13">
        <v>18.100000000000001</v>
      </c>
      <c r="V198" s="13">
        <v>0.8</v>
      </c>
      <c r="W198" s="13">
        <v>1.1000000000000001</v>
      </c>
      <c r="X198" s="13">
        <v>0.9</v>
      </c>
      <c r="Y198" s="13">
        <v>1.8</v>
      </c>
      <c r="Z198" s="13">
        <v>6.1</v>
      </c>
      <c r="AA198" s="13">
        <v>6.4</v>
      </c>
      <c r="AB198" s="13">
        <v>6.5</v>
      </c>
      <c r="AC198" s="13">
        <v>6.3</v>
      </c>
      <c r="AD198" s="13">
        <v>6.8</v>
      </c>
      <c r="AE198" s="13">
        <v>30.8</v>
      </c>
      <c r="AF198" s="13">
        <v>23.7</v>
      </c>
      <c r="AG198" s="13">
        <v>12.5</v>
      </c>
      <c r="AH198" s="13">
        <v>0.9</v>
      </c>
      <c r="AI198" s="13">
        <v>77.3</v>
      </c>
      <c r="AJ198" s="13">
        <v>33.799999999999997</v>
      </c>
      <c r="AK198" s="13">
        <v>36.700000000000003</v>
      </c>
      <c r="AL198" s="13">
        <v>94.9</v>
      </c>
      <c r="AM198" s="13">
        <v>17825</v>
      </c>
      <c r="AN198" s="13">
        <v>71488</v>
      </c>
      <c r="AO198" s="13">
        <v>16.3</v>
      </c>
      <c r="AP198" s="13">
        <v>16.7</v>
      </c>
      <c r="AQ198" s="13">
        <v>37.299999999999997</v>
      </c>
      <c r="AR198" s="13">
        <v>24.2</v>
      </c>
      <c r="AS198" s="13">
        <v>4.0999999999999996</v>
      </c>
      <c r="AT198" s="13">
        <v>1.4</v>
      </c>
      <c r="AU198" s="13">
        <v>34704</v>
      </c>
      <c r="AV198" s="13">
        <v>41220</v>
      </c>
      <c r="AW198" s="13">
        <v>191</v>
      </c>
      <c r="AX198" s="13">
        <v>32910</v>
      </c>
      <c r="AY198" s="13">
        <v>27793</v>
      </c>
      <c r="AZ198" s="13">
        <v>37167</v>
      </c>
      <c r="BA198" s="13">
        <v>39149</v>
      </c>
      <c r="BB198" s="13">
        <v>35530</v>
      </c>
      <c r="BC198" s="13">
        <v>27587</v>
      </c>
      <c r="BD198" s="13">
        <v>100</v>
      </c>
      <c r="BE198" s="13">
        <v>88</v>
      </c>
      <c r="BF198" s="13">
        <v>98</v>
      </c>
      <c r="BG198" s="13">
        <v>94</v>
      </c>
      <c r="BH198" s="13">
        <v>102</v>
      </c>
      <c r="BI198" s="13">
        <v>104</v>
      </c>
      <c r="BJ198" s="13">
        <v>112</v>
      </c>
      <c r="BK198" s="13">
        <v>101</v>
      </c>
      <c r="BL198" s="13">
        <v>97</v>
      </c>
      <c r="BM198" s="13">
        <v>94</v>
      </c>
      <c r="BN198" s="13">
        <v>94</v>
      </c>
      <c r="BO198" s="13">
        <v>99</v>
      </c>
      <c r="BP198" s="13">
        <v>94</v>
      </c>
      <c r="BQ198" s="13">
        <v>101</v>
      </c>
      <c r="BR198" s="13">
        <v>90</v>
      </c>
      <c r="BS198" s="13">
        <v>99</v>
      </c>
      <c r="BT198" s="13">
        <v>93</v>
      </c>
      <c r="BU198" s="13">
        <v>96</v>
      </c>
      <c r="BV198" s="13">
        <v>104</v>
      </c>
      <c r="BW198" s="13">
        <v>101</v>
      </c>
      <c r="BX198" s="328">
        <f t="shared" si="18"/>
        <v>210162733</v>
      </c>
      <c r="BY198" s="328">
        <f t="shared" si="19"/>
        <v>79125684</v>
      </c>
      <c r="BZ198" s="329">
        <f t="shared" si="16"/>
        <v>0.92720312184560749</v>
      </c>
      <c r="CA198" s="329">
        <f t="shared" si="17"/>
        <v>0.92703793571636517</v>
      </c>
    </row>
    <row r="199" spans="1:79" x14ac:dyDescent="0.25">
      <c r="A199" s="13">
        <v>2900</v>
      </c>
      <c r="B199" s="13">
        <v>198</v>
      </c>
      <c r="C199" s="13" t="s">
        <v>717</v>
      </c>
      <c r="D199" s="13">
        <v>151369</v>
      </c>
      <c r="E199" s="13">
        <v>181596</v>
      </c>
      <c r="F199" s="13">
        <v>199812</v>
      </c>
      <c r="G199" s="13">
        <v>210289</v>
      </c>
      <c r="H199" s="13">
        <v>1.2</v>
      </c>
      <c r="I199" s="13">
        <v>134</v>
      </c>
      <c r="J199" s="13">
        <v>71258</v>
      </c>
      <c r="K199" s="13">
        <v>77072</v>
      </c>
      <c r="L199" s="13">
        <v>80431</v>
      </c>
      <c r="M199" s="13">
        <v>1</v>
      </c>
      <c r="N199" s="13">
        <v>2.44</v>
      </c>
      <c r="O199" s="13">
        <v>41151</v>
      </c>
      <c r="P199" s="13">
        <v>42966</v>
      </c>
      <c r="Q199" s="13">
        <v>0.5</v>
      </c>
      <c r="R199" s="13">
        <v>77.5</v>
      </c>
      <c r="S199" s="13">
        <v>72.400000000000006</v>
      </c>
      <c r="T199" s="13">
        <v>19</v>
      </c>
      <c r="U199" s="13">
        <v>22.5</v>
      </c>
      <c r="V199" s="13">
        <v>2.5</v>
      </c>
      <c r="W199" s="13">
        <v>3.8</v>
      </c>
      <c r="X199" s="13">
        <v>3.7</v>
      </c>
      <c r="Y199" s="13">
        <v>5.0999999999999996</v>
      </c>
      <c r="Z199" s="13">
        <v>6.5</v>
      </c>
      <c r="AA199" s="13">
        <v>7.3</v>
      </c>
      <c r="AB199" s="13">
        <v>6.4</v>
      </c>
      <c r="AC199" s="13">
        <v>9.6999999999999993</v>
      </c>
      <c r="AD199" s="13">
        <v>13.3</v>
      </c>
      <c r="AE199" s="13">
        <v>31</v>
      </c>
      <c r="AF199" s="13">
        <v>16.3</v>
      </c>
      <c r="AG199" s="13">
        <v>8.4</v>
      </c>
      <c r="AH199" s="13">
        <v>1.1000000000000001</v>
      </c>
      <c r="AI199" s="13">
        <v>76.7</v>
      </c>
      <c r="AJ199" s="13">
        <v>28.3</v>
      </c>
      <c r="AK199" s="13">
        <v>29.5</v>
      </c>
      <c r="AL199" s="13">
        <v>96.8</v>
      </c>
      <c r="AM199" s="13">
        <v>13633</v>
      </c>
      <c r="AN199" s="13">
        <v>77066</v>
      </c>
      <c r="AO199" s="13">
        <v>30.7</v>
      </c>
      <c r="AP199" s="13">
        <v>18.7</v>
      </c>
      <c r="AQ199" s="13">
        <v>29.1</v>
      </c>
      <c r="AR199" s="13">
        <v>17.2</v>
      </c>
      <c r="AS199" s="13">
        <v>3</v>
      </c>
      <c r="AT199" s="13">
        <v>1.4</v>
      </c>
      <c r="AU199" s="13">
        <v>25362</v>
      </c>
      <c r="AV199" s="13">
        <v>27234</v>
      </c>
      <c r="AW199" s="13">
        <v>309</v>
      </c>
      <c r="AX199" s="13">
        <v>28566</v>
      </c>
      <c r="AY199" s="13">
        <v>19260</v>
      </c>
      <c r="AZ199" s="13">
        <v>33934</v>
      </c>
      <c r="BA199" s="13">
        <v>42280</v>
      </c>
      <c r="BB199" s="13">
        <v>36932</v>
      </c>
      <c r="BC199" s="13">
        <v>23030</v>
      </c>
      <c r="BD199" s="13">
        <v>96</v>
      </c>
      <c r="BE199" s="13">
        <v>97</v>
      </c>
      <c r="BF199" s="13">
        <v>95</v>
      </c>
      <c r="BG199" s="13">
        <v>94</v>
      </c>
      <c r="BH199" s="13">
        <v>99</v>
      </c>
      <c r="BI199" s="13">
        <v>95</v>
      </c>
      <c r="BJ199" s="13">
        <v>101</v>
      </c>
      <c r="BK199" s="13">
        <v>93</v>
      </c>
      <c r="BL199" s="13">
        <v>94</v>
      </c>
      <c r="BM199" s="13">
        <v>90</v>
      </c>
      <c r="BN199" s="13">
        <v>92</v>
      </c>
      <c r="BO199" s="13">
        <v>94</v>
      </c>
      <c r="BP199" s="13">
        <v>89</v>
      </c>
      <c r="BQ199" s="13">
        <v>96</v>
      </c>
      <c r="BR199" s="13">
        <v>88</v>
      </c>
      <c r="BS199" s="13">
        <v>95</v>
      </c>
      <c r="BT199" s="13">
        <v>92</v>
      </c>
      <c r="BU199" s="13">
        <v>95</v>
      </c>
      <c r="BV199" s="13">
        <v>96</v>
      </c>
      <c r="BW199" s="13">
        <v>97</v>
      </c>
      <c r="BX199" s="328">
        <f t="shared" si="18"/>
        <v>210373022</v>
      </c>
      <c r="BY199" s="328">
        <f t="shared" si="19"/>
        <v>79206115</v>
      </c>
      <c r="BZ199" s="329">
        <f t="shared" si="16"/>
        <v>0.92813088203651539</v>
      </c>
      <c r="CA199" s="329">
        <f t="shared" si="17"/>
        <v>0.92798026675779544</v>
      </c>
    </row>
    <row r="200" spans="1:79" x14ac:dyDescent="0.25">
      <c r="A200" s="13">
        <v>1660</v>
      </c>
      <c r="B200" s="13">
        <v>199</v>
      </c>
      <c r="C200" s="13" t="s">
        <v>718</v>
      </c>
      <c r="D200" s="13">
        <v>150220</v>
      </c>
      <c r="E200" s="13">
        <v>169439</v>
      </c>
      <c r="F200" s="13">
        <v>202226</v>
      </c>
      <c r="G200" s="13">
        <v>224816</v>
      </c>
      <c r="H200" s="13">
        <v>2.2000000000000002</v>
      </c>
      <c r="I200" s="13">
        <v>39</v>
      </c>
      <c r="J200" s="13">
        <v>55981</v>
      </c>
      <c r="K200" s="13">
        <v>70860</v>
      </c>
      <c r="L200" s="13">
        <v>80093</v>
      </c>
      <c r="M200" s="13">
        <v>2.9</v>
      </c>
      <c r="N200" s="13">
        <v>2.68</v>
      </c>
      <c r="O200" s="13">
        <v>43565</v>
      </c>
      <c r="P200" s="13">
        <v>54405</v>
      </c>
      <c r="Q200" s="13">
        <v>2.7</v>
      </c>
      <c r="R200" s="13">
        <v>75.900000000000006</v>
      </c>
      <c r="S200" s="13">
        <v>73.900000000000006</v>
      </c>
      <c r="T200" s="13">
        <v>20.5</v>
      </c>
      <c r="U200" s="13">
        <v>20.6</v>
      </c>
      <c r="V200" s="13">
        <v>1.6</v>
      </c>
      <c r="W200" s="13">
        <v>2.2999999999999998</v>
      </c>
      <c r="X200" s="13">
        <v>3.3</v>
      </c>
      <c r="Y200" s="13">
        <v>5.9</v>
      </c>
      <c r="Z200" s="13">
        <v>8.6</v>
      </c>
      <c r="AA200" s="13">
        <v>7.5</v>
      </c>
      <c r="AB200" s="13">
        <v>6.5</v>
      </c>
      <c r="AC200" s="13">
        <v>7.3</v>
      </c>
      <c r="AD200" s="13">
        <v>11.1</v>
      </c>
      <c r="AE200" s="13">
        <v>32.4</v>
      </c>
      <c r="AF200" s="13">
        <v>17.899999999999999</v>
      </c>
      <c r="AG200" s="13">
        <v>7.6</v>
      </c>
      <c r="AH200" s="13">
        <v>1.1000000000000001</v>
      </c>
      <c r="AI200" s="13">
        <v>73.8</v>
      </c>
      <c r="AJ200" s="13">
        <v>28.2</v>
      </c>
      <c r="AK200" s="13">
        <v>29.8</v>
      </c>
      <c r="AL200" s="13">
        <v>105.6</v>
      </c>
      <c r="AM200" s="13">
        <v>18198</v>
      </c>
      <c r="AN200" s="13">
        <v>70855</v>
      </c>
      <c r="AO200" s="13">
        <v>9.1</v>
      </c>
      <c r="AP200" s="13">
        <v>14.1</v>
      </c>
      <c r="AQ200" s="13">
        <v>37</v>
      </c>
      <c r="AR200" s="13">
        <v>32.9</v>
      </c>
      <c r="AS200" s="13">
        <v>5.7</v>
      </c>
      <c r="AT200" s="13">
        <v>1.2</v>
      </c>
      <c r="AU200" s="13">
        <v>41773</v>
      </c>
      <c r="AV200" s="13">
        <v>60176</v>
      </c>
      <c r="AW200" s="13">
        <v>71</v>
      </c>
      <c r="AX200" s="13">
        <v>39190</v>
      </c>
      <c r="AY200" s="13">
        <v>33897</v>
      </c>
      <c r="AZ200" s="13">
        <v>44437</v>
      </c>
      <c r="BA200" s="13">
        <v>50434</v>
      </c>
      <c r="BB200" s="13">
        <v>43145</v>
      </c>
      <c r="BC200" s="13">
        <v>28023</v>
      </c>
      <c r="BD200" s="13">
        <v>95</v>
      </c>
      <c r="BE200" s="13">
        <v>89</v>
      </c>
      <c r="BF200" s="13">
        <v>83</v>
      </c>
      <c r="BG200" s="13">
        <v>85</v>
      </c>
      <c r="BH200" s="13">
        <v>96</v>
      </c>
      <c r="BI200" s="13">
        <v>92</v>
      </c>
      <c r="BJ200" s="13">
        <v>101</v>
      </c>
      <c r="BK200" s="13">
        <v>96</v>
      </c>
      <c r="BL200" s="13">
        <v>96</v>
      </c>
      <c r="BM200" s="13">
        <v>89</v>
      </c>
      <c r="BN200" s="13">
        <v>91</v>
      </c>
      <c r="BO200" s="13">
        <v>94</v>
      </c>
      <c r="BP200" s="13">
        <v>89</v>
      </c>
      <c r="BQ200" s="13">
        <v>96</v>
      </c>
      <c r="BR200" s="13">
        <v>83</v>
      </c>
      <c r="BS200" s="13">
        <v>98</v>
      </c>
      <c r="BT200" s="13">
        <v>88</v>
      </c>
      <c r="BU200" s="13">
        <v>94</v>
      </c>
      <c r="BV200" s="13">
        <v>96</v>
      </c>
      <c r="BW200" s="13">
        <v>98</v>
      </c>
      <c r="BX200" s="328">
        <f t="shared" si="18"/>
        <v>210597838</v>
      </c>
      <c r="BY200" s="328">
        <f t="shared" si="19"/>
        <v>79286208</v>
      </c>
      <c r="BZ200" s="329">
        <f t="shared" si="16"/>
        <v>0.92912273294207448</v>
      </c>
      <c r="CA200" s="329">
        <f t="shared" si="17"/>
        <v>0.92891863778515149</v>
      </c>
    </row>
    <row r="201" spans="1:79" x14ac:dyDescent="0.25">
      <c r="A201" s="13">
        <v>1303</v>
      </c>
      <c r="B201" s="13">
        <v>200</v>
      </c>
      <c r="C201" s="13" t="s">
        <v>719</v>
      </c>
      <c r="D201" s="13">
        <v>154935</v>
      </c>
      <c r="E201" s="13">
        <v>177059</v>
      </c>
      <c r="F201" s="13">
        <v>192854</v>
      </c>
      <c r="G201" s="13">
        <v>202232</v>
      </c>
      <c r="H201" s="13">
        <v>1</v>
      </c>
      <c r="I201" s="13">
        <v>155</v>
      </c>
      <c r="J201" s="13">
        <v>64783</v>
      </c>
      <c r="K201" s="13">
        <v>74119</v>
      </c>
      <c r="L201" s="13">
        <v>80067</v>
      </c>
      <c r="M201" s="13">
        <v>1.6</v>
      </c>
      <c r="N201" s="13">
        <v>2.4900000000000002</v>
      </c>
      <c r="O201" s="13">
        <v>43525</v>
      </c>
      <c r="P201" s="13">
        <v>48558</v>
      </c>
      <c r="Q201" s="13">
        <v>1.3</v>
      </c>
      <c r="R201" s="13">
        <v>97.9</v>
      </c>
      <c r="S201" s="13">
        <v>96.7</v>
      </c>
      <c r="T201" s="13">
        <v>0.5</v>
      </c>
      <c r="U201" s="13">
        <v>1</v>
      </c>
      <c r="V201" s="13">
        <v>0.9</v>
      </c>
      <c r="W201" s="13">
        <v>1.6</v>
      </c>
      <c r="X201" s="13">
        <v>0.8</v>
      </c>
      <c r="Y201" s="13">
        <v>1.4</v>
      </c>
      <c r="Z201" s="13">
        <v>6.1</v>
      </c>
      <c r="AA201" s="13">
        <v>7</v>
      </c>
      <c r="AB201" s="13">
        <v>7</v>
      </c>
      <c r="AC201" s="13">
        <v>8.3000000000000007</v>
      </c>
      <c r="AD201" s="13">
        <v>7.7</v>
      </c>
      <c r="AE201" s="13">
        <v>34.200000000000003</v>
      </c>
      <c r="AF201" s="13">
        <v>20.5</v>
      </c>
      <c r="AG201" s="13">
        <v>8</v>
      </c>
      <c r="AH201" s="13">
        <v>1.1000000000000001</v>
      </c>
      <c r="AI201" s="13">
        <v>76.099999999999994</v>
      </c>
      <c r="AJ201" s="13">
        <v>30.7</v>
      </c>
      <c r="AK201" s="13">
        <v>33.5</v>
      </c>
      <c r="AL201" s="13">
        <v>95.7</v>
      </c>
      <c r="AM201" s="13">
        <v>17592</v>
      </c>
      <c r="AN201" s="13">
        <v>74102</v>
      </c>
      <c r="AO201" s="13">
        <v>15.7</v>
      </c>
      <c r="AP201" s="13">
        <v>14.2</v>
      </c>
      <c r="AQ201" s="13">
        <v>36.700000000000003</v>
      </c>
      <c r="AR201" s="13">
        <v>27.8</v>
      </c>
      <c r="AS201" s="13">
        <v>4</v>
      </c>
      <c r="AT201" s="13">
        <v>1.5</v>
      </c>
      <c r="AU201" s="13">
        <v>38107</v>
      </c>
      <c r="AV201" s="13">
        <v>40578</v>
      </c>
      <c r="AW201" s="13">
        <v>124</v>
      </c>
      <c r="AX201" s="13">
        <v>31236</v>
      </c>
      <c r="AY201" s="13">
        <v>27530</v>
      </c>
      <c r="AZ201" s="13">
        <v>34344</v>
      </c>
      <c r="BA201" s="13">
        <v>41404</v>
      </c>
      <c r="BB201" s="13">
        <v>34675</v>
      </c>
      <c r="BC201" s="13">
        <v>17736</v>
      </c>
      <c r="BD201" s="13">
        <v>101</v>
      </c>
      <c r="BE201" s="13">
        <v>99</v>
      </c>
      <c r="BF201" s="13">
        <v>93</v>
      </c>
      <c r="BG201" s="13">
        <v>98</v>
      </c>
      <c r="BH201" s="13">
        <v>91</v>
      </c>
      <c r="BI201" s="13">
        <v>90</v>
      </c>
      <c r="BJ201" s="13">
        <v>95</v>
      </c>
      <c r="BK201" s="13">
        <v>98</v>
      </c>
      <c r="BL201" s="13">
        <v>99</v>
      </c>
      <c r="BM201" s="13">
        <v>98</v>
      </c>
      <c r="BN201" s="13">
        <v>100</v>
      </c>
      <c r="BO201" s="13">
        <v>101</v>
      </c>
      <c r="BP201" s="13">
        <v>98</v>
      </c>
      <c r="BQ201" s="13">
        <v>103</v>
      </c>
      <c r="BR201" s="13">
        <v>98</v>
      </c>
      <c r="BS201" s="13">
        <v>99</v>
      </c>
      <c r="BT201" s="13">
        <v>103</v>
      </c>
      <c r="BU201" s="13">
        <v>100</v>
      </c>
      <c r="BV201" s="13">
        <v>99</v>
      </c>
      <c r="BW201" s="13">
        <v>102</v>
      </c>
      <c r="BX201" s="328">
        <f t="shared" si="18"/>
        <v>210800070</v>
      </c>
      <c r="BY201" s="328">
        <f t="shared" si="19"/>
        <v>79366275</v>
      </c>
      <c r="BZ201" s="329">
        <f t="shared" si="16"/>
        <v>0.9300149469852611</v>
      </c>
      <c r="CA201" s="329">
        <f t="shared" si="17"/>
        <v>0.92985670419604027</v>
      </c>
    </row>
    <row r="202" spans="1:79" x14ac:dyDescent="0.25">
      <c r="A202" s="13">
        <v>1620</v>
      </c>
      <c r="B202" s="13">
        <v>201</v>
      </c>
      <c r="C202" s="13" t="s">
        <v>720</v>
      </c>
      <c r="D202" s="13">
        <v>143851</v>
      </c>
      <c r="E202" s="13">
        <v>182120</v>
      </c>
      <c r="F202" s="13">
        <v>195495</v>
      </c>
      <c r="G202" s="13">
        <v>202556</v>
      </c>
      <c r="H202" s="13">
        <v>0.9</v>
      </c>
      <c r="I202" s="13">
        <v>184</v>
      </c>
      <c r="J202" s="13">
        <v>71665</v>
      </c>
      <c r="K202" s="13">
        <v>76715</v>
      </c>
      <c r="L202" s="13">
        <v>79523</v>
      </c>
      <c r="M202" s="13">
        <v>0.8</v>
      </c>
      <c r="N202" s="13">
        <v>2.48</v>
      </c>
      <c r="O202" s="13">
        <v>46125</v>
      </c>
      <c r="P202" s="13">
        <v>47963</v>
      </c>
      <c r="Q202" s="13">
        <v>0.5</v>
      </c>
      <c r="R202" s="13">
        <v>90.7</v>
      </c>
      <c r="S202" s="13">
        <v>88.2</v>
      </c>
      <c r="T202" s="13">
        <v>1.3</v>
      </c>
      <c r="U202" s="13">
        <v>1.4</v>
      </c>
      <c r="V202" s="13">
        <v>2.8</v>
      </c>
      <c r="W202" s="13">
        <v>3.9</v>
      </c>
      <c r="X202" s="13">
        <v>7.5</v>
      </c>
      <c r="Y202" s="13">
        <v>10.5</v>
      </c>
      <c r="Z202" s="13">
        <v>7</v>
      </c>
      <c r="AA202" s="13">
        <v>7.9</v>
      </c>
      <c r="AB202" s="13">
        <v>6.8</v>
      </c>
      <c r="AC202" s="13">
        <v>6.9</v>
      </c>
      <c r="AD202" s="13">
        <v>7.6</v>
      </c>
      <c r="AE202" s="13">
        <v>26.4</v>
      </c>
      <c r="AF202" s="13">
        <v>18.8</v>
      </c>
      <c r="AG202" s="13">
        <v>16.7</v>
      </c>
      <c r="AH202" s="13">
        <v>2</v>
      </c>
      <c r="AI202" s="13">
        <v>75.099999999999994</v>
      </c>
      <c r="AJ202" s="13">
        <v>33.799999999999997</v>
      </c>
      <c r="AK202" s="13">
        <v>36.4</v>
      </c>
      <c r="AL202" s="13">
        <v>96.8</v>
      </c>
      <c r="AM202" s="13">
        <v>14801</v>
      </c>
      <c r="AN202" s="13">
        <v>76715</v>
      </c>
      <c r="AO202" s="13">
        <v>24.2</v>
      </c>
      <c r="AP202" s="13">
        <v>20</v>
      </c>
      <c r="AQ202" s="13">
        <v>34.1</v>
      </c>
      <c r="AR202" s="13">
        <v>17.2</v>
      </c>
      <c r="AS202" s="13">
        <v>2.9</v>
      </c>
      <c r="AT202" s="13">
        <v>1.6</v>
      </c>
      <c r="AU202" s="13">
        <v>28055</v>
      </c>
      <c r="AV202" s="13">
        <v>31230</v>
      </c>
      <c r="AW202" s="13">
        <v>295</v>
      </c>
      <c r="AX202" s="13">
        <v>28779</v>
      </c>
      <c r="AY202" s="13">
        <v>22839</v>
      </c>
      <c r="AZ202" s="13">
        <v>34355</v>
      </c>
      <c r="BA202" s="13">
        <v>39170</v>
      </c>
      <c r="BB202" s="13">
        <v>32812</v>
      </c>
      <c r="BC202" s="13">
        <v>22583</v>
      </c>
      <c r="BD202" s="13">
        <v>97</v>
      </c>
      <c r="BE202" s="13">
        <v>89</v>
      </c>
      <c r="BF202" s="13">
        <v>102</v>
      </c>
      <c r="BG202" s="13">
        <v>92</v>
      </c>
      <c r="BH202" s="13">
        <v>100</v>
      </c>
      <c r="BI202" s="13">
        <v>99</v>
      </c>
      <c r="BJ202" s="13">
        <v>101</v>
      </c>
      <c r="BK202" s="13">
        <v>96</v>
      </c>
      <c r="BL202" s="13">
        <v>93</v>
      </c>
      <c r="BM202" s="13">
        <v>89</v>
      </c>
      <c r="BN202" s="13">
        <v>91</v>
      </c>
      <c r="BO202" s="13">
        <v>89</v>
      </c>
      <c r="BP202" s="13">
        <v>88</v>
      </c>
      <c r="BQ202" s="13">
        <v>92</v>
      </c>
      <c r="BR202" s="13">
        <v>91</v>
      </c>
      <c r="BS202" s="13">
        <v>93</v>
      </c>
      <c r="BT202" s="13">
        <v>88</v>
      </c>
      <c r="BU202" s="13">
        <v>92</v>
      </c>
      <c r="BV202" s="13">
        <v>101</v>
      </c>
      <c r="BW202" s="13">
        <v>93</v>
      </c>
      <c r="BX202" s="328">
        <f t="shared" si="18"/>
        <v>211002626</v>
      </c>
      <c r="BY202" s="328">
        <f t="shared" si="19"/>
        <v>79445798</v>
      </c>
      <c r="BZ202" s="329">
        <f t="shared" si="16"/>
        <v>0.93090859046271135</v>
      </c>
      <c r="CA202" s="329">
        <f t="shared" si="17"/>
        <v>0.93078839709315286</v>
      </c>
    </row>
    <row r="203" spans="1:79" x14ac:dyDescent="0.25">
      <c r="A203" s="13">
        <v>2720</v>
      </c>
      <c r="B203" s="13">
        <v>202</v>
      </c>
      <c r="C203" s="13" t="s">
        <v>721</v>
      </c>
      <c r="D203" s="13">
        <v>162813</v>
      </c>
      <c r="E203" s="13">
        <v>175911</v>
      </c>
      <c r="F203" s="13">
        <v>194681</v>
      </c>
      <c r="G203" s="13">
        <v>206194</v>
      </c>
      <c r="H203" s="13">
        <v>1.2</v>
      </c>
      <c r="I203" s="13">
        <v>116</v>
      </c>
      <c r="J203" s="13">
        <v>66884</v>
      </c>
      <c r="K203" s="13">
        <v>74127</v>
      </c>
      <c r="L203" s="13">
        <v>78609</v>
      </c>
      <c r="M203" s="13">
        <v>1.3</v>
      </c>
      <c r="N203" s="13">
        <v>2.59</v>
      </c>
      <c r="O203" s="13">
        <v>49413</v>
      </c>
      <c r="P203" s="13">
        <v>53881</v>
      </c>
      <c r="Q203" s="13">
        <v>1.1000000000000001</v>
      </c>
      <c r="R203" s="13">
        <v>88.4</v>
      </c>
      <c r="S203" s="13">
        <v>87.2</v>
      </c>
      <c r="T203" s="13">
        <v>3.9</v>
      </c>
      <c r="U203" s="13">
        <v>4.3</v>
      </c>
      <c r="V203" s="13">
        <v>2.1</v>
      </c>
      <c r="W203" s="13">
        <v>2.7</v>
      </c>
      <c r="X203" s="13">
        <v>1.2</v>
      </c>
      <c r="Y203" s="13">
        <v>2.9</v>
      </c>
      <c r="Z203" s="13">
        <v>7</v>
      </c>
      <c r="AA203" s="13">
        <v>7.5</v>
      </c>
      <c r="AB203" s="13">
        <v>8</v>
      </c>
      <c r="AC203" s="13">
        <v>7.5</v>
      </c>
      <c r="AD203" s="13">
        <v>6.3</v>
      </c>
      <c r="AE203" s="13">
        <v>28.6</v>
      </c>
      <c r="AF203" s="13">
        <v>22.2</v>
      </c>
      <c r="AG203" s="13">
        <v>11.3</v>
      </c>
      <c r="AH203" s="13">
        <v>1.6</v>
      </c>
      <c r="AI203" s="13">
        <v>72.900000000000006</v>
      </c>
      <c r="AJ203" s="13">
        <v>33.4</v>
      </c>
      <c r="AK203" s="13">
        <v>35.200000000000003</v>
      </c>
      <c r="AL203" s="13">
        <v>95.5</v>
      </c>
      <c r="AM203" s="13">
        <v>13304</v>
      </c>
      <c r="AN203" s="13">
        <v>74127</v>
      </c>
      <c r="AO203" s="13">
        <v>24.9</v>
      </c>
      <c r="AP203" s="13">
        <v>19.899999999999999</v>
      </c>
      <c r="AQ203" s="13">
        <v>35.299999999999997</v>
      </c>
      <c r="AR203" s="13">
        <v>16.8</v>
      </c>
      <c r="AS203" s="13">
        <v>2.2000000000000002</v>
      </c>
      <c r="AT203" s="13">
        <v>0.9</v>
      </c>
      <c r="AU203" s="13">
        <v>27474</v>
      </c>
      <c r="AV203" s="13">
        <v>32096</v>
      </c>
      <c r="AW203" s="13">
        <v>297</v>
      </c>
      <c r="AX203" s="13">
        <v>27343</v>
      </c>
      <c r="AY203" s="13">
        <v>24621</v>
      </c>
      <c r="AZ203" s="13">
        <v>32379</v>
      </c>
      <c r="BA203" s="13">
        <v>33945</v>
      </c>
      <c r="BB203" s="13">
        <v>28852</v>
      </c>
      <c r="BC203" s="13">
        <v>18621</v>
      </c>
      <c r="BD203" s="13">
        <v>98</v>
      </c>
      <c r="BE203" s="13">
        <v>84</v>
      </c>
      <c r="BF203" s="13">
        <v>89</v>
      </c>
      <c r="BG203" s="13">
        <v>88</v>
      </c>
      <c r="BH203" s="13">
        <v>100</v>
      </c>
      <c r="BI203" s="13">
        <v>97</v>
      </c>
      <c r="BJ203" s="13">
        <v>110</v>
      </c>
      <c r="BK203" s="13">
        <v>99</v>
      </c>
      <c r="BL203" s="13">
        <v>96</v>
      </c>
      <c r="BM203" s="13">
        <v>91</v>
      </c>
      <c r="BN203" s="13">
        <v>90</v>
      </c>
      <c r="BO203" s="13">
        <v>98</v>
      </c>
      <c r="BP203" s="13">
        <v>91</v>
      </c>
      <c r="BQ203" s="13">
        <v>99</v>
      </c>
      <c r="BR203" s="13">
        <v>85</v>
      </c>
      <c r="BS203" s="13">
        <v>98</v>
      </c>
      <c r="BT203" s="13">
        <v>89</v>
      </c>
      <c r="BU203" s="13">
        <v>94</v>
      </c>
      <c r="BV203" s="13">
        <v>101</v>
      </c>
      <c r="BW203" s="13">
        <v>99</v>
      </c>
      <c r="BX203" s="328">
        <f t="shared" si="18"/>
        <v>211208820</v>
      </c>
      <c r="BY203" s="328">
        <f t="shared" si="19"/>
        <v>79524407</v>
      </c>
      <c r="BZ203" s="329">
        <f t="shared" si="16"/>
        <v>0.93181828419278778</v>
      </c>
      <c r="CA203" s="329">
        <f t="shared" si="17"/>
        <v>0.93170938154983984</v>
      </c>
    </row>
    <row r="204" spans="1:79" x14ac:dyDescent="0.25">
      <c r="A204" s="13">
        <v>1360</v>
      </c>
      <c r="B204" s="13">
        <v>203</v>
      </c>
      <c r="C204" s="13" t="s">
        <v>722</v>
      </c>
      <c r="D204" s="13">
        <v>169775</v>
      </c>
      <c r="E204" s="13">
        <v>168767</v>
      </c>
      <c r="F204" s="13">
        <v>183566</v>
      </c>
      <c r="G204" s="13">
        <v>192490</v>
      </c>
      <c r="H204" s="13">
        <v>1</v>
      </c>
      <c r="I204" s="13">
        <v>160</v>
      </c>
      <c r="J204" s="13">
        <v>65501</v>
      </c>
      <c r="K204" s="13">
        <v>72611</v>
      </c>
      <c r="L204" s="13">
        <v>76983</v>
      </c>
      <c r="M204" s="13">
        <v>1.3</v>
      </c>
      <c r="N204" s="13">
        <v>2.4700000000000002</v>
      </c>
      <c r="O204" s="13">
        <v>45039</v>
      </c>
      <c r="P204" s="13">
        <v>48770</v>
      </c>
      <c r="Q204" s="13">
        <v>1</v>
      </c>
      <c r="R204" s="13">
        <v>96.7</v>
      </c>
      <c r="S204" s="13">
        <v>95.9</v>
      </c>
      <c r="T204" s="13">
        <v>2</v>
      </c>
      <c r="U204" s="13">
        <v>2.2000000000000002</v>
      </c>
      <c r="V204" s="13">
        <v>0.8</v>
      </c>
      <c r="W204" s="13">
        <v>1.1000000000000001</v>
      </c>
      <c r="X204" s="13">
        <v>0.9</v>
      </c>
      <c r="Y204" s="13">
        <v>1.7</v>
      </c>
      <c r="Z204" s="13">
        <v>6.2</v>
      </c>
      <c r="AA204" s="13">
        <v>6.8</v>
      </c>
      <c r="AB204" s="13">
        <v>6.9</v>
      </c>
      <c r="AC204" s="13">
        <v>7.5</v>
      </c>
      <c r="AD204" s="13">
        <v>6.6</v>
      </c>
      <c r="AE204" s="13">
        <v>31.5</v>
      </c>
      <c r="AF204" s="13">
        <v>22.2</v>
      </c>
      <c r="AG204" s="13">
        <v>10.7</v>
      </c>
      <c r="AH204" s="13">
        <v>1.6</v>
      </c>
      <c r="AI204" s="13">
        <v>76</v>
      </c>
      <c r="AJ204" s="13">
        <v>33.1</v>
      </c>
      <c r="AK204" s="13">
        <v>35.799999999999997</v>
      </c>
      <c r="AL204" s="13">
        <v>95.2</v>
      </c>
      <c r="AM204" s="13">
        <v>18791</v>
      </c>
      <c r="AN204" s="13">
        <v>72610</v>
      </c>
      <c r="AO204" s="13">
        <v>13.8</v>
      </c>
      <c r="AP204" s="13">
        <v>12.9</v>
      </c>
      <c r="AQ204" s="13">
        <v>38</v>
      </c>
      <c r="AR204" s="13">
        <v>28.9</v>
      </c>
      <c r="AS204" s="13">
        <v>4.5999999999999996</v>
      </c>
      <c r="AT204" s="13">
        <v>1.8</v>
      </c>
      <c r="AU204" s="13">
        <v>40048</v>
      </c>
      <c r="AV204" s="13">
        <v>45066</v>
      </c>
      <c r="AW204" s="13">
        <v>97</v>
      </c>
      <c r="AX204" s="13">
        <v>34569</v>
      </c>
      <c r="AY204" s="13">
        <v>29650</v>
      </c>
      <c r="AZ204" s="13">
        <v>39685</v>
      </c>
      <c r="BA204" s="13">
        <v>44259</v>
      </c>
      <c r="BB204" s="13">
        <v>38258</v>
      </c>
      <c r="BC204" s="13">
        <v>21550</v>
      </c>
      <c r="BD204" s="13">
        <v>99</v>
      </c>
      <c r="BE204" s="13">
        <v>100</v>
      </c>
      <c r="BF204" s="13">
        <v>98</v>
      </c>
      <c r="BG204" s="13">
        <v>98</v>
      </c>
      <c r="BH204" s="13">
        <v>102</v>
      </c>
      <c r="BI204" s="13">
        <v>101</v>
      </c>
      <c r="BJ204" s="13">
        <v>101</v>
      </c>
      <c r="BK204" s="13">
        <v>100</v>
      </c>
      <c r="BL204" s="13">
        <v>99</v>
      </c>
      <c r="BM204" s="13">
        <v>100</v>
      </c>
      <c r="BN204" s="13">
        <v>102</v>
      </c>
      <c r="BO204" s="13">
        <v>99</v>
      </c>
      <c r="BP204" s="13">
        <v>102</v>
      </c>
      <c r="BQ204" s="13">
        <v>101</v>
      </c>
      <c r="BR204" s="13">
        <v>103</v>
      </c>
      <c r="BS204" s="13">
        <v>102</v>
      </c>
      <c r="BT204" s="13">
        <v>101</v>
      </c>
      <c r="BU204" s="13">
        <v>101</v>
      </c>
      <c r="BV204" s="13">
        <v>99</v>
      </c>
      <c r="BW204" s="13">
        <v>100</v>
      </c>
      <c r="BX204" s="328">
        <f t="shared" si="18"/>
        <v>211401310</v>
      </c>
      <c r="BY204" s="328">
        <f t="shared" si="19"/>
        <v>79601390</v>
      </c>
      <c r="BZ204" s="329">
        <f t="shared" si="16"/>
        <v>0.93266751814771576</v>
      </c>
      <c r="CA204" s="329">
        <f t="shared" si="17"/>
        <v>0.93261131576130596</v>
      </c>
    </row>
    <row r="205" spans="1:79" x14ac:dyDescent="0.25">
      <c r="A205" s="13">
        <v>4890</v>
      </c>
      <c r="B205" s="13">
        <v>204</v>
      </c>
      <c r="C205" s="13" t="s">
        <v>723</v>
      </c>
      <c r="D205" s="13">
        <v>132456</v>
      </c>
      <c r="E205" s="13">
        <v>146389</v>
      </c>
      <c r="F205" s="13">
        <v>173900</v>
      </c>
      <c r="G205" s="13">
        <v>190570</v>
      </c>
      <c r="H205" s="13">
        <v>2.1</v>
      </c>
      <c r="I205" s="13">
        <v>44</v>
      </c>
      <c r="J205" s="13">
        <v>57238</v>
      </c>
      <c r="K205" s="13">
        <v>68954</v>
      </c>
      <c r="L205" s="13">
        <v>76138</v>
      </c>
      <c r="M205" s="13">
        <v>2.2999999999999998</v>
      </c>
      <c r="N205" s="13">
        <v>2.4700000000000002</v>
      </c>
      <c r="O205" s="13">
        <v>40141</v>
      </c>
      <c r="P205" s="13">
        <v>47243</v>
      </c>
      <c r="Q205" s="13">
        <v>2</v>
      </c>
      <c r="R205" s="13">
        <v>95.8</v>
      </c>
      <c r="S205" s="13">
        <v>94.5</v>
      </c>
      <c r="T205" s="13">
        <v>0.2</v>
      </c>
      <c r="U205" s="13">
        <v>0.3</v>
      </c>
      <c r="V205" s="13">
        <v>1</v>
      </c>
      <c r="W205" s="13">
        <v>1.2</v>
      </c>
      <c r="X205" s="13">
        <v>4.0999999999999996</v>
      </c>
      <c r="Y205" s="13">
        <v>6.3</v>
      </c>
      <c r="Z205" s="13">
        <v>6.1</v>
      </c>
      <c r="AA205" s="13">
        <v>6.7</v>
      </c>
      <c r="AB205" s="13">
        <v>7.1</v>
      </c>
      <c r="AC205" s="13">
        <v>7.4</v>
      </c>
      <c r="AD205" s="13">
        <v>5.6</v>
      </c>
      <c r="AE205" s="13">
        <v>27.3</v>
      </c>
      <c r="AF205" s="13">
        <v>23.9</v>
      </c>
      <c r="AG205" s="13">
        <v>14.2</v>
      </c>
      <c r="AH205" s="13">
        <v>1.8</v>
      </c>
      <c r="AI205" s="13">
        <v>75.599999999999994</v>
      </c>
      <c r="AJ205" s="13">
        <v>36.700000000000003</v>
      </c>
      <c r="AK205" s="13">
        <v>39</v>
      </c>
      <c r="AL205" s="13">
        <v>96.5</v>
      </c>
      <c r="AM205" s="13">
        <v>15336</v>
      </c>
      <c r="AN205" s="13">
        <v>68954</v>
      </c>
      <c r="AO205" s="13">
        <v>21</v>
      </c>
      <c r="AP205" s="13">
        <v>17.2</v>
      </c>
      <c r="AQ205" s="13">
        <v>37.5</v>
      </c>
      <c r="AR205" s="13">
        <v>20.399999999999999</v>
      </c>
      <c r="AS205" s="13">
        <v>2.8</v>
      </c>
      <c r="AT205" s="13">
        <v>1</v>
      </c>
      <c r="AU205" s="13">
        <v>31796</v>
      </c>
      <c r="AV205" s="13">
        <v>36095</v>
      </c>
      <c r="AW205" s="13">
        <v>240</v>
      </c>
      <c r="AX205" s="13">
        <v>27452</v>
      </c>
      <c r="AY205" s="13">
        <v>23158</v>
      </c>
      <c r="AZ205" s="13">
        <v>31579</v>
      </c>
      <c r="BA205" s="13">
        <v>34609</v>
      </c>
      <c r="BB205" s="13">
        <v>29622</v>
      </c>
      <c r="BC205" s="13">
        <v>19776</v>
      </c>
      <c r="BD205" s="13">
        <v>100</v>
      </c>
      <c r="BE205" s="13">
        <v>89</v>
      </c>
      <c r="BF205" s="13">
        <v>100</v>
      </c>
      <c r="BG205" s="13">
        <v>93</v>
      </c>
      <c r="BH205" s="13">
        <v>101</v>
      </c>
      <c r="BI205" s="13">
        <v>100</v>
      </c>
      <c r="BJ205" s="13">
        <v>105</v>
      </c>
      <c r="BK205" s="13">
        <v>99</v>
      </c>
      <c r="BL205" s="13">
        <v>97</v>
      </c>
      <c r="BM205" s="13">
        <v>94</v>
      </c>
      <c r="BN205" s="13">
        <v>94</v>
      </c>
      <c r="BO205" s="13">
        <v>94</v>
      </c>
      <c r="BP205" s="13">
        <v>92</v>
      </c>
      <c r="BQ205" s="13">
        <v>96</v>
      </c>
      <c r="BR205" s="13">
        <v>92</v>
      </c>
      <c r="BS205" s="13">
        <v>95</v>
      </c>
      <c r="BT205" s="13">
        <v>92</v>
      </c>
      <c r="BU205" s="13">
        <v>94</v>
      </c>
      <c r="BV205" s="13">
        <v>102</v>
      </c>
      <c r="BW205" s="13">
        <v>96</v>
      </c>
      <c r="BX205" s="328">
        <f t="shared" si="18"/>
        <v>211591880</v>
      </c>
      <c r="BY205" s="328">
        <f t="shared" si="19"/>
        <v>79677528</v>
      </c>
      <c r="BZ205" s="329">
        <f t="shared" si="16"/>
        <v>0.93350828138108177</v>
      </c>
      <c r="CA205" s="329">
        <f t="shared" si="17"/>
        <v>0.93350334993758644</v>
      </c>
    </row>
    <row r="206" spans="1:79" x14ac:dyDescent="0.25">
      <c r="A206" s="13">
        <v>6740</v>
      </c>
      <c r="B206" s="13">
        <v>205</v>
      </c>
      <c r="C206" s="13" t="s">
        <v>724</v>
      </c>
      <c r="D206" s="13">
        <v>144469</v>
      </c>
      <c r="E206" s="13">
        <v>150033</v>
      </c>
      <c r="F206" s="13">
        <v>185675</v>
      </c>
      <c r="G206" s="13">
        <v>206878</v>
      </c>
      <c r="H206" s="13">
        <v>2.6</v>
      </c>
      <c r="I206" s="13">
        <v>20</v>
      </c>
      <c r="J206" s="13">
        <v>54423</v>
      </c>
      <c r="K206" s="13">
        <v>67758</v>
      </c>
      <c r="L206" s="13">
        <v>75888</v>
      </c>
      <c r="M206" s="13">
        <v>2.7</v>
      </c>
      <c r="N206" s="13">
        <v>2.72</v>
      </c>
      <c r="O206" s="13">
        <v>39809</v>
      </c>
      <c r="P206" s="13">
        <v>48887</v>
      </c>
      <c r="Q206" s="13">
        <v>2.5</v>
      </c>
      <c r="R206" s="13">
        <v>86.5</v>
      </c>
      <c r="S206" s="13">
        <v>82</v>
      </c>
      <c r="T206" s="13">
        <v>1.6</v>
      </c>
      <c r="U206" s="13">
        <v>1.9</v>
      </c>
      <c r="V206" s="13">
        <v>2.1</v>
      </c>
      <c r="W206" s="13">
        <v>2.6</v>
      </c>
      <c r="X206" s="13">
        <v>13.3</v>
      </c>
      <c r="Y206" s="13">
        <v>18.7</v>
      </c>
      <c r="Z206" s="13">
        <v>8</v>
      </c>
      <c r="AA206" s="13">
        <v>8.5</v>
      </c>
      <c r="AB206" s="13">
        <v>8.8000000000000007</v>
      </c>
      <c r="AC206" s="13">
        <v>8.5</v>
      </c>
      <c r="AD206" s="13">
        <v>6.2</v>
      </c>
      <c r="AE206" s="13">
        <v>29.9</v>
      </c>
      <c r="AF206" s="13">
        <v>20.2</v>
      </c>
      <c r="AG206" s="13">
        <v>8.9</v>
      </c>
      <c r="AH206" s="13">
        <v>0.9</v>
      </c>
      <c r="AI206" s="13">
        <v>69.3</v>
      </c>
      <c r="AJ206" s="13">
        <v>31.3</v>
      </c>
      <c r="AK206" s="13">
        <v>32.6</v>
      </c>
      <c r="AL206" s="13">
        <v>101.5</v>
      </c>
      <c r="AM206" s="13">
        <v>16124</v>
      </c>
      <c r="AN206" s="13">
        <v>67750</v>
      </c>
      <c r="AO206" s="13">
        <v>17.399999999999999</v>
      </c>
      <c r="AP206" s="13">
        <v>14.2</v>
      </c>
      <c r="AQ206" s="13">
        <v>34.5</v>
      </c>
      <c r="AR206" s="13">
        <v>28.6</v>
      </c>
      <c r="AS206" s="13">
        <v>4.3</v>
      </c>
      <c r="AT206" s="13">
        <v>0.9</v>
      </c>
      <c r="AU206" s="13">
        <v>37313</v>
      </c>
      <c r="AV206" s="13">
        <v>41450</v>
      </c>
      <c r="AW206" s="13">
        <v>133</v>
      </c>
      <c r="AX206" s="13">
        <v>34856</v>
      </c>
      <c r="AY206" s="13">
        <v>27478</v>
      </c>
      <c r="AZ206" s="13">
        <v>39465</v>
      </c>
      <c r="BA206" s="13">
        <v>44757</v>
      </c>
      <c r="BB206" s="13">
        <v>40915</v>
      </c>
      <c r="BC206" s="13">
        <v>23841</v>
      </c>
      <c r="BD206" s="13">
        <v>100</v>
      </c>
      <c r="BE206" s="13">
        <v>96</v>
      </c>
      <c r="BF206" s="13">
        <v>95</v>
      </c>
      <c r="BG206" s="13">
        <v>95</v>
      </c>
      <c r="BH206" s="13">
        <v>98</v>
      </c>
      <c r="BI206" s="13">
        <v>98</v>
      </c>
      <c r="BJ206" s="13">
        <v>101</v>
      </c>
      <c r="BK206" s="13">
        <v>100</v>
      </c>
      <c r="BL206" s="13">
        <v>100</v>
      </c>
      <c r="BM206" s="13">
        <v>98</v>
      </c>
      <c r="BN206" s="13">
        <v>99</v>
      </c>
      <c r="BO206" s="13">
        <v>95</v>
      </c>
      <c r="BP206" s="13">
        <v>94</v>
      </c>
      <c r="BQ206" s="13">
        <v>96</v>
      </c>
      <c r="BR206" s="13">
        <v>92</v>
      </c>
      <c r="BS206" s="13">
        <v>97</v>
      </c>
      <c r="BT206" s="13">
        <v>96</v>
      </c>
      <c r="BU206" s="13">
        <v>97</v>
      </c>
      <c r="BV206" s="13">
        <v>98</v>
      </c>
      <c r="BW206" s="13">
        <v>96</v>
      </c>
      <c r="BX206" s="328">
        <f t="shared" si="18"/>
        <v>211798758</v>
      </c>
      <c r="BY206" s="328">
        <f t="shared" si="19"/>
        <v>79753416</v>
      </c>
      <c r="BZ206" s="329">
        <f t="shared" si="16"/>
        <v>0.93442099280571467</v>
      </c>
      <c r="CA206" s="329">
        <f t="shared" si="17"/>
        <v>0.93439245510937419</v>
      </c>
    </row>
    <row r="207" spans="1:79" x14ac:dyDescent="0.25">
      <c r="A207" s="13">
        <v>6600</v>
      </c>
      <c r="B207" s="13">
        <v>206</v>
      </c>
      <c r="C207" s="13" t="s">
        <v>725</v>
      </c>
      <c r="D207" s="13">
        <v>173132</v>
      </c>
      <c r="E207" s="13">
        <v>175034</v>
      </c>
      <c r="F207" s="13">
        <v>186256</v>
      </c>
      <c r="G207" s="13">
        <v>191786</v>
      </c>
      <c r="H207" s="13">
        <v>0.8</v>
      </c>
      <c r="I207" s="13">
        <v>191</v>
      </c>
      <c r="J207" s="13">
        <v>63736</v>
      </c>
      <c r="K207" s="13">
        <v>68554</v>
      </c>
      <c r="L207" s="13">
        <v>71540</v>
      </c>
      <c r="M207" s="13">
        <v>0.9</v>
      </c>
      <c r="N207" s="13">
        <v>2.65</v>
      </c>
      <c r="O207" s="13">
        <v>47011</v>
      </c>
      <c r="P207" s="13">
        <v>49586</v>
      </c>
      <c r="Q207" s="13">
        <v>0.6</v>
      </c>
      <c r="R207" s="13">
        <v>86.9</v>
      </c>
      <c r="S207" s="13">
        <v>82.8</v>
      </c>
      <c r="T207" s="13">
        <v>9.6999999999999993</v>
      </c>
      <c r="U207" s="13">
        <v>12.6</v>
      </c>
      <c r="V207" s="13">
        <v>0.6</v>
      </c>
      <c r="W207" s="13">
        <v>0.8</v>
      </c>
      <c r="X207" s="13">
        <v>5.2</v>
      </c>
      <c r="Y207" s="13">
        <v>7.2</v>
      </c>
      <c r="Z207" s="13">
        <v>6.8</v>
      </c>
      <c r="AA207" s="13">
        <v>7.6</v>
      </c>
      <c r="AB207" s="13">
        <v>7.9</v>
      </c>
      <c r="AC207" s="13">
        <v>7.5</v>
      </c>
      <c r="AD207" s="13">
        <v>5.7</v>
      </c>
      <c r="AE207" s="13">
        <v>31.3</v>
      </c>
      <c r="AF207" s="13">
        <v>21.4</v>
      </c>
      <c r="AG207" s="13">
        <v>10.3</v>
      </c>
      <c r="AH207" s="13">
        <v>1.5</v>
      </c>
      <c r="AI207" s="13">
        <v>73</v>
      </c>
      <c r="AJ207" s="13">
        <v>32.9</v>
      </c>
      <c r="AK207" s="13">
        <v>35.1</v>
      </c>
      <c r="AL207" s="13">
        <v>96.6</v>
      </c>
      <c r="AM207" s="13">
        <v>18740</v>
      </c>
      <c r="AN207" s="13">
        <v>68554</v>
      </c>
      <c r="AO207" s="13">
        <v>13.1</v>
      </c>
      <c r="AP207" s="13">
        <v>11.5</v>
      </c>
      <c r="AQ207" s="13">
        <v>36</v>
      </c>
      <c r="AR207" s="13">
        <v>31.4</v>
      </c>
      <c r="AS207" s="13">
        <v>5.9</v>
      </c>
      <c r="AT207" s="13">
        <v>2.1</v>
      </c>
      <c r="AU207" s="13">
        <v>42295</v>
      </c>
      <c r="AV207" s="13">
        <v>48939</v>
      </c>
      <c r="AW207" s="13">
        <v>62</v>
      </c>
      <c r="AX207" s="13">
        <v>34272</v>
      </c>
      <c r="AY207" s="13">
        <v>28298</v>
      </c>
      <c r="AZ207" s="13">
        <v>38153</v>
      </c>
      <c r="BA207" s="13">
        <v>45238</v>
      </c>
      <c r="BB207" s="13">
        <v>39610</v>
      </c>
      <c r="BC207" s="13">
        <v>22173</v>
      </c>
      <c r="BD207" s="13">
        <v>98</v>
      </c>
      <c r="BE207" s="13">
        <v>96</v>
      </c>
      <c r="BF207" s="13">
        <v>98</v>
      </c>
      <c r="BG207" s="13">
        <v>96</v>
      </c>
      <c r="BH207" s="13">
        <v>103</v>
      </c>
      <c r="BI207" s="13">
        <v>100</v>
      </c>
      <c r="BJ207" s="13">
        <v>101</v>
      </c>
      <c r="BK207" s="13">
        <v>99</v>
      </c>
      <c r="BL207" s="13">
        <v>97</v>
      </c>
      <c r="BM207" s="13">
        <v>99</v>
      </c>
      <c r="BN207" s="13">
        <v>98</v>
      </c>
      <c r="BO207" s="13">
        <v>97</v>
      </c>
      <c r="BP207" s="13">
        <v>101</v>
      </c>
      <c r="BQ207" s="13">
        <v>100</v>
      </c>
      <c r="BR207" s="13">
        <v>103</v>
      </c>
      <c r="BS207" s="13">
        <v>102</v>
      </c>
      <c r="BT207" s="13">
        <v>99</v>
      </c>
      <c r="BU207" s="13">
        <v>99</v>
      </c>
      <c r="BV207" s="13">
        <v>99</v>
      </c>
      <c r="BW207" s="13">
        <v>98</v>
      </c>
      <c r="BX207" s="328">
        <f t="shared" si="18"/>
        <v>211990544</v>
      </c>
      <c r="BY207" s="328">
        <f t="shared" si="19"/>
        <v>79824956</v>
      </c>
      <c r="BZ207" s="329">
        <f t="shared" si="16"/>
        <v>0.93526712082940333</v>
      </c>
      <c r="CA207" s="329">
        <f t="shared" si="17"/>
        <v>0.9352306190350238</v>
      </c>
    </row>
    <row r="208" spans="1:79" x14ac:dyDescent="0.25">
      <c r="A208" s="13">
        <v>3960</v>
      </c>
      <c r="B208" s="13">
        <v>207</v>
      </c>
      <c r="C208" s="13" t="s">
        <v>726</v>
      </c>
      <c r="D208" s="13">
        <v>167223</v>
      </c>
      <c r="E208" s="13">
        <v>168134</v>
      </c>
      <c r="F208" s="13">
        <v>180906</v>
      </c>
      <c r="G208" s="13">
        <v>188393</v>
      </c>
      <c r="H208" s="13">
        <v>0.9</v>
      </c>
      <c r="I208" s="13">
        <v>180</v>
      </c>
      <c r="J208" s="13">
        <v>60328</v>
      </c>
      <c r="K208" s="13">
        <v>66484</v>
      </c>
      <c r="L208" s="13">
        <v>70398</v>
      </c>
      <c r="M208" s="13">
        <v>1.2</v>
      </c>
      <c r="N208" s="13">
        <v>2.67</v>
      </c>
      <c r="O208" s="13">
        <v>45035</v>
      </c>
      <c r="P208" s="13">
        <v>48788</v>
      </c>
      <c r="Q208" s="13">
        <v>1</v>
      </c>
      <c r="R208" s="13">
        <v>76.2</v>
      </c>
      <c r="S208" s="13">
        <v>73.8</v>
      </c>
      <c r="T208" s="13">
        <v>22.9</v>
      </c>
      <c r="U208" s="13">
        <v>25.1</v>
      </c>
      <c r="V208" s="13">
        <v>0.4</v>
      </c>
      <c r="W208" s="13">
        <v>0.5</v>
      </c>
      <c r="X208" s="13">
        <v>1.1000000000000001</v>
      </c>
      <c r="Y208" s="13">
        <v>1.4</v>
      </c>
      <c r="Z208" s="13">
        <v>7.2</v>
      </c>
      <c r="AA208" s="13">
        <v>7.6</v>
      </c>
      <c r="AB208" s="13">
        <v>8.3000000000000007</v>
      </c>
      <c r="AC208" s="13">
        <v>8.5</v>
      </c>
      <c r="AD208" s="13">
        <v>6.6</v>
      </c>
      <c r="AE208" s="13">
        <v>29</v>
      </c>
      <c r="AF208" s="13">
        <v>21.4</v>
      </c>
      <c r="AG208" s="13">
        <v>10.3</v>
      </c>
      <c r="AH208" s="13">
        <v>1.1000000000000001</v>
      </c>
      <c r="AI208" s="13">
        <v>71.900000000000006</v>
      </c>
      <c r="AJ208" s="13">
        <v>31.6</v>
      </c>
      <c r="AK208" s="13">
        <v>34.1</v>
      </c>
      <c r="AL208" s="13">
        <v>94.6</v>
      </c>
      <c r="AM208" s="13">
        <v>15636</v>
      </c>
      <c r="AN208" s="13">
        <v>66484</v>
      </c>
      <c r="AO208" s="13">
        <v>22.2</v>
      </c>
      <c r="AP208" s="13">
        <v>14.6</v>
      </c>
      <c r="AQ208" s="13">
        <v>33.4</v>
      </c>
      <c r="AR208" s="13">
        <v>23.8</v>
      </c>
      <c r="AS208" s="13">
        <v>4.4000000000000004</v>
      </c>
      <c r="AT208" s="13">
        <v>1.6</v>
      </c>
      <c r="AU208" s="13">
        <v>34329</v>
      </c>
      <c r="AV208" s="13">
        <v>40193</v>
      </c>
      <c r="AW208" s="13">
        <v>197</v>
      </c>
      <c r="AX208" s="13">
        <v>34014</v>
      </c>
      <c r="AY208" s="13">
        <v>27913</v>
      </c>
      <c r="AZ208" s="13">
        <v>38771</v>
      </c>
      <c r="BA208" s="13">
        <v>44575</v>
      </c>
      <c r="BB208" s="13">
        <v>35943</v>
      </c>
      <c r="BC208" s="13">
        <v>22419</v>
      </c>
      <c r="BD208" s="13">
        <v>97</v>
      </c>
      <c r="BE208" s="13">
        <v>87</v>
      </c>
      <c r="BF208" s="13">
        <v>93</v>
      </c>
      <c r="BG208" s="13">
        <v>91</v>
      </c>
      <c r="BH208" s="13">
        <v>101</v>
      </c>
      <c r="BI208" s="13">
        <v>98</v>
      </c>
      <c r="BJ208" s="13">
        <v>106</v>
      </c>
      <c r="BK208" s="13">
        <v>99</v>
      </c>
      <c r="BL208" s="13">
        <v>96</v>
      </c>
      <c r="BM208" s="13">
        <v>94</v>
      </c>
      <c r="BN208" s="13">
        <v>91</v>
      </c>
      <c r="BO208" s="13">
        <v>98</v>
      </c>
      <c r="BP208" s="13">
        <v>93</v>
      </c>
      <c r="BQ208" s="13">
        <v>99</v>
      </c>
      <c r="BR208" s="13">
        <v>87</v>
      </c>
      <c r="BS208" s="13">
        <v>99</v>
      </c>
      <c r="BT208" s="13">
        <v>91</v>
      </c>
      <c r="BU208" s="13">
        <v>95</v>
      </c>
      <c r="BV208" s="13">
        <v>98</v>
      </c>
      <c r="BW208" s="13">
        <v>99</v>
      </c>
      <c r="BX208" s="328">
        <f t="shared" si="18"/>
        <v>212178937</v>
      </c>
      <c r="BY208" s="328">
        <f t="shared" si="19"/>
        <v>79895354</v>
      </c>
      <c r="BZ208" s="329">
        <f t="shared" si="16"/>
        <v>0.9360982794998316</v>
      </c>
      <c r="CA208" s="329">
        <f t="shared" si="17"/>
        <v>0.9360554032681504</v>
      </c>
    </row>
    <row r="209" spans="1:79" x14ac:dyDescent="0.25">
      <c r="A209" s="13">
        <v>8640</v>
      </c>
      <c r="B209" s="13">
        <v>208</v>
      </c>
      <c r="C209" s="13" t="s">
        <v>727</v>
      </c>
      <c r="D209" s="13">
        <v>128366</v>
      </c>
      <c r="E209" s="13">
        <v>151309</v>
      </c>
      <c r="F209" s="13">
        <v>169036</v>
      </c>
      <c r="G209" s="13">
        <v>179749</v>
      </c>
      <c r="H209" s="13">
        <v>1.4</v>
      </c>
      <c r="I209" s="13">
        <v>96</v>
      </c>
      <c r="J209" s="13">
        <v>56800</v>
      </c>
      <c r="K209" s="13">
        <v>64913</v>
      </c>
      <c r="L209" s="13">
        <v>70098</v>
      </c>
      <c r="M209" s="13">
        <v>1.6</v>
      </c>
      <c r="N209" s="13">
        <v>2.5499999999999998</v>
      </c>
      <c r="O209" s="13">
        <v>41184</v>
      </c>
      <c r="P209" s="13">
        <v>46074</v>
      </c>
      <c r="Q209" s="13">
        <v>1.4</v>
      </c>
      <c r="R209" s="13">
        <v>75.099999999999994</v>
      </c>
      <c r="S209" s="13">
        <v>72.900000000000006</v>
      </c>
      <c r="T209" s="13">
        <v>20.9</v>
      </c>
      <c r="U209" s="13">
        <v>22</v>
      </c>
      <c r="V209" s="13">
        <v>0.4</v>
      </c>
      <c r="W209" s="13">
        <v>0.6</v>
      </c>
      <c r="X209" s="13">
        <v>5.9</v>
      </c>
      <c r="Y209" s="13">
        <v>7.5</v>
      </c>
      <c r="Z209" s="13">
        <v>6.9</v>
      </c>
      <c r="AA209" s="13">
        <v>7.4</v>
      </c>
      <c r="AB209" s="13">
        <v>7.4</v>
      </c>
      <c r="AC209" s="13">
        <v>7.7</v>
      </c>
      <c r="AD209" s="13">
        <v>6.1</v>
      </c>
      <c r="AE209" s="13">
        <v>28.3</v>
      </c>
      <c r="AF209" s="13">
        <v>22.2</v>
      </c>
      <c r="AG209" s="13">
        <v>12.3</v>
      </c>
      <c r="AH209" s="13">
        <v>1.6</v>
      </c>
      <c r="AI209" s="13">
        <v>73.900000000000006</v>
      </c>
      <c r="AJ209" s="13">
        <v>33.200000000000003</v>
      </c>
      <c r="AK209" s="13">
        <v>36.200000000000003</v>
      </c>
      <c r="AL209" s="13">
        <v>92.8</v>
      </c>
      <c r="AM209" s="13">
        <v>16184</v>
      </c>
      <c r="AN209" s="13">
        <v>64911</v>
      </c>
      <c r="AO209" s="13">
        <v>21</v>
      </c>
      <c r="AP209" s="13">
        <v>16.5</v>
      </c>
      <c r="AQ209" s="13">
        <v>33.9</v>
      </c>
      <c r="AR209" s="13">
        <v>22.6</v>
      </c>
      <c r="AS209" s="13">
        <v>4</v>
      </c>
      <c r="AT209" s="13">
        <v>1.9</v>
      </c>
      <c r="AU209" s="13">
        <v>32502</v>
      </c>
      <c r="AV209" s="13">
        <v>37587</v>
      </c>
      <c r="AW209" s="13">
        <v>223</v>
      </c>
      <c r="AX209" s="13">
        <v>33467</v>
      </c>
      <c r="AY209" s="13">
        <v>28143</v>
      </c>
      <c r="AZ209" s="13">
        <v>38097</v>
      </c>
      <c r="BA209" s="13">
        <v>41910</v>
      </c>
      <c r="BB209" s="13">
        <v>36175</v>
      </c>
      <c r="BC209" s="13">
        <v>23988</v>
      </c>
      <c r="BD209" s="13">
        <v>99</v>
      </c>
      <c r="BE209" s="13">
        <v>92</v>
      </c>
      <c r="BF209" s="13">
        <v>95</v>
      </c>
      <c r="BG209" s="13">
        <v>94</v>
      </c>
      <c r="BH209" s="13">
        <v>101</v>
      </c>
      <c r="BI209" s="13">
        <v>100</v>
      </c>
      <c r="BJ209" s="13">
        <v>106</v>
      </c>
      <c r="BK209" s="13">
        <v>100</v>
      </c>
      <c r="BL209" s="13">
        <v>98</v>
      </c>
      <c r="BM209" s="13">
        <v>96</v>
      </c>
      <c r="BN209" s="13">
        <v>96</v>
      </c>
      <c r="BO209" s="13">
        <v>99</v>
      </c>
      <c r="BP209" s="13">
        <v>95</v>
      </c>
      <c r="BQ209" s="13">
        <v>100</v>
      </c>
      <c r="BR209" s="13">
        <v>90</v>
      </c>
      <c r="BS209" s="13">
        <v>99</v>
      </c>
      <c r="BT209" s="13">
        <v>95</v>
      </c>
      <c r="BU209" s="13">
        <v>97</v>
      </c>
      <c r="BV209" s="13">
        <v>100</v>
      </c>
      <c r="BW209" s="13">
        <v>100</v>
      </c>
      <c r="BX209" s="328">
        <f t="shared" si="18"/>
        <v>212358686</v>
      </c>
      <c r="BY209" s="328">
        <f t="shared" si="19"/>
        <v>79965452</v>
      </c>
      <c r="BZ209" s="329">
        <f t="shared" si="16"/>
        <v>0.93689130227589446</v>
      </c>
      <c r="CA209" s="329">
        <f t="shared" si="17"/>
        <v>0.9368766726958857</v>
      </c>
    </row>
    <row r="210" spans="1:79" x14ac:dyDescent="0.25">
      <c r="A210" s="13">
        <v>2520</v>
      </c>
      <c r="B210" s="13">
        <v>209</v>
      </c>
      <c r="C210" s="13" t="s">
        <v>728</v>
      </c>
      <c r="D210" s="13">
        <v>137574</v>
      </c>
      <c r="E210" s="13">
        <v>153296</v>
      </c>
      <c r="F210" s="13">
        <v>168108</v>
      </c>
      <c r="G210" s="13">
        <v>177365</v>
      </c>
      <c r="H210" s="13">
        <v>1.1000000000000001</v>
      </c>
      <c r="I210" s="13">
        <v>143</v>
      </c>
      <c r="J210" s="13">
        <v>57771</v>
      </c>
      <c r="K210" s="13">
        <v>65080</v>
      </c>
      <c r="L210" s="13">
        <v>69626</v>
      </c>
      <c r="M210" s="13">
        <v>1.5</v>
      </c>
      <c r="N210" s="13">
        <v>2.46</v>
      </c>
      <c r="O210" s="13">
        <v>37140</v>
      </c>
      <c r="P210" s="13">
        <v>40386</v>
      </c>
      <c r="Q210" s="13">
        <v>1</v>
      </c>
      <c r="R210" s="13">
        <v>97.2</v>
      </c>
      <c r="S210" s="13">
        <v>96.1</v>
      </c>
      <c r="T210" s="13">
        <v>0.3</v>
      </c>
      <c r="U210" s="13">
        <v>0.4</v>
      </c>
      <c r="V210" s="13">
        <v>0.9</v>
      </c>
      <c r="W210" s="13">
        <v>1.4</v>
      </c>
      <c r="X210" s="13">
        <v>1.2</v>
      </c>
      <c r="Y210" s="13">
        <v>1.9</v>
      </c>
      <c r="Z210" s="13">
        <v>6.2</v>
      </c>
      <c r="AA210" s="13">
        <v>6.8</v>
      </c>
      <c r="AB210" s="13">
        <v>7</v>
      </c>
      <c r="AC210" s="13">
        <v>8.6999999999999993</v>
      </c>
      <c r="AD210" s="13">
        <v>10.1</v>
      </c>
      <c r="AE210" s="13">
        <v>31.4</v>
      </c>
      <c r="AF210" s="13">
        <v>18.7</v>
      </c>
      <c r="AG210" s="13">
        <v>9.3000000000000007</v>
      </c>
      <c r="AH210" s="13">
        <v>1.7</v>
      </c>
      <c r="AI210" s="13">
        <v>76.2</v>
      </c>
      <c r="AJ210" s="13">
        <v>29.7</v>
      </c>
      <c r="AK210" s="13">
        <v>32.4</v>
      </c>
      <c r="AL210" s="13">
        <v>97.9</v>
      </c>
      <c r="AM210" s="13">
        <v>17677</v>
      </c>
      <c r="AN210" s="13">
        <v>65076</v>
      </c>
      <c r="AO210" s="13">
        <v>16.8</v>
      </c>
      <c r="AP210" s="13">
        <v>14.2</v>
      </c>
      <c r="AQ210" s="13">
        <v>37</v>
      </c>
      <c r="AR210" s="13">
        <v>25.6</v>
      </c>
      <c r="AS210" s="13">
        <v>4.7</v>
      </c>
      <c r="AT210" s="13">
        <v>1.7</v>
      </c>
      <c r="AU210" s="13">
        <v>36640</v>
      </c>
      <c r="AV210" s="13">
        <v>43769</v>
      </c>
      <c r="AW210" s="13">
        <v>147</v>
      </c>
      <c r="AX210" s="13">
        <v>34084</v>
      </c>
      <c r="AY210" s="13">
        <v>26522</v>
      </c>
      <c r="AZ210" s="13">
        <v>40217</v>
      </c>
      <c r="BA210" s="13">
        <v>45377</v>
      </c>
      <c r="BB210" s="13">
        <v>40475</v>
      </c>
      <c r="BC210" s="13">
        <v>25673</v>
      </c>
      <c r="BD210" s="13">
        <v>97</v>
      </c>
      <c r="BE210" s="13">
        <v>99</v>
      </c>
      <c r="BF210" s="13">
        <v>90</v>
      </c>
      <c r="BG210" s="13">
        <v>94</v>
      </c>
      <c r="BH210" s="13">
        <v>98</v>
      </c>
      <c r="BI210" s="13">
        <v>96</v>
      </c>
      <c r="BJ210" s="13">
        <v>97</v>
      </c>
      <c r="BK210" s="13">
        <v>96</v>
      </c>
      <c r="BL210" s="13">
        <v>97</v>
      </c>
      <c r="BM210" s="13">
        <v>95</v>
      </c>
      <c r="BN210" s="13">
        <v>98</v>
      </c>
      <c r="BO210" s="13">
        <v>96</v>
      </c>
      <c r="BP210" s="13">
        <v>97</v>
      </c>
      <c r="BQ210" s="13">
        <v>98</v>
      </c>
      <c r="BR210" s="13">
        <v>99</v>
      </c>
      <c r="BS210" s="13">
        <v>101</v>
      </c>
      <c r="BT210" s="13">
        <v>96</v>
      </c>
      <c r="BU210" s="13">
        <v>98</v>
      </c>
      <c r="BV210" s="13">
        <v>97</v>
      </c>
      <c r="BW210" s="13">
        <v>98</v>
      </c>
      <c r="BX210" s="328">
        <f t="shared" si="18"/>
        <v>212536051</v>
      </c>
      <c r="BY210" s="328">
        <f t="shared" si="19"/>
        <v>80035078</v>
      </c>
      <c r="BZ210" s="329">
        <f t="shared" si="16"/>
        <v>0.93767380723935134</v>
      </c>
      <c r="CA210" s="329">
        <f t="shared" si="17"/>
        <v>0.9376924121631387</v>
      </c>
    </row>
    <row r="211" spans="1:79" x14ac:dyDescent="0.25">
      <c r="A211" s="13">
        <v>3350</v>
      </c>
      <c r="B211" s="13">
        <v>210</v>
      </c>
      <c r="C211" s="13" t="s">
        <v>729</v>
      </c>
      <c r="D211" s="13">
        <v>176876</v>
      </c>
      <c r="E211" s="13">
        <v>182842</v>
      </c>
      <c r="F211" s="13">
        <v>193313</v>
      </c>
      <c r="G211" s="13">
        <v>199430</v>
      </c>
      <c r="H211" s="13">
        <v>0.7</v>
      </c>
      <c r="I211" s="13">
        <v>200</v>
      </c>
      <c r="J211" s="13">
        <v>60672</v>
      </c>
      <c r="K211" s="13">
        <v>65764</v>
      </c>
      <c r="L211" s="13">
        <v>69013</v>
      </c>
      <c r="M211" s="13">
        <v>1</v>
      </c>
      <c r="N211" s="13">
        <v>2.9</v>
      </c>
      <c r="O211" s="13">
        <v>48110</v>
      </c>
      <c r="P211" s="13">
        <v>51301</v>
      </c>
      <c r="Q211" s="13">
        <v>0.8</v>
      </c>
      <c r="R211" s="13">
        <v>80.599999999999994</v>
      </c>
      <c r="S211" s="13">
        <v>78.5</v>
      </c>
      <c r="T211" s="13">
        <v>14.6</v>
      </c>
      <c r="U211" s="13">
        <v>16.399999999999999</v>
      </c>
      <c r="V211" s="13">
        <v>0.7</v>
      </c>
      <c r="W211" s="13">
        <v>1</v>
      </c>
      <c r="X211" s="13">
        <v>1.4</v>
      </c>
      <c r="Y211" s="13">
        <v>1.9</v>
      </c>
      <c r="Z211" s="13">
        <v>7.8</v>
      </c>
      <c r="AA211" s="13">
        <v>8.3000000000000007</v>
      </c>
      <c r="AB211" s="13">
        <v>8.6999999999999993</v>
      </c>
      <c r="AC211" s="13">
        <v>8.6999999999999993</v>
      </c>
      <c r="AD211" s="13">
        <v>7.4</v>
      </c>
      <c r="AE211" s="13">
        <v>29.4</v>
      </c>
      <c r="AF211" s="13">
        <v>20.5</v>
      </c>
      <c r="AG211" s="13">
        <v>8.3000000000000007</v>
      </c>
      <c r="AH211" s="13">
        <v>0.9</v>
      </c>
      <c r="AI211" s="13">
        <v>70</v>
      </c>
      <c r="AJ211" s="13">
        <v>29.3</v>
      </c>
      <c r="AK211" s="13">
        <v>31.4</v>
      </c>
      <c r="AL211" s="13">
        <v>95.9</v>
      </c>
      <c r="AM211" s="13">
        <v>13350</v>
      </c>
      <c r="AN211" s="13">
        <v>65758</v>
      </c>
      <c r="AO211" s="13">
        <v>23.1</v>
      </c>
      <c r="AP211" s="13">
        <v>16.7</v>
      </c>
      <c r="AQ211" s="13">
        <v>34</v>
      </c>
      <c r="AR211" s="13">
        <v>21.6</v>
      </c>
      <c r="AS211" s="13">
        <v>3.5</v>
      </c>
      <c r="AT211" s="13">
        <v>1.1000000000000001</v>
      </c>
      <c r="AU211" s="13">
        <v>31209</v>
      </c>
      <c r="AV211" s="13">
        <v>38125</v>
      </c>
      <c r="AW211" s="13">
        <v>253</v>
      </c>
      <c r="AX211" s="13">
        <v>31565</v>
      </c>
      <c r="AY211" s="13">
        <v>26990</v>
      </c>
      <c r="AZ211" s="13">
        <v>36414</v>
      </c>
      <c r="BA211" s="13">
        <v>39637</v>
      </c>
      <c r="BB211" s="13">
        <v>31822</v>
      </c>
      <c r="BC211" s="13">
        <v>20846</v>
      </c>
      <c r="BD211" s="13">
        <v>97</v>
      </c>
      <c r="BE211" s="13">
        <v>79</v>
      </c>
      <c r="BF211" s="13">
        <v>82</v>
      </c>
      <c r="BG211" s="13">
        <v>83</v>
      </c>
      <c r="BH211" s="13">
        <v>97</v>
      </c>
      <c r="BI211" s="13">
        <v>94</v>
      </c>
      <c r="BJ211" s="13">
        <v>110</v>
      </c>
      <c r="BK211" s="13">
        <v>98</v>
      </c>
      <c r="BL211" s="13">
        <v>95</v>
      </c>
      <c r="BM211" s="13">
        <v>88</v>
      </c>
      <c r="BN211" s="13">
        <v>86</v>
      </c>
      <c r="BO211" s="13">
        <v>97</v>
      </c>
      <c r="BP211" s="13">
        <v>88</v>
      </c>
      <c r="BQ211" s="13">
        <v>98</v>
      </c>
      <c r="BR211" s="13">
        <v>80</v>
      </c>
      <c r="BS211" s="13">
        <v>98</v>
      </c>
      <c r="BT211" s="13">
        <v>86</v>
      </c>
      <c r="BU211" s="13">
        <v>92</v>
      </c>
      <c r="BV211" s="13">
        <v>99</v>
      </c>
      <c r="BW211" s="13">
        <v>98</v>
      </c>
      <c r="BX211" s="328">
        <f t="shared" si="18"/>
        <v>212735481</v>
      </c>
      <c r="BY211" s="328">
        <f t="shared" si="19"/>
        <v>80104091</v>
      </c>
      <c r="BZ211" s="329">
        <f t="shared" si="16"/>
        <v>0.9385536593232584</v>
      </c>
      <c r="CA211" s="329">
        <f t="shared" si="17"/>
        <v>0.93850096971137542</v>
      </c>
    </row>
    <row r="212" spans="1:79" x14ac:dyDescent="0.25">
      <c r="A212" s="13">
        <v>2330</v>
      </c>
      <c r="B212" s="13">
        <v>211</v>
      </c>
      <c r="C212" s="13" t="s">
        <v>730</v>
      </c>
      <c r="D212" s="13">
        <v>137330</v>
      </c>
      <c r="E212" s="13">
        <v>156198</v>
      </c>
      <c r="F212" s="13">
        <v>172966</v>
      </c>
      <c r="G212" s="13">
        <v>183447</v>
      </c>
      <c r="H212" s="13">
        <v>1.2</v>
      </c>
      <c r="I212" s="13">
        <v>114</v>
      </c>
      <c r="J212" s="13">
        <v>56713</v>
      </c>
      <c r="K212" s="13">
        <v>63961</v>
      </c>
      <c r="L212" s="13">
        <v>68543</v>
      </c>
      <c r="M212" s="13">
        <v>1.5</v>
      </c>
      <c r="N212" s="13">
        <v>2.67</v>
      </c>
      <c r="O212" s="13">
        <v>41751</v>
      </c>
      <c r="P212" s="13">
        <v>46131</v>
      </c>
      <c r="Q212" s="13">
        <v>1.2</v>
      </c>
      <c r="R212" s="13">
        <v>93.8</v>
      </c>
      <c r="S212" s="13">
        <v>92.7</v>
      </c>
      <c r="T212" s="13">
        <v>4.5</v>
      </c>
      <c r="U212" s="13">
        <v>5.0999999999999996</v>
      </c>
      <c r="V212" s="13">
        <v>0.6</v>
      </c>
      <c r="W212" s="13">
        <v>0.9</v>
      </c>
      <c r="X212" s="13">
        <v>1.9</v>
      </c>
      <c r="Y212" s="13">
        <v>2.6</v>
      </c>
      <c r="Z212" s="13">
        <v>8</v>
      </c>
      <c r="AA212" s="13">
        <v>7.9</v>
      </c>
      <c r="AB212" s="13">
        <v>7.5</v>
      </c>
      <c r="AC212" s="13">
        <v>7.2</v>
      </c>
      <c r="AD212" s="13">
        <v>6.2</v>
      </c>
      <c r="AE212" s="13">
        <v>31</v>
      </c>
      <c r="AF212" s="13">
        <v>21.1</v>
      </c>
      <c r="AG212" s="13">
        <v>9.8000000000000007</v>
      </c>
      <c r="AH212" s="13">
        <v>1.4</v>
      </c>
      <c r="AI212" s="13">
        <v>72.3</v>
      </c>
      <c r="AJ212" s="13">
        <v>31.8</v>
      </c>
      <c r="AK212" s="13">
        <v>34</v>
      </c>
      <c r="AL212" s="13">
        <v>96.8</v>
      </c>
      <c r="AM212" s="13">
        <v>19704</v>
      </c>
      <c r="AN212" s="13">
        <v>63958</v>
      </c>
      <c r="AO212" s="13">
        <v>8.6999999999999993</v>
      </c>
      <c r="AP212" s="13">
        <v>11.1</v>
      </c>
      <c r="AQ212" s="13">
        <v>37.9</v>
      </c>
      <c r="AR212" s="13">
        <v>33.700000000000003</v>
      </c>
      <c r="AS212" s="13">
        <v>6.6</v>
      </c>
      <c r="AT212" s="13">
        <v>1.9</v>
      </c>
      <c r="AU212" s="13">
        <v>44431</v>
      </c>
      <c r="AV212" s="13">
        <v>56300</v>
      </c>
      <c r="AW212" s="13">
        <v>43</v>
      </c>
      <c r="AX212" s="13">
        <v>40259</v>
      </c>
      <c r="AY212" s="13">
        <v>34258</v>
      </c>
      <c r="AZ212" s="13">
        <v>44291</v>
      </c>
      <c r="BA212" s="13">
        <v>51345</v>
      </c>
      <c r="BB212" s="13">
        <v>44285</v>
      </c>
      <c r="BC212" s="13">
        <v>26526</v>
      </c>
      <c r="BD212" s="13">
        <v>98</v>
      </c>
      <c r="BE212" s="13">
        <v>89</v>
      </c>
      <c r="BF212" s="13">
        <v>91</v>
      </c>
      <c r="BG212" s="13">
        <v>91</v>
      </c>
      <c r="BH212" s="13">
        <v>99</v>
      </c>
      <c r="BI212" s="13">
        <v>96</v>
      </c>
      <c r="BJ212" s="13">
        <v>108</v>
      </c>
      <c r="BK212" s="13">
        <v>99</v>
      </c>
      <c r="BL212" s="13">
        <v>97</v>
      </c>
      <c r="BM212" s="13">
        <v>94</v>
      </c>
      <c r="BN212" s="13">
        <v>95</v>
      </c>
      <c r="BO212" s="13">
        <v>97</v>
      </c>
      <c r="BP212" s="13">
        <v>96</v>
      </c>
      <c r="BQ212" s="13">
        <v>100</v>
      </c>
      <c r="BR212" s="13">
        <v>95</v>
      </c>
      <c r="BS212" s="13">
        <v>102</v>
      </c>
      <c r="BT212" s="13">
        <v>95</v>
      </c>
      <c r="BU212" s="13">
        <v>96</v>
      </c>
      <c r="BV212" s="13">
        <v>99</v>
      </c>
      <c r="BW212" s="13">
        <v>99</v>
      </c>
      <c r="BX212" s="328">
        <f t="shared" si="18"/>
        <v>212918928</v>
      </c>
      <c r="BY212" s="328">
        <f t="shared" si="19"/>
        <v>80172634</v>
      </c>
      <c r="BZ212" s="329">
        <f t="shared" si="16"/>
        <v>0.93936299706199644</v>
      </c>
      <c r="CA212" s="329">
        <f t="shared" si="17"/>
        <v>0.9393040207311657</v>
      </c>
    </row>
    <row r="213" spans="1:79" x14ac:dyDescent="0.25">
      <c r="A213" s="13">
        <v>4800</v>
      </c>
      <c r="B213" s="13">
        <v>212</v>
      </c>
      <c r="C213" s="13" t="s">
        <v>731</v>
      </c>
      <c r="D213" s="13">
        <v>181280</v>
      </c>
      <c r="E213" s="13">
        <v>174007</v>
      </c>
      <c r="F213" s="13">
        <v>174689</v>
      </c>
      <c r="G213" s="13">
        <v>174381</v>
      </c>
      <c r="H213" s="13">
        <v>0</v>
      </c>
      <c r="I213" s="13">
        <v>274</v>
      </c>
      <c r="J213" s="13">
        <v>65956</v>
      </c>
      <c r="K213" s="13">
        <v>67016</v>
      </c>
      <c r="L213" s="13">
        <v>67774</v>
      </c>
      <c r="M213" s="13">
        <v>0.2</v>
      </c>
      <c r="N213" s="13">
        <v>2.5299999999999998</v>
      </c>
      <c r="O213" s="13">
        <v>48104</v>
      </c>
      <c r="P213" s="13">
        <v>47784</v>
      </c>
      <c r="Q213" s="13">
        <v>-0.1</v>
      </c>
      <c r="R213" s="13">
        <v>93.4</v>
      </c>
      <c r="S213" s="13">
        <v>91.9</v>
      </c>
      <c r="T213" s="13">
        <v>5.9</v>
      </c>
      <c r="U213" s="13">
        <v>7.1</v>
      </c>
      <c r="V213" s="13">
        <v>0.4</v>
      </c>
      <c r="W213" s="13">
        <v>0.5</v>
      </c>
      <c r="X213" s="13">
        <v>0.7</v>
      </c>
      <c r="Y213" s="13">
        <v>0.9</v>
      </c>
      <c r="Z213" s="13">
        <v>6.4</v>
      </c>
      <c r="AA213" s="13">
        <v>6.9</v>
      </c>
      <c r="AB213" s="13">
        <v>7.3</v>
      </c>
      <c r="AC213" s="13">
        <v>7.4</v>
      </c>
      <c r="AD213" s="13">
        <v>5.9</v>
      </c>
      <c r="AE213" s="13">
        <v>29.2</v>
      </c>
      <c r="AF213" s="13">
        <v>23.1</v>
      </c>
      <c r="AG213" s="13">
        <v>12.3</v>
      </c>
      <c r="AH213" s="13">
        <v>1.5</v>
      </c>
      <c r="AI213" s="13">
        <v>75</v>
      </c>
      <c r="AJ213" s="13">
        <v>34.4</v>
      </c>
      <c r="AK213" s="13">
        <v>36.799999999999997</v>
      </c>
      <c r="AL213" s="13">
        <v>97</v>
      </c>
      <c r="AM213" s="13">
        <v>14693</v>
      </c>
      <c r="AN213" s="13">
        <v>67016</v>
      </c>
      <c r="AO213" s="13">
        <v>19.399999999999999</v>
      </c>
      <c r="AP213" s="13">
        <v>17.7</v>
      </c>
      <c r="AQ213" s="13">
        <v>38.299999999999997</v>
      </c>
      <c r="AR213" s="13">
        <v>21.6</v>
      </c>
      <c r="AS213" s="13">
        <v>2.2000000000000002</v>
      </c>
      <c r="AT213" s="13">
        <v>0.8</v>
      </c>
      <c r="AU213" s="13">
        <v>32204</v>
      </c>
      <c r="AV213" s="13">
        <v>37954</v>
      </c>
      <c r="AW213" s="13">
        <v>229</v>
      </c>
      <c r="AX213" s="13">
        <v>29498</v>
      </c>
      <c r="AY213" s="13">
        <v>25947</v>
      </c>
      <c r="AZ213" s="13">
        <v>34344</v>
      </c>
      <c r="BA213" s="13">
        <v>38769</v>
      </c>
      <c r="BB213" s="13">
        <v>32480</v>
      </c>
      <c r="BC213" s="13">
        <v>18975</v>
      </c>
      <c r="BD213" s="13">
        <v>97</v>
      </c>
      <c r="BE213" s="13">
        <v>86</v>
      </c>
      <c r="BF213" s="13">
        <v>91</v>
      </c>
      <c r="BG213" s="13">
        <v>89</v>
      </c>
      <c r="BH213" s="13">
        <v>101</v>
      </c>
      <c r="BI213" s="13">
        <v>97</v>
      </c>
      <c r="BJ213" s="13">
        <v>105</v>
      </c>
      <c r="BK213" s="13">
        <v>98</v>
      </c>
      <c r="BL213" s="13">
        <v>95</v>
      </c>
      <c r="BM213" s="13">
        <v>92</v>
      </c>
      <c r="BN213" s="13">
        <v>92</v>
      </c>
      <c r="BO213" s="13">
        <v>95</v>
      </c>
      <c r="BP213" s="13">
        <v>95</v>
      </c>
      <c r="BQ213" s="13">
        <v>98</v>
      </c>
      <c r="BR213" s="13">
        <v>96</v>
      </c>
      <c r="BS213" s="13">
        <v>100</v>
      </c>
      <c r="BT213" s="13">
        <v>92</v>
      </c>
      <c r="BU213" s="13">
        <v>94</v>
      </c>
      <c r="BV213" s="13">
        <v>100</v>
      </c>
      <c r="BW213" s="13">
        <v>97</v>
      </c>
      <c r="BX213" s="328">
        <f t="shared" si="18"/>
        <v>213093309</v>
      </c>
      <c r="BY213" s="328">
        <f t="shared" si="19"/>
        <v>80240408</v>
      </c>
      <c r="BZ213" s="329">
        <f t="shared" si="16"/>
        <v>0.940132337112359</v>
      </c>
      <c r="CA213" s="329">
        <f t="shared" si="17"/>
        <v>0.94009806213313629</v>
      </c>
    </row>
    <row r="214" spans="1:79" x14ac:dyDescent="0.25">
      <c r="A214" s="13">
        <v>860</v>
      </c>
      <c r="B214" s="13">
        <v>213</v>
      </c>
      <c r="C214" s="13" t="s">
        <v>732</v>
      </c>
      <c r="D214" s="13">
        <v>106701</v>
      </c>
      <c r="E214" s="13">
        <v>127780</v>
      </c>
      <c r="F214" s="13">
        <v>156975</v>
      </c>
      <c r="G214" s="13">
        <v>174441</v>
      </c>
      <c r="H214" s="13">
        <v>2.5</v>
      </c>
      <c r="I214" s="13">
        <v>23</v>
      </c>
      <c r="J214" s="13">
        <v>48543</v>
      </c>
      <c r="K214" s="13">
        <v>60524</v>
      </c>
      <c r="L214" s="13">
        <v>67770</v>
      </c>
      <c r="M214" s="13">
        <v>2.7</v>
      </c>
      <c r="N214" s="13">
        <v>2.5099999999999998</v>
      </c>
      <c r="O214" s="13">
        <v>32198</v>
      </c>
      <c r="P214" s="13">
        <v>39060</v>
      </c>
      <c r="Q214" s="13">
        <v>2.4</v>
      </c>
      <c r="R214" s="13">
        <v>93.3</v>
      </c>
      <c r="S214" s="13">
        <v>92</v>
      </c>
      <c r="T214" s="13">
        <v>0.5</v>
      </c>
      <c r="U214" s="13">
        <v>0.6</v>
      </c>
      <c r="V214" s="13">
        <v>1.8</v>
      </c>
      <c r="W214" s="13">
        <v>2.4</v>
      </c>
      <c r="X214" s="13">
        <v>2.9</v>
      </c>
      <c r="Y214" s="13">
        <v>4.4000000000000004</v>
      </c>
      <c r="Z214" s="13">
        <v>6.2</v>
      </c>
      <c r="AA214" s="13">
        <v>7</v>
      </c>
      <c r="AB214" s="13">
        <v>7.4</v>
      </c>
      <c r="AC214" s="13">
        <v>8</v>
      </c>
      <c r="AD214" s="13">
        <v>8.3000000000000007</v>
      </c>
      <c r="AE214" s="13">
        <v>30.4</v>
      </c>
      <c r="AF214" s="13">
        <v>20.399999999999999</v>
      </c>
      <c r="AG214" s="13">
        <v>10.8</v>
      </c>
      <c r="AH214" s="13">
        <v>1.6</v>
      </c>
      <c r="AI214" s="13">
        <v>75.3</v>
      </c>
      <c r="AJ214" s="13">
        <v>32.700000000000003</v>
      </c>
      <c r="AK214" s="13">
        <v>35.200000000000003</v>
      </c>
      <c r="AL214" s="13">
        <v>98.3</v>
      </c>
      <c r="AM214" s="13">
        <v>16979</v>
      </c>
      <c r="AN214" s="13">
        <v>60520</v>
      </c>
      <c r="AO214" s="13">
        <v>16.8</v>
      </c>
      <c r="AP214" s="13">
        <v>16.600000000000001</v>
      </c>
      <c r="AQ214" s="13">
        <v>36.200000000000003</v>
      </c>
      <c r="AR214" s="13">
        <v>24.6</v>
      </c>
      <c r="AS214" s="13">
        <v>4.2</v>
      </c>
      <c r="AT214" s="13">
        <v>1.6</v>
      </c>
      <c r="AU214" s="13">
        <v>35244</v>
      </c>
      <c r="AV214" s="13">
        <v>40782</v>
      </c>
      <c r="AW214" s="13">
        <v>180</v>
      </c>
      <c r="AX214" s="13">
        <v>34555</v>
      </c>
      <c r="AY214" s="13">
        <v>27241</v>
      </c>
      <c r="AZ214" s="13">
        <v>38539</v>
      </c>
      <c r="BA214" s="13">
        <v>44592</v>
      </c>
      <c r="BB214" s="13">
        <v>39695</v>
      </c>
      <c r="BC214" s="13">
        <v>25375</v>
      </c>
      <c r="BD214" s="13">
        <v>100</v>
      </c>
      <c r="BE214" s="13">
        <v>91</v>
      </c>
      <c r="BF214" s="13">
        <v>93</v>
      </c>
      <c r="BG214" s="13">
        <v>93</v>
      </c>
      <c r="BH214" s="13">
        <v>98</v>
      </c>
      <c r="BI214" s="13">
        <v>96</v>
      </c>
      <c r="BJ214" s="13">
        <v>105</v>
      </c>
      <c r="BK214" s="13">
        <v>97</v>
      </c>
      <c r="BL214" s="13">
        <v>97</v>
      </c>
      <c r="BM214" s="13">
        <v>92</v>
      </c>
      <c r="BN214" s="13">
        <v>93</v>
      </c>
      <c r="BO214" s="13">
        <v>92</v>
      </c>
      <c r="BP214" s="13">
        <v>90</v>
      </c>
      <c r="BQ214" s="13">
        <v>95</v>
      </c>
      <c r="BR214" s="13">
        <v>89</v>
      </c>
      <c r="BS214" s="13">
        <v>95</v>
      </c>
      <c r="BT214" s="13">
        <v>93</v>
      </c>
      <c r="BU214" s="13">
        <v>94</v>
      </c>
      <c r="BV214" s="13">
        <v>99</v>
      </c>
      <c r="BW214" s="13">
        <v>95</v>
      </c>
      <c r="BX214" s="328">
        <f t="shared" si="18"/>
        <v>213267750</v>
      </c>
      <c r="BY214" s="328">
        <f t="shared" si="19"/>
        <v>80308178</v>
      </c>
      <c r="BZ214" s="329">
        <f t="shared" si="16"/>
        <v>0.94090194187277043</v>
      </c>
      <c r="CA214" s="329">
        <f t="shared" si="17"/>
        <v>0.94089205667103504</v>
      </c>
    </row>
    <row r="215" spans="1:79" x14ac:dyDescent="0.25">
      <c r="A215" s="13">
        <v>2750</v>
      </c>
      <c r="B215" s="13">
        <v>214</v>
      </c>
      <c r="C215" s="13" t="s">
        <v>733</v>
      </c>
      <c r="D215" s="13">
        <v>109920</v>
      </c>
      <c r="E215" s="13">
        <v>143776</v>
      </c>
      <c r="F215" s="13">
        <v>169744</v>
      </c>
      <c r="G215" s="13">
        <v>185567</v>
      </c>
      <c r="H215" s="13">
        <v>2</v>
      </c>
      <c r="I215" s="13">
        <v>48</v>
      </c>
      <c r="J215" s="13">
        <v>53313</v>
      </c>
      <c r="K215" s="13">
        <v>62027</v>
      </c>
      <c r="L215" s="13">
        <v>67168</v>
      </c>
      <c r="M215" s="13">
        <v>1.9</v>
      </c>
      <c r="N215" s="13">
        <v>2.65</v>
      </c>
      <c r="O215" s="13">
        <v>39703</v>
      </c>
      <c r="P215" s="13">
        <v>45233</v>
      </c>
      <c r="Q215" s="13">
        <v>1.6</v>
      </c>
      <c r="R215" s="13">
        <v>87.1</v>
      </c>
      <c r="S215" s="13">
        <v>83.6</v>
      </c>
      <c r="T215" s="13">
        <v>9</v>
      </c>
      <c r="U215" s="13">
        <v>10.5</v>
      </c>
      <c r="V215" s="13">
        <v>2.5</v>
      </c>
      <c r="W215" s="13">
        <v>4</v>
      </c>
      <c r="X215" s="13">
        <v>3.1</v>
      </c>
      <c r="Y215" s="13">
        <v>4.5999999999999996</v>
      </c>
      <c r="Z215" s="13">
        <v>7.8</v>
      </c>
      <c r="AA215" s="13">
        <v>7.8</v>
      </c>
      <c r="AB215" s="13">
        <v>7.2</v>
      </c>
      <c r="AC215" s="13">
        <v>6.6</v>
      </c>
      <c r="AD215" s="13">
        <v>7.2</v>
      </c>
      <c r="AE215" s="13">
        <v>32.6</v>
      </c>
      <c r="AF215" s="13">
        <v>20.8</v>
      </c>
      <c r="AG215" s="13">
        <v>9.3000000000000007</v>
      </c>
      <c r="AH215" s="13">
        <v>0.7</v>
      </c>
      <c r="AI215" s="13">
        <v>73.3</v>
      </c>
      <c r="AJ215" s="13">
        <v>31.5</v>
      </c>
      <c r="AK215" s="13">
        <v>33</v>
      </c>
      <c r="AL215" s="13">
        <v>101.6</v>
      </c>
      <c r="AM215" s="13">
        <v>14835</v>
      </c>
      <c r="AN215" s="13">
        <v>62026</v>
      </c>
      <c r="AO215" s="13">
        <v>15.5</v>
      </c>
      <c r="AP215" s="13">
        <v>20.2</v>
      </c>
      <c r="AQ215" s="13">
        <v>38.299999999999997</v>
      </c>
      <c r="AR215" s="13">
        <v>22.8</v>
      </c>
      <c r="AS215" s="13">
        <v>2.4</v>
      </c>
      <c r="AT215" s="13">
        <v>1</v>
      </c>
      <c r="AU215" s="13">
        <v>32640</v>
      </c>
      <c r="AV215" s="13">
        <v>35541</v>
      </c>
      <c r="AW215" s="13">
        <v>218</v>
      </c>
      <c r="AX215" s="13">
        <v>32269</v>
      </c>
      <c r="AY215" s="13">
        <v>25400</v>
      </c>
      <c r="AZ215" s="13">
        <v>33345</v>
      </c>
      <c r="BA215" s="13">
        <v>42567</v>
      </c>
      <c r="BB215" s="13">
        <v>37785</v>
      </c>
      <c r="BC215" s="13">
        <v>25764</v>
      </c>
      <c r="BD215" s="13">
        <v>98</v>
      </c>
      <c r="BE215" s="13">
        <v>99</v>
      </c>
      <c r="BF215" s="13">
        <v>96</v>
      </c>
      <c r="BG215" s="13">
        <v>94</v>
      </c>
      <c r="BH215" s="13">
        <v>101</v>
      </c>
      <c r="BI215" s="13">
        <v>100</v>
      </c>
      <c r="BJ215" s="13">
        <v>101</v>
      </c>
      <c r="BK215" s="13">
        <v>99</v>
      </c>
      <c r="BL215" s="13">
        <v>99</v>
      </c>
      <c r="BM215" s="13">
        <v>98</v>
      </c>
      <c r="BN215" s="13">
        <v>100</v>
      </c>
      <c r="BO215" s="13">
        <v>99</v>
      </c>
      <c r="BP215" s="13">
        <v>97</v>
      </c>
      <c r="BQ215" s="13">
        <v>100</v>
      </c>
      <c r="BR215" s="13">
        <v>91</v>
      </c>
      <c r="BS215" s="13">
        <v>100</v>
      </c>
      <c r="BT215" s="13">
        <v>97</v>
      </c>
      <c r="BU215" s="13">
        <v>99</v>
      </c>
      <c r="BV215" s="13">
        <v>98</v>
      </c>
      <c r="BW215" s="13">
        <v>101</v>
      </c>
      <c r="BX215" s="328">
        <f t="shared" si="18"/>
        <v>213453317</v>
      </c>
      <c r="BY215" s="328">
        <f t="shared" si="19"/>
        <v>80375346</v>
      </c>
      <c r="BZ215" s="329">
        <f t="shared" si="16"/>
        <v>0.9417206326998997</v>
      </c>
      <c r="CA215" s="329">
        <f t="shared" si="17"/>
        <v>0.94167899816611511</v>
      </c>
    </row>
    <row r="216" spans="1:79" x14ac:dyDescent="0.25">
      <c r="A216" s="13">
        <v>4100</v>
      </c>
      <c r="B216" s="13">
        <v>215</v>
      </c>
      <c r="C216" s="13" t="s">
        <v>734</v>
      </c>
      <c r="D216" s="13">
        <v>96340</v>
      </c>
      <c r="E216" s="13">
        <v>135510</v>
      </c>
      <c r="F216" s="13">
        <v>172546</v>
      </c>
      <c r="G216" s="13">
        <v>195114</v>
      </c>
      <c r="H216" s="13">
        <v>3</v>
      </c>
      <c r="I216" s="13">
        <v>11</v>
      </c>
      <c r="J216" s="13">
        <v>45029</v>
      </c>
      <c r="K216" s="13">
        <v>58621</v>
      </c>
      <c r="L216" s="13">
        <v>67067</v>
      </c>
      <c r="M216" s="13">
        <v>3.2</v>
      </c>
      <c r="N216" s="13">
        <v>2.88</v>
      </c>
      <c r="O216" s="13">
        <v>33228</v>
      </c>
      <c r="P216" s="13">
        <v>42509</v>
      </c>
      <c r="Q216" s="13">
        <v>3</v>
      </c>
      <c r="R216" s="13">
        <v>91.1</v>
      </c>
      <c r="S216" s="13">
        <v>90.3</v>
      </c>
      <c r="T216" s="13">
        <v>1.6</v>
      </c>
      <c r="U216" s="13">
        <v>1.9</v>
      </c>
      <c r="V216" s="13">
        <v>0.9</v>
      </c>
      <c r="W216" s="13">
        <v>1.2</v>
      </c>
      <c r="X216" s="13">
        <v>56.4</v>
      </c>
      <c r="Y216" s="13">
        <v>57.8</v>
      </c>
      <c r="Z216" s="13">
        <v>8.3000000000000007</v>
      </c>
      <c r="AA216" s="13">
        <v>8.1999999999999993</v>
      </c>
      <c r="AB216" s="13">
        <v>8.3000000000000007</v>
      </c>
      <c r="AC216" s="13">
        <v>9.4</v>
      </c>
      <c r="AD216" s="13">
        <v>9.4</v>
      </c>
      <c r="AE216" s="13">
        <v>28.6</v>
      </c>
      <c r="AF216" s="13">
        <v>18.600000000000001</v>
      </c>
      <c r="AG216" s="13">
        <v>8.1999999999999993</v>
      </c>
      <c r="AH216" s="13">
        <v>0.9</v>
      </c>
      <c r="AI216" s="13">
        <v>70.2</v>
      </c>
      <c r="AJ216" s="13">
        <v>27.9</v>
      </c>
      <c r="AK216" s="13">
        <v>29.6</v>
      </c>
      <c r="AL216" s="13">
        <v>99.7</v>
      </c>
      <c r="AM216" s="13">
        <v>10052</v>
      </c>
      <c r="AN216" s="13">
        <v>58621</v>
      </c>
      <c r="AO216" s="13">
        <v>33.799999999999997</v>
      </c>
      <c r="AP216" s="13">
        <v>20</v>
      </c>
      <c r="AQ216" s="13">
        <v>31.1</v>
      </c>
      <c r="AR216" s="13">
        <v>13.4</v>
      </c>
      <c r="AS216" s="13">
        <v>1.2</v>
      </c>
      <c r="AT216" s="13">
        <v>0.5</v>
      </c>
      <c r="AU216" s="13">
        <v>22944</v>
      </c>
      <c r="AV216" s="13">
        <v>23889</v>
      </c>
      <c r="AW216" s="13">
        <v>313</v>
      </c>
      <c r="AX216" s="13">
        <v>23873</v>
      </c>
      <c r="AY216" s="13">
        <v>18151</v>
      </c>
      <c r="AZ216" s="13">
        <v>26474</v>
      </c>
      <c r="BA216" s="13">
        <v>31498</v>
      </c>
      <c r="BB216" s="13">
        <v>28585</v>
      </c>
      <c r="BC216" s="13">
        <v>19281</v>
      </c>
      <c r="BD216" s="13">
        <v>98</v>
      </c>
      <c r="BE216" s="13">
        <v>92</v>
      </c>
      <c r="BF216" s="13">
        <v>94</v>
      </c>
      <c r="BG216" s="13">
        <v>89</v>
      </c>
      <c r="BH216" s="13">
        <v>96</v>
      </c>
      <c r="BI216" s="13">
        <v>95</v>
      </c>
      <c r="BJ216" s="13">
        <v>101</v>
      </c>
      <c r="BK216" s="13">
        <v>98</v>
      </c>
      <c r="BL216" s="13">
        <v>97</v>
      </c>
      <c r="BM216" s="13">
        <v>93</v>
      </c>
      <c r="BN216" s="13">
        <v>93</v>
      </c>
      <c r="BO216" s="13">
        <v>90</v>
      </c>
      <c r="BP216" s="13">
        <v>89</v>
      </c>
      <c r="BQ216" s="13">
        <v>92</v>
      </c>
      <c r="BR216" s="13">
        <v>89</v>
      </c>
      <c r="BS216" s="13">
        <v>95</v>
      </c>
      <c r="BT216" s="13">
        <v>89</v>
      </c>
      <c r="BU216" s="13">
        <v>94</v>
      </c>
      <c r="BV216" s="13">
        <v>98</v>
      </c>
      <c r="BW216" s="13">
        <v>96</v>
      </c>
      <c r="BX216" s="328">
        <f t="shared" si="18"/>
        <v>213648431</v>
      </c>
      <c r="BY216" s="328">
        <f t="shared" si="19"/>
        <v>80442413</v>
      </c>
      <c r="BZ216" s="329">
        <f t="shared" si="16"/>
        <v>0.94258144330762905</v>
      </c>
      <c r="CA216" s="329">
        <f t="shared" si="17"/>
        <v>0.94246475634338023</v>
      </c>
    </row>
    <row r="217" spans="1:79" x14ac:dyDescent="0.25">
      <c r="A217" s="13">
        <v>8440</v>
      </c>
      <c r="B217" s="13">
        <v>216</v>
      </c>
      <c r="C217" s="13" t="s">
        <v>735</v>
      </c>
      <c r="D217" s="13">
        <v>154916</v>
      </c>
      <c r="E217" s="13">
        <v>160976</v>
      </c>
      <c r="F217" s="13">
        <v>165106</v>
      </c>
      <c r="G217" s="13">
        <v>167651</v>
      </c>
      <c r="H217" s="13">
        <v>0.3</v>
      </c>
      <c r="I217" s="13">
        <v>245</v>
      </c>
      <c r="J217" s="13">
        <v>63768</v>
      </c>
      <c r="K217" s="13">
        <v>65786</v>
      </c>
      <c r="L217" s="13">
        <v>66948</v>
      </c>
      <c r="M217" s="13">
        <v>0.4</v>
      </c>
      <c r="N217" s="13">
        <v>2.4500000000000002</v>
      </c>
      <c r="O217" s="13">
        <v>43046</v>
      </c>
      <c r="P217" s="13">
        <v>43794</v>
      </c>
      <c r="Q217" s="13">
        <v>0.2</v>
      </c>
      <c r="R217" s="13">
        <v>87.7</v>
      </c>
      <c r="S217" s="13">
        <v>85.9</v>
      </c>
      <c r="T217" s="13">
        <v>8.3000000000000007</v>
      </c>
      <c r="U217" s="13">
        <v>9</v>
      </c>
      <c r="V217" s="13">
        <v>0.7</v>
      </c>
      <c r="W217" s="13">
        <v>1</v>
      </c>
      <c r="X217" s="13">
        <v>4.8</v>
      </c>
      <c r="Y217" s="13">
        <v>7.1</v>
      </c>
      <c r="Z217" s="13">
        <v>6.5</v>
      </c>
      <c r="AA217" s="13">
        <v>7.1</v>
      </c>
      <c r="AB217" s="13">
        <v>7.4</v>
      </c>
      <c r="AC217" s="13">
        <v>7.4</v>
      </c>
      <c r="AD217" s="13">
        <v>5.9</v>
      </c>
      <c r="AE217" s="13">
        <v>30.8</v>
      </c>
      <c r="AF217" s="13">
        <v>21.7</v>
      </c>
      <c r="AG217" s="13">
        <v>11.4</v>
      </c>
      <c r="AH217" s="13">
        <v>1.8</v>
      </c>
      <c r="AI217" s="13">
        <v>74.400000000000006</v>
      </c>
      <c r="AJ217" s="13">
        <v>33.799999999999997</v>
      </c>
      <c r="AK217" s="13">
        <v>36.200000000000003</v>
      </c>
      <c r="AL217" s="13">
        <v>94.3</v>
      </c>
      <c r="AM217" s="13">
        <v>17206</v>
      </c>
      <c r="AN217" s="13">
        <v>65779</v>
      </c>
      <c r="AO217" s="13">
        <v>15.8</v>
      </c>
      <c r="AP217" s="13">
        <v>16</v>
      </c>
      <c r="AQ217" s="13">
        <v>37.4</v>
      </c>
      <c r="AR217" s="13">
        <v>25.9</v>
      </c>
      <c r="AS217" s="13">
        <v>3.6</v>
      </c>
      <c r="AT217" s="13">
        <v>1.2</v>
      </c>
      <c r="AU217" s="13">
        <v>35538</v>
      </c>
      <c r="AV217" s="13">
        <v>39125</v>
      </c>
      <c r="AW217" s="13">
        <v>170</v>
      </c>
      <c r="AX217" s="13">
        <v>33233</v>
      </c>
      <c r="AY217" s="13">
        <v>26627</v>
      </c>
      <c r="AZ217" s="13">
        <v>37295</v>
      </c>
      <c r="BA217" s="13">
        <v>43640</v>
      </c>
      <c r="BB217" s="13">
        <v>38031</v>
      </c>
      <c r="BC217" s="13">
        <v>23143</v>
      </c>
      <c r="BD217" s="13">
        <v>99</v>
      </c>
      <c r="BE217" s="13">
        <v>102</v>
      </c>
      <c r="BF217" s="13">
        <v>99</v>
      </c>
      <c r="BG217" s="13">
        <v>99</v>
      </c>
      <c r="BH217" s="13">
        <v>103</v>
      </c>
      <c r="BI217" s="13">
        <v>101</v>
      </c>
      <c r="BJ217" s="13">
        <v>100</v>
      </c>
      <c r="BK217" s="13">
        <v>100</v>
      </c>
      <c r="BL217" s="13">
        <v>99</v>
      </c>
      <c r="BM217" s="13">
        <v>102</v>
      </c>
      <c r="BN217" s="13">
        <v>102</v>
      </c>
      <c r="BO217" s="13">
        <v>99</v>
      </c>
      <c r="BP217" s="13">
        <v>103</v>
      </c>
      <c r="BQ217" s="13">
        <v>101</v>
      </c>
      <c r="BR217" s="13">
        <v>105</v>
      </c>
      <c r="BS217" s="13">
        <v>102</v>
      </c>
      <c r="BT217" s="13">
        <v>102</v>
      </c>
      <c r="BU217" s="13">
        <v>101</v>
      </c>
      <c r="BV217" s="13">
        <v>98</v>
      </c>
      <c r="BW217" s="13">
        <v>100</v>
      </c>
      <c r="BX217" s="328">
        <f t="shared" si="18"/>
        <v>213816082</v>
      </c>
      <c r="BY217" s="328">
        <f t="shared" si="19"/>
        <v>80509361</v>
      </c>
      <c r="BZ217" s="329">
        <f t="shared" si="16"/>
        <v>0.94332109171418321</v>
      </c>
      <c r="CA217" s="329">
        <f t="shared" si="17"/>
        <v>0.94324912031450669</v>
      </c>
    </row>
    <row r="218" spans="1:79" x14ac:dyDescent="0.25">
      <c r="A218" s="13">
        <v>6690</v>
      </c>
      <c r="B218" s="13">
        <v>217</v>
      </c>
      <c r="C218" s="13" t="s">
        <v>736</v>
      </c>
      <c r="D218" s="13">
        <v>115613</v>
      </c>
      <c r="E218" s="13">
        <v>147036</v>
      </c>
      <c r="F218" s="13">
        <v>164361</v>
      </c>
      <c r="G218" s="13">
        <v>174128</v>
      </c>
      <c r="H218" s="13">
        <v>1.4</v>
      </c>
      <c r="I218" s="13">
        <v>93</v>
      </c>
      <c r="J218" s="13">
        <v>55966</v>
      </c>
      <c r="K218" s="13">
        <v>62763</v>
      </c>
      <c r="L218" s="13">
        <v>66618</v>
      </c>
      <c r="M218" s="13">
        <v>1.4</v>
      </c>
      <c r="N218" s="13">
        <v>2.58</v>
      </c>
      <c r="O218" s="13">
        <v>40473</v>
      </c>
      <c r="P218" s="13">
        <v>44390</v>
      </c>
      <c r="Q218" s="13">
        <v>1.1000000000000001</v>
      </c>
      <c r="R218" s="13">
        <v>93.8</v>
      </c>
      <c r="S218" s="13">
        <v>92.6</v>
      </c>
      <c r="T218" s="13">
        <v>0.7</v>
      </c>
      <c r="U218" s="13">
        <v>0.8</v>
      </c>
      <c r="V218" s="13">
        <v>1.8</v>
      </c>
      <c r="W218" s="13">
        <v>2.5</v>
      </c>
      <c r="X218" s="13">
        <v>3.8</v>
      </c>
      <c r="Y218" s="13">
        <v>5.5</v>
      </c>
      <c r="Z218" s="13">
        <v>7.6</v>
      </c>
      <c r="AA218" s="13">
        <v>8.6999999999999993</v>
      </c>
      <c r="AB218" s="13">
        <v>8</v>
      </c>
      <c r="AC218" s="13">
        <v>6.6</v>
      </c>
      <c r="AD218" s="13">
        <v>4</v>
      </c>
      <c r="AE218" s="13">
        <v>27.9</v>
      </c>
      <c r="AF218" s="13">
        <v>22.2</v>
      </c>
      <c r="AG218" s="13">
        <v>13.6</v>
      </c>
      <c r="AH218" s="13">
        <v>1.4</v>
      </c>
      <c r="AI218" s="13">
        <v>71.5</v>
      </c>
      <c r="AJ218" s="13">
        <v>34.9</v>
      </c>
      <c r="AK218" s="13">
        <v>37.1</v>
      </c>
      <c r="AL218" s="13">
        <v>96.6</v>
      </c>
      <c r="AM218" s="13">
        <v>14743</v>
      </c>
      <c r="AN218" s="13">
        <v>62763</v>
      </c>
      <c r="AO218" s="13">
        <v>23</v>
      </c>
      <c r="AP218" s="13">
        <v>17.7</v>
      </c>
      <c r="AQ218" s="13">
        <v>35.5</v>
      </c>
      <c r="AR218" s="13">
        <v>19.600000000000001</v>
      </c>
      <c r="AS218" s="13">
        <v>2.9</v>
      </c>
      <c r="AT218" s="13">
        <v>1.4</v>
      </c>
      <c r="AU218" s="13">
        <v>30635</v>
      </c>
      <c r="AV218" s="13">
        <v>33353</v>
      </c>
      <c r="AW218" s="13">
        <v>268</v>
      </c>
      <c r="AX218" s="13">
        <v>29652</v>
      </c>
      <c r="AY218" s="13">
        <v>26551</v>
      </c>
      <c r="AZ218" s="13">
        <v>33181</v>
      </c>
      <c r="BA218" s="13">
        <v>38931</v>
      </c>
      <c r="BB218" s="13">
        <v>32476</v>
      </c>
      <c r="BC218" s="13">
        <v>19957</v>
      </c>
      <c r="BD218" s="13">
        <v>99</v>
      </c>
      <c r="BE218" s="13">
        <v>88</v>
      </c>
      <c r="BF218" s="13">
        <v>92</v>
      </c>
      <c r="BG218" s="13">
        <v>90</v>
      </c>
      <c r="BH218" s="13">
        <v>98</v>
      </c>
      <c r="BI218" s="13">
        <v>97</v>
      </c>
      <c r="BJ218" s="13">
        <v>103</v>
      </c>
      <c r="BK218" s="13">
        <v>99</v>
      </c>
      <c r="BL218" s="13">
        <v>97</v>
      </c>
      <c r="BM218" s="13">
        <v>93</v>
      </c>
      <c r="BN218" s="13">
        <v>93</v>
      </c>
      <c r="BO218" s="13">
        <v>92</v>
      </c>
      <c r="BP218" s="13">
        <v>90</v>
      </c>
      <c r="BQ218" s="13">
        <v>95</v>
      </c>
      <c r="BR218" s="13">
        <v>89</v>
      </c>
      <c r="BS218" s="13">
        <v>95</v>
      </c>
      <c r="BT218" s="13">
        <v>91</v>
      </c>
      <c r="BU218" s="13">
        <v>93</v>
      </c>
      <c r="BV218" s="13">
        <v>100</v>
      </c>
      <c r="BW218" s="13">
        <v>95</v>
      </c>
      <c r="BX218" s="328">
        <f t="shared" si="18"/>
        <v>213990210</v>
      </c>
      <c r="BY218" s="328">
        <f t="shared" si="19"/>
        <v>80575979</v>
      </c>
      <c r="BZ218" s="329">
        <f t="shared" si="16"/>
        <v>0.94408931557050668</v>
      </c>
      <c r="CA218" s="329">
        <f t="shared" si="17"/>
        <v>0.94402961799970264</v>
      </c>
    </row>
    <row r="219" spans="1:79" x14ac:dyDescent="0.25">
      <c r="A219" s="13">
        <v>3920</v>
      </c>
      <c r="B219" s="13">
        <v>218</v>
      </c>
      <c r="C219" s="13" t="s">
        <v>737</v>
      </c>
      <c r="D219" s="13">
        <v>153247</v>
      </c>
      <c r="E219" s="13">
        <v>161572</v>
      </c>
      <c r="F219" s="13">
        <v>172832</v>
      </c>
      <c r="G219" s="13">
        <v>180311</v>
      </c>
      <c r="H219" s="13">
        <v>0.8</v>
      </c>
      <c r="I219" s="13">
        <v>186</v>
      </c>
      <c r="J219" s="13">
        <v>57068</v>
      </c>
      <c r="K219" s="13">
        <v>62774</v>
      </c>
      <c r="L219" s="13">
        <v>66365</v>
      </c>
      <c r="M219" s="13">
        <v>1.2</v>
      </c>
      <c r="N219" s="13">
        <v>2.4900000000000002</v>
      </c>
      <c r="O219" s="13">
        <v>37352</v>
      </c>
      <c r="P219" s="13">
        <v>40082</v>
      </c>
      <c r="Q219" s="13">
        <v>0.9</v>
      </c>
      <c r="R219" s="13">
        <v>94.5</v>
      </c>
      <c r="S219" s="13">
        <v>93.2</v>
      </c>
      <c r="T219" s="13">
        <v>1.7</v>
      </c>
      <c r="U219" s="13">
        <v>1.9</v>
      </c>
      <c r="V219" s="13">
        <v>3</v>
      </c>
      <c r="W219" s="13">
        <v>3.9</v>
      </c>
      <c r="X219" s="13">
        <v>1.6</v>
      </c>
      <c r="Y219" s="13">
        <v>2.2000000000000002</v>
      </c>
      <c r="Z219" s="13">
        <v>6.3</v>
      </c>
      <c r="AA219" s="13">
        <v>6</v>
      </c>
      <c r="AB219" s="13">
        <v>6</v>
      </c>
      <c r="AC219" s="13">
        <v>10</v>
      </c>
      <c r="AD219" s="13">
        <v>13.8</v>
      </c>
      <c r="AE219" s="13">
        <v>29.4</v>
      </c>
      <c r="AF219" s="13">
        <v>17.7</v>
      </c>
      <c r="AG219" s="13">
        <v>9.4</v>
      </c>
      <c r="AH219" s="13">
        <v>1.4</v>
      </c>
      <c r="AI219" s="13">
        <v>78.5</v>
      </c>
      <c r="AJ219" s="13">
        <v>28.1</v>
      </c>
      <c r="AK219" s="13">
        <v>29.9</v>
      </c>
      <c r="AL219" s="13">
        <v>101.8</v>
      </c>
      <c r="AM219" s="13">
        <v>18852</v>
      </c>
      <c r="AN219" s="13">
        <v>62774</v>
      </c>
      <c r="AO219" s="13">
        <v>13.1</v>
      </c>
      <c r="AP219" s="13">
        <v>14</v>
      </c>
      <c r="AQ219" s="13">
        <v>35</v>
      </c>
      <c r="AR219" s="13">
        <v>28.9</v>
      </c>
      <c r="AS219" s="13">
        <v>6.6</v>
      </c>
      <c r="AT219" s="13">
        <v>2.5</v>
      </c>
      <c r="AU219" s="13">
        <v>40407</v>
      </c>
      <c r="AV219" s="13">
        <v>50085</v>
      </c>
      <c r="AW219" s="13">
        <v>86</v>
      </c>
      <c r="AX219" s="13">
        <v>38268</v>
      </c>
      <c r="AY219" s="13">
        <v>28263</v>
      </c>
      <c r="AZ219" s="13">
        <v>46297</v>
      </c>
      <c r="BA219" s="13">
        <v>52794</v>
      </c>
      <c r="BB219" s="13">
        <v>44377</v>
      </c>
      <c r="BC219" s="13">
        <v>26612</v>
      </c>
      <c r="BD219" s="13">
        <v>97</v>
      </c>
      <c r="BE219" s="13">
        <v>95</v>
      </c>
      <c r="BF219" s="13">
        <v>93</v>
      </c>
      <c r="BG219" s="13">
        <v>94</v>
      </c>
      <c r="BH219" s="13">
        <v>99</v>
      </c>
      <c r="BI219" s="13">
        <v>96</v>
      </c>
      <c r="BJ219" s="13">
        <v>102</v>
      </c>
      <c r="BK219" s="13">
        <v>97</v>
      </c>
      <c r="BL219" s="13">
        <v>96</v>
      </c>
      <c r="BM219" s="13">
        <v>93</v>
      </c>
      <c r="BN219" s="13">
        <v>97</v>
      </c>
      <c r="BO219" s="13">
        <v>96</v>
      </c>
      <c r="BP219" s="13">
        <v>96</v>
      </c>
      <c r="BQ219" s="13">
        <v>98</v>
      </c>
      <c r="BR219" s="13">
        <v>97</v>
      </c>
      <c r="BS219" s="13">
        <v>100</v>
      </c>
      <c r="BT219" s="13">
        <v>96</v>
      </c>
      <c r="BU219" s="13">
        <v>97</v>
      </c>
      <c r="BV219" s="13">
        <v>98</v>
      </c>
      <c r="BW219" s="13">
        <v>98</v>
      </c>
      <c r="BX219" s="328">
        <f t="shared" si="18"/>
        <v>214170521</v>
      </c>
      <c r="BY219" s="328">
        <f t="shared" si="19"/>
        <v>80642344</v>
      </c>
      <c r="BZ219" s="329">
        <f t="shared" si="16"/>
        <v>0.94488481779736011</v>
      </c>
      <c r="CA219" s="329">
        <f t="shared" si="17"/>
        <v>0.94480715153235206</v>
      </c>
    </row>
    <row r="220" spans="1:79" x14ac:dyDescent="0.25">
      <c r="A220" s="13">
        <v>7760</v>
      </c>
      <c r="B220" s="13">
        <v>219</v>
      </c>
      <c r="C220" s="13" t="s">
        <v>738</v>
      </c>
      <c r="D220" s="13">
        <v>123377</v>
      </c>
      <c r="E220" s="13">
        <v>139236</v>
      </c>
      <c r="F220" s="13">
        <v>162442</v>
      </c>
      <c r="G220" s="13">
        <v>174776</v>
      </c>
      <c r="H220" s="13">
        <v>1.9</v>
      </c>
      <c r="I220" s="13">
        <v>59</v>
      </c>
      <c r="J220" s="13">
        <v>53142</v>
      </c>
      <c r="K220" s="13">
        <v>61254</v>
      </c>
      <c r="L220" s="13">
        <v>66358</v>
      </c>
      <c r="M220" s="13">
        <v>1.7</v>
      </c>
      <c r="N220" s="13">
        <v>2.52</v>
      </c>
      <c r="O220" s="13">
        <v>36159</v>
      </c>
      <c r="P220" s="13">
        <v>40972</v>
      </c>
      <c r="Q220" s="13">
        <v>1.5</v>
      </c>
      <c r="R220" s="13">
        <v>97.5</v>
      </c>
      <c r="S220" s="13">
        <v>96.7</v>
      </c>
      <c r="T220" s="13">
        <v>0.6</v>
      </c>
      <c r="U220" s="13">
        <v>0.8</v>
      </c>
      <c r="V220" s="13">
        <v>0.5</v>
      </c>
      <c r="W220" s="13">
        <v>0.8</v>
      </c>
      <c r="X220" s="13">
        <v>0.5</v>
      </c>
      <c r="Y220" s="13">
        <v>1</v>
      </c>
      <c r="Z220" s="13">
        <v>6.8</v>
      </c>
      <c r="AA220" s="13">
        <v>7.5</v>
      </c>
      <c r="AB220" s="13">
        <v>7.7</v>
      </c>
      <c r="AC220" s="13">
        <v>7.8</v>
      </c>
      <c r="AD220" s="13">
        <v>6.8</v>
      </c>
      <c r="AE220" s="13">
        <v>32</v>
      </c>
      <c r="AF220" s="13">
        <v>19.600000000000001</v>
      </c>
      <c r="AG220" s="13">
        <v>10.199999999999999</v>
      </c>
      <c r="AH220" s="13">
        <v>1.7</v>
      </c>
      <c r="AI220" s="13">
        <v>73.5</v>
      </c>
      <c r="AJ220" s="13">
        <v>31.6</v>
      </c>
      <c r="AK220" s="13">
        <v>34.200000000000003</v>
      </c>
      <c r="AL220" s="13">
        <v>94.1</v>
      </c>
      <c r="AM220" s="13">
        <v>16785</v>
      </c>
      <c r="AN220" s="13">
        <v>61254</v>
      </c>
      <c r="AO220" s="13">
        <v>14.1</v>
      </c>
      <c r="AP220" s="13">
        <v>15.3</v>
      </c>
      <c r="AQ220" s="13">
        <v>39.9</v>
      </c>
      <c r="AR220" s="13">
        <v>25.7</v>
      </c>
      <c r="AS220" s="13">
        <v>3.6</v>
      </c>
      <c r="AT220" s="13">
        <v>1.4</v>
      </c>
      <c r="AU220" s="13">
        <v>36777</v>
      </c>
      <c r="AV220" s="13">
        <v>42974</v>
      </c>
      <c r="AW220" s="13">
        <v>144</v>
      </c>
      <c r="AX220" s="13">
        <v>33408</v>
      </c>
      <c r="AY220" s="13">
        <v>29287</v>
      </c>
      <c r="AZ220" s="13">
        <v>39315</v>
      </c>
      <c r="BA220" s="13">
        <v>41701</v>
      </c>
      <c r="BB220" s="13">
        <v>35435</v>
      </c>
      <c r="BC220" s="13">
        <v>21718</v>
      </c>
      <c r="BD220" s="13">
        <v>98</v>
      </c>
      <c r="BE220" s="13">
        <v>97</v>
      </c>
      <c r="BF220" s="13">
        <v>91</v>
      </c>
      <c r="BG220" s="13">
        <v>95</v>
      </c>
      <c r="BH220" s="13">
        <v>99</v>
      </c>
      <c r="BI220" s="13">
        <v>97</v>
      </c>
      <c r="BJ220" s="13">
        <v>101</v>
      </c>
      <c r="BK220" s="13">
        <v>98</v>
      </c>
      <c r="BL220" s="13">
        <v>98</v>
      </c>
      <c r="BM220" s="13">
        <v>97</v>
      </c>
      <c r="BN220" s="13">
        <v>99</v>
      </c>
      <c r="BO220" s="13">
        <v>98</v>
      </c>
      <c r="BP220" s="13">
        <v>99</v>
      </c>
      <c r="BQ220" s="13">
        <v>100</v>
      </c>
      <c r="BR220" s="13">
        <v>98</v>
      </c>
      <c r="BS220" s="13">
        <v>102</v>
      </c>
      <c r="BT220" s="13">
        <v>98</v>
      </c>
      <c r="BU220" s="13">
        <v>99</v>
      </c>
      <c r="BV220" s="13">
        <v>99</v>
      </c>
      <c r="BW220" s="13">
        <v>99</v>
      </c>
      <c r="BX220" s="328">
        <f t="shared" si="18"/>
        <v>214345297</v>
      </c>
      <c r="BY220" s="328">
        <f t="shared" si="19"/>
        <v>80708702</v>
      </c>
      <c r="BZ220" s="329">
        <f t="shared" si="16"/>
        <v>0.94565590052221071</v>
      </c>
      <c r="CA220" s="329">
        <f t="shared" si="17"/>
        <v>0.94558460305287562</v>
      </c>
    </row>
    <row r="221" spans="1:79" x14ac:dyDescent="0.25">
      <c r="A221" s="13">
        <v>8600</v>
      </c>
      <c r="B221" s="13">
        <v>220</v>
      </c>
      <c r="C221" s="13" t="s">
        <v>739</v>
      </c>
      <c r="D221" s="13">
        <v>137541</v>
      </c>
      <c r="E221" s="13">
        <v>150522</v>
      </c>
      <c r="F221" s="13">
        <v>162465</v>
      </c>
      <c r="G221" s="13">
        <v>170152</v>
      </c>
      <c r="H221" s="13">
        <v>0.9</v>
      </c>
      <c r="I221" s="13">
        <v>177</v>
      </c>
      <c r="J221" s="13">
        <v>55354</v>
      </c>
      <c r="K221" s="13">
        <v>61979</v>
      </c>
      <c r="L221" s="13">
        <v>66114</v>
      </c>
      <c r="M221" s="13">
        <v>1.4</v>
      </c>
      <c r="N221" s="13">
        <v>2.4900000000000002</v>
      </c>
      <c r="O221" s="13">
        <v>37355</v>
      </c>
      <c r="P221" s="13">
        <v>40913</v>
      </c>
      <c r="Q221" s="13">
        <v>1.1000000000000001</v>
      </c>
      <c r="R221" s="13">
        <v>72.7</v>
      </c>
      <c r="S221" s="13">
        <v>70.599999999999994</v>
      </c>
      <c r="T221" s="13">
        <v>26.2</v>
      </c>
      <c r="U221" s="13">
        <v>28</v>
      </c>
      <c r="V221" s="13">
        <v>0.8</v>
      </c>
      <c r="W221" s="13">
        <v>1</v>
      </c>
      <c r="X221" s="13">
        <v>0.6</v>
      </c>
      <c r="Y221" s="13">
        <v>1.1000000000000001</v>
      </c>
      <c r="Z221" s="13">
        <v>6.3</v>
      </c>
      <c r="AA221" s="13">
        <v>6.2</v>
      </c>
      <c r="AB221" s="13">
        <v>6.3</v>
      </c>
      <c r="AC221" s="13">
        <v>9.4</v>
      </c>
      <c r="AD221" s="13">
        <v>11.1</v>
      </c>
      <c r="AE221" s="13">
        <v>29.5</v>
      </c>
      <c r="AF221" s="13">
        <v>19.8</v>
      </c>
      <c r="AG221" s="13">
        <v>10</v>
      </c>
      <c r="AH221" s="13">
        <v>1.4</v>
      </c>
      <c r="AI221" s="13">
        <v>77.099999999999994</v>
      </c>
      <c r="AJ221" s="13">
        <v>30.6</v>
      </c>
      <c r="AK221" s="13">
        <v>32.6</v>
      </c>
      <c r="AL221" s="13">
        <v>93.2</v>
      </c>
      <c r="AM221" s="13">
        <v>18145</v>
      </c>
      <c r="AN221" s="13">
        <v>61979</v>
      </c>
      <c r="AO221" s="13">
        <v>20.7</v>
      </c>
      <c r="AP221" s="13">
        <v>13.1</v>
      </c>
      <c r="AQ221" s="13">
        <v>31.4</v>
      </c>
      <c r="AR221" s="13">
        <v>26</v>
      </c>
      <c r="AS221" s="13">
        <v>6.4</v>
      </c>
      <c r="AT221" s="13">
        <v>2.5</v>
      </c>
      <c r="AU221" s="13">
        <v>36799</v>
      </c>
      <c r="AV221" s="13">
        <v>45841</v>
      </c>
      <c r="AW221" s="13">
        <v>143</v>
      </c>
      <c r="AX221" s="13">
        <v>36733</v>
      </c>
      <c r="AY221" s="13">
        <v>27413</v>
      </c>
      <c r="AZ221" s="13">
        <v>44191</v>
      </c>
      <c r="BA221" s="13">
        <v>49669</v>
      </c>
      <c r="BB221" s="13">
        <v>40748</v>
      </c>
      <c r="BC221" s="13">
        <v>24628</v>
      </c>
      <c r="BD221" s="13">
        <v>96</v>
      </c>
      <c r="BE221" s="13">
        <v>90</v>
      </c>
      <c r="BF221" s="13">
        <v>94</v>
      </c>
      <c r="BG221" s="13">
        <v>90</v>
      </c>
      <c r="BH221" s="13">
        <v>100</v>
      </c>
      <c r="BI221" s="13">
        <v>96</v>
      </c>
      <c r="BJ221" s="13">
        <v>103</v>
      </c>
      <c r="BK221" s="13">
        <v>96</v>
      </c>
      <c r="BL221" s="13">
        <v>94</v>
      </c>
      <c r="BM221" s="13">
        <v>91</v>
      </c>
      <c r="BN221" s="13">
        <v>91</v>
      </c>
      <c r="BO221" s="13">
        <v>95</v>
      </c>
      <c r="BP221" s="13">
        <v>91</v>
      </c>
      <c r="BQ221" s="13">
        <v>97</v>
      </c>
      <c r="BR221" s="13">
        <v>87</v>
      </c>
      <c r="BS221" s="13">
        <v>97</v>
      </c>
      <c r="BT221" s="13">
        <v>91</v>
      </c>
      <c r="BU221" s="13">
        <v>95</v>
      </c>
      <c r="BV221" s="13">
        <v>97</v>
      </c>
      <c r="BW221" s="13">
        <v>98</v>
      </c>
      <c r="BX221" s="328">
        <f t="shared" si="18"/>
        <v>214515449</v>
      </c>
      <c r="BY221" s="328">
        <f t="shared" si="19"/>
        <v>80774816</v>
      </c>
      <c r="BZ221" s="329">
        <f t="shared" si="16"/>
        <v>0.94640658292596624</v>
      </c>
      <c r="CA221" s="329">
        <f t="shared" si="17"/>
        <v>0.94635919586501427</v>
      </c>
    </row>
    <row r="222" spans="1:79" x14ac:dyDescent="0.25">
      <c r="A222" s="13">
        <v>6580</v>
      </c>
      <c r="B222" s="13">
        <v>221</v>
      </c>
      <c r="C222" s="13" t="s">
        <v>740</v>
      </c>
      <c r="D222" s="13">
        <v>58460</v>
      </c>
      <c r="E222" s="13">
        <v>110975</v>
      </c>
      <c r="F222" s="13">
        <v>136239</v>
      </c>
      <c r="G222" s="13">
        <v>150986</v>
      </c>
      <c r="H222" s="13">
        <v>2.5</v>
      </c>
      <c r="I222" s="13">
        <v>25</v>
      </c>
      <c r="J222" s="13">
        <v>48433</v>
      </c>
      <c r="K222" s="13">
        <v>59362</v>
      </c>
      <c r="L222" s="13">
        <v>65625</v>
      </c>
      <c r="M222" s="13">
        <v>2.5</v>
      </c>
      <c r="N222" s="13">
        <v>2.25</v>
      </c>
      <c r="O222" s="13">
        <v>35325</v>
      </c>
      <c r="P222" s="13">
        <v>42525</v>
      </c>
      <c r="Q222" s="13">
        <v>2.2999999999999998</v>
      </c>
      <c r="R222" s="13">
        <v>95</v>
      </c>
      <c r="S222" s="13">
        <v>93.5</v>
      </c>
      <c r="T222" s="13">
        <v>3.8</v>
      </c>
      <c r="U222" s="13">
        <v>4.5</v>
      </c>
      <c r="V222" s="13">
        <v>0.7</v>
      </c>
      <c r="W222" s="13">
        <v>1.2</v>
      </c>
      <c r="X222" s="13">
        <v>2.5</v>
      </c>
      <c r="Y222" s="13">
        <v>3.9</v>
      </c>
      <c r="Z222" s="13">
        <v>4.3</v>
      </c>
      <c r="AA222" s="13">
        <v>4.9000000000000004</v>
      </c>
      <c r="AB222" s="13">
        <v>4.8</v>
      </c>
      <c r="AC222" s="13">
        <v>4.3</v>
      </c>
      <c r="AD222" s="13">
        <v>3.3</v>
      </c>
      <c r="AE222" s="13">
        <v>19.8</v>
      </c>
      <c r="AF222" s="13">
        <v>24.5</v>
      </c>
      <c r="AG222" s="13">
        <v>31</v>
      </c>
      <c r="AH222" s="13">
        <v>3</v>
      </c>
      <c r="AI222" s="13">
        <v>83.4</v>
      </c>
      <c r="AJ222" s="13">
        <v>53.6</v>
      </c>
      <c r="AK222" s="13">
        <v>52.8</v>
      </c>
      <c r="AL222" s="13">
        <v>93.6</v>
      </c>
      <c r="AM222" s="13">
        <v>17779</v>
      </c>
      <c r="AN222" s="13">
        <v>59361</v>
      </c>
      <c r="AO222" s="13">
        <v>14.1</v>
      </c>
      <c r="AP222" s="13">
        <v>21</v>
      </c>
      <c r="AQ222" s="13">
        <v>39.299999999999997</v>
      </c>
      <c r="AR222" s="13">
        <v>21.3</v>
      </c>
      <c r="AS222" s="13">
        <v>3</v>
      </c>
      <c r="AT222" s="13">
        <v>1.2</v>
      </c>
      <c r="AU222" s="13">
        <v>32510</v>
      </c>
      <c r="AV222" s="13">
        <v>37995</v>
      </c>
      <c r="AW222" s="13">
        <v>222</v>
      </c>
      <c r="AX222" s="13">
        <v>33001</v>
      </c>
      <c r="AY222" s="13">
        <v>32978</v>
      </c>
      <c r="AZ222" s="13">
        <v>38909</v>
      </c>
      <c r="BA222" s="13">
        <v>42072</v>
      </c>
      <c r="BB222" s="13">
        <v>35879</v>
      </c>
      <c r="BC222" s="13">
        <v>27673</v>
      </c>
      <c r="BD222" s="13">
        <v>104</v>
      </c>
      <c r="BE222" s="13">
        <v>93</v>
      </c>
      <c r="BF222" s="13">
        <v>117</v>
      </c>
      <c r="BG222" s="13">
        <v>108</v>
      </c>
      <c r="BH222" s="13">
        <v>110</v>
      </c>
      <c r="BI222" s="13">
        <v>120</v>
      </c>
      <c r="BJ222" s="13">
        <v>114</v>
      </c>
      <c r="BK222" s="13">
        <v>108</v>
      </c>
      <c r="BL222" s="13">
        <v>97</v>
      </c>
      <c r="BM222" s="13">
        <v>98</v>
      </c>
      <c r="BN222" s="13">
        <v>100</v>
      </c>
      <c r="BO222" s="13">
        <v>102</v>
      </c>
      <c r="BP222" s="13">
        <v>102</v>
      </c>
      <c r="BQ222" s="13">
        <v>106</v>
      </c>
      <c r="BR222" s="13">
        <v>103</v>
      </c>
      <c r="BS222" s="13">
        <v>99</v>
      </c>
      <c r="BT222" s="13">
        <v>98</v>
      </c>
      <c r="BU222" s="13">
        <v>99</v>
      </c>
      <c r="BV222" s="13">
        <v>114</v>
      </c>
      <c r="BW222" s="13">
        <v>104</v>
      </c>
      <c r="BX222" s="328">
        <f t="shared" si="18"/>
        <v>214666435</v>
      </c>
      <c r="BY222" s="328">
        <f t="shared" si="19"/>
        <v>80840441</v>
      </c>
      <c r="BZ222" s="329">
        <f t="shared" si="16"/>
        <v>0.94707270811646316</v>
      </c>
      <c r="CA222" s="329">
        <f t="shared" si="17"/>
        <v>0.94712805954436496</v>
      </c>
    </row>
    <row r="223" spans="1:79" x14ac:dyDescent="0.25">
      <c r="A223" s="13">
        <v>3060</v>
      </c>
      <c r="B223" s="13">
        <v>222</v>
      </c>
      <c r="C223" s="13" t="s">
        <v>741</v>
      </c>
      <c r="D223" s="13">
        <v>123438</v>
      </c>
      <c r="E223" s="13">
        <v>131821</v>
      </c>
      <c r="F223" s="13">
        <v>159576</v>
      </c>
      <c r="G223" s="13">
        <v>176725</v>
      </c>
      <c r="H223" s="13">
        <v>2.2999999999999998</v>
      </c>
      <c r="I223" s="13">
        <v>29</v>
      </c>
      <c r="J223" s="13">
        <v>47470</v>
      </c>
      <c r="K223" s="13">
        <v>58474</v>
      </c>
      <c r="L223" s="13">
        <v>65421</v>
      </c>
      <c r="M223" s="13">
        <v>2.6</v>
      </c>
      <c r="N223" s="13">
        <v>2.66</v>
      </c>
      <c r="O223" s="13">
        <v>33763</v>
      </c>
      <c r="P223" s="13">
        <v>41044</v>
      </c>
      <c r="Q223" s="13">
        <v>2.4</v>
      </c>
      <c r="R223" s="13">
        <v>88.9</v>
      </c>
      <c r="S223" s="13">
        <v>87.3</v>
      </c>
      <c r="T223" s="13">
        <v>0.4</v>
      </c>
      <c r="U223" s="13">
        <v>0.5</v>
      </c>
      <c r="V223" s="13">
        <v>0.9</v>
      </c>
      <c r="W223" s="13">
        <v>1.1000000000000001</v>
      </c>
      <c r="X223" s="13">
        <v>20.9</v>
      </c>
      <c r="Y223" s="13">
        <v>23.9</v>
      </c>
      <c r="Z223" s="13">
        <v>7.4</v>
      </c>
      <c r="AA223" s="13">
        <v>7.4</v>
      </c>
      <c r="AB223" s="13">
        <v>8</v>
      </c>
      <c r="AC223" s="13">
        <v>9.1999999999999993</v>
      </c>
      <c r="AD223" s="13">
        <v>8</v>
      </c>
      <c r="AE223" s="13">
        <v>29.1</v>
      </c>
      <c r="AF223" s="13">
        <v>20.7</v>
      </c>
      <c r="AG223" s="13">
        <v>8.8000000000000007</v>
      </c>
      <c r="AH223" s="13">
        <v>1.3</v>
      </c>
      <c r="AI223" s="13">
        <v>72.400000000000006</v>
      </c>
      <c r="AJ223" s="13">
        <v>30.5</v>
      </c>
      <c r="AK223" s="13">
        <v>32.9</v>
      </c>
      <c r="AL223" s="13">
        <v>98.1</v>
      </c>
      <c r="AM223" s="13">
        <v>19150</v>
      </c>
      <c r="AN223" s="13">
        <v>58474</v>
      </c>
      <c r="AO223" s="13">
        <v>12.4</v>
      </c>
      <c r="AP223" s="13">
        <v>11.9</v>
      </c>
      <c r="AQ223" s="13">
        <v>34.200000000000003</v>
      </c>
      <c r="AR223" s="13">
        <v>32.299999999999997</v>
      </c>
      <c r="AS223" s="13">
        <v>7.2</v>
      </c>
      <c r="AT223" s="13">
        <v>2</v>
      </c>
      <c r="AU223" s="13">
        <v>42956</v>
      </c>
      <c r="AV223" s="13">
        <v>60067</v>
      </c>
      <c r="AW223" s="13">
        <v>58</v>
      </c>
      <c r="AX223" s="13">
        <v>38734</v>
      </c>
      <c r="AY223" s="13">
        <v>31522</v>
      </c>
      <c r="AZ223" s="13">
        <v>43941</v>
      </c>
      <c r="BA223" s="13">
        <v>50173</v>
      </c>
      <c r="BB223" s="13">
        <v>42249</v>
      </c>
      <c r="BC223" s="13">
        <v>25843</v>
      </c>
      <c r="BD223" s="13">
        <v>100</v>
      </c>
      <c r="BE223" s="13">
        <v>90</v>
      </c>
      <c r="BF223" s="13">
        <v>89</v>
      </c>
      <c r="BG223" s="13">
        <v>90</v>
      </c>
      <c r="BH223" s="13">
        <v>96</v>
      </c>
      <c r="BI223" s="13">
        <v>94</v>
      </c>
      <c r="BJ223" s="13">
        <v>104</v>
      </c>
      <c r="BK223" s="13">
        <v>99</v>
      </c>
      <c r="BL223" s="13">
        <v>98</v>
      </c>
      <c r="BM223" s="13">
        <v>93</v>
      </c>
      <c r="BN223" s="13">
        <v>94</v>
      </c>
      <c r="BO223" s="13">
        <v>93</v>
      </c>
      <c r="BP223" s="13">
        <v>90</v>
      </c>
      <c r="BQ223" s="13">
        <v>95</v>
      </c>
      <c r="BR223" s="13">
        <v>87</v>
      </c>
      <c r="BS223" s="13">
        <v>96</v>
      </c>
      <c r="BT223" s="13">
        <v>92</v>
      </c>
      <c r="BU223" s="13">
        <v>94</v>
      </c>
      <c r="BV223" s="13">
        <v>98</v>
      </c>
      <c r="BW223" s="13">
        <v>96</v>
      </c>
      <c r="BX223" s="328">
        <f t="shared" si="18"/>
        <v>214843160</v>
      </c>
      <c r="BY223" s="328">
        <f t="shared" si="19"/>
        <v>80905862</v>
      </c>
      <c r="BZ223" s="329">
        <f t="shared" si="16"/>
        <v>0.94785238950606598</v>
      </c>
      <c r="CA223" s="329">
        <f t="shared" si="17"/>
        <v>0.94789453315604966</v>
      </c>
    </row>
    <row r="224" spans="1:79" x14ac:dyDescent="0.25">
      <c r="A224" s="13">
        <v>4940</v>
      </c>
      <c r="B224" s="13">
        <v>223</v>
      </c>
      <c r="C224" s="13" t="s">
        <v>742</v>
      </c>
      <c r="D224" s="13">
        <v>134558</v>
      </c>
      <c r="E224" s="13">
        <v>178403</v>
      </c>
      <c r="F224" s="13">
        <v>197944</v>
      </c>
      <c r="G224" s="13">
        <v>209723</v>
      </c>
      <c r="H224" s="13">
        <v>1.3</v>
      </c>
      <c r="I224" s="13">
        <v>111</v>
      </c>
      <c r="J224" s="13">
        <v>55331</v>
      </c>
      <c r="K224" s="13">
        <v>61494</v>
      </c>
      <c r="L224" s="13">
        <v>65016</v>
      </c>
      <c r="M224" s="13">
        <v>1.3</v>
      </c>
      <c r="N224" s="13">
        <v>3.18</v>
      </c>
      <c r="O224" s="13">
        <v>43246</v>
      </c>
      <c r="P224" s="13">
        <v>47814</v>
      </c>
      <c r="Q224" s="13">
        <v>1.2</v>
      </c>
      <c r="R224" s="13">
        <v>67.400000000000006</v>
      </c>
      <c r="S224" s="13">
        <v>61.6</v>
      </c>
      <c r="T224" s="13">
        <v>4.8</v>
      </c>
      <c r="U224" s="13">
        <v>4.5999999999999996</v>
      </c>
      <c r="V224" s="13">
        <v>8.5</v>
      </c>
      <c r="W224" s="13">
        <v>10.3</v>
      </c>
      <c r="X224" s="13">
        <v>32.6</v>
      </c>
      <c r="Y224" s="13">
        <v>40.200000000000003</v>
      </c>
      <c r="Z224" s="13">
        <v>10.8</v>
      </c>
      <c r="AA224" s="13">
        <v>11.2</v>
      </c>
      <c r="AB224" s="13">
        <v>9.1999999999999993</v>
      </c>
      <c r="AC224" s="13">
        <v>7.6</v>
      </c>
      <c r="AD224" s="13">
        <v>5.9</v>
      </c>
      <c r="AE224" s="13">
        <v>29</v>
      </c>
      <c r="AF224" s="13">
        <v>16.600000000000001</v>
      </c>
      <c r="AG224" s="13">
        <v>8.6</v>
      </c>
      <c r="AH224" s="13">
        <v>0.9</v>
      </c>
      <c r="AI224" s="13">
        <v>64.099999999999994</v>
      </c>
      <c r="AJ224" s="13">
        <v>27.9</v>
      </c>
      <c r="AK224" s="13">
        <v>28.6</v>
      </c>
      <c r="AL224" s="13">
        <v>102.6</v>
      </c>
      <c r="AM224" s="13">
        <v>12343</v>
      </c>
      <c r="AN224" s="13">
        <v>61494</v>
      </c>
      <c r="AO224" s="13">
        <v>20.6</v>
      </c>
      <c r="AP224" s="13">
        <v>19.899999999999999</v>
      </c>
      <c r="AQ224" s="13">
        <v>34.700000000000003</v>
      </c>
      <c r="AR224" s="13">
        <v>20</v>
      </c>
      <c r="AS224" s="13">
        <v>3.2</v>
      </c>
      <c r="AT224" s="13">
        <v>1.6</v>
      </c>
      <c r="AU224" s="13">
        <v>30729</v>
      </c>
      <c r="AV224" s="13">
        <v>35138</v>
      </c>
      <c r="AW224" s="13">
        <v>266</v>
      </c>
      <c r="AX224" s="13">
        <v>30356</v>
      </c>
      <c r="AY224" s="13">
        <v>26141</v>
      </c>
      <c r="AZ224" s="13">
        <v>34189</v>
      </c>
      <c r="BA224" s="13">
        <v>38194</v>
      </c>
      <c r="BB224" s="13">
        <v>35329</v>
      </c>
      <c r="BC224" s="13">
        <v>21625</v>
      </c>
      <c r="BD224" s="13">
        <v>97</v>
      </c>
      <c r="BE224" s="13">
        <v>94</v>
      </c>
      <c r="BF224" s="13">
        <v>90</v>
      </c>
      <c r="BG224" s="13">
        <v>88</v>
      </c>
      <c r="BH224" s="13">
        <v>95</v>
      </c>
      <c r="BI224" s="13">
        <v>95</v>
      </c>
      <c r="BJ224" s="13">
        <v>97</v>
      </c>
      <c r="BK224" s="13">
        <v>99</v>
      </c>
      <c r="BL224" s="13">
        <v>98</v>
      </c>
      <c r="BM224" s="13">
        <v>93</v>
      </c>
      <c r="BN224" s="13">
        <v>94</v>
      </c>
      <c r="BO224" s="13">
        <v>91</v>
      </c>
      <c r="BP224" s="13">
        <v>90</v>
      </c>
      <c r="BQ224" s="13">
        <v>92</v>
      </c>
      <c r="BR224" s="13">
        <v>89</v>
      </c>
      <c r="BS224" s="13">
        <v>96</v>
      </c>
      <c r="BT224" s="13">
        <v>89</v>
      </c>
      <c r="BU224" s="13">
        <v>95</v>
      </c>
      <c r="BV224" s="13">
        <v>98</v>
      </c>
      <c r="BW224" s="13">
        <v>97</v>
      </c>
      <c r="BX224" s="328">
        <f t="shared" si="18"/>
        <v>215052883</v>
      </c>
      <c r="BY224" s="328">
        <f t="shared" si="19"/>
        <v>80970878</v>
      </c>
      <c r="BZ224" s="329">
        <f t="shared" si="16"/>
        <v>0.94877765259884672</v>
      </c>
      <c r="CA224" s="329">
        <f t="shared" si="17"/>
        <v>0.94865626178045603</v>
      </c>
    </row>
    <row r="225" spans="1:79" x14ac:dyDescent="0.25">
      <c r="A225" s="13">
        <v>1400</v>
      </c>
      <c r="B225" s="13">
        <v>224</v>
      </c>
      <c r="C225" s="13" t="s">
        <v>743</v>
      </c>
      <c r="D225" s="13">
        <v>168392</v>
      </c>
      <c r="E225" s="13">
        <v>173025</v>
      </c>
      <c r="F225" s="13">
        <v>169320</v>
      </c>
      <c r="G225" s="13">
        <v>169147</v>
      </c>
      <c r="H225" s="13">
        <v>-0.3</v>
      </c>
      <c r="I225" s="13">
        <v>300</v>
      </c>
      <c r="J225" s="13">
        <v>63900</v>
      </c>
      <c r="K225" s="13">
        <v>63898</v>
      </c>
      <c r="L225" s="13">
        <v>63843</v>
      </c>
      <c r="M225" s="13">
        <v>0</v>
      </c>
      <c r="N225" s="13">
        <v>2.42</v>
      </c>
      <c r="O225" s="13">
        <v>38604</v>
      </c>
      <c r="P225" s="13">
        <v>37375</v>
      </c>
      <c r="Q225" s="13">
        <v>-0.4</v>
      </c>
      <c r="R225" s="13">
        <v>84.7</v>
      </c>
      <c r="S225" s="13">
        <v>81.7</v>
      </c>
      <c r="T225" s="13">
        <v>9.6</v>
      </c>
      <c r="U225" s="13">
        <v>11</v>
      </c>
      <c r="V225" s="13">
        <v>4.5999999999999996</v>
      </c>
      <c r="W225" s="13">
        <v>6.1</v>
      </c>
      <c r="X225" s="13">
        <v>2</v>
      </c>
      <c r="Y225" s="13">
        <v>2.2000000000000002</v>
      </c>
      <c r="Z225" s="13">
        <v>7.1</v>
      </c>
      <c r="AA225" s="13">
        <v>6.6</v>
      </c>
      <c r="AB225" s="13">
        <v>5.8</v>
      </c>
      <c r="AC225" s="13">
        <v>10.199999999999999</v>
      </c>
      <c r="AD225" s="13">
        <v>13.6</v>
      </c>
      <c r="AE225" s="13">
        <v>31.2</v>
      </c>
      <c r="AF225" s="13">
        <v>16.399999999999999</v>
      </c>
      <c r="AG225" s="13">
        <v>7.9</v>
      </c>
      <c r="AH225" s="13">
        <v>1.2</v>
      </c>
      <c r="AI225" s="13">
        <v>77.5</v>
      </c>
      <c r="AJ225" s="13">
        <v>27.8</v>
      </c>
      <c r="AK225" s="13">
        <v>29.1</v>
      </c>
      <c r="AL225" s="13">
        <v>100.4</v>
      </c>
      <c r="AM225" s="13">
        <v>17079</v>
      </c>
      <c r="AN225" s="13">
        <v>63892</v>
      </c>
      <c r="AO225" s="13">
        <v>19.100000000000001</v>
      </c>
      <c r="AP225" s="13">
        <v>15.7</v>
      </c>
      <c r="AQ225" s="13">
        <v>34.299999999999997</v>
      </c>
      <c r="AR225" s="13">
        <v>24.5</v>
      </c>
      <c r="AS225" s="13">
        <v>4.5999999999999996</v>
      </c>
      <c r="AT225" s="13">
        <v>1.7</v>
      </c>
      <c r="AU225" s="13">
        <v>35417</v>
      </c>
      <c r="AV225" s="13">
        <v>39870</v>
      </c>
      <c r="AW225" s="13">
        <v>175</v>
      </c>
      <c r="AX225" s="13">
        <v>33205</v>
      </c>
      <c r="AY225" s="13">
        <v>23795</v>
      </c>
      <c r="AZ225" s="13">
        <v>38768</v>
      </c>
      <c r="BA225" s="13">
        <v>45002</v>
      </c>
      <c r="BB225" s="13">
        <v>42842</v>
      </c>
      <c r="BC225" s="13">
        <v>27948</v>
      </c>
      <c r="BD225" s="13">
        <v>96</v>
      </c>
      <c r="BE225" s="13">
        <v>98</v>
      </c>
      <c r="BF225" s="13">
        <v>93</v>
      </c>
      <c r="BG225" s="13">
        <v>94</v>
      </c>
      <c r="BH225" s="13">
        <v>99</v>
      </c>
      <c r="BI225" s="13">
        <v>95</v>
      </c>
      <c r="BJ225" s="13">
        <v>100</v>
      </c>
      <c r="BK225" s="13">
        <v>95</v>
      </c>
      <c r="BL225" s="13">
        <v>96</v>
      </c>
      <c r="BM225" s="13">
        <v>93</v>
      </c>
      <c r="BN225" s="13">
        <v>97</v>
      </c>
      <c r="BO225" s="13">
        <v>95</v>
      </c>
      <c r="BP225" s="13">
        <v>95</v>
      </c>
      <c r="BQ225" s="13">
        <v>97</v>
      </c>
      <c r="BR225" s="13">
        <v>98</v>
      </c>
      <c r="BS225" s="13">
        <v>100</v>
      </c>
      <c r="BT225" s="13">
        <v>96</v>
      </c>
      <c r="BU225" s="13">
        <v>97</v>
      </c>
      <c r="BV225" s="13">
        <v>96</v>
      </c>
      <c r="BW225" s="13">
        <v>98</v>
      </c>
      <c r="BX225" s="328">
        <f t="shared" si="18"/>
        <v>215222030</v>
      </c>
      <c r="BY225" s="328">
        <f t="shared" si="19"/>
        <v>81034721</v>
      </c>
      <c r="BZ225" s="329">
        <f t="shared" si="16"/>
        <v>0.94952390110928464</v>
      </c>
      <c r="CA225" s="329">
        <f t="shared" si="17"/>
        <v>0.94940424751578245</v>
      </c>
    </row>
    <row r="226" spans="1:79" x14ac:dyDescent="0.25">
      <c r="A226" s="13">
        <v>7490</v>
      </c>
      <c r="B226" s="13">
        <v>225</v>
      </c>
      <c r="C226" s="13" t="s">
        <v>744</v>
      </c>
      <c r="D226" s="13">
        <v>93118</v>
      </c>
      <c r="E226" s="13">
        <v>117043</v>
      </c>
      <c r="F226" s="13">
        <v>143004</v>
      </c>
      <c r="G226" s="13">
        <v>158541</v>
      </c>
      <c r="H226" s="13">
        <v>2.5</v>
      </c>
      <c r="I226" s="13">
        <v>26</v>
      </c>
      <c r="J226" s="13">
        <v>45053</v>
      </c>
      <c r="K226" s="13">
        <v>56305</v>
      </c>
      <c r="L226" s="13">
        <v>63410</v>
      </c>
      <c r="M226" s="13">
        <v>2.7</v>
      </c>
      <c r="N226" s="13">
        <v>2.48</v>
      </c>
      <c r="O226" s="13">
        <v>30359</v>
      </c>
      <c r="P226" s="13">
        <v>37181</v>
      </c>
      <c r="Q226" s="13">
        <v>2.5</v>
      </c>
      <c r="R226" s="13">
        <v>82.4</v>
      </c>
      <c r="S226" s="13">
        <v>81.099999999999994</v>
      </c>
      <c r="T226" s="13">
        <v>0.6</v>
      </c>
      <c r="U226" s="13">
        <v>0.9</v>
      </c>
      <c r="V226" s="13">
        <v>0.8</v>
      </c>
      <c r="W226" s="13">
        <v>1.1000000000000001</v>
      </c>
      <c r="X226" s="13">
        <v>43.5</v>
      </c>
      <c r="Y226" s="13">
        <v>45.6</v>
      </c>
      <c r="Z226" s="13">
        <v>6.6</v>
      </c>
      <c r="AA226" s="13">
        <v>6.9</v>
      </c>
      <c r="AB226" s="13">
        <v>7.3</v>
      </c>
      <c r="AC226" s="13">
        <v>7.3</v>
      </c>
      <c r="AD226" s="13">
        <v>5.7</v>
      </c>
      <c r="AE226" s="13">
        <v>32</v>
      </c>
      <c r="AF226" s="13">
        <v>24.2</v>
      </c>
      <c r="AG226" s="13">
        <v>9.1</v>
      </c>
      <c r="AH226" s="13">
        <v>1</v>
      </c>
      <c r="AI226" s="13">
        <v>74.8</v>
      </c>
      <c r="AJ226" s="13">
        <v>34.9</v>
      </c>
      <c r="AK226" s="13">
        <v>37.299999999999997</v>
      </c>
      <c r="AL226" s="13">
        <v>98.1</v>
      </c>
      <c r="AM226" s="13">
        <v>17241</v>
      </c>
      <c r="AN226" s="13">
        <v>56305</v>
      </c>
      <c r="AO226" s="13">
        <v>19.2</v>
      </c>
      <c r="AP226" s="13">
        <v>17.5</v>
      </c>
      <c r="AQ226" s="13">
        <v>33</v>
      </c>
      <c r="AR226" s="13">
        <v>24.1</v>
      </c>
      <c r="AS226" s="13">
        <v>4</v>
      </c>
      <c r="AT226" s="13">
        <v>2.2000000000000002</v>
      </c>
      <c r="AU226" s="13">
        <v>33369</v>
      </c>
      <c r="AV226" s="13">
        <v>33887</v>
      </c>
      <c r="AW226" s="13">
        <v>208</v>
      </c>
      <c r="AX226" s="13">
        <v>33613</v>
      </c>
      <c r="AY226" s="13">
        <v>24064</v>
      </c>
      <c r="AZ226" s="13">
        <v>34552</v>
      </c>
      <c r="BA226" s="13">
        <v>41488</v>
      </c>
      <c r="BB226" s="13">
        <v>38745</v>
      </c>
      <c r="BC226" s="13">
        <v>27080</v>
      </c>
      <c r="BD226" s="13">
        <v>104</v>
      </c>
      <c r="BE226" s="13">
        <v>109</v>
      </c>
      <c r="BF226" s="13">
        <v>106</v>
      </c>
      <c r="BG226" s="13">
        <v>107</v>
      </c>
      <c r="BH226" s="13">
        <v>104</v>
      </c>
      <c r="BI226" s="13">
        <v>106</v>
      </c>
      <c r="BJ226" s="13">
        <v>104</v>
      </c>
      <c r="BK226" s="13">
        <v>103</v>
      </c>
      <c r="BL226" s="13">
        <v>106</v>
      </c>
      <c r="BM226" s="13">
        <v>108</v>
      </c>
      <c r="BN226" s="13">
        <v>108</v>
      </c>
      <c r="BO226" s="13">
        <v>101</v>
      </c>
      <c r="BP226" s="13">
        <v>103</v>
      </c>
      <c r="BQ226" s="13">
        <v>100</v>
      </c>
      <c r="BR226" s="13">
        <v>103</v>
      </c>
      <c r="BS226" s="13">
        <v>99</v>
      </c>
      <c r="BT226" s="13">
        <v>106</v>
      </c>
      <c r="BU226" s="13">
        <v>104</v>
      </c>
      <c r="BV226" s="13">
        <v>100</v>
      </c>
      <c r="BW226" s="13">
        <v>100</v>
      </c>
      <c r="BX226" s="328">
        <f t="shared" si="18"/>
        <v>215380571</v>
      </c>
      <c r="BY226" s="328">
        <f t="shared" si="19"/>
        <v>81098131</v>
      </c>
      <c r="BZ226" s="329">
        <f t="shared" si="16"/>
        <v>0.95022335770676103</v>
      </c>
      <c r="CA226" s="329">
        <f t="shared" si="17"/>
        <v>0.9501471602153273</v>
      </c>
    </row>
    <row r="227" spans="1:79" x14ac:dyDescent="0.25">
      <c r="A227" s="13">
        <v>870</v>
      </c>
      <c r="B227" s="13">
        <v>226</v>
      </c>
      <c r="C227" s="13" t="s">
        <v>745</v>
      </c>
      <c r="D227" s="13">
        <v>171276</v>
      </c>
      <c r="E227" s="13">
        <v>161378</v>
      </c>
      <c r="F227" s="13">
        <v>160496</v>
      </c>
      <c r="G227" s="13">
        <v>159958</v>
      </c>
      <c r="H227" s="13">
        <v>-0.1</v>
      </c>
      <c r="I227" s="13">
        <v>283</v>
      </c>
      <c r="J227" s="13">
        <v>61025</v>
      </c>
      <c r="K227" s="13">
        <v>62061</v>
      </c>
      <c r="L227" s="13">
        <v>62639</v>
      </c>
      <c r="M227" s="13">
        <v>0.2</v>
      </c>
      <c r="N227" s="13">
        <v>2.54</v>
      </c>
      <c r="O227" s="13">
        <v>43845</v>
      </c>
      <c r="P227" s="13">
        <v>43641</v>
      </c>
      <c r="Q227" s="13">
        <v>-0.1</v>
      </c>
      <c r="R227" s="13">
        <v>82.6</v>
      </c>
      <c r="S227" s="13">
        <v>80.7</v>
      </c>
      <c r="T227" s="13">
        <v>15.4</v>
      </c>
      <c r="U227" s="13">
        <v>16.8</v>
      </c>
      <c r="V227" s="13">
        <v>0.9</v>
      </c>
      <c r="W227" s="13">
        <v>1.3</v>
      </c>
      <c r="X227" s="13">
        <v>1.7</v>
      </c>
      <c r="Y227" s="13">
        <v>2</v>
      </c>
      <c r="Z227" s="13">
        <v>6.8</v>
      </c>
      <c r="AA227" s="13">
        <v>7.5</v>
      </c>
      <c r="AB227" s="13">
        <v>7.5</v>
      </c>
      <c r="AC227" s="13">
        <v>7.6</v>
      </c>
      <c r="AD227" s="13">
        <v>6.3</v>
      </c>
      <c r="AE227" s="13">
        <v>28.5</v>
      </c>
      <c r="AF227" s="13">
        <v>21.7</v>
      </c>
      <c r="AG227" s="13">
        <v>12.5</v>
      </c>
      <c r="AH227" s="13">
        <v>1.6</v>
      </c>
      <c r="AI227" s="13">
        <v>73.599999999999994</v>
      </c>
      <c r="AJ227" s="13">
        <v>33.6</v>
      </c>
      <c r="AK227" s="13">
        <v>35.9</v>
      </c>
      <c r="AL227" s="13">
        <v>93</v>
      </c>
      <c r="AM227" s="13">
        <v>19411</v>
      </c>
      <c r="AN227" s="13">
        <v>62054</v>
      </c>
      <c r="AO227" s="13">
        <v>15.3</v>
      </c>
      <c r="AP227" s="13">
        <v>12.5</v>
      </c>
      <c r="AQ227" s="13">
        <v>35.5</v>
      </c>
      <c r="AR227" s="13">
        <v>27.5</v>
      </c>
      <c r="AS227" s="13">
        <v>6.4</v>
      </c>
      <c r="AT227" s="13">
        <v>2.8</v>
      </c>
      <c r="AU227" s="13">
        <v>39704</v>
      </c>
      <c r="AV227" s="13">
        <v>46917</v>
      </c>
      <c r="AW227" s="13">
        <v>99</v>
      </c>
      <c r="AX227" s="13">
        <v>35175</v>
      </c>
      <c r="AY227" s="13">
        <v>29937</v>
      </c>
      <c r="AZ227" s="13">
        <v>38772</v>
      </c>
      <c r="BA227" s="13">
        <v>48092</v>
      </c>
      <c r="BB227" s="13">
        <v>41338</v>
      </c>
      <c r="BC227" s="13">
        <v>23484</v>
      </c>
      <c r="BD227" s="13">
        <v>97</v>
      </c>
      <c r="BE227" s="13">
        <v>89</v>
      </c>
      <c r="BF227" s="13">
        <v>95</v>
      </c>
      <c r="BG227" s="13">
        <v>92</v>
      </c>
      <c r="BH227" s="13">
        <v>102</v>
      </c>
      <c r="BI227" s="13">
        <v>98</v>
      </c>
      <c r="BJ227" s="13">
        <v>105</v>
      </c>
      <c r="BK227" s="13">
        <v>98</v>
      </c>
      <c r="BL227" s="13">
        <v>95</v>
      </c>
      <c r="BM227" s="13">
        <v>94</v>
      </c>
      <c r="BN227" s="13">
        <v>93</v>
      </c>
      <c r="BO227" s="13">
        <v>96</v>
      </c>
      <c r="BP227" s="13">
        <v>97</v>
      </c>
      <c r="BQ227" s="13">
        <v>99</v>
      </c>
      <c r="BR227" s="13">
        <v>98</v>
      </c>
      <c r="BS227" s="13">
        <v>101</v>
      </c>
      <c r="BT227" s="13">
        <v>95</v>
      </c>
      <c r="BU227" s="13">
        <v>96</v>
      </c>
      <c r="BV227" s="13">
        <v>99</v>
      </c>
      <c r="BW227" s="13">
        <v>98</v>
      </c>
      <c r="BX227" s="328">
        <f t="shared" si="18"/>
        <v>215540529</v>
      </c>
      <c r="BY227" s="328">
        <f t="shared" si="19"/>
        <v>81160770</v>
      </c>
      <c r="BZ227" s="329">
        <f t="shared" si="16"/>
        <v>0.95092906587322357</v>
      </c>
      <c r="CA227" s="329">
        <f t="shared" si="17"/>
        <v>0.95088103986501649</v>
      </c>
    </row>
    <row r="228" spans="1:79" x14ac:dyDescent="0.25">
      <c r="A228" s="13">
        <v>3710</v>
      </c>
      <c r="B228" s="13">
        <v>227</v>
      </c>
      <c r="C228" s="13" t="s">
        <v>746</v>
      </c>
      <c r="D228" s="13">
        <v>127513</v>
      </c>
      <c r="E228" s="13">
        <v>134910</v>
      </c>
      <c r="F228" s="13">
        <v>149048</v>
      </c>
      <c r="G228" s="13">
        <v>157626</v>
      </c>
      <c r="H228" s="13">
        <v>1.2</v>
      </c>
      <c r="I228" s="13">
        <v>120</v>
      </c>
      <c r="J228" s="13">
        <v>53020</v>
      </c>
      <c r="K228" s="13">
        <v>58698</v>
      </c>
      <c r="L228" s="13">
        <v>62199</v>
      </c>
      <c r="M228" s="13">
        <v>1.2</v>
      </c>
      <c r="N228" s="13">
        <v>2.4900000000000002</v>
      </c>
      <c r="O228" s="13">
        <v>37568</v>
      </c>
      <c r="P228" s="13">
        <v>40593</v>
      </c>
      <c r="Q228" s="13">
        <v>0.9</v>
      </c>
      <c r="R228" s="13">
        <v>96.4</v>
      </c>
      <c r="S228" s="13">
        <v>96.1</v>
      </c>
      <c r="T228" s="13">
        <v>1</v>
      </c>
      <c r="U228" s="13">
        <v>1.2</v>
      </c>
      <c r="V228" s="13">
        <v>0.6</v>
      </c>
      <c r="W228" s="13">
        <v>0.8</v>
      </c>
      <c r="X228" s="13">
        <v>0.9</v>
      </c>
      <c r="Y228" s="13">
        <v>1.1000000000000001</v>
      </c>
      <c r="Z228" s="13">
        <v>6.5</v>
      </c>
      <c r="AA228" s="13">
        <v>6.9</v>
      </c>
      <c r="AB228" s="13">
        <v>7.5</v>
      </c>
      <c r="AC228" s="13">
        <v>7.6</v>
      </c>
      <c r="AD228" s="13">
        <v>6.3</v>
      </c>
      <c r="AE228" s="13">
        <v>28.4</v>
      </c>
      <c r="AF228" s="13">
        <v>21.9</v>
      </c>
      <c r="AG228" s="13">
        <v>13</v>
      </c>
      <c r="AH228" s="13">
        <v>1.9</v>
      </c>
      <c r="AI228" s="13">
        <v>74.8</v>
      </c>
      <c r="AJ228" s="13">
        <v>34.299999999999997</v>
      </c>
      <c r="AK228" s="13">
        <v>36.5</v>
      </c>
      <c r="AL228" s="13">
        <v>92.9</v>
      </c>
      <c r="AM228" s="13">
        <v>15137</v>
      </c>
      <c r="AN228" s="13">
        <v>58698</v>
      </c>
      <c r="AO228" s="13">
        <v>20.2</v>
      </c>
      <c r="AP228" s="13">
        <v>18.7</v>
      </c>
      <c r="AQ228" s="13">
        <v>36.799999999999997</v>
      </c>
      <c r="AR228" s="13">
        <v>20.6</v>
      </c>
      <c r="AS228" s="13">
        <v>2.8</v>
      </c>
      <c r="AT228" s="13">
        <v>0.9</v>
      </c>
      <c r="AU228" s="13">
        <v>31000</v>
      </c>
      <c r="AV228" s="13">
        <v>36625</v>
      </c>
      <c r="AW228" s="13">
        <v>259</v>
      </c>
      <c r="AX228" s="13">
        <v>29853</v>
      </c>
      <c r="AY228" s="13">
        <v>26746</v>
      </c>
      <c r="AZ228" s="13">
        <v>35495</v>
      </c>
      <c r="BA228" s="13">
        <v>39121</v>
      </c>
      <c r="BB228" s="13">
        <v>31929</v>
      </c>
      <c r="BC228" s="13">
        <v>19629</v>
      </c>
      <c r="BD228" s="13">
        <v>97</v>
      </c>
      <c r="BE228" s="13">
        <v>79</v>
      </c>
      <c r="BF228" s="13">
        <v>84</v>
      </c>
      <c r="BG228" s="13">
        <v>84</v>
      </c>
      <c r="BH228" s="13">
        <v>97</v>
      </c>
      <c r="BI228" s="13">
        <v>93</v>
      </c>
      <c r="BJ228" s="13">
        <v>108</v>
      </c>
      <c r="BK228" s="13">
        <v>97</v>
      </c>
      <c r="BL228" s="13">
        <v>94</v>
      </c>
      <c r="BM228" s="13">
        <v>86</v>
      </c>
      <c r="BN228" s="13">
        <v>87</v>
      </c>
      <c r="BO228" s="13">
        <v>94</v>
      </c>
      <c r="BP228" s="13">
        <v>90</v>
      </c>
      <c r="BQ228" s="13">
        <v>96</v>
      </c>
      <c r="BR228" s="13">
        <v>89</v>
      </c>
      <c r="BS228" s="13">
        <v>100</v>
      </c>
      <c r="BT228" s="13">
        <v>88</v>
      </c>
      <c r="BU228" s="13">
        <v>92</v>
      </c>
      <c r="BV228" s="13">
        <v>100</v>
      </c>
      <c r="BW228" s="13">
        <v>96</v>
      </c>
      <c r="BX228" s="328">
        <f t="shared" si="18"/>
        <v>215698155</v>
      </c>
      <c r="BY228" s="328">
        <f t="shared" si="19"/>
        <v>81222969</v>
      </c>
      <c r="BZ228" s="329">
        <f t="shared" si="16"/>
        <v>0.95162448564245561</v>
      </c>
      <c r="CA228" s="329">
        <f t="shared" si="17"/>
        <v>0.95160976446679835</v>
      </c>
    </row>
    <row r="229" spans="1:79" x14ac:dyDescent="0.25">
      <c r="A229" s="13">
        <v>9000</v>
      </c>
      <c r="B229" s="13">
        <v>228</v>
      </c>
      <c r="C229" s="13" t="s">
        <v>747</v>
      </c>
      <c r="D229" s="13">
        <v>185566</v>
      </c>
      <c r="E229" s="13">
        <v>159301</v>
      </c>
      <c r="F229" s="13">
        <v>155907</v>
      </c>
      <c r="G229" s="13">
        <v>152454</v>
      </c>
      <c r="H229" s="13">
        <v>-0.3</v>
      </c>
      <c r="I229" s="13">
        <v>299</v>
      </c>
      <c r="J229" s="13">
        <v>62858</v>
      </c>
      <c r="K229" s="13">
        <v>62014</v>
      </c>
      <c r="L229" s="13">
        <v>61537</v>
      </c>
      <c r="M229" s="13">
        <v>-0.2</v>
      </c>
      <c r="N229" s="13">
        <v>2.4</v>
      </c>
      <c r="O229" s="13">
        <v>44180</v>
      </c>
      <c r="P229" s="13">
        <v>42392</v>
      </c>
      <c r="Q229" s="13">
        <v>-0.5</v>
      </c>
      <c r="R229" s="13">
        <v>97.5</v>
      </c>
      <c r="S229" s="13">
        <v>96.2</v>
      </c>
      <c r="T229" s="13">
        <v>2</v>
      </c>
      <c r="U229" s="13">
        <v>3</v>
      </c>
      <c r="V229" s="13">
        <v>0.3</v>
      </c>
      <c r="W229" s="13">
        <v>0.4</v>
      </c>
      <c r="X229" s="13">
        <v>0.4</v>
      </c>
      <c r="Y229" s="13">
        <v>0.9</v>
      </c>
      <c r="Z229" s="13">
        <v>5.5</v>
      </c>
      <c r="AA229" s="13">
        <v>5.7</v>
      </c>
      <c r="AB229" s="13">
        <v>6.2</v>
      </c>
      <c r="AC229" s="13">
        <v>7.2</v>
      </c>
      <c r="AD229" s="13">
        <v>6.4</v>
      </c>
      <c r="AE229" s="13">
        <v>27.4</v>
      </c>
      <c r="AF229" s="13">
        <v>23.5</v>
      </c>
      <c r="AG229" s="13">
        <v>16.100000000000001</v>
      </c>
      <c r="AH229" s="13">
        <v>2</v>
      </c>
      <c r="AI229" s="13">
        <v>78.5</v>
      </c>
      <c r="AJ229" s="13">
        <v>37.5</v>
      </c>
      <c r="AK229" s="13">
        <v>39.799999999999997</v>
      </c>
      <c r="AL229" s="13">
        <v>92.5</v>
      </c>
      <c r="AM229" s="13">
        <v>12683</v>
      </c>
      <c r="AN229" s="13">
        <v>62014</v>
      </c>
      <c r="AO229" s="13">
        <v>30.1</v>
      </c>
      <c r="AP229" s="13">
        <v>20</v>
      </c>
      <c r="AQ229" s="13">
        <v>33.299999999999997</v>
      </c>
      <c r="AR229" s="13">
        <v>14.3</v>
      </c>
      <c r="AS229" s="13">
        <v>1.7</v>
      </c>
      <c r="AT229" s="13">
        <v>0.6</v>
      </c>
      <c r="AU229" s="13">
        <v>24957</v>
      </c>
      <c r="AV229" s="13">
        <v>27302</v>
      </c>
      <c r="AW229" s="13">
        <v>312</v>
      </c>
      <c r="AX229" s="13">
        <v>24956</v>
      </c>
      <c r="AY229" s="13">
        <v>21736</v>
      </c>
      <c r="AZ229" s="13">
        <v>30508</v>
      </c>
      <c r="BA229" s="13">
        <v>33596</v>
      </c>
      <c r="BB229" s="13">
        <v>27040</v>
      </c>
      <c r="BC229" s="13">
        <v>17025</v>
      </c>
      <c r="BD229" s="13">
        <v>96</v>
      </c>
      <c r="BE229" s="13">
        <v>82</v>
      </c>
      <c r="BF229" s="13">
        <v>94</v>
      </c>
      <c r="BG229" s="13">
        <v>86</v>
      </c>
      <c r="BH229" s="13">
        <v>104</v>
      </c>
      <c r="BI229" s="13">
        <v>100</v>
      </c>
      <c r="BJ229" s="13">
        <v>105</v>
      </c>
      <c r="BK229" s="13">
        <v>98</v>
      </c>
      <c r="BL229" s="13">
        <v>92</v>
      </c>
      <c r="BM229" s="13">
        <v>90</v>
      </c>
      <c r="BN229" s="13">
        <v>88</v>
      </c>
      <c r="BO229" s="13">
        <v>94</v>
      </c>
      <c r="BP229" s="13">
        <v>91</v>
      </c>
      <c r="BQ229" s="13">
        <v>97</v>
      </c>
      <c r="BR229" s="13">
        <v>88</v>
      </c>
      <c r="BS229" s="13">
        <v>97</v>
      </c>
      <c r="BT229" s="13">
        <v>87</v>
      </c>
      <c r="BU229" s="13">
        <v>92</v>
      </c>
      <c r="BV229" s="13">
        <v>102</v>
      </c>
      <c r="BW229" s="13">
        <v>96</v>
      </c>
      <c r="BX229" s="328">
        <f t="shared" si="18"/>
        <v>215850609</v>
      </c>
      <c r="BY229" s="328">
        <f t="shared" si="19"/>
        <v>81284506</v>
      </c>
      <c r="BZ229" s="329">
        <f t="shared" si="16"/>
        <v>0.95229708740548014</v>
      </c>
      <c r="CA229" s="329">
        <f t="shared" si="17"/>
        <v>0.95233073306468352</v>
      </c>
    </row>
    <row r="230" spans="1:79" x14ac:dyDescent="0.25">
      <c r="A230" s="13">
        <v>6020</v>
      </c>
      <c r="B230" s="13">
        <v>229</v>
      </c>
      <c r="C230" s="13" t="s">
        <v>748</v>
      </c>
      <c r="D230" s="13">
        <v>157893</v>
      </c>
      <c r="E230" s="13">
        <v>149169</v>
      </c>
      <c r="F230" s="13">
        <v>150343</v>
      </c>
      <c r="G230" s="13">
        <v>151031</v>
      </c>
      <c r="H230" s="13">
        <v>0.1</v>
      </c>
      <c r="I230" s="13">
        <v>271</v>
      </c>
      <c r="J230" s="13">
        <v>57804</v>
      </c>
      <c r="K230" s="13">
        <v>59847</v>
      </c>
      <c r="L230" s="13">
        <v>61109</v>
      </c>
      <c r="M230" s="13">
        <v>0.4</v>
      </c>
      <c r="N230" s="13">
        <v>2.4700000000000002</v>
      </c>
      <c r="O230" s="13">
        <v>42386</v>
      </c>
      <c r="P230" s="13">
        <v>42876</v>
      </c>
      <c r="Q230" s="13">
        <v>0.1</v>
      </c>
      <c r="R230" s="13">
        <v>98.3</v>
      </c>
      <c r="S230" s="13">
        <v>98.2</v>
      </c>
      <c r="T230" s="13">
        <v>1.1000000000000001</v>
      </c>
      <c r="U230" s="13">
        <v>1.1000000000000001</v>
      </c>
      <c r="V230" s="13">
        <v>0.3</v>
      </c>
      <c r="W230" s="13">
        <v>0.4</v>
      </c>
      <c r="X230" s="13">
        <v>0.3</v>
      </c>
      <c r="Y230" s="13">
        <v>0.4</v>
      </c>
      <c r="Z230" s="13">
        <v>5.9</v>
      </c>
      <c r="AA230" s="13">
        <v>6.4</v>
      </c>
      <c r="AB230" s="13">
        <v>6.8</v>
      </c>
      <c r="AC230" s="13">
        <v>7.3</v>
      </c>
      <c r="AD230" s="13">
        <v>6.2</v>
      </c>
      <c r="AE230" s="13">
        <v>28.3</v>
      </c>
      <c r="AF230" s="13">
        <v>24.5</v>
      </c>
      <c r="AG230" s="13">
        <v>12.8</v>
      </c>
      <c r="AH230" s="13">
        <v>1.8</v>
      </c>
      <c r="AI230" s="13">
        <v>76.5</v>
      </c>
      <c r="AJ230" s="13">
        <v>35.4</v>
      </c>
      <c r="AK230" s="13">
        <v>38.200000000000003</v>
      </c>
      <c r="AL230" s="13">
        <v>92.5</v>
      </c>
      <c r="AM230" s="13">
        <v>14903</v>
      </c>
      <c r="AN230" s="13">
        <v>59847</v>
      </c>
      <c r="AO230" s="13">
        <v>22.7</v>
      </c>
      <c r="AP230" s="13">
        <v>16.8</v>
      </c>
      <c r="AQ230" s="13">
        <v>36.299999999999997</v>
      </c>
      <c r="AR230" s="13">
        <v>21</v>
      </c>
      <c r="AS230" s="13">
        <v>2.5</v>
      </c>
      <c r="AT230" s="13">
        <v>0.7</v>
      </c>
      <c r="AU230" s="13">
        <v>31548</v>
      </c>
      <c r="AV230" s="13">
        <v>35136</v>
      </c>
      <c r="AW230" s="13">
        <v>245</v>
      </c>
      <c r="AX230" s="13">
        <v>29361</v>
      </c>
      <c r="AY230" s="13">
        <v>26291</v>
      </c>
      <c r="AZ230" s="13">
        <v>35350</v>
      </c>
      <c r="BA230" s="13">
        <v>38051</v>
      </c>
      <c r="BB230" s="13">
        <v>31562</v>
      </c>
      <c r="BC230" s="13">
        <v>18626</v>
      </c>
      <c r="BD230" s="13">
        <v>98</v>
      </c>
      <c r="BE230" s="13">
        <v>84</v>
      </c>
      <c r="BF230" s="13">
        <v>93</v>
      </c>
      <c r="BG230" s="13">
        <v>89</v>
      </c>
      <c r="BH230" s="13">
        <v>102</v>
      </c>
      <c r="BI230" s="13">
        <v>99</v>
      </c>
      <c r="BJ230" s="13">
        <v>110</v>
      </c>
      <c r="BK230" s="13">
        <v>99</v>
      </c>
      <c r="BL230" s="13">
        <v>96</v>
      </c>
      <c r="BM230" s="13">
        <v>91</v>
      </c>
      <c r="BN230" s="13">
        <v>91</v>
      </c>
      <c r="BO230" s="13">
        <v>97</v>
      </c>
      <c r="BP230" s="13">
        <v>92</v>
      </c>
      <c r="BQ230" s="13">
        <v>100</v>
      </c>
      <c r="BR230" s="13">
        <v>86</v>
      </c>
      <c r="BS230" s="13">
        <v>99</v>
      </c>
      <c r="BT230" s="13">
        <v>90</v>
      </c>
      <c r="BU230" s="13">
        <v>94</v>
      </c>
      <c r="BV230" s="13">
        <v>103</v>
      </c>
      <c r="BW230" s="13">
        <v>99</v>
      </c>
      <c r="BX230" s="328">
        <f t="shared" si="18"/>
        <v>216001640</v>
      </c>
      <c r="BY230" s="328">
        <f t="shared" si="19"/>
        <v>81345615</v>
      </c>
      <c r="BZ230" s="329">
        <f t="shared" si="16"/>
        <v>0.95296341112851368</v>
      </c>
      <c r="CA230" s="329">
        <f t="shared" si="17"/>
        <v>0.95304668720687691</v>
      </c>
    </row>
    <row r="231" spans="1:79" x14ac:dyDescent="0.25">
      <c r="A231" s="13">
        <v>3620</v>
      </c>
      <c r="B231" s="13">
        <v>230</v>
      </c>
      <c r="C231" s="13" t="s">
        <v>749</v>
      </c>
      <c r="D231" s="13">
        <v>139420</v>
      </c>
      <c r="E231" s="13">
        <v>139510</v>
      </c>
      <c r="F231" s="13">
        <v>151310</v>
      </c>
      <c r="G231" s="13">
        <v>157749</v>
      </c>
      <c r="H231" s="13">
        <v>1</v>
      </c>
      <c r="I231" s="13">
        <v>169</v>
      </c>
      <c r="J231" s="13">
        <v>52252</v>
      </c>
      <c r="K231" s="13">
        <v>57555</v>
      </c>
      <c r="L231" s="13">
        <v>60840</v>
      </c>
      <c r="M231" s="13">
        <v>1.2</v>
      </c>
      <c r="N231" s="13">
        <v>2.56</v>
      </c>
      <c r="O231" s="13">
        <v>37520</v>
      </c>
      <c r="P231" s="13">
        <v>40302</v>
      </c>
      <c r="Q231" s="13">
        <v>0.9</v>
      </c>
      <c r="R231" s="13">
        <v>93.8</v>
      </c>
      <c r="S231" s="13">
        <v>91.8</v>
      </c>
      <c r="T231" s="13">
        <v>4.8</v>
      </c>
      <c r="U231" s="13">
        <v>6.2</v>
      </c>
      <c r="V231" s="13">
        <v>0.7</v>
      </c>
      <c r="W231" s="13">
        <v>1</v>
      </c>
      <c r="X231" s="13">
        <v>1.3</v>
      </c>
      <c r="Y231" s="13">
        <v>1.8</v>
      </c>
      <c r="Z231" s="13">
        <v>6.6</v>
      </c>
      <c r="AA231" s="13">
        <v>7.5</v>
      </c>
      <c r="AB231" s="13">
        <v>7.6</v>
      </c>
      <c r="AC231" s="13">
        <v>7.5</v>
      </c>
      <c r="AD231" s="13">
        <v>5.9</v>
      </c>
      <c r="AE231" s="13">
        <v>30.4</v>
      </c>
      <c r="AF231" s="13">
        <v>21.9</v>
      </c>
      <c r="AG231" s="13">
        <v>11</v>
      </c>
      <c r="AH231" s="13">
        <v>1.7</v>
      </c>
      <c r="AI231" s="13">
        <v>73.8</v>
      </c>
      <c r="AJ231" s="13">
        <v>33</v>
      </c>
      <c r="AK231" s="13">
        <v>35.5</v>
      </c>
      <c r="AL231" s="13">
        <v>96.3</v>
      </c>
      <c r="AM231" s="13">
        <v>18036</v>
      </c>
      <c r="AN231" s="13">
        <v>57555</v>
      </c>
      <c r="AO231" s="13">
        <v>13.9</v>
      </c>
      <c r="AP231" s="13">
        <v>12.9</v>
      </c>
      <c r="AQ231" s="13">
        <v>37.6</v>
      </c>
      <c r="AR231" s="13">
        <v>29.6</v>
      </c>
      <c r="AS231" s="13">
        <v>4.7</v>
      </c>
      <c r="AT231" s="13">
        <v>1.3</v>
      </c>
      <c r="AU231" s="13">
        <v>40291</v>
      </c>
      <c r="AV231" s="13">
        <v>47739</v>
      </c>
      <c r="AW231" s="13">
        <v>91</v>
      </c>
      <c r="AX231" s="13">
        <v>32008</v>
      </c>
      <c r="AY231" s="13">
        <v>28457</v>
      </c>
      <c r="AZ231" s="13">
        <v>36455</v>
      </c>
      <c r="BA231" s="13">
        <v>41261</v>
      </c>
      <c r="BB231" s="13">
        <v>35429</v>
      </c>
      <c r="BC231" s="13">
        <v>20562</v>
      </c>
      <c r="BD231" s="13">
        <v>98</v>
      </c>
      <c r="BE231" s="13">
        <v>92</v>
      </c>
      <c r="BF231" s="13">
        <v>92</v>
      </c>
      <c r="BG231" s="13">
        <v>92</v>
      </c>
      <c r="BH231" s="13">
        <v>101</v>
      </c>
      <c r="BI231" s="13">
        <v>97</v>
      </c>
      <c r="BJ231" s="13">
        <v>103</v>
      </c>
      <c r="BK231" s="13">
        <v>98</v>
      </c>
      <c r="BL231" s="13">
        <v>96</v>
      </c>
      <c r="BM231" s="13">
        <v>96</v>
      </c>
      <c r="BN231" s="13">
        <v>96</v>
      </c>
      <c r="BO231" s="13">
        <v>96</v>
      </c>
      <c r="BP231" s="13">
        <v>98</v>
      </c>
      <c r="BQ231" s="13">
        <v>99</v>
      </c>
      <c r="BR231" s="13">
        <v>98</v>
      </c>
      <c r="BS231" s="13">
        <v>101</v>
      </c>
      <c r="BT231" s="13">
        <v>96</v>
      </c>
      <c r="BU231" s="13">
        <v>97</v>
      </c>
      <c r="BV231" s="13">
        <v>99</v>
      </c>
      <c r="BW231" s="13">
        <v>98</v>
      </c>
      <c r="BX231" s="328">
        <f t="shared" si="18"/>
        <v>216159389</v>
      </c>
      <c r="BY231" s="328">
        <f t="shared" si="19"/>
        <v>81406455</v>
      </c>
      <c r="BZ231" s="329">
        <f t="shared" si="16"/>
        <v>0.95365937355334585</v>
      </c>
      <c r="CA231" s="329">
        <f t="shared" si="17"/>
        <v>0.95375948974023617</v>
      </c>
    </row>
    <row r="232" spans="1:79" x14ac:dyDescent="0.25">
      <c r="A232" s="13">
        <v>1540</v>
      </c>
      <c r="B232" s="13">
        <v>231</v>
      </c>
      <c r="C232" s="13" t="s">
        <v>750</v>
      </c>
      <c r="D232" s="13">
        <v>113568</v>
      </c>
      <c r="E232" s="13">
        <v>131107</v>
      </c>
      <c r="F232" s="13">
        <v>149115</v>
      </c>
      <c r="G232" s="13">
        <v>159054</v>
      </c>
      <c r="H232" s="13">
        <v>1.6</v>
      </c>
      <c r="I232" s="13">
        <v>73</v>
      </c>
      <c r="J232" s="13">
        <v>48709</v>
      </c>
      <c r="K232" s="13">
        <v>56151</v>
      </c>
      <c r="L232" s="13">
        <v>60675</v>
      </c>
      <c r="M232" s="13">
        <v>1.7</v>
      </c>
      <c r="N232" s="13">
        <v>2.48</v>
      </c>
      <c r="O232" s="13">
        <v>31766</v>
      </c>
      <c r="P232" s="13">
        <v>36520</v>
      </c>
      <c r="Q232" s="13">
        <v>1.7</v>
      </c>
      <c r="R232" s="13">
        <v>83.2</v>
      </c>
      <c r="S232" s="13">
        <v>80.5</v>
      </c>
      <c r="T232" s="13">
        <v>14.4</v>
      </c>
      <c r="U232" s="13">
        <v>16.2</v>
      </c>
      <c r="V232" s="13">
        <v>2</v>
      </c>
      <c r="W232" s="13">
        <v>2.7</v>
      </c>
      <c r="X232" s="13">
        <v>1.1000000000000001</v>
      </c>
      <c r="Y232" s="13">
        <v>1.9</v>
      </c>
      <c r="Z232" s="13">
        <v>6.2</v>
      </c>
      <c r="AA232" s="13">
        <v>6.5</v>
      </c>
      <c r="AB232" s="13">
        <v>6.1</v>
      </c>
      <c r="AC232" s="13">
        <v>8.3000000000000007</v>
      </c>
      <c r="AD232" s="13">
        <v>9.6999999999999993</v>
      </c>
      <c r="AE232" s="13">
        <v>31.8</v>
      </c>
      <c r="AF232" s="13">
        <v>19.899999999999999</v>
      </c>
      <c r="AG232" s="13">
        <v>10.199999999999999</v>
      </c>
      <c r="AH232" s="13">
        <v>1.3</v>
      </c>
      <c r="AI232" s="13">
        <v>77.900000000000006</v>
      </c>
      <c r="AJ232" s="13">
        <v>31.1</v>
      </c>
      <c r="AK232" s="13">
        <v>33.5</v>
      </c>
      <c r="AL232" s="13">
        <v>93.9</v>
      </c>
      <c r="AM232" s="13">
        <v>18099</v>
      </c>
      <c r="AN232" s="13">
        <v>56146</v>
      </c>
      <c r="AO232" s="13">
        <v>16.899999999999999</v>
      </c>
      <c r="AP232" s="13">
        <v>14.1</v>
      </c>
      <c r="AQ232" s="13">
        <v>35.200000000000003</v>
      </c>
      <c r="AR232" s="13">
        <v>26</v>
      </c>
      <c r="AS232" s="13">
        <v>5.3</v>
      </c>
      <c r="AT232" s="13">
        <v>2.4</v>
      </c>
      <c r="AU232" s="13">
        <v>37296</v>
      </c>
      <c r="AV232" s="13">
        <v>40808</v>
      </c>
      <c r="AW232" s="13">
        <v>135</v>
      </c>
      <c r="AX232" s="13">
        <v>35045</v>
      </c>
      <c r="AY232" s="13">
        <v>26966</v>
      </c>
      <c r="AZ232" s="13">
        <v>39708</v>
      </c>
      <c r="BA232" s="13">
        <v>45951</v>
      </c>
      <c r="BB232" s="13">
        <v>42034</v>
      </c>
      <c r="BC232" s="13">
        <v>26585</v>
      </c>
      <c r="BD232" s="13">
        <v>100</v>
      </c>
      <c r="BE232" s="13">
        <v>100</v>
      </c>
      <c r="BF232" s="13">
        <v>99</v>
      </c>
      <c r="BG232" s="13">
        <v>101</v>
      </c>
      <c r="BH232" s="13">
        <v>103</v>
      </c>
      <c r="BI232" s="13">
        <v>103</v>
      </c>
      <c r="BJ232" s="13">
        <v>107</v>
      </c>
      <c r="BK232" s="13">
        <v>99</v>
      </c>
      <c r="BL232" s="13">
        <v>100</v>
      </c>
      <c r="BM232" s="13">
        <v>98</v>
      </c>
      <c r="BN232" s="13">
        <v>100</v>
      </c>
      <c r="BO232" s="13">
        <v>101</v>
      </c>
      <c r="BP232" s="13">
        <v>98</v>
      </c>
      <c r="BQ232" s="13">
        <v>102</v>
      </c>
      <c r="BR232" s="13">
        <v>93</v>
      </c>
      <c r="BS232" s="13">
        <v>99</v>
      </c>
      <c r="BT232" s="13">
        <v>99</v>
      </c>
      <c r="BU232" s="13">
        <v>100</v>
      </c>
      <c r="BV232" s="13">
        <v>100</v>
      </c>
      <c r="BW232" s="13">
        <v>102</v>
      </c>
      <c r="BX232" s="328">
        <f t="shared" si="18"/>
        <v>216318443</v>
      </c>
      <c r="BY232" s="328">
        <f t="shared" si="19"/>
        <v>81467130</v>
      </c>
      <c r="BZ232" s="329">
        <f t="shared" si="16"/>
        <v>0.95436109342173958</v>
      </c>
      <c r="CA232" s="329">
        <f t="shared" si="17"/>
        <v>0.95447035913063027</v>
      </c>
    </row>
    <row r="233" spans="1:79" x14ac:dyDescent="0.25">
      <c r="A233" s="13">
        <v>6015</v>
      </c>
      <c r="B233" s="13">
        <v>232</v>
      </c>
      <c r="C233" s="13" t="s">
        <v>751</v>
      </c>
      <c r="D233" s="13">
        <v>97740</v>
      </c>
      <c r="E233" s="13">
        <v>126994</v>
      </c>
      <c r="F233" s="13">
        <v>148199</v>
      </c>
      <c r="G233" s="13">
        <v>161163</v>
      </c>
      <c r="H233" s="13">
        <v>1.9</v>
      </c>
      <c r="I233" s="13">
        <v>57</v>
      </c>
      <c r="J233" s="13">
        <v>48938</v>
      </c>
      <c r="K233" s="13">
        <v>56166</v>
      </c>
      <c r="L233" s="13">
        <v>60469</v>
      </c>
      <c r="M233" s="13">
        <v>1.7</v>
      </c>
      <c r="N233" s="13">
        <v>2.59</v>
      </c>
      <c r="O233" s="13">
        <v>35608</v>
      </c>
      <c r="P233" s="13">
        <v>40011</v>
      </c>
      <c r="Q233" s="13">
        <v>1.4</v>
      </c>
      <c r="R233" s="13">
        <v>86.3</v>
      </c>
      <c r="S233" s="13">
        <v>83</v>
      </c>
      <c r="T233" s="13">
        <v>10.8</v>
      </c>
      <c r="U233" s="13">
        <v>12.7</v>
      </c>
      <c r="V233" s="13">
        <v>1.8</v>
      </c>
      <c r="W233" s="13">
        <v>2.8</v>
      </c>
      <c r="X233" s="13">
        <v>1.8</v>
      </c>
      <c r="Y233" s="13">
        <v>2.6</v>
      </c>
      <c r="Z233" s="13">
        <v>7.1</v>
      </c>
      <c r="AA233" s="13">
        <v>8</v>
      </c>
      <c r="AB233" s="13">
        <v>7.9</v>
      </c>
      <c r="AC233" s="13">
        <v>7</v>
      </c>
      <c r="AD233" s="13">
        <v>5.8</v>
      </c>
      <c r="AE233" s="13">
        <v>30.1</v>
      </c>
      <c r="AF233" s="13">
        <v>22.2</v>
      </c>
      <c r="AG233" s="13">
        <v>10.9</v>
      </c>
      <c r="AH233" s="13">
        <v>1</v>
      </c>
      <c r="AI233" s="13">
        <v>72.900000000000006</v>
      </c>
      <c r="AJ233" s="13">
        <v>33.200000000000003</v>
      </c>
      <c r="AK233" s="13">
        <v>35</v>
      </c>
      <c r="AL233" s="13">
        <v>96.6</v>
      </c>
      <c r="AM233" s="13">
        <v>14515</v>
      </c>
      <c r="AN233" s="13">
        <v>56158</v>
      </c>
      <c r="AO233" s="13">
        <v>21.1</v>
      </c>
      <c r="AP233" s="13">
        <v>18.5</v>
      </c>
      <c r="AQ233" s="13">
        <v>36.5</v>
      </c>
      <c r="AR233" s="13">
        <v>20.399999999999999</v>
      </c>
      <c r="AS233" s="13">
        <v>2.5</v>
      </c>
      <c r="AT233" s="13">
        <v>1</v>
      </c>
      <c r="AU233" s="13">
        <v>30594</v>
      </c>
      <c r="AV233" s="13">
        <v>33911</v>
      </c>
      <c r="AW233" s="13">
        <v>269</v>
      </c>
      <c r="AX233" s="13">
        <v>30745</v>
      </c>
      <c r="AY233" s="13">
        <v>26341</v>
      </c>
      <c r="AZ233" s="13">
        <v>32391</v>
      </c>
      <c r="BA233" s="13">
        <v>39377</v>
      </c>
      <c r="BB233" s="13">
        <v>34094</v>
      </c>
      <c r="BC233" s="13">
        <v>22494</v>
      </c>
      <c r="BD233" s="13">
        <v>97</v>
      </c>
      <c r="BE233" s="13">
        <v>89</v>
      </c>
      <c r="BF233" s="13">
        <v>94</v>
      </c>
      <c r="BG233" s="13">
        <v>90</v>
      </c>
      <c r="BH233" s="13">
        <v>100</v>
      </c>
      <c r="BI233" s="13">
        <v>98</v>
      </c>
      <c r="BJ233" s="13">
        <v>107</v>
      </c>
      <c r="BK233" s="13">
        <v>99</v>
      </c>
      <c r="BL233" s="13">
        <v>96</v>
      </c>
      <c r="BM233" s="13">
        <v>93</v>
      </c>
      <c r="BN233" s="13">
        <v>93</v>
      </c>
      <c r="BO233" s="13">
        <v>97</v>
      </c>
      <c r="BP233" s="13">
        <v>92</v>
      </c>
      <c r="BQ233" s="13">
        <v>99</v>
      </c>
      <c r="BR233" s="13">
        <v>87</v>
      </c>
      <c r="BS233" s="13">
        <v>98</v>
      </c>
      <c r="BT233" s="13">
        <v>91</v>
      </c>
      <c r="BU233" s="13">
        <v>95</v>
      </c>
      <c r="BV233" s="13">
        <v>100</v>
      </c>
      <c r="BW233" s="13">
        <v>99</v>
      </c>
      <c r="BX233" s="328">
        <f t="shared" si="18"/>
        <v>216479606</v>
      </c>
      <c r="BY233" s="328">
        <f t="shared" si="19"/>
        <v>81527599</v>
      </c>
      <c r="BZ233" s="329">
        <f t="shared" si="16"/>
        <v>0.955072117848349</v>
      </c>
      <c r="CA233" s="329">
        <f t="shared" si="17"/>
        <v>0.95517881502132218</v>
      </c>
    </row>
    <row r="234" spans="1:79" x14ac:dyDescent="0.25">
      <c r="A234" s="13">
        <v>6980</v>
      </c>
      <c r="B234" s="13">
        <v>233</v>
      </c>
      <c r="C234" s="13" t="s">
        <v>752</v>
      </c>
      <c r="D234" s="13">
        <v>133348</v>
      </c>
      <c r="E234" s="13">
        <v>148976</v>
      </c>
      <c r="F234" s="13">
        <v>162819</v>
      </c>
      <c r="G234" s="13">
        <v>171209</v>
      </c>
      <c r="H234" s="13">
        <v>1.1000000000000001</v>
      </c>
      <c r="I234" s="13">
        <v>148</v>
      </c>
      <c r="J234" s="13">
        <v>50711</v>
      </c>
      <c r="K234" s="13">
        <v>56772</v>
      </c>
      <c r="L234" s="13">
        <v>60374</v>
      </c>
      <c r="M234" s="13">
        <v>1.4</v>
      </c>
      <c r="N234" s="13">
        <v>2.75</v>
      </c>
      <c r="O234" s="13">
        <v>35328</v>
      </c>
      <c r="P234" s="13">
        <v>38440</v>
      </c>
      <c r="Q234" s="13">
        <v>1</v>
      </c>
      <c r="R234" s="13">
        <v>98.6</v>
      </c>
      <c r="S234" s="13">
        <v>98</v>
      </c>
      <c r="T234" s="13">
        <v>0.3</v>
      </c>
      <c r="U234" s="13">
        <v>0.5</v>
      </c>
      <c r="V234" s="13">
        <v>0.6</v>
      </c>
      <c r="W234" s="13">
        <v>1</v>
      </c>
      <c r="X234" s="13">
        <v>0.4</v>
      </c>
      <c r="Y234" s="13">
        <v>0.7</v>
      </c>
      <c r="Z234" s="13">
        <v>6.8</v>
      </c>
      <c r="AA234" s="13">
        <v>8</v>
      </c>
      <c r="AB234" s="13">
        <v>8.5</v>
      </c>
      <c r="AC234" s="13">
        <v>9.8000000000000007</v>
      </c>
      <c r="AD234" s="13">
        <v>9.6</v>
      </c>
      <c r="AE234" s="13">
        <v>28.6</v>
      </c>
      <c r="AF234" s="13">
        <v>17.8</v>
      </c>
      <c r="AG234" s="13">
        <v>9.4</v>
      </c>
      <c r="AH234" s="13">
        <v>1.5</v>
      </c>
      <c r="AI234" s="13">
        <v>72</v>
      </c>
      <c r="AJ234" s="13">
        <v>28.2</v>
      </c>
      <c r="AK234" s="13">
        <v>30.5</v>
      </c>
      <c r="AL234" s="13">
        <v>100.7</v>
      </c>
      <c r="AM234" s="13">
        <v>16486</v>
      </c>
      <c r="AN234" s="13">
        <v>56772</v>
      </c>
      <c r="AO234" s="13">
        <v>13.3</v>
      </c>
      <c r="AP234" s="13">
        <v>14</v>
      </c>
      <c r="AQ234" s="13">
        <v>39.200000000000003</v>
      </c>
      <c r="AR234" s="13">
        <v>27</v>
      </c>
      <c r="AS234" s="13">
        <v>5</v>
      </c>
      <c r="AT234" s="13">
        <v>1.5</v>
      </c>
      <c r="AU234" s="13">
        <v>38488</v>
      </c>
      <c r="AV234" s="13">
        <v>48911</v>
      </c>
      <c r="AW234" s="13">
        <v>117</v>
      </c>
      <c r="AX234" s="13">
        <v>33754</v>
      </c>
      <c r="AY234" s="13">
        <v>30039</v>
      </c>
      <c r="AZ234" s="13">
        <v>39934</v>
      </c>
      <c r="BA234" s="13">
        <v>43957</v>
      </c>
      <c r="BB234" s="13">
        <v>38797</v>
      </c>
      <c r="BC234" s="13">
        <v>21201</v>
      </c>
      <c r="BD234" s="13">
        <v>97</v>
      </c>
      <c r="BE234" s="13">
        <v>90</v>
      </c>
      <c r="BF234" s="13">
        <v>84</v>
      </c>
      <c r="BG234" s="13">
        <v>89</v>
      </c>
      <c r="BH234" s="13">
        <v>95</v>
      </c>
      <c r="BI234" s="13">
        <v>93</v>
      </c>
      <c r="BJ234" s="13">
        <v>102</v>
      </c>
      <c r="BK234" s="13">
        <v>96</v>
      </c>
      <c r="BL234" s="13">
        <v>96</v>
      </c>
      <c r="BM234" s="13">
        <v>90</v>
      </c>
      <c r="BN234" s="13">
        <v>94</v>
      </c>
      <c r="BO234" s="13">
        <v>95</v>
      </c>
      <c r="BP234" s="13">
        <v>93</v>
      </c>
      <c r="BQ234" s="13">
        <v>97</v>
      </c>
      <c r="BR234" s="13">
        <v>92</v>
      </c>
      <c r="BS234" s="13">
        <v>101</v>
      </c>
      <c r="BT234" s="13">
        <v>92</v>
      </c>
      <c r="BU234" s="13">
        <v>95</v>
      </c>
      <c r="BV234" s="13">
        <v>98</v>
      </c>
      <c r="BW234" s="13">
        <v>97</v>
      </c>
      <c r="BX234" s="328">
        <f t="shared" si="18"/>
        <v>216650815</v>
      </c>
      <c r="BY234" s="328">
        <f t="shared" si="19"/>
        <v>81587973</v>
      </c>
      <c r="BZ234" s="329">
        <f t="shared" si="16"/>
        <v>0.95582746356079773</v>
      </c>
      <c r="CA234" s="329">
        <f t="shared" si="17"/>
        <v>0.95588615789030695</v>
      </c>
    </row>
    <row r="235" spans="1:79" x14ac:dyDescent="0.25">
      <c r="A235" s="13">
        <v>3520</v>
      </c>
      <c r="B235" s="13">
        <v>234</v>
      </c>
      <c r="C235" s="13" t="s">
        <v>753</v>
      </c>
      <c r="D235" s="13">
        <v>151495</v>
      </c>
      <c r="E235" s="13">
        <v>149756</v>
      </c>
      <c r="F235" s="13">
        <v>156386</v>
      </c>
      <c r="G235" s="13">
        <v>160508</v>
      </c>
      <c r="H235" s="13">
        <v>0.5</v>
      </c>
      <c r="I235" s="13">
        <v>219</v>
      </c>
      <c r="J235" s="13">
        <v>53660</v>
      </c>
      <c r="K235" s="13">
        <v>57609</v>
      </c>
      <c r="L235" s="13">
        <v>60007</v>
      </c>
      <c r="M235" s="13">
        <v>0.9</v>
      </c>
      <c r="N235" s="13">
        <v>2.56</v>
      </c>
      <c r="O235" s="13">
        <v>38878</v>
      </c>
      <c r="P235" s="13">
        <v>40829</v>
      </c>
      <c r="Q235" s="13">
        <v>0.6</v>
      </c>
      <c r="R235" s="13">
        <v>90.5</v>
      </c>
      <c r="S235" s="13">
        <v>89.7</v>
      </c>
      <c r="T235" s="13">
        <v>8</v>
      </c>
      <c r="U235" s="13">
        <v>8.5</v>
      </c>
      <c r="V235" s="13">
        <v>0.4</v>
      </c>
      <c r="W235" s="13">
        <v>0.6</v>
      </c>
      <c r="X235" s="13">
        <v>1.5</v>
      </c>
      <c r="Y235" s="13">
        <v>2</v>
      </c>
      <c r="Z235" s="13">
        <v>6.6</v>
      </c>
      <c r="AA235" s="13">
        <v>7.2</v>
      </c>
      <c r="AB235" s="13">
        <v>7.3</v>
      </c>
      <c r="AC235" s="13">
        <v>7.1</v>
      </c>
      <c r="AD235" s="13">
        <v>5.8</v>
      </c>
      <c r="AE235" s="13">
        <v>31.6</v>
      </c>
      <c r="AF235" s="13">
        <v>21.4</v>
      </c>
      <c r="AG235" s="13">
        <v>11.4</v>
      </c>
      <c r="AH235" s="13">
        <v>1.5</v>
      </c>
      <c r="AI235" s="13">
        <v>74.599999999999994</v>
      </c>
      <c r="AJ235" s="13">
        <v>33.4</v>
      </c>
      <c r="AK235" s="13">
        <v>36</v>
      </c>
      <c r="AL235" s="13">
        <v>103.3</v>
      </c>
      <c r="AM235" s="13">
        <v>17693</v>
      </c>
      <c r="AN235" s="13">
        <v>57609</v>
      </c>
      <c r="AO235" s="13">
        <v>15.3</v>
      </c>
      <c r="AP235" s="13">
        <v>13.1</v>
      </c>
      <c r="AQ235" s="13">
        <v>35.6</v>
      </c>
      <c r="AR235" s="13">
        <v>28.7</v>
      </c>
      <c r="AS235" s="13">
        <v>5.5</v>
      </c>
      <c r="AT235" s="13">
        <v>1.8</v>
      </c>
      <c r="AU235" s="13">
        <v>39177</v>
      </c>
      <c r="AV235" s="13">
        <v>49323</v>
      </c>
      <c r="AW235" s="13">
        <v>108</v>
      </c>
      <c r="AX235" s="13">
        <v>33741</v>
      </c>
      <c r="AY235" s="13">
        <v>29471</v>
      </c>
      <c r="AZ235" s="13">
        <v>37943</v>
      </c>
      <c r="BA235" s="13">
        <v>44675</v>
      </c>
      <c r="BB235" s="13">
        <v>38190</v>
      </c>
      <c r="BC235" s="13">
        <v>22129</v>
      </c>
      <c r="BD235" s="13">
        <v>98</v>
      </c>
      <c r="BE235" s="13">
        <v>91</v>
      </c>
      <c r="BF235" s="13">
        <v>95</v>
      </c>
      <c r="BG235" s="13">
        <v>93</v>
      </c>
      <c r="BH235" s="13">
        <v>102</v>
      </c>
      <c r="BI235" s="13">
        <v>98</v>
      </c>
      <c r="BJ235" s="13">
        <v>105</v>
      </c>
      <c r="BK235" s="13">
        <v>99</v>
      </c>
      <c r="BL235" s="13">
        <v>96</v>
      </c>
      <c r="BM235" s="13">
        <v>95</v>
      </c>
      <c r="BN235" s="13">
        <v>95</v>
      </c>
      <c r="BO235" s="13">
        <v>97</v>
      </c>
      <c r="BP235" s="13">
        <v>98</v>
      </c>
      <c r="BQ235" s="13">
        <v>100</v>
      </c>
      <c r="BR235" s="13">
        <v>99</v>
      </c>
      <c r="BS235" s="13">
        <v>102</v>
      </c>
      <c r="BT235" s="13">
        <v>96</v>
      </c>
      <c r="BU235" s="13">
        <v>97</v>
      </c>
      <c r="BV235" s="13">
        <v>100</v>
      </c>
      <c r="BW235" s="13">
        <v>98</v>
      </c>
      <c r="BX235" s="328">
        <f t="shared" si="18"/>
        <v>216811323</v>
      </c>
      <c r="BY235" s="328">
        <f t="shared" si="19"/>
        <v>81647980</v>
      </c>
      <c r="BZ235" s="329">
        <f t="shared" si="16"/>
        <v>0.95653559823604106</v>
      </c>
      <c r="CA235" s="329">
        <f t="shared" si="17"/>
        <v>0.95658920098069633</v>
      </c>
    </row>
    <row r="236" spans="1:79" x14ac:dyDescent="0.25">
      <c r="A236" s="13">
        <v>9270</v>
      </c>
      <c r="B236" s="13">
        <v>235</v>
      </c>
      <c r="C236" s="13" t="s">
        <v>754</v>
      </c>
      <c r="D236" s="13">
        <v>113374</v>
      </c>
      <c r="E236" s="13">
        <v>141092</v>
      </c>
      <c r="F236" s="13">
        <v>155159</v>
      </c>
      <c r="G236" s="13">
        <v>163691</v>
      </c>
      <c r="H236" s="13">
        <v>1.2</v>
      </c>
      <c r="I236" s="13">
        <v>137</v>
      </c>
      <c r="J236" s="13">
        <v>50972</v>
      </c>
      <c r="K236" s="13">
        <v>56437</v>
      </c>
      <c r="L236" s="13">
        <v>59617</v>
      </c>
      <c r="M236" s="13">
        <v>1.2</v>
      </c>
      <c r="N236" s="13">
        <v>2.64</v>
      </c>
      <c r="O236" s="13">
        <v>32184</v>
      </c>
      <c r="P236" s="13">
        <v>34612</v>
      </c>
      <c r="Q236" s="13">
        <v>0.9</v>
      </c>
      <c r="R236" s="13">
        <v>75.900000000000006</v>
      </c>
      <c r="S236" s="13">
        <v>70</v>
      </c>
      <c r="T236" s="13">
        <v>2.2000000000000002</v>
      </c>
      <c r="U236" s="13">
        <v>2.2000000000000002</v>
      </c>
      <c r="V236" s="13">
        <v>8.4</v>
      </c>
      <c r="W236" s="13">
        <v>10.3</v>
      </c>
      <c r="X236" s="13">
        <v>20</v>
      </c>
      <c r="Y236" s="13">
        <v>26.7</v>
      </c>
      <c r="Z236" s="13">
        <v>7.8</v>
      </c>
      <c r="AA236" s="13">
        <v>8</v>
      </c>
      <c r="AB236" s="13">
        <v>6.7</v>
      </c>
      <c r="AC236" s="13">
        <v>8.4</v>
      </c>
      <c r="AD236" s="13">
        <v>10.6</v>
      </c>
      <c r="AE236" s="13">
        <v>30.5</v>
      </c>
      <c r="AF236" s="13">
        <v>17.7</v>
      </c>
      <c r="AG236" s="13">
        <v>9.1</v>
      </c>
      <c r="AH236" s="13">
        <v>1.2</v>
      </c>
      <c r="AI236" s="13">
        <v>74.3</v>
      </c>
      <c r="AJ236" s="13">
        <v>28.9</v>
      </c>
      <c r="AK236" s="13">
        <v>30.6</v>
      </c>
      <c r="AL236" s="13">
        <v>99.4</v>
      </c>
      <c r="AM236" s="13">
        <v>17955</v>
      </c>
      <c r="AN236" s="13">
        <v>56433</v>
      </c>
      <c r="AO236" s="13">
        <v>17.5</v>
      </c>
      <c r="AP236" s="13">
        <v>14.6</v>
      </c>
      <c r="AQ236" s="13">
        <v>32.200000000000003</v>
      </c>
      <c r="AR236" s="13">
        <v>26.9</v>
      </c>
      <c r="AS236" s="13">
        <v>6</v>
      </c>
      <c r="AT236" s="13">
        <v>2.8</v>
      </c>
      <c r="AU236" s="13">
        <v>38351</v>
      </c>
      <c r="AV236" s="13">
        <v>43243</v>
      </c>
      <c r="AW236" s="13">
        <v>120</v>
      </c>
      <c r="AX236" s="13">
        <v>36435</v>
      </c>
      <c r="AY236" s="13">
        <v>27647</v>
      </c>
      <c r="AZ236" s="13">
        <v>41837</v>
      </c>
      <c r="BA236" s="13">
        <v>48501</v>
      </c>
      <c r="BB236" s="13">
        <v>43581</v>
      </c>
      <c r="BC236" s="13">
        <v>28405</v>
      </c>
      <c r="BD236" s="13">
        <v>98</v>
      </c>
      <c r="BE236" s="13">
        <v>99</v>
      </c>
      <c r="BF236" s="13">
        <v>97</v>
      </c>
      <c r="BG236" s="13">
        <v>94</v>
      </c>
      <c r="BH236" s="13">
        <v>99</v>
      </c>
      <c r="BI236" s="13">
        <v>97</v>
      </c>
      <c r="BJ236" s="13">
        <v>96</v>
      </c>
      <c r="BK236" s="13">
        <v>97</v>
      </c>
      <c r="BL236" s="13">
        <v>97</v>
      </c>
      <c r="BM236" s="13">
        <v>94</v>
      </c>
      <c r="BN236" s="13">
        <v>96</v>
      </c>
      <c r="BO236" s="13">
        <v>91</v>
      </c>
      <c r="BP236" s="13">
        <v>91</v>
      </c>
      <c r="BQ236" s="13">
        <v>93</v>
      </c>
      <c r="BR236" s="13">
        <v>93</v>
      </c>
      <c r="BS236" s="13">
        <v>94</v>
      </c>
      <c r="BT236" s="13">
        <v>93</v>
      </c>
      <c r="BU236" s="13">
        <v>95</v>
      </c>
      <c r="BV236" s="13">
        <v>97</v>
      </c>
      <c r="BW236" s="13">
        <v>95</v>
      </c>
      <c r="BX236" s="328">
        <f t="shared" si="18"/>
        <v>216975014</v>
      </c>
      <c r="BY236" s="328">
        <f t="shared" si="19"/>
        <v>81707597</v>
      </c>
      <c r="BZ236" s="329">
        <f t="shared" si="16"/>
        <v>0.95725777577937377</v>
      </c>
      <c r="CA236" s="329">
        <f t="shared" si="17"/>
        <v>0.95728767482407695</v>
      </c>
    </row>
    <row r="237" spans="1:79" x14ac:dyDescent="0.25">
      <c r="A237" s="13">
        <v>2030</v>
      </c>
      <c r="B237" s="13">
        <v>236</v>
      </c>
      <c r="C237" s="13" t="s">
        <v>755</v>
      </c>
      <c r="D237" s="13">
        <v>120401</v>
      </c>
      <c r="E237" s="13">
        <v>131556</v>
      </c>
      <c r="F237" s="13">
        <v>142825</v>
      </c>
      <c r="G237" s="13">
        <v>149424</v>
      </c>
      <c r="H237" s="13">
        <v>1</v>
      </c>
      <c r="I237" s="13">
        <v>165</v>
      </c>
      <c r="J237" s="13">
        <v>49209</v>
      </c>
      <c r="K237" s="13">
        <v>55116</v>
      </c>
      <c r="L237" s="13">
        <v>58803</v>
      </c>
      <c r="M237" s="13">
        <v>1.4</v>
      </c>
      <c r="N237" s="13">
        <v>2.5499999999999998</v>
      </c>
      <c r="O237" s="13">
        <v>37683</v>
      </c>
      <c r="P237" s="13">
        <v>41385</v>
      </c>
      <c r="Q237" s="13">
        <v>1.1000000000000001</v>
      </c>
      <c r="R237" s="13">
        <v>86.4</v>
      </c>
      <c r="S237" s="13">
        <v>85.8</v>
      </c>
      <c r="T237" s="13">
        <v>11.3</v>
      </c>
      <c r="U237" s="13">
        <v>12.2</v>
      </c>
      <c r="V237" s="13">
        <v>0.3</v>
      </c>
      <c r="W237" s="13">
        <v>0.4</v>
      </c>
      <c r="X237" s="13">
        <v>0.5</v>
      </c>
      <c r="Y237" s="13">
        <v>1</v>
      </c>
      <c r="Z237" s="13">
        <v>6.7</v>
      </c>
      <c r="AA237" s="13">
        <v>6.9</v>
      </c>
      <c r="AB237" s="13">
        <v>7</v>
      </c>
      <c r="AC237" s="13">
        <v>7.2</v>
      </c>
      <c r="AD237" s="13">
        <v>6</v>
      </c>
      <c r="AE237" s="13">
        <v>30.8</v>
      </c>
      <c r="AF237" s="13">
        <v>23.3</v>
      </c>
      <c r="AG237" s="13">
        <v>10.8</v>
      </c>
      <c r="AH237" s="13">
        <v>1.2</v>
      </c>
      <c r="AI237" s="13">
        <v>75.099999999999994</v>
      </c>
      <c r="AJ237" s="13">
        <v>33.299999999999997</v>
      </c>
      <c r="AK237" s="13">
        <v>35.9</v>
      </c>
      <c r="AL237" s="13">
        <v>95.2</v>
      </c>
      <c r="AM237" s="13">
        <v>16586</v>
      </c>
      <c r="AN237" s="13">
        <v>55116</v>
      </c>
      <c r="AO237" s="13">
        <v>19.600000000000001</v>
      </c>
      <c r="AP237" s="13">
        <v>13.9</v>
      </c>
      <c r="AQ237" s="13">
        <v>34.799999999999997</v>
      </c>
      <c r="AR237" s="13">
        <v>26.4</v>
      </c>
      <c r="AS237" s="13">
        <v>4.0999999999999996</v>
      </c>
      <c r="AT237" s="13">
        <v>1.2</v>
      </c>
      <c r="AU237" s="13">
        <v>35756</v>
      </c>
      <c r="AV237" s="13">
        <v>42213</v>
      </c>
      <c r="AW237" s="13">
        <v>166</v>
      </c>
      <c r="AX237" s="13">
        <v>33703</v>
      </c>
      <c r="AY237" s="13">
        <v>30412</v>
      </c>
      <c r="AZ237" s="13">
        <v>39343</v>
      </c>
      <c r="BA237" s="13">
        <v>43538</v>
      </c>
      <c r="BB237" s="13">
        <v>34746</v>
      </c>
      <c r="BC237" s="13">
        <v>18861</v>
      </c>
      <c r="BD237" s="13">
        <v>99</v>
      </c>
      <c r="BE237" s="13">
        <v>85</v>
      </c>
      <c r="BF237" s="13">
        <v>88</v>
      </c>
      <c r="BG237" s="13">
        <v>90</v>
      </c>
      <c r="BH237" s="13">
        <v>99</v>
      </c>
      <c r="BI237" s="13">
        <v>98</v>
      </c>
      <c r="BJ237" s="13">
        <v>110</v>
      </c>
      <c r="BK237" s="13">
        <v>100</v>
      </c>
      <c r="BL237" s="13">
        <v>98</v>
      </c>
      <c r="BM237" s="13">
        <v>92</v>
      </c>
      <c r="BN237" s="13">
        <v>91</v>
      </c>
      <c r="BO237" s="13">
        <v>100</v>
      </c>
      <c r="BP237" s="13">
        <v>92</v>
      </c>
      <c r="BQ237" s="13">
        <v>100</v>
      </c>
      <c r="BR237" s="13">
        <v>84</v>
      </c>
      <c r="BS237" s="13">
        <v>99</v>
      </c>
      <c r="BT237" s="13">
        <v>91</v>
      </c>
      <c r="BU237" s="13">
        <v>95</v>
      </c>
      <c r="BV237" s="13">
        <v>101</v>
      </c>
      <c r="BW237" s="13">
        <v>100</v>
      </c>
      <c r="BX237" s="328">
        <f t="shared" si="18"/>
        <v>217124438</v>
      </c>
      <c r="BY237" s="328">
        <f t="shared" si="19"/>
        <v>81766400</v>
      </c>
      <c r="BZ237" s="329">
        <f t="shared" si="16"/>
        <v>0.95791700968493332</v>
      </c>
      <c r="CA237" s="329">
        <f t="shared" si="17"/>
        <v>0.95797661182882921</v>
      </c>
    </row>
    <row r="238" spans="1:79" x14ac:dyDescent="0.25">
      <c r="A238" s="13">
        <v>3800</v>
      </c>
      <c r="B238" s="13">
        <v>237</v>
      </c>
      <c r="C238" s="13" t="s">
        <v>756</v>
      </c>
      <c r="D238" s="13">
        <v>123137</v>
      </c>
      <c r="E238" s="13">
        <v>128181</v>
      </c>
      <c r="F238" s="13">
        <v>144632</v>
      </c>
      <c r="G238" s="13">
        <v>154460</v>
      </c>
      <c r="H238" s="13">
        <v>1.5</v>
      </c>
      <c r="I238" s="13">
        <v>82</v>
      </c>
      <c r="J238" s="13">
        <v>47029</v>
      </c>
      <c r="K238" s="13">
        <v>54100</v>
      </c>
      <c r="L238" s="13">
        <v>58501</v>
      </c>
      <c r="M238" s="13">
        <v>1.7</v>
      </c>
      <c r="N238" s="13">
        <v>2.62</v>
      </c>
      <c r="O238" s="13">
        <v>33926</v>
      </c>
      <c r="P238" s="13">
        <v>38173</v>
      </c>
      <c r="Q238" s="13">
        <v>1.4</v>
      </c>
      <c r="R238" s="13">
        <v>93</v>
      </c>
      <c r="S238" s="13">
        <v>90.9</v>
      </c>
      <c r="T238" s="13">
        <v>4.0999999999999996</v>
      </c>
      <c r="U238" s="13">
        <v>5.2</v>
      </c>
      <c r="V238" s="13">
        <v>0.5</v>
      </c>
      <c r="W238" s="13">
        <v>0.8</v>
      </c>
      <c r="X238" s="13">
        <v>4.4000000000000004</v>
      </c>
      <c r="Y238" s="13">
        <v>6.2</v>
      </c>
      <c r="Z238" s="13">
        <v>7</v>
      </c>
      <c r="AA238" s="13">
        <v>7.6</v>
      </c>
      <c r="AB238" s="13">
        <v>7.5</v>
      </c>
      <c r="AC238" s="13">
        <v>7.5</v>
      </c>
      <c r="AD238" s="13">
        <v>6</v>
      </c>
      <c r="AE238" s="13">
        <v>31</v>
      </c>
      <c r="AF238" s="13">
        <v>20.9</v>
      </c>
      <c r="AG238" s="13">
        <v>11.1</v>
      </c>
      <c r="AH238" s="13">
        <v>1.5</v>
      </c>
      <c r="AI238" s="13">
        <v>73.7</v>
      </c>
      <c r="AJ238" s="13">
        <v>32.5</v>
      </c>
      <c r="AK238" s="13">
        <v>35.1</v>
      </c>
      <c r="AL238" s="13">
        <v>96.9</v>
      </c>
      <c r="AM238" s="13">
        <v>17978</v>
      </c>
      <c r="AN238" s="13">
        <v>54100</v>
      </c>
      <c r="AO238" s="13">
        <v>12.2</v>
      </c>
      <c r="AP238" s="13">
        <v>13.3</v>
      </c>
      <c r="AQ238" s="13">
        <v>37.6</v>
      </c>
      <c r="AR238" s="13">
        <v>30.5</v>
      </c>
      <c r="AS238" s="13">
        <v>5.0999999999999996</v>
      </c>
      <c r="AT238" s="13">
        <v>1.3</v>
      </c>
      <c r="AU238" s="13">
        <v>40778</v>
      </c>
      <c r="AV238" s="13">
        <v>50317</v>
      </c>
      <c r="AW238" s="13">
        <v>80</v>
      </c>
      <c r="AX238" s="13">
        <v>32674</v>
      </c>
      <c r="AY238" s="13">
        <v>28721</v>
      </c>
      <c r="AZ238" s="13">
        <v>37172</v>
      </c>
      <c r="BA238" s="13">
        <v>42114</v>
      </c>
      <c r="BB238" s="13">
        <v>36091</v>
      </c>
      <c r="BC238" s="13">
        <v>21455</v>
      </c>
      <c r="BD238" s="13">
        <v>97</v>
      </c>
      <c r="BE238" s="13">
        <v>93</v>
      </c>
      <c r="BF238" s="13">
        <v>94</v>
      </c>
      <c r="BG238" s="13">
        <v>92</v>
      </c>
      <c r="BH238" s="13">
        <v>102</v>
      </c>
      <c r="BI238" s="13">
        <v>98</v>
      </c>
      <c r="BJ238" s="13">
        <v>101</v>
      </c>
      <c r="BK238" s="13">
        <v>98</v>
      </c>
      <c r="BL238" s="13">
        <v>96</v>
      </c>
      <c r="BM238" s="13">
        <v>96</v>
      </c>
      <c r="BN238" s="13">
        <v>97</v>
      </c>
      <c r="BO238" s="13">
        <v>96</v>
      </c>
      <c r="BP238" s="13">
        <v>98</v>
      </c>
      <c r="BQ238" s="13">
        <v>99</v>
      </c>
      <c r="BR238" s="13">
        <v>100</v>
      </c>
      <c r="BS238" s="13">
        <v>101</v>
      </c>
      <c r="BT238" s="13">
        <v>96</v>
      </c>
      <c r="BU238" s="13">
        <v>97</v>
      </c>
      <c r="BV238" s="13">
        <v>99</v>
      </c>
      <c r="BW238" s="13">
        <v>98</v>
      </c>
      <c r="BX238" s="328">
        <f t="shared" si="18"/>
        <v>217278898</v>
      </c>
      <c r="BY238" s="328">
        <f t="shared" si="19"/>
        <v>81824901</v>
      </c>
      <c r="BZ238" s="329">
        <f t="shared" si="16"/>
        <v>0.95859846158725648</v>
      </c>
      <c r="CA238" s="329">
        <f t="shared" si="17"/>
        <v>0.95866201059615408</v>
      </c>
    </row>
    <row r="239" spans="1:79" x14ac:dyDescent="0.25">
      <c r="A239" s="13">
        <v>4080</v>
      </c>
      <c r="B239" s="13">
        <v>238</v>
      </c>
      <c r="C239" s="13" t="s">
        <v>757</v>
      </c>
      <c r="D239" s="13">
        <v>99258</v>
      </c>
      <c r="E239" s="13">
        <v>133239</v>
      </c>
      <c r="F239" s="13">
        <v>189416</v>
      </c>
      <c r="G239" s="13">
        <v>223219</v>
      </c>
      <c r="H239" s="13">
        <v>4.4000000000000004</v>
      </c>
      <c r="I239" s="13">
        <v>2</v>
      </c>
      <c r="J239" s="13">
        <v>34438</v>
      </c>
      <c r="K239" s="13">
        <v>49259</v>
      </c>
      <c r="L239" s="13">
        <v>58379</v>
      </c>
      <c r="M239" s="13">
        <v>4.4000000000000004</v>
      </c>
      <c r="N239" s="13">
        <v>3.79</v>
      </c>
      <c r="O239" s="13">
        <v>29469</v>
      </c>
      <c r="P239" s="13">
        <v>42419</v>
      </c>
      <c r="Q239" s="13">
        <v>4.5</v>
      </c>
      <c r="R239" s="13">
        <v>70.3</v>
      </c>
      <c r="S239" s="13">
        <v>69.8</v>
      </c>
      <c r="T239" s="13">
        <v>0.1</v>
      </c>
      <c r="U239" s="13">
        <v>0.1</v>
      </c>
      <c r="V239" s="13">
        <v>0.4</v>
      </c>
      <c r="W239" s="13">
        <v>0.5</v>
      </c>
      <c r="X239" s="13">
        <v>93.9</v>
      </c>
      <c r="Y239" s="13">
        <v>95.1</v>
      </c>
      <c r="Z239" s="13">
        <v>10.7</v>
      </c>
      <c r="AA239" s="13">
        <v>9.3000000000000007</v>
      </c>
      <c r="AB239" s="13">
        <v>9.4</v>
      </c>
      <c r="AC239" s="13">
        <v>10.199999999999999</v>
      </c>
      <c r="AD239" s="13">
        <v>7.9</v>
      </c>
      <c r="AE239" s="13">
        <v>27</v>
      </c>
      <c r="AF239" s="13">
        <v>16.899999999999999</v>
      </c>
      <c r="AG239" s="13">
        <v>7.5</v>
      </c>
      <c r="AH239" s="13">
        <v>1.1000000000000001</v>
      </c>
      <c r="AI239" s="13">
        <v>64.3</v>
      </c>
      <c r="AJ239" s="13">
        <v>25.5</v>
      </c>
      <c r="AK239" s="13">
        <v>26.9</v>
      </c>
      <c r="AL239" s="13">
        <v>93</v>
      </c>
      <c r="AM239" s="13">
        <v>8980</v>
      </c>
      <c r="AN239" s="13">
        <v>49259</v>
      </c>
      <c r="AO239" s="13">
        <v>31.1</v>
      </c>
      <c r="AP239" s="13">
        <v>18.600000000000001</v>
      </c>
      <c r="AQ239" s="13">
        <v>30.3</v>
      </c>
      <c r="AR239" s="13">
        <v>15.7</v>
      </c>
      <c r="AS239" s="13">
        <v>2.9</v>
      </c>
      <c r="AT239" s="13">
        <v>1.4</v>
      </c>
      <c r="AU239" s="13">
        <v>25213</v>
      </c>
      <c r="AV239" s="13">
        <v>31699</v>
      </c>
      <c r="AW239" s="13">
        <v>310</v>
      </c>
      <c r="AX239" s="13">
        <v>27922</v>
      </c>
      <c r="AY239" s="13">
        <v>25046</v>
      </c>
      <c r="AZ239" s="13">
        <v>30029</v>
      </c>
      <c r="BA239" s="13">
        <v>33468</v>
      </c>
      <c r="BB239" s="13">
        <v>29184</v>
      </c>
      <c r="BC239" s="13">
        <v>20464</v>
      </c>
      <c r="BD239" s="13">
        <v>95</v>
      </c>
      <c r="BE239" s="13">
        <v>95</v>
      </c>
      <c r="BF239" s="13">
        <v>88</v>
      </c>
      <c r="BG239" s="13">
        <v>87</v>
      </c>
      <c r="BH239" s="13">
        <v>95</v>
      </c>
      <c r="BI239" s="13">
        <v>95</v>
      </c>
      <c r="BJ239" s="13">
        <v>97</v>
      </c>
      <c r="BK239" s="13">
        <v>99</v>
      </c>
      <c r="BL239" s="13">
        <v>98</v>
      </c>
      <c r="BM239" s="13">
        <v>91</v>
      </c>
      <c r="BN239" s="13">
        <v>93</v>
      </c>
      <c r="BO239" s="13">
        <v>94</v>
      </c>
      <c r="BP239" s="13">
        <v>91</v>
      </c>
      <c r="BQ239" s="13">
        <v>95</v>
      </c>
      <c r="BR239" s="13">
        <v>87</v>
      </c>
      <c r="BS239" s="13">
        <v>99</v>
      </c>
      <c r="BT239" s="13">
        <v>86</v>
      </c>
      <c r="BU239" s="13">
        <v>97</v>
      </c>
      <c r="BV239" s="13">
        <v>99</v>
      </c>
      <c r="BW239" s="13">
        <v>102</v>
      </c>
      <c r="BX239" s="328">
        <f t="shared" si="18"/>
        <v>217502117</v>
      </c>
      <c r="BY239" s="328">
        <f t="shared" si="19"/>
        <v>81883280</v>
      </c>
      <c r="BZ239" s="329">
        <f t="shared" si="16"/>
        <v>0.95958326679368311</v>
      </c>
      <c r="CA239" s="329">
        <f t="shared" si="17"/>
        <v>0.95934598000928661</v>
      </c>
    </row>
    <row r="240" spans="1:79" x14ac:dyDescent="0.25">
      <c r="A240" s="13">
        <v>6895</v>
      </c>
      <c r="B240" s="13">
        <v>239</v>
      </c>
      <c r="C240" s="13" t="s">
        <v>758</v>
      </c>
      <c r="D240" s="13">
        <v>123141</v>
      </c>
      <c r="E240" s="13">
        <v>133235</v>
      </c>
      <c r="F240" s="13">
        <v>147246</v>
      </c>
      <c r="G240" s="13">
        <v>154980</v>
      </c>
      <c r="H240" s="13">
        <v>1.2</v>
      </c>
      <c r="I240" s="13">
        <v>119</v>
      </c>
      <c r="J240" s="13">
        <v>49360</v>
      </c>
      <c r="K240" s="13">
        <v>54853</v>
      </c>
      <c r="L240" s="13">
        <v>58278</v>
      </c>
      <c r="M240" s="13">
        <v>1.3</v>
      </c>
      <c r="N240" s="13">
        <v>2.63</v>
      </c>
      <c r="O240" s="13">
        <v>36309</v>
      </c>
      <c r="P240" s="13">
        <v>39430</v>
      </c>
      <c r="Q240" s="13">
        <v>1</v>
      </c>
      <c r="R240" s="13">
        <v>57.4</v>
      </c>
      <c r="S240" s="13">
        <v>57.7</v>
      </c>
      <c r="T240" s="13">
        <v>41.9</v>
      </c>
      <c r="U240" s="13">
        <v>41.3</v>
      </c>
      <c r="V240" s="13">
        <v>0.2</v>
      </c>
      <c r="W240" s="13">
        <v>0.4</v>
      </c>
      <c r="X240" s="13">
        <v>0.6</v>
      </c>
      <c r="Y240" s="13">
        <v>1.2</v>
      </c>
      <c r="Z240" s="13">
        <v>6.9</v>
      </c>
      <c r="AA240" s="13">
        <v>7.6</v>
      </c>
      <c r="AB240" s="13">
        <v>7.6</v>
      </c>
      <c r="AC240" s="13">
        <v>7.1</v>
      </c>
      <c r="AD240" s="13">
        <v>5.6</v>
      </c>
      <c r="AE240" s="13">
        <v>31</v>
      </c>
      <c r="AF240" s="13">
        <v>21.5</v>
      </c>
      <c r="AG240" s="13">
        <v>11.3</v>
      </c>
      <c r="AH240" s="13">
        <v>1.3</v>
      </c>
      <c r="AI240" s="13">
        <v>73.599999999999994</v>
      </c>
      <c r="AJ240" s="13">
        <v>33.299999999999997</v>
      </c>
      <c r="AK240" s="13">
        <v>35.5</v>
      </c>
      <c r="AL240" s="13">
        <v>88.8</v>
      </c>
      <c r="AM240" s="13">
        <v>14576</v>
      </c>
      <c r="AN240" s="13">
        <v>54853</v>
      </c>
      <c r="AO240" s="13">
        <v>21.5</v>
      </c>
      <c r="AP240" s="13">
        <v>17.2</v>
      </c>
      <c r="AQ240" s="13">
        <v>35.299999999999997</v>
      </c>
      <c r="AR240" s="13">
        <v>21.8</v>
      </c>
      <c r="AS240" s="13">
        <v>3.1</v>
      </c>
      <c r="AT240" s="13">
        <v>1</v>
      </c>
      <c r="AU240" s="13">
        <v>31692</v>
      </c>
      <c r="AV240" s="13">
        <v>39556</v>
      </c>
      <c r="AW240" s="13">
        <v>242</v>
      </c>
      <c r="AX240" s="13">
        <v>29973</v>
      </c>
      <c r="AY240" s="13">
        <v>27404</v>
      </c>
      <c r="AZ240" s="13">
        <v>34664</v>
      </c>
      <c r="BA240" s="13">
        <v>38301</v>
      </c>
      <c r="BB240" s="13">
        <v>31649</v>
      </c>
      <c r="BC240" s="13">
        <v>18623</v>
      </c>
      <c r="BD240" s="13">
        <v>98</v>
      </c>
      <c r="BE240" s="13">
        <v>83</v>
      </c>
      <c r="BF240" s="13">
        <v>86</v>
      </c>
      <c r="BG240" s="13">
        <v>87</v>
      </c>
      <c r="BH240" s="13">
        <v>99</v>
      </c>
      <c r="BI240" s="13">
        <v>96</v>
      </c>
      <c r="BJ240" s="13">
        <v>108</v>
      </c>
      <c r="BK240" s="13">
        <v>99</v>
      </c>
      <c r="BL240" s="13">
        <v>96</v>
      </c>
      <c r="BM240" s="13">
        <v>91</v>
      </c>
      <c r="BN240" s="13">
        <v>89</v>
      </c>
      <c r="BO240" s="13">
        <v>98</v>
      </c>
      <c r="BP240" s="13">
        <v>90</v>
      </c>
      <c r="BQ240" s="13">
        <v>99</v>
      </c>
      <c r="BR240" s="13">
        <v>83</v>
      </c>
      <c r="BS240" s="13">
        <v>99</v>
      </c>
      <c r="BT240" s="13">
        <v>89</v>
      </c>
      <c r="BU240" s="13">
        <v>94</v>
      </c>
      <c r="BV240" s="13">
        <v>99</v>
      </c>
      <c r="BW240" s="13">
        <v>99</v>
      </c>
      <c r="BX240" s="328">
        <f t="shared" si="18"/>
        <v>217657097</v>
      </c>
      <c r="BY240" s="328">
        <f t="shared" si="19"/>
        <v>81941558</v>
      </c>
      <c r="BZ240" s="329">
        <f t="shared" si="16"/>
        <v>0.96026701284976257</v>
      </c>
      <c r="CA240" s="329">
        <f t="shared" si="17"/>
        <v>0.96002876610460397</v>
      </c>
    </row>
    <row r="241" spans="1:79" x14ac:dyDescent="0.25">
      <c r="A241" s="13">
        <v>8320</v>
      </c>
      <c r="B241" s="13">
        <v>240</v>
      </c>
      <c r="C241" s="13" t="s">
        <v>759</v>
      </c>
      <c r="D241" s="13">
        <v>155476</v>
      </c>
      <c r="E241" s="13">
        <v>147585</v>
      </c>
      <c r="F241" s="13">
        <v>148220</v>
      </c>
      <c r="G241" s="13">
        <v>149012</v>
      </c>
      <c r="H241" s="13">
        <v>0.1</v>
      </c>
      <c r="I241" s="13">
        <v>273</v>
      </c>
      <c r="J241" s="13">
        <v>55824</v>
      </c>
      <c r="K241" s="13">
        <v>57318</v>
      </c>
      <c r="L241" s="13">
        <v>58219</v>
      </c>
      <c r="M241" s="13">
        <v>0.3</v>
      </c>
      <c r="N241" s="13">
        <v>2.44</v>
      </c>
      <c r="O241" s="13">
        <v>38190</v>
      </c>
      <c r="P241" s="13">
        <v>38311</v>
      </c>
      <c r="Q241" s="13">
        <v>0</v>
      </c>
      <c r="R241" s="13">
        <v>94.6</v>
      </c>
      <c r="S241" s="13">
        <v>94.1</v>
      </c>
      <c r="T241" s="13">
        <v>4.0999999999999996</v>
      </c>
      <c r="U241" s="13">
        <v>4.3</v>
      </c>
      <c r="V241" s="13">
        <v>0.8</v>
      </c>
      <c r="W241" s="13">
        <v>1.1000000000000001</v>
      </c>
      <c r="X241" s="13">
        <v>0.8</v>
      </c>
      <c r="Y241" s="13">
        <v>1</v>
      </c>
      <c r="Z241" s="13">
        <v>6</v>
      </c>
      <c r="AA241" s="13">
        <v>6.3</v>
      </c>
      <c r="AB241" s="13">
        <v>6.4</v>
      </c>
      <c r="AC241" s="13">
        <v>8.1</v>
      </c>
      <c r="AD241" s="13">
        <v>7.9</v>
      </c>
      <c r="AE241" s="13">
        <v>28.3</v>
      </c>
      <c r="AF241" s="13">
        <v>21</v>
      </c>
      <c r="AG241" s="13">
        <v>13.8</v>
      </c>
      <c r="AH241" s="13">
        <v>2</v>
      </c>
      <c r="AI241" s="13">
        <v>77.3</v>
      </c>
      <c r="AJ241" s="13">
        <v>33.700000000000003</v>
      </c>
      <c r="AK241" s="13">
        <v>36.299999999999997</v>
      </c>
      <c r="AL241" s="13">
        <v>94.9</v>
      </c>
      <c r="AM241" s="13">
        <v>15661</v>
      </c>
      <c r="AN241" s="13">
        <v>57313</v>
      </c>
      <c r="AO241" s="13">
        <v>21</v>
      </c>
      <c r="AP241" s="13">
        <v>17.8</v>
      </c>
      <c r="AQ241" s="13">
        <v>36.200000000000003</v>
      </c>
      <c r="AR241" s="13">
        <v>20.3</v>
      </c>
      <c r="AS241" s="13">
        <v>3.3</v>
      </c>
      <c r="AT241" s="13">
        <v>1.4</v>
      </c>
      <c r="AU241" s="13">
        <v>31455</v>
      </c>
      <c r="AV241" s="13">
        <v>36609</v>
      </c>
      <c r="AW241" s="13">
        <v>248</v>
      </c>
      <c r="AX241" s="13">
        <v>30333</v>
      </c>
      <c r="AY241" s="13">
        <v>25926</v>
      </c>
      <c r="AZ241" s="13">
        <v>36929</v>
      </c>
      <c r="BA241" s="13">
        <v>41310</v>
      </c>
      <c r="BB241" s="13">
        <v>32349</v>
      </c>
      <c r="BC241" s="13">
        <v>19317</v>
      </c>
      <c r="BD241" s="13">
        <v>97</v>
      </c>
      <c r="BE241" s="13">
        <v>86</v>
      </c>
      <c r="BF241" s="13">
        <v>90</v>
      </c>
      <c r="BG241" s="13">
        <v>89</v>
      </c>
      <c r="BH241" s="13">
        <v>100</v>
      </c>
      <c r="BI241" s="13">
        <v>97</v>
      </c>
      <c r="BJ241" s="13">
        <v>105</v>
      </c>
      <c r="BK241" s="13">
        <v>98</v>
      </c>
      <c r="BL241" s="13">
        <v>94</v>
      </c>
      <c r="BM241" s="13">
        <v>91</v>
      </c>
      <c r="BN241" s="13">
        <v>91</v>
      </c>
      <c r="BO241" s="13">
        <v>95</v>
      </c>
      <c r="BP241" s="13">
        <v>94</v>
      </c>
      <c r="BQ241" s="13">
        <v>97</v>
      </c>
      <c r="BR241" s="13">
        <v>96</v>
      </c>
      <c r="BS241" s="13">
        <v>100</v>
      </c>
      <c r="BT241" s="13">
        <v>91</v>
      </c>
      <c r="BU241" s="13">
        <v>94</v>
      </c>
      <c r="BV241" s="13">
        <v>100</v>
      </c>
      <c r="BW241" s="13">
        <v>97</v>
      </c>
      <c r="BX241" s="328">
        <f t="shared" si="18"/>
        <v>217806109</v>
      </c>
      <c r="BY241" s="328">
        <f t="shared" si="19"/>
        <v>81999777</v>
      </c>
      <c r="BZ241" s="329">
        <f t="shared" si="16"/>
        <v>0.96092442907965359</v>
      </c>
      <c r="CA241" s="329">
        <f t="shared" si="17"/>
        <v>0.96071086095486113</v>
      </c>
    </row>
    <row r="242" spans="1:79" x14ac:dyDescent="0.25">
      <c r="A242" s="13">
        <v>2650</v>
      </c>
      <c r="B242" s="13">
        <v>241</v>
      </c>
      <c r="C242" s="13" t="s">
        <v>760</v>
      </c>
      <c r="D242" s="13">
        <v>135065</v>
      </c>
      <c r="E242" s="13">
        <v>131327</v>
      </c>
      <c r="F242" s="13">
        <v>138041</v>
      </c>
      <c r="G242" s="13">
        <v>141937</v>
      </c>
      <c r="H242" s="13">
        <v>0.6</v>
      </c>
      <c r="I242" s="13">
        <v>209</v>
      </c>
      <c r="J242" s="13">
        <v>51001</v>
      </c>
      <c r="K242" s="13">
        <v>55352</v>
      </c>
      <c r="L242" s="13">
        <v>58024</v>
      </c>
      <c r="M242" s="13">
        <v>1</v>
      </c>
      <c r="N242" s="13">
        <v>2.46</v>
      </c>
      <c r="O242" s="13">
        <v>38140</v>
      </c>
      <c r="P242" s="13">
        <v>40379</v>
      </c>
      <c r="Q242" s="13">
        <v>0.7</v>
      </c>
      <c r="R242" s="13">
        <v>87.1</v>
      </c>
      <c r="S242" s="13">
        <v>86.1</v>
      </c>
      <c r="T242" s="13">
        <v>12.4</v>
      </c>
      <c r="U242" s="13">
        <v>13.3</v>
      </c>
      <c r="V242" s="13">
        <v>0.2</v>
      </c>
      <c r="W242" s="13">
        <v>0.3</v>
      </c>
      <c r="X242" s="13">
        <v>0.4</v>
      </c>
      <c r="Y242" s="13">
        <v>0.7</v>
      </c>
      <c r="Z242" s="13">
        <v>6.2</v>
      </c>
      <c r="AA242" s="13">
        <v>6.4</v>
      </c>
      <c r="AB242" s="13">
        <v>6.5</v>
      </c>
      <c r="AC242" s="13">
        <v>7</v>
      </c>
      <c r="AD242" s="13">
        <v>6.4</v>
      </c>
      <c r="AE242" s="13">
        <v>28.8</v>
      </c>
      <c r="AF242" s="13">
        <v>24</v>
      </c>
      <c r="AG242" s="13">
        <v>13.2</v>
      </c>
      <c r="AH242" s="13">
        <v>1.6</v>
      </c>
      <c r="AI242" s="13">
        <v>77</v>
      </c>
      <c r="AJ242" s="13">
        <v>35.1</v>
      </c>
      <c r="AK242" s="13">
        <v>37.6</v>
      </c>
      <c r="AL242" s="13">
        <v>91.9</v>
      </c>
      <c r="AM242" s="13">
        <v>14840</v>
      </c>
      <c r="AN242" s="13">
        <v>55329</v>
      </c>
      <c r="AO242" s="13">
        <v>24.7</v>
      </c>
      <c r="AP242" s="13">
        <v>17.5</v>
      </c>
      <c r="AQ242" s="13">
        <v>34.1</v>
      </c>
      <c r="AR242" s="13">
        <v>19.8</v>
      </c>
      <c r="AS242" s="13">
        <v>3</v>
      </c>
      <c r="AT242" s="13">
        <v>1</v>
      </c>
      <c r="AU242" s="13">
        <v>29950</v>
      </c>
      <c r="AV242" s="13">
        <v>33843</v>
      </c>
      <c r="AW242" s="13">
        <v>279</v>
      </c>
      <c r="AX242" s="13">
        <v>29551</v>
      </c>
      <c r="AY242" s="13">
        <v>25544</v>
      </c>
      <c r="AZ242" s="13">
        <v>36376</v>
      </c>
      <c r="BA242" s="13">
        <v>37503</v>
      </c>
      <c r="BB242" s="13">
        <v>31309</v>
      </c>
      <c r="BC242" s="13">
        <v>19170</v>
      </c>
      <c r="BD242" s="13">
        <v>98</v>
      </c>
      <c r="BE242" s="13">
        <v>82</v>
      </c>
      <c r="BF242" s="13">
        <v>92</v>
      </c>
      <c r="BG242" s="13">
        <v>88</v>
      </c>
      <c r="BH242" s="13">
        <v>101</v>
      </c>
      <c r="BI242" s="13">
        <v>98</v>
      </c>
      <c r="BJ242" s="13">
        <v>110</v>
      </c>
      <c r="BK242" s="13">
        <v>99</v>
      </c>
      <c r="BL242" s="13">
        <v>95</v>
      </c>
      <c r="BM242" s="13">
        <v>90</v>
      </c>
      <c r="BN242" s="13">
        <v>88</v>
      </c>
      <c r="BO242" s="13">
        <v>97</v>
      </c>
      <c r="BP242" s="13">
        <v>91</v>
      </c>
      <c r="BQ242" s="13">
        <v>99</v>
      </c>
      <c r="BR242" s="13">
        <v>85</v>
      </c>
      <c r="BS242" s="13">
        <v>98</v>
      </c>
      <c r="BT242" s="13">
        <v>89</v>
      </c>
      <c r="BU242" s="13">
        <v>93</v>
      </c>
      <c r="BV242" s="13">
        <v>101</v>
      </c>
      <c r="BW242" s="13">
        <v>99</v>
      </c>
      <c r="BX242" s="328">
        <f t="shared" si="18"/>
        <v>217948046</v>
      </c>
      <c r="BY242" s="328">
        <f t="shared" si="19"/>
        <v>82057801</v>
      </c>
      <c r="BZ242" s="329">
        <f t="shared" si="16"/>
        <v>0.96155063158295562</v>
      </c>
      <c r="CA242" s="329">
        <f t="shared" si="17"/>
        <v>0.96139067118161381</v>
      </c>
    </row>
    <row r="243" spans="1:79" x14ac:dyDescent="0.25">
      <c r="A243" s="13">
        <v>500</v>
      </c>
      <c r="B243" s="13">
        <v>242</v>
      </c>
      <c r="C243" s="13" t="s">
        <v>761</v>
      </c>
      <c r="D243" s="13">
        <v>104672</v>
      </c>
      <c r="E243" s="13">
        <v>126262</v>
      </c>
      <c r="F243" s="13">
        <v>140254</v>
      </c>
      <c r="G243" s="13">
        <v>148632</v>
      </c>
      <c r="H243" s="13">
        <v>1.3</v>
      </c>
      <c r="I243" s="13">
        <v>107</v>
      </c>
      <c r="J243" s="13">
        <v>47066</v>
      </c>
      <c r="K243" s="13">
        <v>53106</v>
      </c>
      <c r="L243" s="13">
        <v>56813</v>
      </c>
      <c r="M243" s="13">
        <v>1.5</v>
      </c>
      <c r="N243" s="13">
        <v>2.4900000000000002</v>
      </c>
      <c r="O243" s="13">
        <v>29203</v>
      </c>
      <c r="P243" s="13">
        <v>32610</v>
      </c>
      <c r="Q243" s="13">
        <v>1.3</v>
      </c>
      <c r="R243" s="13">
        <v>76.900000000000006</v>
      </c>
      <c r="S243" s="13">
        <v>72.900000000000006</v>
      </c>
      <c r="T243" s="13">
        <v>20.7</v>
      </c>
      <c r="U243" s="13">
        <v>23.4</v>
      </c>
      <c r="V243" s="13">
        <v>1.8</v>
      </c>
      <c r="W243" s="13">
        <v>2.9</v>
      </c>
      <c r="X243" s="13">
        <v>1.5</v>
      </c>
      <c r="Y243" s="13">
        <v>2.6</v>
      </c>
      <c r="Z243" s="13">
        <v>6.4</v>
      </c>
      <c r="AA243" s="13">
        <v>6.5</v>
      </c>
      <c r="AB243" s="13">
        <v>6.2</v>
      </c>
      <c r="AC243" s="13">
        <v>9.9</v>
      </c>
      <c r="AD243" s="13">
        <v>13.6</v>
      </c>
      <c r="AE243" s="13">
        <v>30.1</v>
      </c>
      <c r="AF243" s="13">
        <v>18.100000000000001</v>
      </c>
      <c r="AG243" s="13">
        <v>8.1999999999999993</v>
      </c>
      <c r="AH243" s="13">
        <v>1.2</v>
      </c>
      <c r="AI243" s="13">
        <v>77.400000000000006</v>
      </c>
      <c r="AJ243" s="13">
        <v>27.6</v>
      </c>
      <c r="AK243" s="13">
        <v>30</v>
      </c>
      <c r="AL243" s="13">
        <v>93.1</v>
      </c>
      <c r="AM243" s="13">
        <v>14378</v>
      </c>
      <c r="AN243" s="13">
        <v>53106</v>
      </c>
      <c r="AO243" s="13">
        <v>28.2</v>
      </c>
      <c r="AP243" s="13">
        <v>17.2</v>
      </c>
      <c r="AQ243" s="13">
        <v>30.5</v>
      </c>
      <c r="AR243" s="13">
        <v>19.100000000000001</v>
      </c>
      <c r="AS243" s="13">
        <v>3.5</v>
      </c>
      <c r="AT243" s="13">
        <v>1.5</v>
      </c>
      <c r="AU243" s="13">
        <v>28039</v>
      </c>
      <c r="AV243" s="13">
        <v>31526</v>
      </c>
      <c r="AW243" s="13">
        <v>296</v>
      </c>
      <c r="AX243" s="13">
        <v>28705</v>
      </c>
      <c r="AY243" s="13">
        <v>20771</v>
      </c>
      <c r="AZ243" s="13">
        <v>35279</v>
      </c>
      <c r="BA243" s="13">
        <v>40902</v>
      </c>
      <c r="BB243" s="13">
        <v>33074</v>
      </c>
      <c r="BC243" s="13">
        <v>21265</v>
      </c>
      <c r="BD243" s="13">
        <v>96</v>
      </c>
      <c r="BE243" s="13">
        <v>92</v>
      </c>
      <c r="BF243" s="13">
        <v>90</v>
      </c>
      <c r="BG243" s="13">
        <v>90</v>
      </c>
      <c r="BH243" s="13">
        <v>98</v>
      </c>
      <c r="BI243" s="13">
        <v>94</v>
      </c>
      <c r="BJ243" s="13">
        <v>103</v>
      </c>
      <c r="BK243" s="13">
        <v>95</v>
      </c>
      <c r="BL243" s="13">
        <v>95</v>
      </c>
      <c r="BM243" s="13">
        <v>90</v>
      </c>
      <c r="BN243" s="13">
        <v>92</v>
      </c>
      <c r="BO243" s="13">
        <v>95</v>
      </c>
      <c r="BP243" s="13">
        <v>89</v>
      </c>
      <c r="BQ243" s="13">
        <v>97</v>
      </c>
      <c r="BR243" s="13">
        <v>86</v>
      </c>
      <c r="BS243" s="13">
        <v>97</v>
      </c>
      <c r="BT243" s="13">
        <v>90</v>
      </c>
      <c r="BU243" s="13">
        <v>94</v>
      </c>
      <c r="BV243" s="13">
        <v>96</v>
      </c>
      <c r="BW243" s="13">
        <v>98</v>
      </c>
      <c r="BX243" s="328">
        <f t="shared" si="18"/>
        <v>218096678</v>
      </c>
      <c r="BY243" s="328">
        <f t="shared" si="19"/>
        <v>82114614</v>
      </c>
      <c r="BZ243" s="329">
        <f t="shared" si="16"/>
        <v>0.96220637131587083</v>
      </c>
      <c r="CA243" s="329">
        <f t="shared" si="17"/>
        <v>0.96205629331060361</v>
      </c>
    </row>
    <row r="244" spans="1:79" x14ac:dyDescent="0.25">
      <c r="A244" s="13">
        <v>4320</v>
      </c>
      <c r="B244" s="13">
        <v>243</v>
      </c>
      <c r="C244" s="13" t="s">
        <v>762</v>
      </c>
      <c r="D244" s="13">
        <v>154795</v>
      </c>
      <c r="E244" s="13">
        <v>154340</v>
      </c>
      <c r="F244" s="13">
        <v>154643</v>
      </c>
      <c r="G244" s="13">
        <v>154261</v>
      </c>
      <c r="H244" s="13">
        <v>0</v>
      </c>
      <c r="I244" s="13">
        <v>276</v>
      </c>
      <c r="J244" s="13">
        <v>55384</v>
      </c>
      <c r="K244" s="13">
        <v>56167</v>
      </c>
      <c r="L244" s="13">
        <v>56624</v>
      </c>
      <c r="M244" s="13">
        <v>0.2</v>
      </c>
      <c r="N244" s="13">
        <v>2.64</v>
      </c>
      <c r="O244" s="13">
        <v>41233</v>
      </c>
      <c r="P244" s="13">
        <v>41011</v>
      </c>
      <c r="Q244" s="13">
        <v>-0.1</v>
      </c>
      <c r="R244" s="13">
        <v>91</v>
      </c>
      <c r="S244" s="13">
        <v>89.8</v>
      </c>
      <c r="T244" s="13">
        <v>8</v>
      </c>
      <c r="U244" s="13">
        <v>8.9</v>
      </c>
      <c r="V244" s="13">
        <v>0.5</v>
      </c>
      <c r="W244" s="13">
        <v>0.7</v>
      </c>
      <c r="X244" s="13">
        <v>1</v>
      </c>
      <c r="Y244" s="13">
        <v>1.2</v>
      </c>
      <c r="Z244" s="13">
        <v>7.1</v>
      </c>
      <c r="AA244" s="13">
        <v>7.5</v>
      </c>
      <c r="AB244" s="13">
        <v>7.7</v>
      </c>
      <c r="AC244" s="13">
        <v>7.6</v>
      </c>
      <c r="AD244" s="13">
        <v>6.2</v>
      </c>
      <c r="AE244" s="13">
        <v>29.8</v>
      </c>
      <c r="AF244" s="13">
        <v>20.5</v>
      </c>
      <c r="AG244" s="13">
        <v>12</v>
      </c>
      <c r="AH244" s="13">
        <v>1.7</v>
      </c>
      <c r="AI244" s="13">
        <v>73.3</v>
      </c>
      <c r="AJ244" s="13">
        <v>32.9</v>
      </c>
      <c r="AK244" s="13">
        <v>35.299999999999997</v>
      </c>
      <c r="AL244" s="13">
        <v>99.3</v>
      </c>
      <c r="AM244" s="13">
        <v>14658</v>
      </c>
      <c r="AN244" s="13">
        <v>56166</v>
      </c>
      <c r="AO244" s="13">
        <v>17.899999999999999</v>
      </c>
      <c r="AP244" s="13">
        <v>16.100000000000001</v>
      </c>
      <c r="AQ244" s="13">
        <v>39</v>
      </c>
      <c r="AR244" s="13">
        <v>23.5</v>
      </c>
      <c r="AS244" s="13">
        <v>2.8</v>
      </c>
      <c r="AT244" s="13">
        <v>0.7</v>
      </c>
      <c r="AU244" s="13">
        <v>34508</v>
      </c>
      <c r="AV244" s="13">
        <v>40040</v>
      </c>
      <c r="AW244" s="13">
        <v>194</v>
      </c>
      <c r="AX244" s="13">
        <v>30841</v>
      </c>
      <c r="AY244" s="13">
        <v>27011</v>
      </c>
      <c r="AZ244" s="13">
        <v>36152</v>
      </c>
      <c r="BA244" s="13">
        <v>41200</v>
      </c>
      <c r="BB244" s="13">
        <v>33893</v>
      </c>
      <c r="BC244" s="13">
        <v>20154</v>
      </c>
      <c r="BD244" s="13">
        <v>98</v>
      </c>
      <c r="BE244" s="13">
        <v>89</v>
      </c>
      <c r="BF244" s="13">
        <v>92</v>
      </c>
      <c r="BG244" s="13">
        <v>91</v>
      </c>
      <c r="BH244" s="13">
        <v>100</v>
      </c>
      <c r="BI244" s="13">
        <v>97</v>
      </c>
      <c r="BJ244" s="13">
        <v>105</v>
      </c>
      <c r="BK244" s="13">
        <v>98</v>
      </c>
      <c r="BL244" s="13">
        <v>95</v>
      </c>
      <c r="BM244" s="13">
        <v>93</v>
      </c>
      <c r="BN244" s="13">
        <v>94</v>
      </c>
      <c r="BO244" s="13">
        <v>96</v>
      </c>
      <c r="BP244" s="13">
        <v>96</v>
      </c>
      <c r="BQ244" s="13">
        <v>99</v>
      </c>
      <c r="BR244" s="13">
        <v>96</v>
      </c>
      <c r="BS244" s="13">
        <v>101</v>
      </c>
      <c r="BT244" s="13">
        <v>93</v>
      </c>
      <c r="BU244" s="13">
        <v>95</v>
      </c>
      <c r="BV244" s="13">
        <v>100</v>
      </c>
      <c r="BW244" s="13">
        <v>98</v>
      </c>
      <c r="BX244" s="328">
        <f t="shared" si="18"/>
        <v>218250939</v>
      </c>
      <c r="BY244" s="328">
        <f t="shared" si="19"/>
        <v>82171238</v>
      </c>
      <c r="BZ244" s="329">
        <f t="shared" si="16"/>
        <v>0.96288694526319873</v>
      </c>
      <c r="CA244" s="329">
        <f t="shared" si="17"/>
        <v>0.96271970111219685</v>
      </c>
    </row>
    <row r="245" spans="1:79" x14ac:dyDescent="0.25">
      <c r="A245" s="13">
        <v>2290</v>
      </c>
      <c r="B245" s="13">
        <v>244</v>
      </c>
      <c r="C245" s="13" t="s">
        <v>763</v>
      </c>
      <c r="D245" s="13">
        <v>130932</v>
      </c>
      <c r="E245" s="13">
        <v>137543</v>
      </c>
      <c r="F245" s="13">
        <v>144171</v>
      </c>
      <c r="G245" s="13">
        <v>148218</v>
      </c>
      <c r="H245" s="13">
        <v>0.6</v>
      </c>
      <c r="I245" s="13">
        <v>214</v>
      </c>
      <c r="J245" s="13">
        <v>50359</v>
      </c>
      <c r="K245" s="13">
        <v>54085</v>
      </c>
      <c r="L245" s="13">
        <v>56408</v>
      </c>
      <c r="M245" s="13">
        <v>0.9</v>
      </c>
      <c r="N245" s="13">
        <v>2.56</v>
      </c>
      <c r="O245" s="13">
        <v>34652</v>
      </c>
      <c r="P245" s="13">
        <v>36319</v>
      </c>
      <c r="Q245" s="13">
        <v>0.6</v>
      </c>
      <c r="R245" s="13">
        <v>97.5</v>
      </c>
      <c r="S245" s="13">
        <v>96.6</v>
      </c>
      <c r="T245" s="13">
        <v>0.2</v>
      </c>
      <c r="U245" s="13">
        <v>0.2</v>
      </c>
      <c r="V245" s="13">
        <v>1.7</v>
      </c>
      <c r="W245" s="13">
        <v>2.5</v>
      </c>
      <c r="X245" s="13">
        <v>0.4</v>
      </c>
      <c r="Y245" s="13">
        <v>0.6</v>
      </c>
      <c r="Z245" s="13">
        <v>6.3</v>
      </c>
      <c r="AA245" s="13">
        <v>7.1</v>
      </c>
      <c r="AB245" s="13">
        <v>7.7</v>
      </c>
      <c r="AC245" s="13">
        <v>8.9</v>
      </c>
      <c r="AD245" s="13">
        <v>8.3000000000000007</v>
      </c>
      <c r="AE245" s="13">
        <v>29.1</v>
      </c>
      <c r="AF245" s="13">
        <v>19.5</v>
      </c>
      <c r="AG245" s="13">
        <v>11.4</v>
      </c>
      <c r="AH245" s="13">
        <v>1.8</v>
      </c>
      <c r="AI245" s="13">
        <v>74.599999999999994</v>
      </c>
      <c r="AJ245" s="13">
        <v>31.5</v>
      </c>
      <c r="AK245" s="13">
        <v>34.4</v>
      </c>
      <c r="AL245" s="13">
        <v>95.2</v>
      </c>
      <c r="AM245" s="13">
        <v>17431</v>
      </c>
      <c r="AN245" s="13">
        <v>54079</v>
      </c>
      <c r="AO245" s="13">
        <v>14.8</v>
      </c>
      <c r="AP245" s="13">
        <v>13.3</v>
      </c>
      <c r="AQ245" s="13">
        <v>37.700000000000003</v>
      </c>
      <c r="AR245" s="13">
        <v>28</v>
      </c>
      <c r="AS245" s="13">
        <v>4.9000000000000004</v>
      </c>
      <c r="AT245" s="13">
        <v>1.3</v>
      </c>
      <c r="AU245" s="13">
        <v>38537</v>
      </c>
      <c r="AV245" s="13">
        <v>48437</v>
      </c>
      <c r="AW245" s="13">
        <v>116</v>
      </c>
      <c r="AX245" s="13">
        <v>31556</v>
      </c>
      <c r="AY245" s="13">
        <v>26958</v>
      </c>
      <c r="AZ245" s="13">
        <v>37332</v>
      </c>
      <c r="BA245" s="13">
        <v>41774</v>
      </c>
      <c r="BB245" s="13">
        <v>34438</v>
      </c>
      <c r="BC245" s="13">
        <v>20738</v>
      </c>
      <c r="BD245" s="13">
        <v>98</v>
      </c>
      <c r="BE245" s="13">
        <v>88</v>
      </c>
      <c r="BF245" s="13">
        <v>88</v>
      </c>
      <c r="BG245" s="13">
        <v>90</v>
      </c>
      <c r="BH245" s="13">
        <v>98</v>
      </c>
      <c r="BI245" s="13">
        <v>95</v>
      </c>
      <c r="BJ245" s="13">
        <v>106</v>
      </c>
      <c r="BK245" s="13">
        <v>97</v>
      </c>
      <c r="BL245" s="13">
        <v>95</v>
      </c>
      <c r="BM245" s="13">
        <v>90</v>
      </c>
      <c r="BN245" s="13">
        <v>93</v>
      </c>
      <c r="BO245" s="13">
        <v>96</v>
      </c>
      <c r="BP245" s="13">
        <v>93</v>
      </c>
      <c r="BQ245" s="13">
        <v>98</v>
      </c>
      <c r="BR245" s="13">
        <v>93</v>
      </c>
      <c r="BS245" s="13">
        <v>101</v>
      </c>
      <c r="BT245" s="13">
        <v>92</v>
      </c>
      <c r="BU245" s="13">
        <v>95</v>
      </c>
      <c r="BV245" s="13">
        <v>100</v>
      </c>
      <c r="BW245" s="13">
        <v>98</v>
      </c>
      <c r="BX245" s="328">
        <f t="shared" si="18"/>
        <v>218399157</v>
      </c>
      <c r="BY245" s="328">
        <f t="shared" si="19"/>
        <v>82227646</v>
      </c>
      <c r="BZ245" s="329">
        <f t="shared" si="16"/>
        <v>0.96354085849677718</v>
      </c>
      <c r="CA245" s="329">
        <f t="shared" si="17"/>
        <v>0.96338057825390844</v>
      </c>
    </row>
    <row r="246" spans="1:79" x14ac:dyDescent="0.25">
      <c r="A246" s="13">
        <v>1040</v>
      </c>
      <c r="B246" s="13">
        <v>245</v>
      </c>
      <c r="C246" s="13" t="s">
        <v>764</v>
      </c>
      <c r="D246" s="13">
        <v>119149</v>
      </c>
      <c r="E246" s="13">
        <v>129180</v>
      </c>
      <c r="F246" s="13">
        <v>142324</v>
      </c>
      <c r="G246" s="13">
        <v>151126</v>
      </c>
      <c r="H246" s="13">
        <v>1.2</v>
      </c>
      <c r="I246" s="13">
        <v>130</v>
      </c>
      <c r="J246" s="13">
        <v>46796</v>
      </c>
      <c r="K246" s="13">
        <v>52665</v>
      </c>
      <c r="L246" s="13">
        <v>56192</v>
      </c>
      <c r="M246" s="13">
        <v>1.4</v>
      </c>
      <c r="N246" s="13">
        <v>2.52</v>
      </c>
      <c r="O246" s="13">
        <v>30305</v>
      </c>
      <c r="P246" s="13">
        <v>33118</v>
      </c>
      <c r="Q246" s="13">
        <v>1.1000000000000001</v>
      </c>
      <c r="R246" s="13">
        <v>93.7</v>
      </c>
      <c r="S246" s="13">
        <v>92.5</v>
      </c>
      <c r="T246" s="13">
        <v>4.3</v>
      </c>
      <c r="U246" s="13">
        <v>4.8</v>
      </c>
      <c r="V246" s="13">
        <v>1.3</v>
      </c>
      <c r="W246" s="13">
        <v>1.7</v>
      </c>
      <c r="X246" s="13">
        <v>1.3</v>
      </c>
      <c r="Y246" s="13">
        <v>1.9</v>
      </c>
      <c r="Z246" s="13">
        <v>6.7</v>
      </c>
      <c r="AA246" s="13">
        <v>7</v>
      </c>
      <c r="AB246" s="13">
        <v>6.6</v>
      </c>
      <c r="AC246" s="13">
        <v>9.5</v>
      </c>
      <c r="AD246" s="13">
        <v>12</v>
      </c>
      <c r="AE246" s="13">
        <v>29.6</v>
      </c>
      <c r="AF246" s="13">
        <v>17.899999999999999</v>
      </c>
      <c r="AG246" s="13">
        <v>9.3000000000000007</v>
      </c>
      <c r="AH246" s="13">
        <v>1.5</v>
      </c>
      <c r="AI246" s="13">
        <v>76.3</v>
      </c>
      <c r="AJ246" s="13">
        <v>28.8</v>
      </c>
      <c r="AK246" s="13">
        <v>31.1</v>
      </c>
      <c r="AL246" s="13">
        <v>92.8</v>
      </c>
      <c r="AM246" s="13">
        <v>20439</v>
      </c>
      <c r="AN246" s="13">
        <v>52655</v>
      </c>
      <c r="AO246" s="13">
        <v>12.2</v>
      </c>
      <c r="AP246" s="13">
        <v>11.6</v>
      </c>
      <c r="AQ246" s="13">
        <v>33.4</v>
      </c>
      <c r="AR246" s="13">
        <v>32.299999999999997</v>
      </c>
      <c r="AS246" s="13">
        <v>7.6</v>
      </c>
      <c r="AT246" s="13">
        <v>3</v>
      </c>
      <c r="AU246" s="13">
        <v>44092</v>
      </c>
      <c r="AV246" s="13">
        <v>53272</v>
      </c>
      <c r="AW246" s="13">
        <v>45</v>
      </c>
      <c r="AX246" s="13">
        <v>40490</v>
      </c>
      <c r="AY246" s="13">
        <v>32157</v>
      </c>
      <c r="AZ246" s="13">
        <v>46179</v>
      </c>
      <c r="BA246" s="13">
        <v>55547</v>
      </c>
      <c r="BB246" s="13">
        <v>46668</v>
      </c>
      <c r="BC246" s="13">
        <v>27838</v>
      </c>
      <c r="BD246" s="13">
        <v>99</v>
      </c>
      <c r="BE246" s="13">
        <v>98</v>
      </c>
      <c r="BF246" s="13">
        <v>93</v>
      </c>
      <c r="BG246" s="13">
        <v>97</v>
      </c>
      <c r="BH246" s="13">
        <v>99</v>
      </c>
      <c r="BI246" s="13">
        <v>97</v>
      </c>
      <c r="BJ246" s="13">
        <v>103</v>
      </c>
      <c r="BK246" s="13">
        <v>98</v>
      </c>
      <c r="BL246" s="13">
        <v>98</v>
      </c>
      <c r="BM246" s="13">
        <v>96</v>
      </c>
      <c r="BN246" s="13">
        <v>99</v>
      </c>
      <c r="BO246" s="13">
        <v>98</v>
      </c>
      <c r="BP246" s="13">
        <v>98</v>
      </c>
      <c r="BQ246" s="13">
        <v>100</v>
      </c>
      <c r="BR246" s="13">
        <v>99</v>
      </c>
      <c r="BS246" s="13">
        <v>101</v>
      </c>
      <c r="BT246" s="13">
        <v>98</v>
      </c>
      <c r="BU246" s="13">
        <v>99</v>
      </c>
      <c r="BV246" s="13">
        <v>98</v>
      </c>
      <c r="BW246" s="13">
        <v>99</v>
      </c>
      <c r="BX246" s="328">
        <f t="shared" si="18"/>
        <v>218550283</v>
      </c>
      <c r="BY246" s="328">
        <f t="shared" si="19"/>
        <v>82283838</v>
      </c>
      <c r="BZ246" s="329">
        <f t="shared" si="16"/>
        <v>0.9642076013440547</v>
      </c>
      <c r="CA246" s="329">
        <f t="shared" si="17"/>
        <v>0.96403892473573816</v>
      </c>
    </row>
    <row r="247" spans="1:79" x14ac:dyDescent="0.25">
      <c r="A247" s="13">
        <v>733</v>
      </c>
      <c r="B247" s="13">
        <v>246</v>
      </c>
      <c r="C247" s="13" t="s">
        <v>765</v>
      </c>
      <c r="D247" s="13">
        <v>137015</v>
      </c>
      <c r="E247" s="13">
        <v>146601</v>
      </c>
      <c r="F247" s="13">
        <v>142837</v>
      </c>
      <c r="G247" s="13">
        <v>141347</v>
      </c>
      <c r="H247" s="13">
        <v>-0.3</v>
      </c>
      <c r="I247" s="13">
        <v>302</v>
      </c>
      <c r="J247" s="13">
        <v>54063</v>
      </c>
      <c r="K247" s="13">
        <v>55486</v>
      </c>
      <c r="L247" s="13">
        <v>56189</v>
      </c>
      <c r="M247" s="13">
        <v>0.3</v>
      </c>
      <c r="N247" s="13">
        <v>2.4700000000000002</v>
      </c>
      <c r="O247" s="13">
        <v>38125</v>
      </c>
      <c r="P247" s="13">
        <v>38174</v>
      </c>
      <c r="Q247" s="13">
        <v>0</v>
      </c>
      <c r="R247" s="13">
        <v>98</v>
      </c>
      <c r="S247" s="13">
        <v>97.8</v>
      </c>
      <c r="T247" s="13">
        <v>0.4</v>
      </c>
      <c r="U247" s="13">
        <v>0.4</v>
      </c>
      <c r="V247" s="13">
        <v>0.6</v>
      </c>
      <c r="W247" s="13">
        <v>0.8</v>
      </c>
      <c r="X247" s="13">
        <v>0.5</v>
      </c>
      <c r="Y247" s="13">
        <v>0.7</v>
      </c>
      <c r="Z247" s="13">
        <v>5.3</v>
      </c>
      <c r="AA247" s="13">
        <v>6.4</v>
      </c>
      <c r="AB247" s="13">
        <v>6.9</v>
      </c>
      <c r="AC247" s="13">
        <v>8.1999999999999993</v>
      </c>
      <c r="AD247" s="13">
        <v>7.8</v>
      </c>
      <c r="AE247" s="13">
        <v>31.2</v>
      </c>
      <c r="AF247" s="13">
        <v>21.7</v>
      </c>
      <c r="AG247" s="13">
        <v>11</v>
      </c>
      <c r="AH247" s="13">
        <v>1.5</v>
      </c>
      <c r="AI247" s="13">
        <v>77.3</v>
      </c>
      <c r="AJ247" s="13">
        <v>32.5</v>
      </c>
      <c r="AK247" s="13">
        <v>35.9</v>
      </c>
      <c r="AL247" s="13">
        <v>96.2</v>
      </c>
      <c r="AM247" s="13">
        <v>17216</v>
      </c>
      <c r="AN247" s="13">
        <v>55484</v>
      </c>
      <c r="AO247" s="13">
        <v>16.2</v>
      </c>
      <c r="AP247" s="13">
        <v>15.6</v>
      </c>
      <c r="AQ247" s="13">
        <v>36.9</v>
      </c>
      <c r="AR247" s="13">
        <v>25.9</v>
      </c>
      <c r="AS247" s="13">
        <v>4.0999999999999996</v>
      </c>
      <c r="AT247" s="13">
        <v>1.4</v>
      </c>
      <c r="AU247" s="13">
        <v>36458</v>
      </c>
      <c r="AV247" s="13">
        <v>42120</v>
      </c>
      <c r="AW247" s="13">
        <v>148</v>
      </c>
      <c r="AX247" s="13">
        <v>32105</v>
      </c>
      <c r="AY247" s="13">
        <v>28814</v>
      </c>
      <c r="AZ247" s="13">
        <v>37509</v>
      </c>
      <c r="BA247" s="13">
        <v>40528</v>
      </c>
      <c r="BB247" s="13">
        <v>34473</v>
      </c>
      <c r="BC247" s="13">
        <v>20094</v>
      </c>
      <c r="BD247" s="13">
        <v>99</v>
      </c>
      <c r="BE247" s="13">
        <v>86</v>
      </c>
      <c r="BF247" s="13">
        <v>91</v>
      </c>
      <c r="BG247" s="13">
        <v>89</v>
      </c>
      <c r="BH247" s="13">
        <v>90</v>
      </c>
      <c r="BI247" s="13">
        <v>88</v>
      </c>
      <c r="BJ247" s="13">
        <v>98</v>
      </c>
      <c r="BK247" s="13">
        <v>96</v>
      </c>
      <c r="BL247" s="13">
        <v>93</v>
      </c>
      <c r="BM247" s="13">
        <v>90</v>
      </c>
      <c r="BN247" s="13">
        <v>91</v>
      </c>
      <c r="BO247" s="13">
        <v>97</v>
      </c>
      <c r="BP247" s="13">
        <v>91</v>
      </c>
      <c r="BQ247" s="13">
        <v>99</v>
      </c>
      <c r="BR247" s="13">
        <v>92</v>
      </c>
      <c r="BS247" s="13">
        <v>98</v>
      </c>
      <c r="BT247" s="13">
        <v>93</v>
      </c>
      <c r="BU247" s="13">
        <v>93</v>
      </c>
      <c r="BV247" s="13">
        <v>100</v>
      </c>
      <c r="BW247" s="13">
        <v>99</v>
      </c>
      <c r="BX247" s="328">
        <f t="shared" si="18"/>
        <v>218691630</v>
      </c>
      <c r="BY247" s="328">
        <f t="shared" si="19"/>
        <v>82340027</v>
      </c>
      <c r="BZ247" s="329">
        <f t="shared" si="16"/>
        <v>0.96483120086521013</v>
      </c>
      <c r="CA247" s="329">
        <f t="shared" si="17"/>
        <v>0.96469723606951407</v>
      </c>
    </row>
    <row r="248" spans="1:79" x14ac:dyDescent="0.25">
      <c r="A248" s="13">
        <v>6560</v>
      </c>
      <c r="B248" s="13">
        <v>247</v>
      </c>
      <c r="C248" s="13" t="s">
        <v>766</v>
      </c>
      <c r="D248" s="13">
        <v>125972</v>
      </c>
      <c r="E248" s="13">
        <v>123051</v>
      </c>
      <c r="F248" s="13">
        <v>134741</v>
      </c>
      <c r="G248" s="13">
        <v>141887</v>
      </c>
      <c r="H248" s="13">
        <v>1.1000000000000001</v>
      </c>
      <c r="I248" s="13">
        <v>146</v>
      </c>
      <c r="J248" s="13">
        <v>47057</v>
      </c>
      <c r="K248" s="13">
        <v>52486</v>
      </c>
      <c r="L248" s="13">
        <v>55918</v>
      </c>
      <c r="M248" s="13">
        <v>1.3</v>
      </c>
      <c r="N248" s="13">
        <v>2.5099999999999998</v>
      </c>
      <c r="O248" s="13">
        <v>33248</v>
      </c>
      <c r="P248" s="13">
        <v>36540</v>
      </c>
      <c r="Q248" s="13">
        <v>1.2</v>
      </c>
      <c r="R248" s="13">
        <v>84.8</v>
      </c>
      <c r="S248" s="13">
        <v>83</v>
      </c>
      <c r="T248" s="13">
        <v>1.8</v>
      </c>
      <c r="U248" s="13">
        <v>2.1</v>
      </c>
      <c r="V248" s="13">
        <v>0.6</v>
      </c>
      <c r="W248" s="13">
        <v>0.8</v>
      </c>
      <c r="X248" s="13">
        <v>35.799999999999997</v>
      </c>
      <c r="Y248" s="13">
        <v>39.799999999999997</v>
      </c>
      <c r="Z248" s="13">
        <v>6.4</v>
      </c>
      <c r="AA248" s="13">
        <v>7.1</v>
      </c>
      <c r="AB248" s="13">
        <v>7.7</v>
      </c>
      <c r="AC248" s="13">
        <v>7.9</v>
      </c>
      <c r="AD248" s="13">
        <v>5.6</v>
      </c>
      <c r="AE248" s="13">
        <v>26.4</v>
      </c>
      <c r="AF248" s="13">
        <v>23.6</v>
      </c>
      <c r="AG248" s="13">
        <v>13.7</v>
      </c>
      <c r="AH248" s="13">
        <v>1.7</v>
      </c>
      <c r="AI248" s="13">
        <v>74.099999999999994</v>
      </c>
      <c r="AJ248" s="13">
        <v>34.700000000000003</v>
      </c>
      <c r="AK248" s="13">
        <v>37.9</v>
      </c>
      <c r="AL248" s="13">
        <v>94.8</v>
      </c>
      <c r="AM248" s="13">
        <v>14893</v>
      </c>
      <c r="AN248" s="13">
        <v>52479</v>
      </c>
      <c r="AO248" s="13">
        <v>21.6</v>
      </c>
      <c r="AP248" s="13">
        <v>17.399999999999999</v>
      </c>
      <c r="AQ248" s="13">
        <v>35.6</v>
      </c>
      <c r="AR248" s="13">
        <v>21.8</v>
      </c>
      <c r="AS248" s="13">
        <v>2.9</v>
      </c>
      <c r="AT248" s="13">
        <v>0.7</v>
      </c>
      <c r="AU248" s="13">
        <v>31253</v>
      </c>
      <c r="AV248" s="13">
        <v>36700</v>
      </c>
      <c r="AW248" s="13">
        <v>252</v>
      </c>
      <c r="AX248" s="13">
        <v>29220</v>
      </c>
      <c r="AY248" s="13">
        <v>22975</v>
      </c>
      <c r="AZ248" s="13">
        <v>34464</v>
      </c>
      <c r="BA248" s="13">
        <v>37688</v>
      </c>
      <c r="BB248" s="13">
        <v>31217</v>
      </c>
      <c r="BC248" s="13">
        <v>21439</v>
      </c>
      <c r="BD248" s="13">
        <v>98</v>
      </c>
      <c r="BE248" s="13">
        <v>87</v>
      </c>
      <c r="BF248" s="13">
        <v>94</v>
      </c>
      <c r="BG248" s="13">
        <v>88</v>
      </c>
      <c r="BH248" s="13">
        <v>100</v>
      </c>
      <c r="BI248" s="13">
        <v>97</v>
      </c>
      <c r="BJ248" s="13">
        <v>101</v>
      </c>
      <c r="BK248" s="13">
        <v>98</v>
      </c>
      <c r="BL248" s="13">
        <v>95</v>
      </c>
      <c r="BM248" s="13">
        <v>93</v>
      </c>
      <c r="BN248" s="13">
        <v>91</v>
      </c>
      <c r="BO248" s="13">
        <v>90</v>
      </c>
      <c r="BP248" s="13">
        <v>90</v>
      </c>
      <c r="BQ248" s="13">
        <v>93</v>
      </c>
      <c r="BR248" s="13">
        <v>90</v>
      </c>
      <c r="BS248" s="13">
        <v>95</v>
      </c>
      <c r="BT248" s="13">
        <v>89</v>
      </c>
      <c r="BU248" s="13">
        <v>92</v>
      </c>
      <c r="BV248" s="13">
        <v>99</v>
      </c>
      <c r="BW248" s="13">
        <v>94</v>
      </c>
      <c r="BX248" s="328">
        <f t="shared" si="18"/>
        <v>218833517</v>
      </c>
      <c r="BY248" s="328">
        <f t="shared" si="19"/>
        <v>82395945</v>
      </c>
      <c r="BZ248" s="329">
        <f t="shared" si="16"/>
        <v>0.96545718277680481</v>
      </c>
      <c r="CA248" s="329">
        <f t="shared" si="17"/>
        <v>0.96535237236241977</v>
      </c>
    </row>
    <row r="249" spans="1:79" x14ac:dyDescent="0.25">
      <c r="A249" s="13">
        <v>5200</v>
      </c>
      <c r="B249" s="13">
        <v>248</v>
      </c>
      <c r="C249" s="13" t="s">
        <v>767</v>
      </c>
      <c r="D249" s="13">
        <v>139241</v>
      </c>
      <c r="E249" s="13">
        <v>142191</v>
      </c>
      <c r="F249" s="13">
        <v>147439</v>
      </c>
      <c r="G249" s="13">
        <v>150655</v>
      </c>
      <c r="H249" s="13">
        <v>0.4</v>
      </c>
      <c r="I249" s="13">
        <v>230</v>
      </c>
      <c r="J249" s="13">
        <v>50518</v>
      </c>
      <c r="K249" s="13">
        <v>53592</v>
      </c>
      <c r="L249" s="13">
        <v>55523</v>
      </c>
      <c r="M249" s="13">
        <v>0.7</v>
      </c>
      <c r="N249" s="13">
        <v>2.66</v>
      </c>
      <c r="O249" s="13">
        <v>36482</v>
      </c>
      <c r="P249" s="13">
        <v>37965</v>
      </c>
      <c r="Q249" s="13">
        <v>0.5</v>
      </c>
      <c r="R249" s="13">
        <v>68.099999999999994</v>
      </c>
      <c r="S249" s="13">
        <v>65.5</v>
      </c>
      <c r="T249" s="13">
        <v>31</v>
      </c>
      <c r="U249" s="13">
        <v>33.4</v>
      </c>
      <c r="V249" s="13">
        <v>0.5</v>
      </c>
      <c r="W249" s="13">
        <v>0.7</v>
      </c>
      <c r="X249" s="13">
        <v>0.8</v>
      </c>
      <c r="Y249" s="13">
        <v>1</v>
      </c>
      <c r="Z249" s="13">
        <v>7.5</v>
      </c>
      <c r="AA249" s="13">
        <v>7.4</v>
      </c>
      <c r="AB249" s="13">
        <v>8.1999999999999993</v>
      </c>
      <c r="AC249" s="13">
        <v>9.5</v>
      </c>
      <c r="AD249" s="13">
        <v>8.1999999999999993</v>
      </c>
      <c r="AE249" s="13">
        <v>27.4</v>
      </c>
      <c r="AF249" s="13">
        <v>20.2</v>
      </c>
      <c r="AG249" s="13">
        <v>10.199999999999999</v>
      </c>
      <c r="AH249" s="13">
        <v>1.4</v>
      </c>
      <c r="AI249" s="13">
        <v>71.599999999999994</v>
      </c>
      <c r="AJ249" s="13">
        <v>30.2</v>
      </c>
      <c r="AK249" s="13">
        <v>32.200000000000003</v>
      </c>
      <c r="AL249" s="13">
        <v>89.3</v>
      </c>
      <c r="AM249" s="13">
        <v>15453</v>
      </c>
      <c r="AN249" s="13">
        <v>53592</v>
      </c>
      <c r="AO249" s="13">
        <v>23.9</v>
      </c>
      <c r="AP249" s="13">
        <v>15.9</v>
      </c>
      <c r="AQ249" s="13">
        <v>31.3</v>
      </c>
      <c r="AR249" s="13">
        <v>22.3</v>
      </c>
      <c r="AS249" s="13">
        <v>4.5999999999999996</v>
      </c>
      <c r="AT249" s="13">
        <v>2</v>
      </c>
      <c r="AU249" s="13">
        <v>31862</v>
      </c>
      <c r="AV249" s="13">
        <v>38650</v>
      </c>
      <c r="AW249" s="13">
        <v>239</v>
      </c>
      <c r="AX249" s="13">
        <v>33735</v>
      </c>
      <c r="AY249" s="13">
        <v>26621</v>
      </c>
      <c r="AZ249" s="13">
        <v>39265</v>
      </c>
      <c r="BA249" s="13">
        <v>43593</v>
      </c>
      <c r="BB249" s="13">
        <v>37052</v>
      </c>
      <c r="BC249" s="13">
        <v>22937</v>
      </c>
      <c r="BD249" s="13">
        <v>97</v>
      </c>
      <c r="BE249" s="13">
        <v>89</v>
      </c>
      <c r="BF249" s="13">
        <v>96</v>
      </c>
      <c r="BG249" s="13">
        <v>92</v>
      </c>
      <c r="BH249" s="13">
        <v>102</v>
      </c>
      <c r="BI249" s="13">
        <v>98</v>
      </c>
      <c r="BJ249" s="13">
        <v>103</v>
      </c>
      <c r="BK249" s="13">
        <v>99</v>
      </c>
      <c r="BL249" s="13">
        <v>96</v>
      </c>
      <c r="BM249" s="13">
        <v>95</v>
      </c>
      <c r="BN249" s="13">
        <v>91</v>
      </c>
      <c r="BO249" s="13">
        <v>97</v>
      </c>
      <c r="BP249" s="13">
        <v>93</v>
      </c>
      <c r="BQ249" s="13">
        <v>98</v>
      </c>
      <c r="BR249" s="13">
        <v>89</v>
      </c>
      <c r="BS249" s="13">
        <v>99</v>
      </c>
      <c r="BT249" s="13">
        <v>92</v>
      </c>
      <c r="BU249" s="13">
        <v>96</v>
      </c>
      <c r="BV249" s="13">
        <v>96</v>
      </c>
      <c r="BW249" s="13">
        <v>98</v>
      </c>
      <c r="BX249" s="328">
        <f t="shared" si="18"/>
        <v>218984172</v>
      </c>
      <c r="BY249" s="328">
        <f t="shared" si="19"/>
        <v>82451468</v>
      </c>
      <c r="BZ249" s="329">
        <f t="shared" si="16"/>
        <v>0.96612184765019915</v>
      </c>
      <c r="CA249" s="329">
        <f t="shared" si="17"/>
        <v>0.96600288082822683</v>
      </c>
    </row>
    <row r="250" spans="1:79" x14ac:dyDescent="0.25">
      <c r="A250" s="13">
        <v>880</v>
      </c>
      <c r="B250" s="13">
        <v>249</v>
      </c>
      <c r="C250" s="13" t="s">
        <v>768</v>
      </c>
      <c r="D250" s="13">
        <v>108035</v>
      </c>
      <c r="E250" s="13">
        <v>113419</v>
      </c>
      <c r="F250" s="13">
        <v>126650</v>
      </c>
      <c r="G250" s="13">
        <v>134802</v>
      </c>
      <c r="H250" s="13">
        <v>1.3</v>
      </c>
      <c r="I250" s="13">
        <v>98</v>
      </c>
      <c r="J250" s="13">
        <v>44689</v>
      </c>
      <c r="K250" s="13">
        <v>51068</v>
      </c>
      <c r="L250" s="13">
        <v>55139</v>
      </c>
      <c r="M250" s="13">
        <v>1.6</v>
      </c>
      <c r="N250" s="13">
        <v>2.44</v>
      </c>
      <c r="O250" s="13">
        <v>30500</v>
      </c>
      <c r="P250" s="13">
        <v>33937</v>
      </c>
      <c r="Q250" s="13">
        <v>1.3</v>
      </c>
      <c r="R250" s="13">
        <v>95.2</v>
      </c>
      <c r="S250" s="13">
        <v>94.6</v>
      </c>
      <c r="T250" s="13">
        <v>0.5</v>
      </c>
      <c r="U250" s="13">
        <v>0.6</v>
      </c>
      <c r="V250" s="13">
        <v>0.5</v>
      </c>
      <c r="W250" s="13">
        <v>0.6</v>
      </c>
      <c r="X250" s="13">
        <v>2.8</v>
      </c>
      <c r="Y250" s="13">
        <v>3.1</v>
      </c>
      <c r="Z250" s="13">
        <v>6.2</v>
      </c>
      <c r="AA250" s="13">
        <v>7.2</v>
      </c>
      <c r="AB250" s="13">
        <v>7.7</v>
      </c>
      <c r="AC250" s="13">
        <v>7.9</v>
      </c>
      <c r="AD250" s="13">
        <v>6.5</v>
      </c>
      <c r="AE250" s="13">
        <v>29.3</v>
      </c>
      <c r="AF250" s="13">
        <v>22.9</v>
      </c>
      <c r="AG250" s="13">
        <v>10.9</v>
      </c>
      <c r="AH250" s="13">
        <v>1.5</v>
      </c>
      <c r="AI250" s="13">
        <v>74.3</v>
      </c>
      <c r="AJ250" s="13">
        <v>33.5</v>
      </c>
      <c r="AK250" s="13">
        <v>36.5</v>
      </c>
      <c r="AL250" s="13">
        <v>95.5</v>
      </c>
      <c r="AM250" s="13">
        <v>16672</v>
      </c>
      <c r="AN250" s="13">
        <v>51068</v>
      </c>
      <c r="AO250" s="13">
        <v>18.2</v>
      </c>
      <c r="AP250" s="13">
        <v>16</v>
      </c>
      <c r="AQ250" s="13">
        <v>37.299999999999997</v>
      </c>
      <c r="AR250" s="13">
        <v>23.6</v>
      </c>
      <c r="AS250" s="13">
        <v>3.7</v>
      </c>
      <c r="AT250" s="13">
        <v>1.1000000000000001</v>
      </c>
      <c r="AU250" s="13">
        <v>34368</v>
      </c>
      <c r="AV250" s="13">
        <v>38980</v>
      </c>
      <c r="AW250" s="13">
        <v>196</v>
      </c>
      <c r="AX250" s="13">
        <v>30841</v>
      </c>
      <c r="AY250" s="13">
        <v>25523</v>
      </c>
      <c r="AZ250" s="13">
        <v>35992</v>
      </c>
      <c r="BA250" s="13">
        <v>38372</v>
      </c>
      <c r="BB250" s="13">
        <v>33103</v>
      </c>
      <c r="BC250" s="13">
        <v>22187</v>
      </c>
      <c r="BD250" s="13">
        <v>100</v>
      </c>
      <c r="BE250" s="13">
        <v>95</v>
      </c>
      <c r="BF250" s="13">
        <v>97</v>
      </c>
      <c r="BG250" s="13">
        <v>95</v>
      </c>
      <c r="BH250" s="13">
        <v>100</v>
      </c>
      <c r="BI250" s="13">
        <v>99</v>
      </c>
      <c r="BJ250" s="13">
        <v>101</v>
      </c>
      <c r="BK250" s="13">
        <v>99</v>
      </c>
      <c r="BL250" s="13">
        <v>99</v>
      </c>
      <c r="BM250" s="13">
        <v>98</v>
      </c>
      <c r="BN250" s="13">
        <v>98</v>
      </c>
      <c r="BO250" s="13">
        <v>94</v>
      </c>
      <c r="BP250" s="13">
        <v>94</v>
      </c>
      <c r="BQ250" s="13">
        <v>96</v>
      </c>
      <c r="BR250" s="13">
        <v>93</v>
      </c>
      <c r="BS250" s="13">
        <v>96</v>
      </c>
      <c r="BT250" s="13">
        <v>96</v>
      </c>
      <c r="BU250" s="13">
        <v>96</v>
      </c>
      <c r="BV250" s="13">
        <v>99</v>
      </c>
      <c r="BW250" s="13">
        <v>95</v>
      </c>
      <c r="BX250" s="328">
        <f t="shared" si="18"/>
        <v>219118974</v>
      </c>
      <c r="BY250" s="328">
        <f t="shared" si="19"/>
        <v>82506607</v>
      </c>
      <c r="BZ250" s="329">
        <f t="shared" si="16"/>
        <v>0.96671657171686332</v>
      </c>
      <c r="CA250" s="329">
        <f t="shared" si="17"/>
        <v>0.96664889034313306</v>
      </c>
    </row>
    <row r="251" spans="1:79" x14ac:dyDescent="0.25">
      <c r="A251" s="13">
        <v>6323</v>
      </c>
      <c r="B251" s="13">
        <v>250</v>
      </c>
      <c r="C251" s="13" t="s">
        <v>769</v>
      </c>
      <c r="D251" s="13">
        <v>145110</v>
      </c>
      <c r="E251" s="13">
        <v>139352</v>
      </c>
      <c r="F251" s="13">
        <v>133858</v>
      </c>
      <c r="G251" s="13">
        <v>130673</v>
      </c>
      <c r="H251" s="13">
        <v>-0.5</v>
      </c>
      <c r="I251" s="13">
        <v>309</v>
      </c>
      <c r="J251" s="13">
        <v>54315</v>
      </c>
      <c r="K251" s="13">
        <v>54311</v>
      </c>
      <c r="L251" s="13">
        <v>54253</v>
      </c>
      <c r="M251" s="13">
        <v>0</v>
      </c>
      <c r="N251" s="13">
        <v>2.36</v>
      </c>
      <c r="O251" s="13">
        <v>36622</v>
      </c>
      <c r="P251" s="13">
        <v>35487</v>
      </c>
      <c r="Q251" s="13">
        <v>-0.4</v>
      </c>
      <c r="R251" s="13">
        <v>97</v>
      </c>
      <c r="S251" s="13">
        <v>96</v>
      </c>
      <c r="T251" s="13">
        <v>1.8</v>
      </c>
      <c r="U251" s="13">
        <v>2.2999999999999998</v>
      </c>
      <c r="V251" s="13">
        <v>0.7</v>
      </c>
      <c r="W251" s="13">
        <v>1</v>
      </c>
      <c r="X251" s="13">
        <v>1</v>
      </c>
      <c r="Y251" s="13">
        <v>1.4</v>
      </c>
      <c r="Z251" s="13">
        <v>5.6</v>
      </c>
      <c r="AA251" s="13">
        <v>6.5</v>
      </c>
      <c r="AB251" s="13">
        <v>6.6</v>
      </c>
      <c r="AC251" s="13">
        <v>6.6</v>
      </c>
      <c r="AD251" s="13">
        <v>6</v>
      </c>
      <c r="AE251" s="13">
        <v>28.9</v>
      </c>
      <c r="AF251" s="13">
        <v>22.2</v>
      </c>
      <c r="AG251" s="13">
        <v>15.2</v>
      </c>
      <c r="AH251" s="13">
        <v>2.2999999999999998</v>
      </c>
      <c r="AI251" s="13">
        <v>77.8</v>
      </c>
      <c r="AJ251" s="13">
        <v>35.9</v>
      </c>
      <c r="AK251" s="13">
        <v>38.5</v>
      </c>
      <c r="AL251" s="13">
        <v>93</v>
      </c>
      <c r="AM251" s="13">
        <v>16809</v>
      </c>
      <c r="AN251" s="13">
        <v>54311</v>
      </c>
      <c r="AO251" s="13">
        <v>21.2</v>
      </c>
      <c r="AP251" s="13">
        <v>15.6</v>
      </c>
      <c r="AQ251" s="13">
        <v>34.799999999999997</v>
      </c>
      <c r="AR251" s="13">
        <v>23.7</v>
      </c>
      <c r="AS251" s="13">
        <v>3.1</v>
      </c>
      <c r="AT251" s="13">
        <v>1.6</v>
      </c>
      <c r="AU251" s="13">
        <v>33138</v>
      </c>
      <c r="AV251" s="13">
        <v>35023</v>
      </c>
      <c r="AW251" s="13">
        <v>213</v>
      </c>
      <c r="AX251" s="13">
        <v>29417</v>
      </c>
      <c r="AY251" s="13">
        <v>25907</v>
      </c>
      <c r="AZ251" s="13">
        <v>33258</v>
      </c>
      <c r="BA251" s="13">
        <v>40770</v>
      </c>
      <c r="BB251" s="13">
        <v>35362</v>
      </c>
      <c r="BC251" s="13">
        <v>18516</v>
      </c>
      <c r="BD251" s="13">
        <v>99</v>
      </c>
      <c r="BE251" s="13">
        <v>93</v>
      </c>
      <c r="BF251" s="13">
        <v>102</v>
      </c>
      <c r="BG251" s="13">
        <v>96</v>
      </c>
      <c r="BH251" s="13">
        <v>96</v>
      </c>
      <c r="BI251" s="13">
        <v>94</v>
      </c>
      <c r="BJ251" s="13">
        <v>93</v>
      </c>
      <c r="BK251" s="13">
        <v>97</v>
      </c>
      <c r="BL251" s="13">
        <v>94</v>
      </c>
      <c r="BM251" s="13">
        <v>97</v>
      </c>
      <c r="BN251" s="13">
        <v>97</v>
      </c>
      <c r="BO251" s="13">
        <v>98</v>
      </c>
      <c r="BP251" s="13">
        <v>99</v>
      </c>
      <c r="BQ251" s="13">
        <v>101</v>
      </c>
      <c r="BR251" s="13">
        <v>102</v>
      </c>
      <c r="BS251" s="13">
        <v>98</v>
      </c>
      <c r="BT251" s="13">
        <v>99</v>
      </c>
      <c r="BU251" s="13">
        <v>96</v>
      </c>
      <c r="BV251" s="13">
        <v>102</v>
      </c>
      <c r="BW251" s="13">
        <v>99</v>
      </c>
      <c r="BX251" s="328">
        <f t="shared" si="18"/>
        <v>219249647</v>
      </c>
      <c r="BY251" s="328">
        <f t="shared" si="19"/>
        <v>82560860</v>
      </c>
      <c r="BZ251" s="329">
        <f t="shared" si="16"/>
        <v>0.96729307932033526</v>
      </c>
      <c r="CA251" s="329">
        <f t="shared" si="17"/>
        <v>0.96728451946611704</v>
      </c>
    </row>
    <row r="252" spans="1:79" x14ac:dyDescent="0.25">
      <c r="A252" s="13">
        <v>1740</v>
      </c>
      <c r="B252" s="13">
        <v>251</v>
      </c>
      <c r="C252" s="13" t="s">
        <v>770</v>
      </c>
      <c r="D252" s="13">
        <v>100376</v>
      </c>
      <c r="E252" s="13">
        <v>112379</v>
      </c>
      <c r="F252" s="13">
        <v>130895</v>
      </c>
      <c r="G252" s="13">
        <v>142112</v>
      </c>
      <c r="H252" s="13">
        <v>1.9</v>
      </c>
      <c r="I252" s="13">
        <v>60</v>
      </c>
      <c r="J252" s="13">
        <v>41937</v>
      </c>
      <c r="K252" s="13">
        <v>49569</v>
      </c>
      <c r="L252" s="13">
        <v>54235</v>
      </c>
      <c r="M252" s="13">
        <v>2</v>
      </c>
      <c r="N252" s="13">
        <v>2.42</v>
      </c>
      <c r="O252" s="13">
        <v>25573</v>
      </c>
      <c r="P252" s="13">
        <v>29279</v>
      </c>
      <c r="Q252" s="13">
        <v>1.7</v>
      </c>
      <c r="R252" s="13">
        <v>89</v>
      </c>
      <c r="S252" s="13">
        <v>86.5</v>
      </c>
      <c r="T252" s="13">
        <v>7.5</v>
      </c>
      <c r="U252" s="13">
        <v>8.8000000000000007</v>
      </c>
      <c r="V252" s="13">
        <v>2.8</v>
      </c>
      <c r="W252" s="13">
        <v>3.8</v>
      </c>
      <c r="X252" s="13">
        <v>1.1000000000000001</v>
      </c>
      <c r="Y252" s="13">
        <v>1.6</v>
      </c>
      <c r="Z252" s="13">
        <v>6.6</v>
      </c>
      <c r="AA252" s="13">
        <v>6.6</v>
      </c>
      <c r="AB252" s="13">
        <v>6.2</v>
      </c>
      <c r="AC252" s="13">
        <v>9.8000000000000007</v>
      </c>
      <c r="AD252" s="13">
        <v>13.6</v>
      </c>
      <c r="AE252" s="13">
        <v>32.9</v>
      </c>
      <c r="AF252" s="13">
        <v>16</v>
      </c>
      <c r="AG252" s="13">
        <v>7.1</v>
      </c>
      <c r="AH252" s="13">
        <v>1.1000000000000001</v>
      </c>
      <c r="AI252" s="13">
        <v>77.400000000000006</v>
      </c>
      <c r="AJ252" s="13">
        <v>27.7</v>
      </c>
      <c r="AK252" s="13">
        <v>29</v>
      </c>
      <c r="AL252" s="13">
        <v>94.9</v>
      </c>
      <c r="AM252" s="13">
        <v>17556</v>
      </c>
      <c r="AN252" s="13">
        <v>49569</v>
      </c>
      <c r="AO252" s="13">
        <v>18.8</v>
      </c>
      <c r="AP252" s="13">
        <v>15.1</v>
      </c>
      <c r="AQ252" s="13">
        <v>32.799999999999997</v>
      </c>
      <c r="AR252" s="13">
        <v>26.4</v>
      </c>
      <c r="AS252" s="13">
        <v>5</v>
      </c>
      <c r="AT252" s="13">
        <v>1.9</v>
      </c>
      <c r="AU252" s="13">
        <v>35763</v>
      </c>
      <c r="AV252" s="13">
        <v>41906</v>
      </c>
      <c r="AW252" s="13">
        <v>165</v>
      </c>
      <c r="AX252" s="13">
        <v>34556</v>
      </c>
      <c r="AY252" s="13">
        <v>24957</v>
      </c>
      <c r="AZ252" s="13">
        <v>40734</v>
      </c>
      <c r="BA252" s="13">
        <v>46709</v>
      </c>
      <c r="BB252" s="13">
        <v>43882</v>
      </c>
      <c r="BC252" s="13">
        <v>27676</v>
      </c>
      <c r="BD252" s="13">
        <v>98</v>
      </c>
      <c r="BE252" s="13">
        <v>100</v>
      </c>
      <c r="BF252" s="13">
        <v>90</v>
      </c>
      <c r="BG252" s="13">
        <v>97</v>
      </c>
      <c r="BH252" s="13">
        <v>97</v>
      </c>
      <c r="BI252" s="13">
        <v>95</v>
      </c>
      <c r="BJ252" s="13">
        <v>101</v>
      </c>
      <c r="BK252" s="13">
        <v>97</v>
      </c>
      <c r="BL252" s="13">
        <v>98</v>
      </c>
      <c r="BM252" s="13">
        <v>95</v>
      </c>
      <c r="BN252" s="13">
        <v>99</v>
      </c>
      <c r="BO252" s="13">
        <v>97</v>
      </c>
      <c r="BP252" s="13">
        <v>96</v>
      </c>
      <c r="BQ252" s="13">
        <v>99</v>
      </c>
      <c r="BR252" s="13">
        <v>98</v>
      </c>
      <c r="BS252" s="13">
        <v>101</v>
      </c>
      <c r="BT252" s="13">
        <v>98</v>
      </c>
      <c r="BU252" s="13">
        <v>99</v>
      </c>
      <c r="BV252" s="13">
        <v>96</v>
      </c>
      <c r="BW252" s="13">
        <v>99</v>
      </c>
      <c r="BX252" s="328">
        <f t="shared" si="18"/>
        <v>219391759</v>
      </c>
      <c r="BY252" s="328">
        <f t="shared" si="19"/>
        <v>82615095</v>
      </c>
      <c r="BZ252" s="329">
        <f t="shared" si="16"/>
        <v>0.967920053894613</v>
      </c>
      <c r="CA252" s="329">
        <f t="shared" si="17"/>
        <v>0.96791993770077744</v>
      </c>
    </row>
    <row r="253" spans="1:79" x14ac:dyDescent="0.25">
      <c r="A253" s="13">
        <v>9360</v>
      </c>
      <c r="B253" s="13">
        <v>252</v>
      </c>
      <c r="C253" s="13" t="s">
        <v>771</v>
      </c>
      <c r="D253" s="13">
        <v>76205</v>
      </c>
      <c r="E253" s="13">
        <v>106895</v>
      </c>
      <c r="F253" s="13">
        <v>134434</v>
      </c>
      <c r="G253" s="13">
        <v>151599</v>
      </c>
      <c r="H253" s="13">
        <v>2.8</v>
      </c>
      <c r="I253" s="13">
        <v>17</v>
      </c>
      <c r="J253" s="13">
        <v>35791</v>
      </c>
      <c r="K253" s="13">
        <v>46929</v>
      </c>
      <c r="L253" s="13">
        <v>53938</v>
      </c>
      <c r="M253" s="13">
        <v>3.3</v>
      </c>
      <c r="N253" s="13">
        <v>2.79</v>
      </c>
      <c r="O253" s="13">
        <v>27671</v>
      </c>
      <c r="P253" s="13">
        <v>36068</v>
      </c>
      <c r="Q253" s="13">
        <v>3.3</v>
      </c>
      <c r="R253" s="13">
        <v>75.5</v>
      </c>
      <c r="S253" s="13">
        <v>72.400000000000006</v>
      </c>
      <c r="T253" s="13">
        <v>2.9</v>
      </c>
      <c r="U253" s="13">
        <v>3.2</v>
      </c>
      <c r="V253" s="13">
        <v>1.3</v>
      </c>
      <c r="W253" s="13">
        <v>1.7</v>
      </c>
      <c r="X253" s="13">
        <v>40.6</v>
      </c>
      <c r="Y253" s="13">
        <v>46.1</v>
      </c>
      <c r="Z253" s="13">
        <v>8.4</v>
      </c>
      <c r="AA253" s="13">
        <v>8</v>
      </c>
      <c r="AB253" s="13">
        <v>7.6</v>
      </c>
      <c r="AC253" s="13">
        <v>8</v>
      </c>
      <c r="AD253" s="13">
        <v>7.8</v>
      </c>
      <c r="AE253" s="13">
        <v>27.7</v>
      </c>
      <c r="AF253" s="13">
        <v>18.899999999999999</v>
      </c>
      <c r="AG253" s="13">
        <v>12.5</v>
      </c>
      <c r="AH253" s="13">
        <v>1</v>
      </c>
      <c r="AI253" s="13">
        <v>71.3</v>
      </c>
      <c r="AJ253" s="13">
        <v>30.5</v>
      </c>
      <c r="AK253" s="13">
        <v>32.299999999999997</v>
      </c>
      <c r="AL253" s="13">
        <v>104.7</v>
      </c>
      <c r="AM253" s="13">
        <v>13064</v>
      </c>
      <c r="AN253" s="13">
        <v>46929</v>
      </c>
      <c r="AO253" s="13">
        <v>21.7</v>
      </c>
      <c r="AP253" s="13">
        <v>20.2</v>
      </c>
      <c r="AQ253" s="13">
        <v>34.200000000000003</v>
      </c>
      <c r="AR253" s="13">
        <v>20.5</v>
      </c>
      <c r="AS253" s="13">
        <v>2.6</v>
      </c>
      <c r="AT253" s="13">
        <v>0.7</v>
      </c>
      <c r="AU253" s="13">
        <v>29150</v>
      </c>
      <c r="AV253" s="13">
        <v>32378</v>
      </c>
      <c r="AW253" s="13">
        <v>288</v>
      </c>
      <c r="AX253" s="13">
        <v>29310</v>
      </c>
      <c r="AY253" s="13">
        <v>27162</v>
      </c>
      <c r="AZ253" s="13">
        <v>31806</v>
      </c>
      <c r="BA253" s="13">
        <v>38011</v>
      </c>
      <c r="BB253" s="13">
        <v>31725</v>
      </c>
      <c r="BC253" s="13">
        <v>21956</v>
      </c>
      <c r="BD253" s="13">
        <v>98</v>
      </c>
      <c r="BE253" s="13">
        <v>92</v>
      </c>
      <c r="BF253" s="13">
        <v>100</v>
      </c>
      <c r="BG253" s="13">
        <v>90</v>
      </c>
      <c r="BH253" s="13">
        <v>99</v>
      </c>
      <c r="BI253" s="13">
        <v>100</v>
      </c>
      <c r="BJ253" s="13">
        <v>99</v>
      </c>
      <c r="BK253" s="13">
        <v>100</v>
      </c>
      <c r="BL253" s="13">
        <v>96</v>
      </c>
      <c r="BM253" s="13">
        <v>93</v>
      </c>
      <c r="BN253" s="13">
        <v>94</v>
      </c>
      <c r="BO253" s="13">
        <v>92</v>
      </c>
      <c r="BP253" s="13">
        <v>91</v>
      </c>
      <c r="BQ253" s="13">
        <v>94</v>
      </c>
      <c r="BR253" s="13">
        <v>92</v>
      </c>
      <c r="BS253" s="13">
        <v>95</v>
      </c>
      <c r="BT253" s="13">
        <v>88</v>
      </c>
      <c r="BU253" s="13">
        <v>94</v>
      </c>
      <c r="BV253" s="13">
        <v>102</v>
      </c>
      <c r="BW253" s="13">
        <v>96</v>
      </c>
      <c r="BX253" s="328">
        <f t="shared" si="18"/>
        <v>219543358</v>
      </c>
      <c r="BY253" s="328">
        <f t="shared" si="19"/>
        <v>82669033</v>
      </c>
      <c r="BZ253" s="329">
        <f t="shared" si="16"/>
        <v>0.96858888353944195</v>
      </c>
      <c r="CA253" s="329">
        <f t="shared" si="17"/>
        <v>0.96855187627810035</v>
      </c>
    </row>
    <row r="254" spans="1:79" x14ac:dyDescent="0.25">
      <c r="A254" s="13">
        <v>2180</v>
      </c>
      <c r="B254" s="13">
        <v>253</v>
      </c>
      <c r="C254" s="13" t="s">
        <v>772</v>
      </c>
      <c r="D254" s="13">
        <v>122453</v>
      </c>
      <c r="E254" s="13">
        <v>130964</v>
      </c>
      <c r="F254" s="13">
        <v>134800</v>
      </c>
      <c r="G254" s="13">
        <v>137537</v>
      </c>
      <c r="H254" s="13">
        <v>0.4</v>
      </c>
      <c r="I254" s="13">
        <v>243</v>
      </c>
      <c r="J254" s="13">
        <v>48418</v>
      </c>
      <c r="K254" s="13">
        <v>51636</v>
      </c>
      <c r="L254" s="13">
        <v>53624</v>
      </c>
      <c r="M254" s="13">
        <v>0.8</v>
      </c>
      <c r="N254" s="13">
        <v>2.56</v>
      </c>
      <c r="O254" s="13">
        <v>35962</v>
      </c>
      <c r="P254" s="13">
        <v>37541</v>
      </c>
      <c r="Q254" s="13">
        <v>0.5</v>
      </c>
      <c r="R254" s="13">
        <v>77</v>
      </c>
      <c r="S254" s="13">
        <v>75.2</v>
      </c>
      <c r="T254" s="13">
        <v>21.2</v>
      </c>
      <c r="U254" s="13">
        <v>22.6</v>
      </c>
      <c r="V254" s="13">
        <v>0.9</v>
      </c>
      <c r="W254" s="13">
        <v>1.2</v>
      </c>
      <c r="X254" s="13">
        <v>1.3</v>
      </c>
      <c r="Y254" s="13">
        <v>2.2000000000000002</v>
      </c>
      <c r="Z254" s="13">
        <v>7.7</v>
      </c>
      <c r="AA254" s="13">
        <v>7.3</v>
      </c>
      <c r="AB254" s="13">
        <v>7</v>
      </c>
      <c r="AC254" s="13">
        <v>7.3</v>
      </c>
      <c r="AD254" s="13">
        <v>7.5</v>
      </c>
      <c r="AE254" s="13">
        <v>30.8</v>
      </c>
      <c r="AF254" s="13">
        <v>20.8</v>
      </c>
      <c r="AG254" s="13">
        <v>10.3</v>
      </c>
      <c r="AH254" s="13">
        <v>1.3</v>
      </c>
      <c r="AI254" s="13">
        <v>73.599999999999994</v>
      </c>
      <c r="AJ254" s="13">
        <v>31.5</v>
      </c>
      <c r="AK254" s="13">
        <v>33.6</v>
      </c>
      <c r="AL254" s="13">
        <v>94</v>
      </c>
      <c r="AM254" s="13">
        <v>15939</v>
      </c>
      <c r="AN254" s="13">
        <v>51636</v>
      </c>
      <c r="AO254" s="13">
        <v>20</v>
      </c>
      <c r="AP254" s="13">
        <v>15.7</v>
      </c>
      <c r="AQ254" s="13">
        <v>35.5</v>
      </c>
      <c r="AR254" s="13">
        <v>23.9</v>
      </c>
      <c r="AS254" s="13">
        <v>3.7</v>
      </c>
      <c r="AT254" s="13">
        <v>1.2</v>
      </c>
      <c r="AU254" s="13">
        <v>33290</v>
      </c>
      <c r="AV254" s="13">
        <v>40117</v>
      </c>
      <c r="AW254" s="13">
        <v>210</v>
      </c>
      <c r="AX254" s="13">
        <v>32446</v>
      </c>
      <c r="AY254" s="13">
        <v>28127</v>
      </c>
      <c r="AZ254" s="13">
        <v>37823</v>
      </c>
      <c r="BA254" s="13">
        <v>42595</v>
      </c>
      <c r="BB254" s="13">
        <v>35001</v>
      </c>
      <c r="BC254" s="13">
        <v>19987</v>
      </c>
      <c r="BD254" s="13">
        <v>98</v>
      </c>
      <c r="BE254" s="13">
        <v>89</v>
      </c>
      <c r="BF254" s="13">
        <v>90</v>
      </c>
      <c r="BG254" s="13">
        <v>90</v>
      </c>
      <c r="BH254" s="13">
        <v>100</v>
      </c>
      <c r="BI254" s="13">
        <v>97</v>
      </c>
      <c r="BJ254" s="13">
        <v>105</v>
      </c>
      <c r="BK254" s="13">
        <v>99</v>
      </c>
      <c r="BL254" s="13">
        <v>97</v>
      </c>
      <c r="BM254" s="13">
        <v>94</v>
      </c>
      <c r="BN254" s="13">
        <v>93</v>
      </c>
      <c r="BO254" s="13">
        <v>98</v>
      </c>
      <c r="BP254" s="13">
        <v>93</v>
      </c>
      <c r="BQ254" s="13">
        <v>99</v>
      </c>
      <c r="BR254" s="13">
        <v>87</v>
      </c>
      <c r="BS254" s="13">
        <v>99</v>
      </c>
      <c r="BT254" s="13">
        <v>92</v>
      </c>
      <c r="BU254" s="13">
        <v>96</v>
      </c>
      <c r="BV254" s="13">
        <v>98</v>
      </c>
      <c r="BW254" s="13">
        <v>99</v>
      </c>
      <c r="BX254" s="328">
        <f t="shared" si="18"/>
        <v>219680895</v>
      </c>
      <c r="BY254" s="328">
        <f t="shared" si="19"/>
        <v>82722657</v>
      </c>
      <c r="BZ254" s="329">
        <f t="shared" si="16"/>
        <v>0.96919567397249784</v>
      </c>
      <c r="CA254" s="329">
        <f t="shared" si="17"/>
        <v>0.96918013602578046</v>
      </c>
    </row>
    <row r="255" spans="1:79" x14ac:dyDescent="0.25">
      <c r="A255" s="13">
        <v>8080</v>
      </c>
      <c r="B255" s="13">
        <v>254</v>
      </c>
      <c r="C255" s="13" t="s">
        <v>773</v>
      </c>
      <c r="D255" s="13">
        <v>163734</v>
      </c>
      <c r="E255" s="13">
        <v>142523</v>
      </c>
      <c r="F255" s="13">
        <v>135612</v>
      </c>
      <c r="G255" s="13">
        <v>131593</v>
      </c>
      <c r="H255" s="13">
        <v>-0.6</v>
      </c>
      <c r="I255" s="13">
        <v>313</v>
      </c>
      <c r="J255" s="13">
        <v>55223</v>
      </c>
      <c r="K255" s="13">
        <v>54026</v>
      </c>
      <c r="L255" s="13">
        <v>53319</v>
      </c>
      <c r="M255" s="13">
        <v>-0.3</v>
      </c>
      <c r="N255" s="13">
        <v>2.46</v>
      </c>
      <c r="O255" s="13">
        <v>40382</v>
      </c>
      <c r="P255" s="13">
        <v>38535</v>
      </c>
      <c r="Q255" s="13">
        <v>-0.6</v>
      </c>
      <c r="R255" s="13">
        <v>95.5</v>
      </c>
      <c r="S255" s="13">
        <v>95</v>
      </c>
      <c r="T255" s="13">
        <v>3.9</v>
      </c>
      <c r="U255" s="13">
        <v>4.3</v>
      </c>
      <c r="V255" s="13">
        <v>0.3</v>
      </c>
      <c r="W255" s="13">
        <v>0.4</v>
      </c>
      <c r="X255" s="13">
        <v>0.5</v>
      </c>
      <c r="Y255" s="13">
        <v>0.6</v>
      </c>
      <c r="Z255" s="13">
        <v>5.0999999999999996</v>
      </c>
      <c r="AA255" s="13">
        <v>5.6</v>
      </c>
      <c r="AB255" s="13">
        <v>6.3</v>
      </c>
      <c r="AC255" s="13">
        <v>7.6</v>
      </c>
      <c r="AD255" s="13">
        <v>6.4</v>
      </c>
      <c r="AE255" s="13">
        <v>27</v>
      </c>
      <c r="AF255" s="13">
        <v>24.8</v>
      </c>
      <c r="AG255" s="13">
        <v>15.6</v>
      </c>
      <c r="AH255" s="13">
        <v>1.6</v>
      </c>
      <c r="AI255" s="13">
        <v>78.5</v>
      </c>
      <c r="AJ255" s="13">
        <v>37.6</v>
      </c>
      <c r="AK255" s="13">
        <v>40.1</v>
      </c>
      <c r="AL255" s="13">
        <v>91.5</v>
      </c>
      <c r="AM255" s="13">
        <v>13250</v>
      </c>
      <c r="AN255" s="13">
        <v>54026</v>
      </c>
      <c r="AO255" s="13">
        <v>27.2</v>
      </c>
      <c r="AP255" s="13">
        <v>18.2</v>
      </c>
      <c r="AQ255" s="13">
        <v>34.799999999999997</v>
      </c>
      <c r="AR255" s="13">
        <v>17.899999999999999</v>
      </c>
      <c r="AS255" s="13">
        <v>1.4</v>
      </c>
      <c r="AT255" s="13">
        <v>0.5</v>
      </c>
      <c r="AU255" s="13">
        <v>27372</v>
      </c>
      <c r="AV255" s="13">
        <v>30200</v>
      </c>
      <c r="AW255" s="13">
        <v>299</v>
      </c>
      <c r="AX255" s="13">
        <v>26251</v>
      </c>
      <c r="AY255" s="13">
        <v>22874</v>
      </c>
      <c r="AZ255" s="13">
        <v>32305</v>
      </c>
      <c r="BA255" s="13">
        <v>35185</v>
      </c>
      <c r="BB255" s="13">
        <v>28662</v>
      </c>
      <c r="BC255" s="13">
        <v>16850</v>
      </c>
      <c r="BD255" s="13">
        <v>96</v>
      </c>
      <c r="BE255" s="13">
        <v>83</v>
      </c>
      <c r="BF255" s="13">
        <v>93</v>
      </c>
      <c r="BG255" s="13">
        <v>87</v>
      </c>
      <c r="BH255" s="13">
        <v>103</v>
      </c>
      <c r="BI255" s="13">
        <v>98</v>
      </c>
      <c r="BJ255" s="13">
        <v>103</v>
      </c>
      <c r="BK255" s="13">
        <v>98</v>
      </c>
      <c r="BL255" s="13">
        <v>92</v>
      </c>
      <c r="BM255" s="13">
        <v>91</v>
      </c>
      <c r="BN255" s="13">
        <v>91</v>
      </c>
      <c r="BO255" s="13">
        <v>94</v>
      </c>
      <c r="BP255" s="13">
        <v>95</v>
      </c>
      <c r="BQ255" s="13">
        <v>97</v>
      </c>
      <c r="BR255" s="13">
        <v>97</v>
      </c>
      <c r="BS255" s="13">
        <v>100</v>
      </c>
      <c r="BT255" s="13">
        <v>90</v>
      </c>
      <c r="BU255" s="13">
        <v>93</v>
      </c>
      <c r="BV255" s="13">
        <v>101</v>
      </c>
      <c r="BW255" s="13">
        <v>96</v>
      </c>
      <c r="BX255" s="328">
        <f t="shared" si="18"/>
        <v>219812488</v>
      </c>
      <c r="BY255" s="328">
        <f t="shared" si="19"/>
        <v>82775976</v>
      </c>
      <c r="BZ255" s="329">
        <f t="shared" si="16"/>
        <v>0.96977624046338484</v>
      </c>
      <c r="CA255" s="329">
        <f t="shared" si="17"/>
        <v>0.96980482238797938</v>
      </c>
    </row>
    <row r="256" spans="1:79" x14ac:dyDescent="0.25">
      <c r="A256" s="13">
        <v>9340</v>
      </c>
      <c r="B256" s="13">
        <v>255</v>
      </c>
      <c r="C256" s="13" t="s">
        <v>774</v>
      </c>
      <c r="D256" s="13">
        <v>101979</v>
      </c>
      <c r="E256" s="13">
        <v>122643</v>
      </c>
      <c r="F256" s="13">
        <v>141393</v>
      </c>
      <c r="G256" s="13">
        <v>152136</v>
      </c>
      <c r="H256" s="13">
        <v>1.7</v>
      </c>
      <c r="I256" s="13">
        <v>67</v>
      </c>
      <c r="J256" s="13">
        <v>42887</v>
      </c>
      <c r="K256" s="13">
        <v>49379</v>
      </c>
      <c r="L256" s="13">
        <v>53247</v>
      </c>
      <c r="M256" s="13">
        <v>1.7</v>
      </c>
      <c r="N256" s="13">
        <v>2.79</v>
      </c>
      <c r="O256" s="13">
        <v>31910</v>
      </c>
      <c r="P256" s="13">
        <v>36174</v>
      </c>
      <c r="Q256" s="13">
        <v>1.5</v>
      </c>
      <c r="R256" s="13">
        <v>77.5</v>
      </c>
      <c r="S256" s="13">
        <v>71.900000000000006</v>
      </c>
      <c r="T256" s="13">
        <v>2.8</v>
      </c>
      <c r="U256" s="13">
        <v>2.8</v>
      </c>
      <c r="V256" s="13">
        <v>9</v>
      </c>
      <c r="W256" s="13">
        <v>11.8</v>
      </c>
      <c r="X256" s="13">
        <v>14.1</v>
      </c>
      <c r="Y256" s="13">
        <v>18.8</v>
      </c>
      <c r="Z256" s="13">
        <v>9.4</v>
      </c>
      <c r="AA256" s="13">
        <v>9.6</v>
      </c>
      <c r="AB256" s="13">
        <v>8.1999999999999993</v>
      </c>
      <c r="AC256" s="13">
        <v>6.8</v>
      </c>
      <c r="AD256" s="13">
        <v>5.5</v>
      </c>
      <c r="AE256" s="13">
        <v>28.2</v>
      </c>
      <c r="AF256" s="13">
        <v>20.3</v>
      </c>
      <c r="AG256" s="13">
        <v>10.7</v>
      </c>
      <c r="AH256" s="13">
        <v>1.2</v>
      </c>
      <c r="AI256" s="13">
        <v>68.7</v>
      </c>
      <c r="AJ256" s="13">
        <v>30.9</v>
      </c>
      <c r="AK256" s="13">
        <v>32.700000000000003</v>
      </c>
      <c r="AL256" s="13">
        <v>99</v>
      </c>
      <c r="AM256" s="13">
        <v>14368</v>
      </c>
      <c r="AN256" s="13">
        <v>49379</v>
      </c>
      <c r="AO256" s="13">
        <v>20.6</v>
      </c>
      <c r="AP256" s="13">
        <v>18.600000000000001</v>
      </c>
      <c r="AQ256" s="13">
        <v>34.4</v>
      </c>
      <c r="AR256" s="13">
        <v>21.1</v>
      </c>
      <c r="AS256" s="13">
        <v>3.5</v>
      </c>
      <c r="AT256" s="13">
        <v>1.8</v>
      </c>
      <c r="AU256" s="13">
        <v>31275</v>
      </c>
      <c r="AV256" s="13">
        <v>35749</v>
      </c>
      <c r="AW256" s="13">
        <v>250</v>
      </c>
      <c r="AX256" s="13">
        <v>31020</v>
      </c>
      <c r="AY256" s="13">
        <v>26164</v>
      </c>
      <c r="AZ256" s="13">
        <v>34859</v>
      </c>
      <c r="BA256" s="13">
        <v>39123</v>
      </c>
      <c r="BB256" s="13">
        <v>34809</v>
      </c>
      <c r="BC256" s="13">
        <v>23176</v>
      </c>
      <c r="BD256" s="13">
        <v>98</v>
      </c>
      <c r="BE256" s="13">
        <v>93</v>
      </c>
      <c r="BF256" s="13">
        <v>94</v>
      </c>
      <c r="BG256" s="13">
        <v>90</v>
      </c>
      <c r="BH256" s="13">
        <v>99</v>
      </c>
      <c r="BI256" s="13">
        <v>97</v>
      </c>
      <c r="BJ256" s="13">
        <v>99</v>
      </c>
      <c r="BK256" s="13">
        <v>98</v>
      </c>
      <c r="BL256" s="13">
        <v>97</v>
      </c>
      <c r="BM256" s="13">
        <v>94</v>
      </c>
      <c r="BN256" s="13">
        <v>94</v>
      </c>
      <c r="BO256" s="13">
        <v>92</v>
      </c>
      <c r="BP256" s="13">
        <v>91</v>
      </c>
      <c r="BQ256" s="13">
        <v>93</v>
      </c>
      <c r="BR256" s="13">
        <v>91</v>
      </c>
      <c r="BS256" s="13">
        <v>96</v>
      </c>
      <c r="BT256" s="13">
        <v>91</v>
      </c>
      <c r="BU256" s="13">
        <v>95</v>
      </c>
      <c r="BV256" s="13">
        <v>98</v>
      </c>
      <c r="BW256" s="13">
        <v>95</v>
      </c>
      <c r="BX256" s="328">
        <f t="shared" si="18"/>
        <v>219964624</v>
      </c>
      <c r="BY256" s="328">
        <f t="shared" si="19"/>
        <v>82829223</v>
      </c>
      <c r="BZ256" s="329">
        <f t="shared" si="16"/>
        <v>0.97044743926315069</v>
      </c>
      <c r="CA256" s="329">
        <f t="shared" si="17"/>
        <v>0.97042866519688442</v>
      </c>
    </row>
    <row r="257" spans="1:79" x14ac:dyDescent="0.25">
      <c r="A257" s="13">
        <v>3610</v>
      </c>
      <c r="B257" s="13">
        <v>256</v>
      </c>
      <c r="C257" s="13" t="s">
        <v>775</v>
      </c>
      <c r="D257" s="13">
        <v>146925</v>
      </c>
      <c r="E257" s="13">
        <v>141895</v>
      </c>
      <c r="F257" s="13">
        <v>139364</v>
      </c>
      <c r="G257" s="13">
        <v>137477</v>
      </c>
      <c r="H257" s="13">
        <v>-0.2</v>
      </c>
      <c r="I257" s="13">
        <v>294</v>
      </c>
      <c r="J257" s="13">
        <v>53696</v>
      </c>
      <c r="K257" s="13">
        <v>53348</v>
      </c>
      <c r="L257" s="13">
        <v>53078</v>
      </c>
      <c r="M257" s="13">
        <v>-0.1</v>
      </c>
      <c r="N257" s="13">
        <v>2.5</v>
      </c>
      <c r="O257" s="13">
        <v>37203</v>
      </c>
      <c r="P257" s="13">
        <v>36140</v>
      </c>
      <c r="Q257" s="13">
        <v>-0.4</v>
      </c>
      <c r="R257" s="13">
        <v>96.1</v>
      </c>
      <c r="S257" s="13">
        <v>94.8</v>
      </c>
      <c r="T257" s="13">
        <v>1.7</v>
      </c>
      <c r="U257" s="13">
        <v>2.2000000000000002</v>
      </c>
      <c r="V257" s="13">
        <v>0.4</v>
      </c>
      <c r="W257" s="13">
        <v>0.6</v>
      </c>
      <c r="X257" s="13">
        <v>2.9</v>
      </c>
      <c r="Y257" s="13">
        <v>4</v>
      </c>
      <c r="Z257" s="13">
        <v>7</v>
      </c>
      <c r="AA257" s="13">
        <v>7.3</v>
      </c>
      <c r="AB257" s="13">
        <v>7.3</v>
      </c>
      <c r="AC257" s="13">
        <v>7.7</v>
      </c>
      <c r="AD257" s="13">
        <v>6.3</v>
      </c>
      <c r="AE257" s="13">
        <v>27.5</v>
      </c>
      <c r="AF257" s="13">
        <v>21.1</v>
      </c>
      <c r="AG257" s="13">
        <v>13.6</v>
      </c>
      <c r="AH257" s="13">
        <v>2.1</v>
      </c>
      <c r="AI257" s="13">
        <v>74.3</v>
      </c>
      <c r="AJ257" s="13">
        <v>34.299999999999997</v>
      </c>
      <c r="AK257" s="13">
        <v>36.200000000000003</v>
      </c>
      <c r="AL257" s="13">
        <v>94.7</v>
      </c>
      <c r="AM257" s="13">
        <v>13008</v>
      </c>
      <c r="AN257" s="13">
        <v>53348</v>
      </c>
      <c r="AO257" s="13">
        <v>25.9</v>
      </c>
      <c r="AP257" s="13">
        <v>19.100000000000001</v>
      </c>
      <c r="AQ257" s="13">
        <v>36.299999999999997</v>
      </c>
      <c r="AR257" s="13">
        <v>16.3</v>
      </c>
      <c r="AS257" s="13">
        <v>1.8</v>
      </c>
      <c r="AT257" s="13">
        <v>0.6</v>
      </c>
      <c r="AU257" s="13">
        <v>27472</v>
      </c>
      <c r="AV257" s="13">
        <v>30500</v>
      </c>
      <c r="AW257" s="13">
        <v>298</v>
      </c>
      <c r="AX257" s="13">
        <v>24656</v>
      </c>
      <c r="AY257" s="13">
        <v>21945</v>
      </c>
      <c r="AZ257" s="13">
        <v>29077</v>
      </c>
      <c r="BA257" s="13">
        <v>32870</v>
      </c>
      <c r="BB257" s="13">
        <v>27657</v>
      </c>
      <c r="BC257" s="13">
        <v>15720</v>
      </c>
      <c r="BD257" s="13">
        <v>97</v>
      </c>
      <c r="BE257" s="13">
        <v>82</v>
      </c>
      <c r="BF257" s="13">
        <v>91</v>
      </c>
      <c r="BG257" s="13">
        <v>86</v>
      </c>
      <c r="BH257" s="13">
        <v>92</v>
      </c>
      <c r="BI257" s="13">
        <v>89</v>
      </c>
      <c r="BJ257" s="13">
        <v>96</v>
      </c>
      <c r="BK257" s="13">
        <v>96</v>
      </c>
      <c r="BL257" s="13">
        <v>91</v>
      </c>
      <c r="BM257" s="13">
        <v>89</v>
      </c>
      <c r="BN257" s="13">
        <v>89</v>
      </c>
      <c r="BO257" s="13">
        <v>95</v>
      </c>
      <c r="BP257" s="13">
        <v>91</v>
      </c>
      <c r="BQ257" s="13">
        <v>98</v>
      </c>
      <c r="BR257" s="13">
        <v>93</v>
      </c>
      <c r="BS257" s="13">
        <v>97</v>
      </c>
      <c r="BT257" s="13">
        <v>91</v>
      </c>
      <c r="BU257" s="13">
        <v>91</v>
      </c>
      <c r="BV257" s="13">
        <v>101</v>
      </c>
      <c r="BW257" s="13">
        <v>97</v>
      </c>
      <c r="BX257" s="328">
        <f t="shared" si="18"/>
        <v>220102101</v>
      </c>
      <c r="BY257" s="328">
        <f t="shared" si="19"/>
        <v>82882301</v>
      </c>
      <c r="BZ257" s="329">
        <f t="shared" si="16"/>
        <v>0.9710539649861577</v>
      </c>
      <c r="CA257" s="329">
        <f t="shared" si="17"/>
        <v>0.97105052799875224</v>
      </c>
    </row>
    <row r="258" spans="1:79" x14ac:dyDescent="0.25">
      <c r="A258" s="13">
        <v>1260</v>
      </c>
      <c r="B258" s="13">
        <v>257</v>
      </c>
      <c r="C258" s="13" t="s">
        <v>776</v>
      </c>
      <c r="D258" s="13">
        <v>93588</v>
      </c>
      <c r="E258" s="13">
        <v>121862</v>
      </c>
      <c r="F258" s="13">
        <v>134013</v>
      </c>
      <c r="G258" s="13">
        <v>141281</v>
      </c>
      <c r="H258" s="13">
        <v>1.2</v>
      </c>
      <c r="I258" s="13">
        <v>136</v>
      </c>
      <c r="J258" s="13">
        <v>43725</v>
      </c>
      <c r="K258" s="13">
        <v>49363</v>
      </c>
      <c r="L258" s="13">
        <v>52953</v>
      </c>
      <c r="M258" s="13">
        <v>1.5</v>
      </c>
      <c r="N258" s="13">
        <v>2.46</v>
      </c>
      <c r="O258" s="13">
        <v>24903</v>
      </c>
      <c r="P258" s="13">
        <v>27213</v>
      </c>
      <c r="Q258" s="13">
        <v>1.1000000000000001</v>
      </c>
      <c r="R258" s="13">
        <v>77.8</v>
      </c>
      <c r="S258" s="13">
        <v>73.900000000000006</v>
      </c>
      <c r="T258" s="13">
        <v>11.2</v>
      </c>
      <c r="U258" s="13">
        <v>12</v>
      </c>
      <c r="V258" s="13">
        <v>3.5</v>
      </c>
      <c r="W258" s="13">
        <v>4.9000000000000004</v>
      </c>
      <c r="X258" s="13">
        <v>13.7</v>
      </c>
      <c r="Y258" s="13">
        <v>17.399999999999999</v>
      </c>
      <c r="Z258" s="13">
        <v>6.8</v>
      </c>
      <c r="AA258" s="13">
        <v>6.2</v>
      </c>
      <c r="AB258" s="13">
        <v>5.6</v>
      </c>
      <c r="AC258" s="13">
        <v>12.2</v>
      </c>
      <c r="AD258" s="13">
        <v>20.399999999999999</v>
      </c>
      <c r="AE258" s="13">
        <v>28.6</v>
      </c>
      <c r="AF258" s="13">
        <v>13.5</v>
      </c>
      <c r="AG258" s="13">
        <v>5.8</v>
      </c>
      <c r="AH258" s="13">
        <v>0.8</v>
      </c>
      <c r="AI258" s="13">
        <v>78.5</v>
      </c>
      <c r="AJ258" s="13">
        <v>24.2</v>
      </c>
      <c r="AK258" s="13">
        <v>24.7</v>
      </c>
      <c r="AL258" s="13">
        <v>105.8</v>
      </c>
      <c r="AM258" s="13">
        <v>14230</v>
      </c>
      <c r="AN258" s="13">
        <v>49362</v>
      </c>
      <c r="AO258" s="13">
        <v>30.5</v>
      </c>
      <c r="AP258" s="13">
        <v>15.8</v>
      </c>
      <c r="AQ258" s="13">
        <v>29.1</v>
      </c>
      <c r="AR258" s="13">
        <v>19</v>
      </c>
      <c r="AS258" s="13">
        <v>3.6</v>
      </c>
      <c r="AT258" s="13">
        <v>1.9</v>
      </c>
      <c r="AU258" s="13">
        <v>27073</v>
      </c>
      <c r="AV258" s="13">
        <v>33292</v>
      </c>
      <c r="AW258" s="13">
        <v>300</v>
      </c>
      <c r="AX258" s="13">
        <v>30522</v>
      </c>
      <c r="AY258" s="13">
        <v>20785</v>
      </c>
      <c r="AZ258" s="13">
        <v>39886</v>
      </c>
      <c r="BA258" s="13">
        <v>45899</v>
      </c>
      <c r="BB258" s="13">
        <v>43570</v>
      </c>
      <c r="BC258" s="13">
        <v>26392</v>
      </c>
      <c r="BD258" s="13">
        <v>95</v>
      </c>
      <c r="BE258" s="13">
        <v>101</v>
      </c>
      <c r="BF258" s="13">
        <v>94</v>
      </c>
      <c r="BG258" s="13">
        <v>97</v>
      </c>
      <c r="BH258" s="13">
        <v>98</v>
      </c>
      <c r="BI258" s="13">
        <v>95</v>
      </c>
      <c r="BJ258" s="13">
        <v>99</v>
      </c>
      <c r="BK258" s="13">
        <v>92</v>
      </c>
      <c r="BL258" s="13">
        <v>94</v>
      </c>
      <c r="BM258" s="13">
        <v>88</v>
      </c>
      <c r="BN258" s="13">
        <v>93</v>
      </c>
      <c r="BO258" s="13">
        <v>93</v>
      </c>
      <c r="BP258" s="13">
        <v>89</v>
      </c>
      <c r="BQ258" s="13">
        <v>95</v>
      </c>
      <c r="BR258" s="13">
        <v>88</v>
      </c>
      <c r="BS258" s="13">
        <v>95</v>
      </c>
      <c r="BT258" s="13">
        <v>91</v>
      </c>
      <c r="BU258" s="13">
        <v>95</v>
      </c>
      <c r="BV258" s="13">
        <v>95</v>
      </c>
      <c r="BW258" s="13">
        <v>98</v>
      </c>
      <c r="BX258" s="328">
        <f t="shared" si="18"/>
        <v>220243382</v>
      </c>
      <c r="BY258" s="328">
        <f t="shared" si="19"/>
        <v>82935254</v>
      </c>
      <c r="BZ258" s="329">
        <f t="shared" ref="BZ258:BZ316" si="20">BX258/$CC$43</f>
        <v>0.97167727332625942</v>
      </c>
      <c r="CA258" s="329">
        <f t="shared" ref="CA258:CA316" si="21">BY258/$CD$43</f>
        <v>0.97167092629837382</v>
      </c>
    </row>
    <row r="259" spans="1:79" x14ac:dyDescent="0.25">
      <c r="A259" s="13">
        <v>9080</v>
      </c>
      <c r="B259" s="13">
        <v>258</v>
      </c>
      <c r="C259" s="13" t="s">
        <v>777</v>
      </c>
      <c r="D259" s="13">
        <v>128348</v>
      </c>
      <c r="E259" s="13">
        <v>130351</v>
      </c>
      <c r="F259" s="13">
        <v>137360</v>
      </c>
      <c r="G259" s="13">
        <v>139620</v>
      </c>
      <c r="H259" s="13">
        <v>0.6</v>
      </c>
      <c r="I259" s="13">
        <v>204</v>
      </c>
      <c r="J259" s="13">
        <v>48228</v>
      </c>
      <c r="K259" s="13">
        <v>50508</v>
      </c>
      <c r="L259" s="13">
        <v>51968</v>
      </c>
      <c r="M259" s="13">
        <v>0.6</v>
      </c>
      <c r="N259" s="13">
        <v>2.52</v>
      </c>
      <c r="O259" s="13">
        <v>34546</v>
      </c>
      <c r="P259" s="13">
        <v>35424</v>
      </c>
      <c r="Q259" s="13">
        <v>0.3</v>
      </c>
      <c r="R259" s="13">
        <v>84.6</v>
      </c>
      <c r="S259" s="13">
        <v>81.7</v>
      </c>
      <c r="T259" s="13">
        <v>8.6</v>
      </c>
      <c r="U259" s="13">
        <v>9.4</v>
      </c>
      <c r="V259" s="13">
        <v>1.4</v>
      </c>
      <c r="W259" s="13">
        <v>2.1</v>
      </c>
      <c r="X259" s="13">
        <v>8.1999999999999993</v>
      </c>
      <c r="Y259" s="13">
        <v>10.6</v>
      </c>
      <c r="Z259" s="13">
        <v>7.1</v>
      </c>
      <c r="AA259" s="13">
        <v>7.5</v>
      </c>
      <c r="AB259" s="13">
        <v>7.1</v>
      </c>
      <c r="AC259" s="13">
        <v>8.4</v>
      </c>
      <c r="AD259" s="13">
        <v>7.3</v>
      </c>
      <c r="AE259" s="13">
        <v>28.1</v>
      </c>
      <c r="AF259" s="13">
        <v>21.5</v>
      </c>
      <c r="AG259" s="13">
        <v>11.3</v>
      </c>
      <c r="AH259" s="13">
        <v>1.8</v>
      </c>
      <c r="AI259" s="13">
        <v>74.599999999999994</v>
      </c>
      <c r="AJ259" s="13">
        <v>31.9</v>
      </c>
      <c r="AK259" s="13">
        <v>34.299999999999997</v>
      </c>
      <c r="AL259" s="13">
        <v>96.4</v>
      </c>
      <c r="AM259" s="13">
        <v>14856</v>
      </c>
      <c r="AN259" s="13">
        <v>50496</v>
      </c>
      <c r="AO259" s="13">
        <v>21.6</v>
      </c>
      <c r="AP259" s="13">
        <v>17.600000000000001</v>
      </c>
      <c r="AQ259" s="13">
        <v>35.4</v>
      </c>
      <c r="AR259" s="13">
        <v>21.2</v>
      </c>
      <c r="AS259" s="13">
        <v>3.1</v>
      </c>
      <c r="AT259" s="13">
        <v>1.2</v>
      </c>
      <c r="AU259" s="13">
        <v>31267</v>
      </c>
      <c r="AV259" s="13">
        <v>37759</v>
      </c>
      <c r="AW259" s="13">
        <v>251</v>
      </c>
      <c r="AX259" s="13">
        <v>31268</v>
      </c>
      <c r="AY259" s="13">
        <v>26694</v>
      </c>
      <c r="AZ259" s="13">
        <v>35824</v>
      </c>
      <c r="BA259" s="13">
        <v>39116</v>
      </c>
      <c r="BB259" s="13">
        <v>34315</v>
      </c>
      <c r="BC259" s="13">
        <v>22750</v>
      </c>
      <c r="BD259" s="13">
        <v>97</v>
      </c>
      <c r="BE259" s="13">
        <v>92</v>
      </c>
      <c r="BF259" s="13">
        <v>95</v>
      </c>
      <c r="BG259" s="13">
        <v>92</v>
      </c>
      <c r="BH259" s="13">
        <v>102</v>
      </c>
      <c r="BI259" s="13">
        <v>99</v>
      </c>
      <c r="BJ259" s="13">
        <v>103</v>
      </c>
      <c r="BK259" s="13">
        <v>98</v>
      </c>
      <c r="BL259" s="13">
        <v>97</v>
      </c>
      <c r="BM259" s="13">
        <v>94</v>
      </c>
      <c r="BN259" s="13">
        <v>94</v>
      </c>
      <c r="BO259" s="13">
        <v>97</v>
      </c>
      <c r="BP259" s="13">
        <v>94</v>
      </c>
      <c r="BQ259" s="13">
        <v>99</v>
      </c>
      <c r="BR259" s="13">
        <v>90</v>
      </c>
      <c r="BS259" s="13">
        <v>98</v>
      </c>
      <c r="BT259" s="13">
        <v>93</v>
      </c>
      <c r="BU259" s="13">
        <v>96</v>
      </c>
      <c r="BV259" s="13">
        <v>99</v>
      </c>
      <c r="BW259" s="13">
        <v>98</v>
      </c>
      <c r="BX259" s="328">
        <f t="shared" ref="BX259:BX316" si="22">BX258+G259</f>
        <v>220383002</v>
      </c>
      <c r="BY259" s="328">
        <f t="shared" ref="BY259:BY316" si="23">BY258+L259</f>
        <v>82987222</v>
      </c>
      <c r="BZ259" s="329">
        <f t="shared" si="20"/>
        <v>0.9722932536098432</v>
      </c>
      <c r="CA259" s="329">
        <f t="shared" si="21"/>
        <v>0.97227978432029383</v>
      </c>
    </row>
    <row r="260" spans="1:79" x14ac:dyDescent="0.25">
      <c r="A260" s="13">
        <v>280</v>
      </c>
      <c r="B260" s="13">
        <v>259</v>
      </c>
      <c r="C260" s="13" t="s">
        <v>778</v>
      </c>
      <c r="D260" s="13">
        <v>136621</v>
      </c>
      <c r="E260" s="13">
        <v>130542</v>
      </c>
      <c r="F260" s="13">
        <v>130604</v>
      </c>
      <c r="G260" s="13">
        <v>130535</v>
      </c>
      <c r="H260" s="13">
        <v>0</v>
      </c>
      <c r="I260" s="13">
        <v>278</v>
      </c>
      <c r="J260" s="13">
        <v>50332</v>
      </c>
      <c r="K260" s="13">
        <v>51129</v>
      </c>
      <c r="L260" s="13">
        <v>51601</v>
      </c>
      <c r="M260" s="13">
        <v>0.2</v>
      </c>
      <c r="N260" s="13">
        <v>2.5</v>
      </c>
      <c r="O260" s="13">
        <v>35787</v>
      </c>
      <c r="P260" s="13">
        <v>35455</v>
      </c>
      <c r="Q260" s="13">
        <v>-0.1</v>
      </c>
      <c r="R260" s="13">
        <v>98.7</v>
      </c>
      <c r="S260" s="13">
        <v>98.3</v>
      </c>
      <c r="T260" s="13">
        <v>0.8</v>
      </c>
      <c r="U260" s="13">
        <v>1</v>
      </c>
      <c r="V260" s="13">
        <v>0.3</v>
      </c>
      <c r="W260" s="13">
        <v>0.4</v>
      </c>
      <c r="X260" s="13">
        <v>0.3</v>
      </c>
      <c r="Y260" s="13">
        <v>0.5</v>
      </c>
      <c r="Z260" s="13">
        <v>5.7</v>
      </c>
      <c r="AA260" s="13">
        <v>6.5</v>
      </c>
      <c r="AB260" s="13">
        <v>7.1</v>
      </c>
      <c r="AC260" s="13">
        <v>7.4</v>
      </c>
      <c r="AD260" s="13">
        <v>5.6</v>
      </c>
      <c r="AE260" s="13">
        <v>27.6</v>
      </c>
      <c r="AF260" s="13">
        <v>22.6</v>
      </c>
      <c r="AG260" s="13">
        <v>15.4</v>
      </c>
      <c r="AH260" s="13">
        <v>2.1</v>
      </c>
      <c r="AI260" s="13">
        <v>76.5</v>
      </c>
      <c r="AJ260" s="13">
        <v>36.200000000000003</v>
      </c>
      <c r="AK260" s="13">
        <v>38.700000000000003</v>
      </c>
      <c r="AL260" s="13">
        <v>89.9</v>
      </c>
      <c r="AM260" s="13">
        <v>14969</v>
      </c>
      <c r="AN260" s="13">
        <v>51123</v>
      </c>
      <c r="AO260" s="13">
        <v>20.6</v>
      </c>
      <c r="AP260" s="13">
        <v>17.3</v>
      </c>
      <c r="AQ260" s="13">
        <v>38.200000000000003</v>
      </c>
      <c r="AR260" s="13">
        <v>20.7</v>
      </c>
      <c r="AS260" s="13">
        <v>2.5</v>
      </c>
      <c r="AT260" s="13">
        <v>0.8</v>
      </c>
      <c r="AU260" s="13">
        <v>31380</v>
      </c>
      <c r="AV260" s="13">
        <v>35376</v>
      </c>
      <c r="AW260" s="13">
        <v>249</v>
      </c>
      <c r="AX260" s="13">
        <v>28818</v>
      </c>
      <c r="AY260" s="13">
        <v>26231</v>
      </c>
      <c r="AZ260" s="13">
        <v>34417</v>
      </c>
      <c r="BA260" s="13">
        <v>36388</v>
      </c>
      <c r="BB260" s="13">
        <v>32796</v>
      </c>
      <c r="BC260" s="13">
        <v>19249</v>
      </c>
      <c r="BD260" s="13">
        <v>97</v>
      </c>
      <c r="BE260" s="13">
        <v>81</v>
      </c>
      <c r="BF260" s="13">
        <v>92</v>
      </c>
      <c r="BG260" s="13">
        <v>86</v>
      </c>
      <c r="BH260" s="13">
        <v>93</v>
      </c>
      <c r="BI260" s="13">
        <v>90</v>
      </c>
      <c r="BJ260" s="13">
        <v>95</v>
      </c>
      <c r="BK260" s="13">
        <v>96</v>
      </c>
      <c r="BL260" s="13">
        <v>90</v>
      </c>
      <c r="BM260" s="13">
        <v>90</v>
      </c>
      <c r="BN260" s="13">
        <v>88</v>
      </c>
      <c r="BO260" s="13">
        <v>95</v>
      </c>
      <c r="BP260" s="13">
        <v>91</v>
      </c>
      <c r="BQ260" s="13">
        <v>97</v>
      </c>
      <c r="BR260" s="13">
        <v>94</v>
      </c>
      <c r="BS260" s="13">
        <v>96</v>
      </c>
      <c r="BT260" s="13">
        <v>90</v>
      </c>
      <c r="BU260" s="13">
        <v>91</v>
      </c>
      <c r="BV260" s="13">
        <v>101</v>
      </c>
      <c r="BW260" s="13">
        <v>97</v>
      </c>
      <c r="BX260" s="328">
        <f t="shared" si="22"/>
        <v>220513537</v>
      </c>
      <c r="BY260" s="328">
        <f t="shared" si="23"/>
        <v>83038823</v>
      </c>
      <c r="BZ260" s="329">
        <f t="shared" si="20"/>
        <v>0.97286915238020288</v>
      </c>
      <c r="CA260" s="329">
        <f t="shared" si="21"/>
        <v>0.97288434256361844</v>
      </c>
    </row>
    <row r="261" spans="1:79" x14ac:dyDescent="0.25">
      <c r="A261" s="13">
        <v>3150</v>
      </c>
      <c r="B261" s="13">
        <v>260</v>
      </c>
      <c r="C261" s="13" t="s">
        <v>779</v>
      </c>
      <c r="D261" s="13">
        <v>90146</v>
      </c>
      <c r="E261" s="13">
        <v>107924</v>
      </c>
      <c r="F261" s="13">
        <v>122741</v>
      </c>
      <c r="G261" s="13">
        <v>131623</v>
      </c>
      <c r="H261" s="13">
        <v>1.6</v>
      </c>
      <c r="I261" s="13">
        <v>74</v>
      </c>
      <c r="J261" s="13">
        <v>40491</v>
      </c>
      <c r="K261" s="13">
        <v>46784</v>
      </c>
      <c r="L261" s="13">
        <v>50658</v>
      </c>
      <c r="M261" s="13">
        <v>1.8</v>
      </c>
      <c r="N261" s="13">
        <v>2.5</v>
      </c>
      <c r="O261" s="13">
        <v>26434</v>
      </c>
      <c r="P261" s="13">
        <v>29467</v>
      </c>
      <c r="Q261" s="13">
        <v>1.3</v>
      </c>
      <c r="R261" s="13">
        <v>65.5</v>
      </c>
      <c r="S261" s="13">
        <v>63.3</v>
      </c>
      <c r="T261" s="13">
        <v>33.299999999999997</v>
      </c>
      <c r="U261" s="13">
        <v>34.6</v>
      </c>
      <c r="V261" s="13">
        <v>0.7</v>
      </c>
      <c r="W261" s="13">
        <v>1.1000000000000001</v>
      </c>
      <c r="X261" s="13">
        <v>0.9</v>
      </c>
      <c r="Y261" s="13">
        <v>1.8</v>
      </c>
      <c r="Z261" s="13">
        <v>7.1</v>
      </c>
      <c r="AA261" s="13">
        <v>7.4</v>
      </c>
      <c r="AB261" s="13">
        <v>6.8</v>
      </c>
      <c r="AC261" s="13">
        <v>8.6999999999999993</v>
      </c>
      <c r="AD261" s="13">
        <v>10.1</v>
      </c>
      <c r="AE261" s="13">
        <v>31.3</v>
      </c>
      <c r="AF261" s="13">
        <v>18.5</v>
      </c>
      <c r="AG261" s="13">
        <v>9.1999999999999993</v>
      </c>
      <c r="AH261" s="13">
        <v>1</v>
      </c>
      <c r="AI261" s="13">
        <v>75.2</v>
      </c>
      <c r="AJ261" s="13">
        <v>29.5</v>
      </c>
      <c r="AK261" s="13">
        <v>31.4</v>
      </c>
      <c r="AL261" s="13">
        <v>90.8</v>
      </c>
      <c r="AM261" s="13">
        <v>17528</v>
      </c>
      <c r="AN261" s="13">
        <v>46784</v>
      </c>
      <c r="AO261" s="13">
        <v>20.7</v>
      </c>
      <c r="AP261" s="13">
        <v>14.7</v>
      </c>
      <c r="AQ261" s="13">
        <v>31.7</v>
      </c>
      <c r="AR261" s="13">
        <v>25.3</v>
      </c>
      <c r="AS261" s="13">
        <v>5.3</v>
      </c>
      <c r="AT261" s="13">
        <v>2.4</v>
      </c>
      <c r="AU261" s="13">
        <v>35890</v>
      </c>
      <c r="AV261" s="13">
        <v>42273</v>
      </c>
      <c r="AW261" s="13">
        <v>162</v>
      </c>
      <c r="AX261" s="13">
        <v>34242</v>
      </c>
      <c r="AY261" s="13">
        <v>28382</v>
      </c>
      <c r="AZ261" s="13">
        <v>40110</v>
      </c>
      <c r="BA261" s="13">
        <v>46688</v>
      </c>
      <c r="BB261" s="13">
        <v>37457</v>
      </c>
      <c r="BC261" s="13">
        <v>21750</v>
      </c>
      <c r="BD261" s="13">
        <v>96</v>
      </c>
      <c r="BE261" s="13">
        <v>89</v>
      </c>
      <c r="BF261" s="13">
        <v>85</v>
      </c>
      <c r="BG261" s="13">
        <v>87</v>
      </c>
      <c r="BH261" s="13">
        <v>97</v>
      </c>
      <c r="BI261" s="13">
        <v>93</v>
      </c>
      <c r="BJ261" s="13">
        <v>101</v>
      </c>
      <c r="BK261" s="13">
        <v>96</v>
      </c>
      <c r="BL261" s="13">
        <v>94</v>
      </c>
      <c r="BM261" s="13">
        <v>91</v>
      </c>
      <c r="BN261" s="13">
        <v>91</v>
      </c>
      <c r="BO261" s="13">
        <v>95</v>
      </c>
      <c r="BP261" s="13">
        <v>89</v>
      </c>
      <c r="BQ261" s="13">
        <v>96</v>
      </c>
      <c r="BR261" s="13">
        <v>84</v>
      </c>
      <c r="BS261" s="13">
        <v>97</v>
      </c>
      <c r="BT261" s="13">
        <v>89</v>
      </c>
      <c r="BU261" s="13">
        <v>94</v>
      </c>
      <c r="BV261" s="13">
        <v>94</v>
      </c>
      <c r="BW261" s="13">
        <v>97</v>
      </c>
      <c r="BX261" s="328">
        <f t="shared" si="22"/>
        <v>220645160</v>
      </c>
      <c r="BY261" s="328">
        <f t="shared" si="23"/>
        <v>83089481</v>
      </c>
      <c r="BZ261" s="329">
        <f t="shared" si="20"/>
        <v>0.97344985122611427</v>
      </c>
      <c r="CA261" s="329">
        <f t="shared" si="21"/>
        <v>0.97347785260199637</v>
      </c>
    </row>
    <row r="262" spans="1:79" x14ac:dyDescent="0.25">
      <c r="A262" s="13">
        <v>2995</v>
      </c>
      <c r="B262" s="13">
        <v>261</v>
      </c>
      <c r="C262" s="13" t="s">
        <v>780</v>
      </c>
      <c r="D262" s="13">
        <v>81530</v>
      </c>
      <c r="E262" s="13">
        <v>93145</v>
      </c>
      <c r="F262" s="13">
        <v>113171</v>
      </c>
      <c r="G262" s="13">
        <v>125138</v>
      </c>
      <c r="H262" s="13">
        <v>2.4</v>
      </c>
      <c r="I262" s="13">
        <v>27</v>
      </c>
      <c r="J262" s="13">
        <v>36250</v>
      </c>
      <c r="K262" s="13">
        <v>44947</v>
      </c>
      <c r="L262" s="13">
        <v>50340</v>
      </c>
      <c r="M262" s="13">
        <v>2.6</v>
      </c>
      <c r="N262" s="13">
        <v>2.46</v>
      </c>
      <c r="O262" s="13">
        <v>25419</v>
      </c>
      <c r="P262" s="13">
        <v>31083</v>
      </c>
      <c r="Q262" s="13">
        <v>2.5</v>
      </c>
      <c r="R262" s="13">
        <v>94.7</v>
      </c>
      <c r="S262" s="13">
        <v>93.8</v>
      </c>
      <c r="T262" s="13">
        <v>0.4</v>
      </c>
      <c r="U262" s="13">
        <v>0.5</v>
      </c>
      <c r="V262" s="13">
        <v>0.7</v>
      </c>
      <c r="W262" s="13">
        <v>0.9</v>
      </c>
      <c r="X262" s="13">
        <v>8.1</v>
      </c>
      <c r="Y262" s="13">
        <v>9.6</v>
      </c>
      <c r="Z262" s="13">
        <v>6.2</v>
      </c>
      <c r="AA262" s="13">
        <v>7.3</v>
      </c>
      <c r="AB262" s="13">
        <v>7.9</v>
      </c>
      <c r="AC262" s="13">
        <v>7.8</v>
      </c>
      <c r="AD262" s="13">
        <v>5</v>
      </c>
      <c r="AE262" s="13">
        <v>27.2</v>
      </c>
      <c r="AF262" s="13">
        <v>23.8</v>
      </c>
      <c r="AG262" s="13">
        <v>13.1</v>
      </c>
      <c r="AH262" s="13">
        <v>1.6</v>
      </c>
      <c r="AI262" s="13">
        <v>73.900000000000006</v>
      </c>
      <c r="AJ262" s="13">
        <v>34.700000000000003</v>
      </c>
      <c r="AK262" s="13">
        <v>38</v>
      </c>
      <c r="AL262" s="13">
        <v>94.8</v>
      </c>
      <c r="AM262" s="13">
        <v>17167</v>
      </c>
      <c r="AN262" s="13">
        <v>44947</v>
      </c>
      <c r="AO262" s="13">
        <v>17</v>
      </c>
      <c r="AP262" s="13">
        <v>16.2</v>
      </c>
      <c r="AQ262" s="13">
        <v>36.700000000000003</v>
      </c>
      <c r="AR262" s="13">
        <v>25</v>
      </c>
      <c r="AS262" s="13">
        <v>3.9</v>
      </c>
      <c r="AT262" s="13">
        <v>1.3</v>
      </c>
      <c r="AU262" s="13">
        <v>35391</v>
      </c>
      <c r="AV262" s="13">
        <v>45955</v>
      </c>
      <c r="AW262" s="13">
        <v>177</v>
      </c>
      <c r="AX262" s="13">
        <v>32625</v>
      </c>
      <c r="AY262" s="13">
        <v>27194</v>
      </c>
      <c r="AZ262" s="13">
        <v>37420</v>
      </c>
      <c r="BA262" s="13">
        <v>40081</v>
      </c>
      <c r="BB262" s="13">
        <v>35101</v>
      </c>
      <c r="BC262" s="13">
        <v>23761</v>
      </c>
      <c r="BD262" s="13">
        <v>101</v>
      </c>
      <c r="BE262" s="13">
        <v>92</v>
      </c>
      <c r="BF262" s="13">
        <v>96</v>
      </c>
      <c r="BG262" s="13">
        <v>94</v>
      </c>
      <c r="BH262" s="13">
        <v>100</v>
      </c>
      <c r="BI262" s="13">
        <v>99</v>
      </c>
      <c r="BJ262" s="13">
        <v>105</v>
      </c>
      <c r="BK262" s="13">
        <v>100</v>
      </c>
      <c r="BL262" s="13">
        <v>99</v>
      </c>
      <c r="BM262" s="13">
        <v>96</v>
      </c>
      <c r="BN262" s="13">
        <v>96</v>
      </c>
      <c r="BO262" s="13">
        <v>94</v>
      </c>
      <c r="BP262" s="13">
        <v>93</v>
      </c>
      <c r="BQ262" s="13">
        <v>96</v>
      </c>
      <c r="BR262" s="13">
        <v>91</v>
      </c>
      <c r="BS262" s="13">
        <v>96</v>
      </c>
      <c r="BT262" s="13">
        <v>95</v>
      </c>
      <c r="BU262" s="13">
        <v>95</v>
      </c>
      <c r="BV262" s="13">
        <v>100</v>
      </c>
      <c r="BW262" s="13">
        <v>96</v>
      </c>
      <c r="BX262" s="328">
        <f t="shared" si="22"/>
        <v>220770298</v>
      </c>
      <c r="BY262" s="328">
        <f t="shared" si="23"/>
        <v>83139821</v>
      </c>
      <c r="BZ262" s="329">
        <f t="shared" si="20"/>
        <v>0.97400193932758328</v>
      </c>
      <c r="CA262" s="329">
        <f t="shared" si="21"/>
        <v>0.97406763694665954</v>
      </c>
    </row>
    <row r="263" spans="1:79" x14ac:dyDescent="0.25">
      <c r="A263" s="13">
        <v>2190</v>
      </c>
      <c r="B263" s="13">
        <v>262</v>
      </c>
      <c r="C263" s="13" t="s">
        <v>781</v>
      </c>
      <c r="D263" s="13">
        <v>98219</v>
      </c>
      <c r="E263" s="13">
        <v>110993</v>
      </c>
      <c r="F263" s="13">
        <v>123887</v>
      </c>
      <c r="G263" s="13">
        <v>131827</v>
      </c>
      <c r="H263" s="13">
        <v>1.3</v>
      </c>
      <c r="I263" s="13">
        <v>101</v>
      </c>
      <c r="J263" s="13">
        <v>39655</v>
      </c>
      <c r="K263" s="13">
        <v>46169</v>
      </c>
      <c r="L263" s="13">
        <v>50247</v>
      </c>
      <c r="M263" s="13">
        <v>1.9</v>
      </c>
      <c r="N263" s="13">
        <v>2.61</v>
      </c>
      <c r="O263" s="13">
        <v>29343</v>
      </c>
      <c r="P263" s="13">
        <v>33390</v>
      </c>
      <c r="Q263" s="13">
        <v>1.6</v>
      </c>
      <c r="R263" s="13">
        <v>78.7</v>
      </c>
      <c r="S263" s="13">
        <v>75.3</v>
      </c>
      <c r="T263" s="13">
        <v>18.600000000000001</v>
      </c>
      <c r="U263" s="13">
        <v>20.9</v>
      </c>
      <c r="V263" s="13">
        <v>1.3</v>
      </c>
      <c r="W263" s="13">
        <v>1.9</v>
      </c>
      <c r="X263" s="13">
        <v>2.2999999999999998</v>
      </c>
      <c r="Y263" s="13">
        <v>3.3</v>
      </c>
      <c r="Z263" s="13">
        <v>7.7</v>
      </c>
      <c r="AA263" s="13">
        <v>7.7</v>
      </c>
      <c r="AB263" s="13">
        <v>7.1</v>
      </c>
      <c r="AC263" s="13">
        <v>7.2</v>
      </c>
      <c r="AD263" s="13">
        <v>6.5</v>
      </c>
      <c r="AE263" s="13">
        <v>32.5</v>
      </c>
      <c r="AF263" s="13">
        <v>20.6</v>
      </c>
      <c r="AG263" s="13">
        <v>9.6</v>
      </c>
      <c r="AH263" s="13">
        <v>1.2</v>
      </c>
      <c r="AI263" s="13">
        <v>73.7</v>
      </c>
      <c r="AJ263" s="13">
        <v>31.1</v>
      </c>
      <c r="AK263" s="13">
        <v>33.6</v>
      </c>
      <c r="AL263" s="13">
        <v>95.7</v>
      </c>
      <c r="AM263" s="13">
        <v>17865</v>
      </c>
      <c r="AN263" s="13">
        <v>46169</v>
      </c>
      <c r="AO263" s="13">
        <v>13.2</v>
      </c>
      <c r="AP263" s="13">
        <v>13.7</v>
      </c>
      <c r="AQ263" s="13">
        <v>37.6</v>
      </c>
      <c r="AR263" s="13">
        <v>28.9</v>
      </c>
      <c r="AS263" s="13">
        <v>4.9000000000000004</v>
      </c>
      <c r="AT263" s="13">
        <v>1.6</v>
      </c>
      <c r="AU263" s="13">
        <v>39271</v>
      </c>
      <c r="AV263" s="13">
        <v>47495</v>
      </c>
      <c r="AW263" s="13">
        <v>105</v>
      </c>
      <c r="AX263" s="13">
        <v>35689</v>
      </c>
      <c r="AY263" s="13">
        <v>29829</v>
      </c>
      <c r="AZ263" s="13">
        <v>39915</v>
      </c>
      <c r="BA263" s="13">
        <v>46238</v>
      </c>
      <c r="BB263" s="13">
        <v>38971</v>
      </c>
      <c r="BC263" s="13">
        <v>25398</v>
      </c>
      <c r="BD263" s="13">
        <v>97</v>
      </c>
      <c r="BE263" s="13">
        <v>88</v>
      </c>
      <c r="BF263" s="13">
        <v>89</v>
      </c>
      <c r="BG263" s="13">
        <v>87</v>
      </c>
      <c r="BH263" s="13">
        <v>99</v>
      </c>
      <c r="BI263" s="13">
        <v>96</v>
      </c>
      <c r="BJ263" s="13">
        <v>106</v>
      </c>
      <c r="BK263" s="13">
        <v>98</v>
      </c>
      <c r="BL263" s="13">
        <v>95</v>
      </c>
      <c r="BM263" s="13">
        <v>93</v>
      </c>
      <c r="BN263" s="13">
        <v>93</v>
      </c>
      <c r="BO263" s="13">
        <v>96</v>
      </c>
      <c r="BP263" s="13">
        <v>92</v>
      </c>
      <c r="BQ263" s="13">
        <v>99</v>
      </c>
      <c r="BR263" s="13">
        <v>85</v>
      </c>
      <c r="BS263" s="13">
        <v>98</v>
      </c>
      <c r="BT263" s="13">
        <v>90</v>
      </c>
      <c r="BU263" s="13">
        <v>94</v>
      </c>
      <c r="BV263" s="13">
        <v>99</v>
      </c>
      <c r="BW263" s="13">
        <v>99</v>
      </c>
      <c r="BX263" s="328">
        <f t="shared" si="22"/>
        <v>220902125</v>
      </c>
      <c r="BY263" s="328">
        <f t="shared" si="23"/>
        <v>83190068</v>
      </c>
      <c r="BZ263" s="329">
        <f t="shared" si="20"/>
        <v>0.97458353818766064</v>
      </c>
      <c r="CA263" s="329">
        <f t="shared" si="21"/>
        <v>0.97465633170165134</v>
      </c>
    </row>
    <row r="264" spans="1:79" x14ac:dyDescent="0.25">
      <c r="A264" s="13">
        <v>3180</v>
      </c>
      <c r="B264" s="13">
        <v>263</v>
      </c>
      <c r="C264" s="13" t="s">
        <v>782</v>
      </c>
      <c r="D264" s="13">
        <v>113086</v>
      </c>
      <c r="E264" s="13">
        <v>121393</v>
      </c>
      <c r="F264" s="13">
        <v>128884</v>
      </c>
      <c r="G264" s="13">
        <v>132712</v>
      </c>
      <c r="H264" s="13">
        <v>0.7</v>
      </c>
      <c r="I264" s="13">
        <v>194</v>
      </c>
      <c r="J264" s="13">
        <v>44762</v>
      </c>
      <c r="K264" s="13">
        <v>48057</v>
      </c>
      <c r="L264" s="13">
        <v>50054</v>
      </c>
      <c r="M264" s="13">
        <v>0.9</v>
      </c>
      <c r="N264" s="13">
        <v>2.4900000000000002</v>
      </c>
      <c r="O264" s="13">
        <v>32349</v>
      </c>
      <c r="P264" s="13">
        <v>34105</v>
      </c>
      <c r="Q264" s="13">
        <v>0.6</v>
      </c>
      <c r="R264" s="13">
        <v>92.9</v>
      </c>
      <c r="S264" s="13">
        <v>91</v>
      </c>
      <c r="T264" s="13">
        <v>6</v>
      </c>
      <c r="U264" s="13">
        <v>7.5</v>
      </c>
      <c r="V264" s="13">
        <v>0.7</v>
      </c>
      <c r="W264" s="13">
        <v>0.9</v>
      </c>
      <c r="X264" s="13">
        <v>0.7</v>
      </c>
      <c r="Y264" s="13">
        <v>1.2</v>
      </c>
      <c r="Z264" s="13">
        <v>6.2</v>
      </c>
      <c r="AA264" s="13">
        <v>6.6</v>
      </c>
      <c r="AB264" s="13">
        <v>6.5</v>
      </c>
      <c r="AC264" s="13">
        <v>6.3</v>
      </c>
      <c r="AD264" s="13">
        <v>6</v>
      </c>
      <c r="AE264" s="13">
        <v>32</v>
      </c>
      <c r="AF264" s="13">
        <v>21.9</v>
      </c>
      <c r="AG264" s="13">
        <v>12.8</v>
      </c>
      <c r="AH264" s="13">
        <v>1.7</v>
      </c>
      <c r="AI264" s="13">
        <v>77.2</v>
      </c>
      <c r="AJ264" s="13">
        <v>34.4</v>
      </c>
      <c r="AK264" s="13">
        <v>36.799999999999997</v>
      </c>
      <c r="AL264" s="13">
        <v>103.9</v>
      </c>
      <c r="AM264" s="13">
        <v>15852</v>
      </c>
      <c r="AN264" s="13">
        <v>48055</v>
      </c>
      <c r="AO264" s="13">
        <v>17.600000000000001</v>
      </c>
      <c r="AP264" s="13">
        <v>14.6</v>
      </c>
      <c r="AQ264" s="13">
        <v>39.6</v>
      </c>
      <c r="AR264" s="13">
        <v>24.3</v>
      </c>
      <c r="AS264" s="13">
        <v>3</v>
      </c>
      <c r="AT264" s="13">
        <v>0.9</v>
      </c>
      <c r="AU264" s="13">
        <v>35297</v>
      </c>
      <c r="AV264" s="13">
        <v>39848</v>
      </c>
      <c r="AW264" s="13">
        <v>178</v>
      </c>
      <c r="AX264" s="13">
        <v>30735</v>
      </c>
      <c r="AY264" s="13">
        <v>28981</v>
      </c>
      <c r="AZ264" s="13">
        <v>35994</v>
      </c>
      <c r="BA264" s="13">
        <v>38836</v>
      </c>
      <c r="BB264" s="13">
        <v>33252</v>
      </c>
      <c r="BC264" s="13">
        <v>19877</v>
      </c>
      <c r="BD264" s="13">
        <v>97</v>
      </c>
      <c r="BE264" s="13">
        <v>86</v>
      </c>
      <c r="BF264" s="13">
        <v>94</v>
      </c>
      <c r="BG264" s="13">
        <v>88</v>
      </c>
      <c r="BH264" s="13">
        <v>102</v>
      </c>
      <c r="BI264" s="13">
        <v>98</v>
      </c>
      <c r="BJ264" s="13">
        <v>108</v>
      </c>
      <c r="BK264" s="13">
        <v>98</v>
      </c>
      <c r="BL264" s="13">
        <v>94</v>
      </c>
      <c r="BM264" s="13">
        <v>92</v>
      </c>
      <c r="BN264" s="13">
        <v>91</v>
      </c>
      <c r="BO264" s="13">
        <v>96</v>
      </c>
      <c r="BP264" s="13">
        <v>92</v>
      </c>
      <c r="BQ264" s="13">
        <v>99</v>
      </c>
      <c r="BR264" s="13">
        <v>87</v>
      </c>
      <c r="BS264" s="13">
        <v>98</v>
      </c>
      <c r="BT264" s="13">
        <v>90</v>
      </c>
      <c r="BU264" s="13">
        <v>94</v>
      </c>
      <c r="BV264" s="13">
        <v>101</v>
      </c>
      <c r="BW264" s="13">
        <v>99</v>
      </c>
      <c r="BX264" s="328">
        <f t="shared" si="22"/>
        <v>221034837</v>
      </c>
      <c r="BY264" s="328">
        <f t="shared" si="23"/>
        <v>83240122</v>
      </c>
      <c r="BZ264" s="329">
        <f t="shared" si="20"/>
        <v>0.97516904152095796</v>
      </c>
      <c r="CA264" s="329">
        <f t="shared" si="21"/>
        <v>0.97524276526517473</v>
      </c>
    </row>
    <row r="265" spans="1:79" x14ac:dyDescent="0.25">
      <c r="A265" s="13">
        <v>2655</v>
      </c>
      <c r="B265" s="13">
        <v>264</v>
      </c>
      <c r="C265" s="13" t="s">
        <v>783</v>
      </c>
      <c r="D265" s="13">
        <v>110163</v>
      </c>
      <c r="E265" s="13">
        <v>114344</v>
      </c>
      <c r="F265" s="13">
        <v>125558</v>
      </c>
      <c r="G265" s="13">
        <v>132296</v>
      </c>
      <c r="H265" s="13">
        <v>1.1000000000000001</v>
      </c>
      <c r="I265" s="13">
        <v>139</v>
      </c>
      <c r="J265" s="13">
        <v>40217</v>
      </c>
      <c r="K265" s="13">
        <v>45886</v>
      </c>
      <c r="L265" s="13">
        <v>49536</v>
      </c>
      <c r="M265" s="13">
        <v>1.6</v>
      </c>
      <c r="N265" s="13">
        <v>2.68</v>
      </c>
      <c r="O265" s="13">
        <v>30175</v>
      </c>
      <c r="P265" s="13">
        <v>33776</v>
      </c>
      <c r="Q265" s="13">
        <v>1.4</v>
      </c>
      <c r="R265" s="13">
        <v>60.8</v>
      </c>
      <c r="S265" s="13">
        <v>59.5</v>
      </c>
      <c r="T265" s="13">
        <v>38.700000000000003</v>
      </c>
      <c r="U265" s="13">
        <v>39.799999999999997</v>
      </c>
      <c r="V265" s="13">
        <v>0.3</v>
      </c>
      <c r="W265" s="13">
        <v>0.4</v>
      </c>
      <c r="X265" s="13">
        <v>0.4</v>
      </c>
      <c r="Y265" s="13">
        <v>0.6</v>
      </c>
      <c r="Z265" s="13">
        <v>6.7</v>
      </c>
      <c r="AA265" s="13">
        <v>7.3</v>
      </c>
      <c r="AB265" s="13">
        <v>7.5</v>
      </c>
      <c r="AC265" s="13">
        <v>8.1</v>
      </c>
      <c r="AD265" s="13">
        <v>6.9</v>
      </c>
      <c r="AE265" s="13">
        <v>29.8</v>
      </c>
      <c r="AF265" s="13">
        <v>22.1</v>
      </c>
      <c r="AG265" s="13">
        <v>10.5</v>
      </c>
      <c r="AH265" s="13">
        <v>1.1000000000000001</v>
      </c>
      <c r="AI265" s="13">
        <v>73.8</v>
      </c>
      <c r="AJ265" s="13">
        <v>32.200000000000003</v>
      </c>
      <c r="AK265" s="13">
        <v>34.9</v>
      </c>
      <c r="AL265" s="13">
        <v>89</v>
      </c>
      <c r="AM265" s="13">
        <v>15058</v>
      </c>
      <c r="AN265" s="13">
        <v>45886</v>
      </c>
      <c r="AO265" s="13">
        <v>22.7</v>
      </c>
      <c r="AP265" s="13">
        <v>15.2</v>
      </c>
      <c r="AQ265" s="13">
        <v>34.200000000000003</v>
      </c>
      <c r="AR265" s="13">
        <v>22.4</v>
      </c>
      <c r="AS265" s="13">
        <v>3.8</v>
      </c>
      <c r="AT265" s="13">
        <v>1.7</v>
      </c>
      <c r="AU265" s="13">
        <v>32736</v>
      </c>
      <c r="AV265" s="13">
        <v>37489</v>
      </c>
      <c r="AW265" s="13">
        <v>216</v>
      </c>
      <c r="AX265" s="13">
        <v>31589</v>
      </c>
      <c r="AY265" s="13">
        <v>27890</v>
      </c>
      <c r="AZ265" s="13">
        <v>35383</v>
      </c>
      <c r="BA265" s="13">
        <v>40594</v>
      </c>
      <c r="BB265" s="13">
        <v>32107</v>
      </c>
      <c r="BC265" s="13">
        <v>20722</v>
      </c>
      <c r="BD265" s="13">
        <v>98</v>
      </c>
      <c r="BE265" s="13">
        <v>87</v>
      </c>
      <c r="BF265" s="13">
        <v>93</v>
      </c>
      <c r="BG265" s="13">
        <v>91</v>
      </c>
      <c r="BH265" s="13">
        <v>100</v>
      </c>
      <c r="BI265" s="13">
        <v>98</v>
      </c>
      <c r="BJ265" s="13">
        <v>106</v>
      </c>
      <c r="BK265" s="13">
        <v>99</v>
      </c>
      <c r="BL265" s="13">
        <v>98</v>
      </c>
      <c r="BM265" s="13">
        <v>95</v>
      </c>
      <c r="BN265" s="13">
        <v>91</v>
      </c>
      <c r="BO265" s="13">
        <v>99</v>
      </c>
      <c r="BP265" s="13">
        <v>93</v>
      </c>
      <c r="BQ265" s="13">
        <v>99</v>
      </c>
      <c r="BR265" s="13">
        <v>87</v>
      </c>
      <c r="BS265" s="13">
        <v>99</v>
      </c>
      <c r="BT265" s="13">
        <v>93</v>
      </c>
      <c r="BU265" s="13">
        <v>96</v>
      </c>
      <c r="BV265" s="13">
        <v>98</v>
      </c>
      <c r="BW265" s="13">
        <v>99</v>
      </c>
      <c r="BX265" s="328">
        <f t="shared" si="22"/>
        <v>221167133</v>
      </c>
      <c r="BY265" s="328">
        <f t="shared" si="23"/>
        <v>83289658</v>
      </c>
      <c r="BZ265" s="329">
        <f t="shared" si="20"/>
        <v>0.97575270953125015</v>
      </c>
      <c r="CA265" s="329">
        <f t="shared" si="21"/>
        <v>0.97582312993138909</v>
      </c>
    </row>
    <row r="266" spans="1:79" x14ac:dyDescent="0.25">
      <c r="A266" s="13">
        <v>8050</v>
      </c>
      <c r="B266" s="13">
        <v>265</v>
      </c>
      <c r="C266" s="13" t="s">
        <v>784</v>
      </c>
      <c r="D266" s="13">
        <v>112760</v>
      </c>
      <c r="E266" s="13">
        <v>123786</v>
      </c>
      <c r="F266" s="13">
        <v>133863</v>
      </c>
      <c r="G266" s="13">
        <v>138645</v>
      </c>
      <c r="H266" s="13">
        <v>1</v>
      </c>
      <c r="I266" s="13">
        <v>173</v>
      </c>
      <c r="J266" s="13">
        <v>42683</v>
      </c>
      <c r="K266" s="13">
        <v>46456</v>
      </c>
      <c r="L266" s="13">
        <v>48773</v>
      </c>
      <c r="M266" s="13">
        <v>1</v>
      </c>
      <c r="N266" s="13">
        <v>2.5099999999999998</v>
      </c>
      <c r="O266" s="13">
        <v>26359</v>
      </c>
      <c r="P266" s="13">
        <v>27805</v>
      </c>
      <c r="Q266" s="13">
        <v>0.6</v>
      </c>
      <c r="R266" s="13">
        <v>94.2</v>
      </c>
      <c r="S266" s="13">
        <v>92.1</v>
      </c>
      <c r="T266" s="13">
        <v>2.2999999999999998</v>
      </c>
      <c r="U266" s="13">
        <v>2.6</v>
      </c>
      <c r="V266" s="13">
        <v>3.1</v>
      </c>
      <c r="W266" s="13">
        <v>4.5999999999999996</v>
      </c>
      <c r="X266" s="13">
        <v>1.1000000000000001</v>
      </c>
      <c r="Y266" s="13">
        <v>1.7</v>
      </c>
      <c r="Z266" s="13">
        <v>5.2</v>
      </c>
      <c r="AA266" s="13">
        <v>5.4</v>
      </c>
      <c r="AB266" s="13">
        <v>5</v>
      </c>
      <c r="AC266" s="13">
        <v>10</v>
      </c>
      <c r="AD266" s="13">
        <v>18.399999999999999</v>
      </c>
      <c r="AE266" s="13">
        <v>29.1</v>
      </c>
      <c r="AF266" s="13">
        <v>17.399999999999999</v>
      </c>
      <c r="AG266" s="13">
        <v>8.4</v>
      </c>
      <c r="AH266" s="13">
        <v>1.1000000000000001</v>
      </c>
      <c r="AI266" s="13">
        <v>81.8</v>
      </c>
      <c r="AJ266" s="13">
        <v>27</v>
      </c>
      <c r="AK266" s="13">
        <v>28.7</v>
      </c>
      <c r="AL266" s="13">
        <v>106.8</v>
      </c>
      <c r="AM266" s="13">
        <v>14729</v>
      </c>
      <c r="AN266" s="13">
        <v>46450</v>
      </c>
      <c r="AO266" s="13">
        <v>21</v>
      </c>
      <c r="AP266" s="13">
        <v>17.2</v>
      </c>
      <c r="AQ266" s="13">
        <v>34</v>
      </c>
      <c r="AR266" s="13">
        <v>22.2</v>
      </c>
      <c r="AS266" s="13">
        <v>4</v>
      </c>
      <c r="AT266" s="13">
        <v>1.6</v>
      </c>
      <c r="AU266" s="13">
        <v>31615</v>
      </c>
      <c r="AV266" s="13">
        <v>35902</v>
      </c>
      <c r="AW266" s="13">
        <v>244</v>
      </c>
      <c r="AX266" s="13">
        <v>31137</v>
      </c>
      <c r="AY266" s="13">
        <v>22144</v>
      </c>
      <c r="AZ266" s="13">
        <v>36541</v>
      </c>
      <c r="BA266" s="13">
        <v>44304</v>
      </c>
      <c r="BB266" s="13">
        <v>40548</v>
      </c>
      <c r="BC266" s="13">
        <v>22604</v>
      </c>
      <c r="BD266" s="13">
        <v>99</v>
      </c>
      <c r="BE266" s="13">
        <v>93</v>
      </c>
      <c r="BF266" s="13">
        <v>94</v>
      </c>
      <c r="BG266" s="13">
        <v>95</v>
      </c>
      <c r="BH266" s="13">
        <v>91</v>
      </c>
      <c r="BI266" s="13">
        <v>89</v>
      </c>
      <c r="BJ266" s="13">
        <v>95</v>
      </c>
      <c r="BK266" s="13">
        <v>94</v>
      </c>
      <c r="BL266" s="13">
        <v>94</v>
      </c>
      <c r="BM266" s="13">
        <v>90</v>
      </c>
      <c r="BN266" s="13">
        <v>94</v>
      </c>
      <c r="BO266" s="13">
        <v>97</v>
      </c>
      <c r="BP266" s="13">
        <v>92</v>
      </c>
      <c r="BQ266" s="13">
        <v>99</v>
      </c>
      <c r="BR266" s="13">
        <v>95</v>
      </c>
      <c r="BS266" s="13">
        <v>97</v>
      </c>
      <c r="BT266" s="13">
        <v>96</v>
      </c>
      <c r="BU266" s="13">
        <v>95</v>
      </c>
      <c r="BV266" s="13">
        <v>100</v>
      </c>
      <c r="BW266" s="13">
        <v>100</v>
      </c>
      <c r="BX266" s="328">
        <f t="shared" si="22"/>
        <v>221305778</v>
      </c>
      <c r="BY266" s="328">
        <f t="shared" si="23"/>
        <v>83338431</v>
      </c>
      <c r="BZ266" s="329">
        <f t="shared" si="20"/>
        <v>0.97636438827654082</v>
      </c>
      <c r="CA266" s="329">
        <f t="shared" si="21"/>
        <v>0.97639455527589158</v>
      </c>
    </row>
    <row r="267" spans="1:79" x14ac:dyDescent="0.25">
      <c r="A267" s="13">
        <v>8760</v>
      </c>
      <c r="B267" s="13">
        <v>266</v>
      </c>
      <c r="C267" s="13" t="s">
        <v>785</v>
      </c>
      <c r="D267" s="13">
        <v>132866</v>
      </c>
      <c r="E267" s="13">
        <v>138053</v>
      </c>
      <c r="F267" s="13">
        <v>140809</v>
      </c>
      <c r="G267" s="13">
        <v>142171</v>
      </c>
      <c r="H267" s="13">
        <v>0.2</v>
      </c>
      <c r="I267" s="13">
        <v>250</v>
      </c>
      <c r="J267" s="13">
        <v>47118</v>
      </c>
      <c r="K267" s="13">
        <v>48055</v>
      </c>
      <c r="L267" s="13">
        <v>48635</v>
      </c>
      <c r="M267" s="13">
        <v>0.2</v>
      </c>
      <c r="N267" s="13">
        <v>2.78</v>
      </c>
      <c r="O267" s="13">
        <v>34966</v>
      </c>
      <c r="P267" s="13">
        <v>34902</v>
      </c>
      <c r="Q267" s="13">
        <v>0</v>
      </c>
      <c r="R267" s="13">
        <v>73.5</v>
      </c>
      <c r="S267" s="13">
        <v>68</v>
      </c>
      <c r="T267" s="13">
        <v>16.899999999999999</v>
      </c>
      <c r="U267" s="13">
        <v>18.7</v>
      </c>
      <c r="V267" s="13">
        <v>0.8</v>
      </c>
      <c r="W267" s="13">
        <v>1.3</v>
      </c>
      <c r="X267" s="13">
        <v>13.3</v>
      </c>
      <c r="Y267" s="13">
        <v>18.5</v>
      </c>
      <c r="Z267" s="13">
        <v>7.7</v>
      </c>
      <c r="AA267" s="13">
        <v>7.5</v>
      </c>
      <c r="AB267" s="13">
        <v>7.2</v>
      </c>
      <c r="AC267" s="13">
        <v>7.3</v>
      </c>
      <c r="AD267" s="13">
        <v>6.3</v>
      </c>
      <c r="AE267" s="13">
        <v>29.7</v>
      </c>
      <c r="AF267" s="13">
        <v>20.8</v>
      </c>
      <c r="AG267" s="13">
        <v>12</v>
      </c>
      <c r="AH267" s="13">
        <v>1.5</v>
      </c>
      <c r="AI267" s="13">
        <v>73.2</v>
      </c>
      <c r="AJ267" s="13">
        <v>33.299999999999997</v>
      </c>
      <c r="AK267" s="13">
        <v>35.299999999999997</v>
      </c>
      <c r="AL267" s="13">
        <v>97</v>
      </c>
      <c r="AM267" s="13">
        <v>16461</v>
      </c>
      <c r="AN267" s="13">
        <v>48055</v>
      </c>
      <c r="AO267" s="13">
        <v>17</v>
      </c>
      <c r="AP267" s="13">
        <v>11.9</v>
      </c>
      <c r="AQ267" s="13">
        <v>34.700000000000003</v>
      </c>
      <c r="AR267" s="13">
        <v>29.2</v>
      </c>
      <c r="AS267" s="13">
        <v>5.4</v>
      </c>
      <c r="AT267" s="13">
        <v>1.7</v>
      </c>
      <c r="AU267" s="13">
        <v>39451</v>
      </c>
      <c r="AV267" s="13">
        <v>46297</v>
      </c>
      <c r="AW267" s="13">
        <v>102</v>
      </c>
      <c r="AX267" s="13">
        <v>32946</v>
      </c>
      <c r="AY267" s="13">
        <v>32443</v>
      </c>
      <c r="AZ267" s="13">
        <v>36617</v>
      </c>
      <c r="BA267" s="13">
        <v>43365</v>
      </c>
      <c r="BB267" s="13">
        <v>34339</v>
      </c>
      <c r="BC267" s="13">
        <v>21203</v>
      </c>
      <c r="BD267" s="13">
        <v>97</v>
      </c>
      <c r="BE267" s="13">
        <v>86</v>
      </c>
      <c r="BF267" s="13">
        <v>93</v>
      </c>
      <c r="BG267" s="13">
        <v>87</v>
      </c>
      <c r="BH267" s="13">
        <v>93</v>
      </c>
      <c r="BI267" s="13">
        <v>89</v>
      </c>
      <c r="BJ267" s="13">
        <v>93</v>
      </c>
      <c r="BK267" s="13">
        <v>96</v>
      </c>
      <c r="BL267" s="13">
        <v>91</v>
      </c>
      <c r="BM267" s="13">
        <v>94</v>
      </c>
      <c r="BN267" s="13">
        <v>91</v>
      </c>
      <c r="BO267" s="13">
        <v>95</v>
      </c>
      <c r="BP267" s="13">
        <v>93</v>
      </c>
      <c r="BQ267" s="13">
        <v>98</v>
      </c>
      <c r="BR267" s="13">
        <v>96</v>
      </c>
      <c r="BS267" s="13">
        <v>97</v>
      </c>
      <c r="BT267" s="13">
        <v>94</v>
      </c>
      <c r="BU267" s="13">
        <v>93</v>
      </c>
      <c r="BV267" s="13">
        <v>99</v>
      </c>
      <c r="BW267" s="13">
        <v>97</v>
      </c>
      <c r="BX267" s="328">
        <f t="shared" si="22"/>
        <v>221447949</v>
      </c>
      <c r="BY267" s="328">
        <f t="shared" si="23"/>
        <v>83387066</v>
      </c>
      <c r="BZ267" s="329">
        <f t="shared" si="20"/>
        <v>0.97699162314903321</v>
      </c>
      <c r="CA267" s="329">
        <f t="shared" si="21"/>
        <v>0.97696436380991403</v>
      </c>
    </row>
    <row r="268" spans="1:79" x14ac:dyDescent="0.25">
      <c r="A268" s="13">
        <v>3870</v>
      </c>
      <c r="B268" s="13">
        <v>267</v>
      </c>
      <c r="C268" s="13" t="s">
        <v>786</v>
      </c>
      <c r="D268" s="13">
        <v>109438</v>
      </c>
      <c r="E268" s="13">
        <v>116401</v>
      </c>
      <c r="F268" s="13">
        <v>121963</v>
      </c>
      <c r="G268" s="13">
        <v>125206</v>
      </c>
      <c r="H268" s="13">
        <v>0.6</v>
      </c>
      <c r="I268" s="13">
        <v>215</v>
      </c>
      <c r="J268" s="13">
        <v>43506</v>
      </c>
      <c r="K268" s="13">
        <v>46514</v>
      </c>
      <c r="L268" s="13">
        <v>48376</v>
      </c>
      <c r="M268" s="13">
        <v>0.8</v>
      </c>
      <c r="N268" s="13">
        <v>2.5099999999999998</v>
      </c>
      <c r="O268" s="13">
        <v>28952</v>
      </c>
      <c r="P268" s="13">
        <v>30356</v>
      </c>
      <c r="Q268" s="13">
        <v>0.6</v>
      </c>
      <c r="R268" s="13">
        <v>96.8</v>
      </c>
      <c r="S268" s="13">
        <v>95.6</v>
      </c>
      <c r="T268" s="13">
        <v>0.4</v>
      </c>
      <c r="U268" s="13">
        <v>0.5</v>
      </c>
      <c r="V268" s="13">
        <v>2.2999999999999998</v>
      </c>
      <c r="W268" s="13">
        <v>3.3</v>
      </c>
      <c r="X268" s="13">
        <v>0.6</v>
      </c>
      <c r="Y268" s="13">
        <v>0.9</v>
      </c>
      <c r="Z268" s="13">
        <v>6.3</v>
      </c>
      <c r="AA268" s="13">
        <v>7.1</v>
      </c>
      <c r="AB268" s="13">
        <v>7.3</v>
      </c>
      <c r="AC268" s="13">
        <v>8.6999999999999993</v>
      </c>
      <c r="AD268" s="13">
        <v>8.5</v>
      </c>
      <c r="AE268" s="13">
        <v>29.5</v>
      </c>
      <c r="AF268" s="13">
        <v>19.2</v>
      </c>
      <c r="AG268" s="13">
        <v>11.5</v>
      </c>
      <c r="AH268" s="13">
        <v>1.9</v>
      </c>
      <c r="AI268" s="13">
        <v>75.2</v>
      </c>
      <c r="AJ268" s="13">
        <v>31.7</v>
      </c>
      <c r="AK268" s="13">
        <v>34.299999999999997</v>
      </c>
      <c r="AL268" s="13">
        <v>94.6</v>
      </c>
      <c r="AM268" s="13">
        <v>16888</v>
      </c>
      <c r="AN268" s="13">
        <v>46506</v>
      </c>
      <c r="AO268" s="13">
        <v>16.2</v>
      </c>
      <c r="AP268" s="13">
        <v>14.6</v>
      </c>
      <c r="AQ268" s="13">
        <v>38.9</v>
      </c>
      <c r="AR268" s="13">
        <v>24.3</v>
      </c>
      <c r="AS268" s="13">
        <v>4.4000000000000004</v>
      </c>
      <c r="AT268" s="13">
        <v>1.5</v>
      </c>
      <c r="AU268" s="13">
        <v>36197</v>
      </c>
      <c r="AV268" s="13">
        <v>41916</v>
      </c>
      <c r="AW268" s="13">
        <v>153</v>
      </c>
      <c r="AX268" s="13">
        <v>30665</v>
      </c>
      <c r="AY268" s="13">
        <v>25184</v>
      </c>
      <c r="AZ268" s="13">
        <v>36528</v>
      </c>
      <c r="BA268" s="13">
        <v>41294</v>
      </c>
      <c r="BB268" s="13">
        <v>36127</v>
      </c>
      <c r="BC268" s="13">
        <v>20178</v>
      </c>
      <c r="BD268" s="13">
        <v>97</v>
      </c>
      <c r="BE268" s="13">
        <v>93</v>
      </c>
      <c r="BF268" s="13">
        <v>91</v>
      </c>
      <c r="BG268" s="13">
        <v>92</v>
      </c>
      <c r="BH268" s="13">
        <v>99</v>
      </c>
      <c r="BI268" s="13">
        <v>96</v>
      </c>
      <c r="BJ268" s="13">
        <v>103</v>
      </c>
      <c r="BK268" s="13">
        <v>97</v>
      </c>
      <c r="BL268" s="13">
        <v>96</v>
      </c>
      <c r="BM268" s="13">
        <v>93</v>
      </c>
      <c r="BN268" s="13">
        <v>95</v>
      </c>
      <c r="BO268" s="13">
        <v>96</v>
      </c>
      <c r="BP268" s="13">
        <v>96</v>
      </c>
      <c r="BQ268" s="13">
        <v>98</v>
      </c>
      <c r="BR268" s="13">
        <v>96</v>
      </c>
      <c r="BS268" s="13">
        <v>101</v>
      </c>
      <c r="BT268" s="13">
        <v>94</v>
      </c>
      <c r="BU268" s="13">
        <v>96</v>
      </c>
      <c r="BV268" s="13">
        <v>99</v>
      </c>
      <c r="BW268" s="13">
        <v>98</v>
      </c>
      <c r="BX268" s="328">
        <f t="shared" si="22"/>
        <v>221573155</v>
      </c>
      <c r="BY268" s="328">
        <f t="shared" si="23"/>
        <v>83435442</v>
      </c>
      <c r="BZ268" s="329">
        <f t="shared" si="20"/>
        <v>0.97754401125522417</v>
      </c>
      <c r="CA268" s="329">
        <f t="shared" si="21"/>
        <v>0.97753113789528201</v>
      </c>
    </row>
    <row r="269" spans="1:79" x14ac:dyDescent="0.25">
      <c r="A269" s="13">
        <v>8360</v>
      </c>
      <c r="B269" s="13">
        <v>268</v>
      </c>
      <c r="C269" s="13" t="s">
        <v>787</v>
      </c>
      <c r="D269" s="13">
        <v>113067</v>
      </c>
      <c r="E269" s="13">
        <v>120132</v>
      </c>
      <c r="F269" s="13">
        <v>124173</v>
      </c>
      <c r="G269" s="13">
        <v>126155</v>
      </c>
      <c r="H269" s="13">
        <v>0.4</v>
      </c>
      <c r="I269" s="13">
        <v>238</v>
      </c>
      <c r="J269" s="13">
        <v>44868</v>
      </c>
      <c r="K269" s="13">
        <v>46846</v>
      </c>
      <c r="L269" s="13">
        <v>48022</v>
      </c>
      <c r="M269" s="13">
        <v>0.5</v>
      </c>
      <c r="N269" s="13">
        <v>2.57</v>
      </c>
      <c r="O269" s="13">
        <v>32879</v>
      </c>
      <c r="P269" s="13">
        <v>33597</v>
      </c>
      <c r="Q269" s="13">
        <v>0.3</v>
      </c>
      <c r="R269" s="13">
        <v>76.900000000000006</v>
      </c>
      <c r="S269" s="13">
        <v>74.8</v>
      </c>
      <c r="T269" s="13">
        <v>22</v>
      </c>
      <c r="U269" s="13">
        <v>23.7</v>
      </c>
      <c r="V269" s="13">
        <v>0.3</v>
      </c>
      <c r="W269" s="13">
        <v>0.5</v>
      </c>
      <c r="X269" s="13">
        <v>1.4</v>
      </c>
      <c r="Y269" s="13">
        <v>2.2000000000000002</v>
      </c>
      <c r="Z269" s="13">
        <v>6.7</v>
      </c>
      <c r="AA269" s="13">
        <v>7.4</v>
      </c>
      <c r="AB269" s="13">
        <v>8.1</v>
      </c>
      <c r="AC269" s="13">
        <v>7.9</v>
      </c>
      <c r="AD269" s="13">
        <v>5.7</v>
      </c>
      <c r="AE269" s="13">
        <v>28</v>
      </c>
      <c r="AF269" s="13">
        <v>22</v>
      </c>
      <c r="AG269" s="13">
        <v>12.5</v>
      </c>
      <c r="AH269" s="13">
        <v>1.7</v>
      </c>
      <c r="AI269" s="13">
        <v>73</v>
      </c>
      <c r="AJ269" s="13">
        <v>33.6</v>
      </c>
      <c r="AK269" s="13">
        <v>36.200000000000003</v>
      </c>
      <c r="AL269" s="13">
        <v>92.5</v>
      </c>
      <c r="AM269" s="13">
        <v>14663</v>
      </c>
      <c r="AN269" s="13">
        <v>46846</v>
      </c>
      <c r="AO269" s="13">
        <v>25.1</v>
      </c>
      <c r="AP269" s="13">
        <v>16.7</v>
      </c>
      <c r="AQ269" s="13">
        <v>33.5</v>
      </c>
      <c r="AR269" s="13">
        <v>20.399999999999999</v>
      </c>
      <c r="AS269" s="13">
        <v>3.1</v>
      </c>
      <c r="AT269" s="13">
        <v>1.3</v>
      </c>
      <c r="AU269" s="13">
        <v>30356</v>
      </c>
      <c r="AV269" s="13">
        <v>35832</v>
      </c>
      <c r="AW269" s="13">
        <v>275</v>
      </c>
      <c r="AX269" s="13">
        <v>30199</v>
      </c>
      <c r="AY269" s="13">
        <v>26209</v>
      </c>
      <c r="AZ269" s="13">
        <v>36047</v>
      </c>
      <c r="BA269" s="13">
        <v>38199</v>
      </c>
      <c r="BB269" s="13">
        <v>31524</v>
      </c>
      <c r="BC269" s="13">
        <v>20536</v>
      </c>
      <c r="BD269" s="13">
        <v>97</v>
      </c>
      <c r="BE269" s="13">
        <v>83</v>
      </c>
      <c r="BF269" s="13">
        <v>88</v>
      </c>
      <c r="BG269" s="13">
        <v>86</v>
      </c>
      <c r="BH269" s="13">
        <v>99</v>
      </c>
      <c r="BI269" s="13">
        <v>96</v>
      </c>
      <c r="BJ269" s="13">
        <v>107</v>
      </c>
      <c r="BK269" s="13">
        <v>98</v>
      </c>
      <c r="BL269" s="13">
        <v>95</v>
      </c>
      <c r="BM269" s="13">
        <v>90</v>
      </c>
      <c r="BN269" s="13">
        <v>87</v>
      </c>
      <c r="BO269" s="13">
        <v>96</v>
      </c>
      <c r="BP269" s="13">
        <v>90</v>
      </c>
      <c r="BQ269" s="13">
        <v>97</v>
      </c>
      <c r="BR269" s="13">
        <v>84</v>
      </c>
      <c r="BS269" s="13">
        <v>98</v>
      </c>
      <c r="BT269" s="13">
        <v>87</v>
      </c>
      <c r="BU269" s="13">
        <v>93</v>
      </c>
      <c r="BV269" s="13">
        <v>98</v>
      </c>
      <c r="BW269" s="13">
        <v>97</v>
      </c>
      <c r="BX269" s="328">
        <f t="shared" si="22"/>
        <v>221699310</v>
      </c>
      <c r="BY269" s="328">
        <f t="shared" si="23"/>
        <v>83483464</v>
      </c>
      <c r="BZ269" s="329">
        <f t="shared" si="20"/>
        <v>0.97810058619202056</v>
      </c>
      <c r="CA269" s="329">
        <f t="shared" si="21"/>
        <v>0.97809376451028829</v>
      </c>
    </row>
    <row r="270" spans="1:79" x14ac:dyDescent="0.25">
      <c r="A270" s="13">
        <v>8940</v>
      </c>
      <c r="B270" s="13">
        <v>269</v>
      </c>
      <c r="C270" s="13" t="s">
        <v>788</v>
      </c>
      <c r="D270" s="13">
        <v>111270</v>
      </c>
      <c r="E270" s="13">
        <v>115400</v>
      </c>
      <c r="F270" s="13">
        <v>123300</v>
      </c>
      <c r="G270" s="13">
        <v>127963</v>
      </c>
      <c r="H270" s="13">
        <v>0.8</v>
      </c>
      <c r="I270" s="13">
        <v>187</v>
      </c>
      <c r="J270" s="13">
        <v>41547</v>
      </c>
      <c r="K270" s="13">
        <v>45305</v>
      </c>
      <c r="L270" s="13">
        <v>47643</v>
      </c>
      <c r="M270" s="13">
        <v>1.1000000000000001</v>
      </c>
      <c r="N270" s="13">
        <v>2.69</v>
      </c>
      <c r="O270" s="13">
        <v>31002</v>
      </c>
      <c r="P270" s="13">
        <v>33297</v>
      </c>
      <c r="Q270" s="13">
        <v>0.9</v>
      </c>
      <c r="R270" s="13">
        <v>97.2</v>
      </c>
      <c r="S270" s="13">
        <v>96.2</v>
      </c>
      <c r="T270" s="13">
        <v>0.1</v>
      </c>
      <c r="U270" s="13">
        <v>0.1</v>
      </c>
      <c r="V270" s="13">
        <v>2.2000000000000002</v>
      </c>
      <c r="W270" s="13">
        <v>3</v>
      </c>
      <c r="X270" s="13">
        <v>0.4</v>
      </c>
      <c r="Y270" s="13">
        <v>0.6</v>
      </c>
      <c r="Z270" s="13">
        <v>6.5</v>
      </c>
      <c r="AA270" s="13">
        <v>7.3</v>
      </c>
      <c r="AB270" s="13">
        <v>8.3000000000000007</v>
      </c>
      <c r="AC270" s="13">
        <v>7.9</v>
      </c>
      <c r="AD270" s="13">
        <v>5.5</v>
      </c>
      <c r="AE270" s="13">
        <v>30.6</v>
      </c>
      <c r="AF270" s="13">
        <v>21.1</v>
      </c>
      <c r="AG270" s="13">
        <v>11.2</v>
      </c>
      <c r="AH270" s="13">
        <v>1.5</v>
      </c>
      <c r="AI270" s="13">
        <v>73.099999999999994</v>
      </c>
      <c r="AJ270" s="13">
        <v>32.700000000000003</v>
      </c>
      <c r="AK270" s="13">
        <v>35.5</v>
      </c>
      <c r="AL270" s="13">
        <v>98.5</v>
      </c>
      <c r="AM270" s="13">
        <v>20686</v>
      </c>
      <c r="AN270" s="13">
        <v>45305</v>
      </c>
      <c r="AO270" s="13">
        <v>9.1</v>
      </c>
      <c r="AP270" s="13">
        <v>9.6</v>
      </c>
      <c r="AQ270" s="13">
        <v>34.1</v>
      </c>
      <c r="AR270" s="13">
        <v>36.799999999999997</v>
      </c>
      <c r="AS270" s="13">
        <v>8.4</v>
      </c>
      <c r="AT270" s="13">
        <v>2.1</v>
      </c>
      <c r="AU270" s="13">
        <v>47787</v>
      </c>
      <c r="AV270" s="13">
        <v>61135</v>
      </c>
      <c r="AW270" s="13">
        <v>26</v>
      </c>
      <c r="AX270" s="13">
        <v>37748</v>
      </c>
      <c r="AY270" s="13">
        <v>34021</v>
      </c>
      <c r="AZ270" s="13">
        <v>43380</v>
      </c>
      <c r="BA270" s="13">
        <v>49490</v>
      </c>
      <c r="BB270" s="13">
        <v>42291</v>
      </c>
      <c r="BC270" s="13">
        <v>23155</v>
      </c>
      <c r="BD270" s="13">
        <v>99</v>
      </c>
      <c r="BE270" s="13">
        <v>88</v>
      </c>
      <c r="BF270" s="13">
        <v>89</v>
      </c>
      <c r="BG270" s="13">
        <v>91</v>
      </c>
      <c r="BH270" s="13">
        <v>99</v>
      </c>
      <c r="BI270" s="13">
        <v>96</v>
      </c>
      <c r="BJ270" s="13">
        <v>107</v>
      </c>
      <c r="BK270" s="13">
        <v>99</v>
      </c>
      <c r="BL270" s="13">
        <v>96</v>
      </c>
      <c r="BM270" s="13">
        <v>92</v>
      </c>
      <c r="BN270" s="13">
        <v>94</v>
      </c>
      <c r="BO270" s="13">
        <v>97</v>
      </c>
      <c r="BP270" s="13">
        <v>96</v>
      </c>
      <c r="BQ270" s="13">
        <v>100</v>
      </c>
      <c r="BR270" s="13">
        <v>95</v>
      </c>
      <c r="BS270" s="13">
        <v>102</v>
      </c>
      <c r="BT270" s="13">
        <v>94</v>
      </c>
      <c r="BU270" s="13">
        <v>96</v>
      </c>
      <c r="BV270" s="13">
        <v>101</v>
      </c>
      <c r="BW270" s="13">
        <v>99</v>
      </c>
      <c r="BX270" s="328">
        <f t="shared" si="22"/>
        <v>221827273</v>
      </c>
      <c r="BY270" s="328">
        <f t="shared" si="23"/>
        <v>83531107</v>
      </c>
      <c r="BZ270" s="329">
        <f t="shared" si="20"/>
        <v>0.97866513772495456</v>
      </c>
      <c r="CA270" s="329">
        <f t="shared" si="21"/>
        <v>0.97865195075448341</v>
      </c>
    </row>
    <row r="271" spans="1:79" x14ac:dyDescent="0.25">
      <c r="A271" s="13">
        <v>7720</v>
      </c>
      <c r="B271" s="13">
        <v>270</v>
      </c>
      <c r="C271" s="13" t="s">
        <v>789</v>
      </c>
      <c r="D271" s="13">
        <v>117457</v>
      </c>
      <c r="E271" s="13">
        <v>115018</v>
      </c>
      <c r="F271" s="13">
        <v>121148</v>
      </c>
      <c r="G271" s="13">
        <v>124779</v>
      </c>
      <c r="H271" s="13">
        <v>0.6</v>
      </c>
      <c r="I271" s="13">
        <v>206</v>
      </c>
      <c r="J271" s="13">
        <v>42934</v>
      </c>
      <c r="K271" s="13">
        <v>45776</v>
      </c>
      <c r="L271" s="13">
        <v>47488</v>
      </c>
      <c r="M271" s="13">
        <v>0.8</v>
      </c>
      <c r="N271" s="13">
        <v>2.58</v>
      </c>
      <c r="O271" s="13">
        <v>30151</v>
      </c>
      <c r="P271" s="13">
        <v>31356</v>
      </c>
      <c r="Q271" s="13">
        <v>0.5</v>
      </c>
      <c r="R271" s="13">
        <v>93.5</v>
      </c>
      <c r="S271" s="13">
        <v>91.6</v>
      </c>
      <c r="T271" s="13">
        <v>1.7</v>
      </c>
      <c r="U271" s="13">
        <v>1.9</v>
      </c>
      <c r="V271" s="13">
        <v>1.4</v>
      </c>
      <c r="W271" s="13">
        <v>2</v>
      </c>
      <c r="X271" s="13">
        <v>3.2</v>
      </c>
      <c r="Y271" s="13">
        <v>5.5</v>
      </c>
      <c r="Z271" s="13">
        <v>7.1</v>
      </c>
      <c r="AA271" s="13">
        <v>7.5</v>
      </c>
      <c r="AB271" s="13">
        <v>8</v>
      </c>
      <c r="AC271" s="13">
        <v>8.1</v>
      </c>
      <c r="AD271" s="13">
        <v>6.4</v>
      </c>
      <c r="AE271" s="13">
        <v>28.9</v>
      </c>
      <c r="AF271" s="13">
        <v>20.100000000000001</v>
      </c>
      <c r="AG271" s="13">
        <v>12</v>
      </c>
      <c r="AH271" s="13">
        <v>2</v>
      </c>
      <c r="AI271" s="13">
        <v>72.599999999999994</v>
      </c>
      <c r="AJ271" s="13">
        <v>32.700000000000003</v>
      </c>
      <c r="AK271" s="13">
        <v>34.799999999999997</v>
      </c>
      <c r="AL271" s="13">
        <v>95</v>
      </c>
      <c r="AM271" s="13">
        <v>16159</v>
      </c>
      <c r="AN271" s="13">
        <v>45753</v>
      </c>
      <c r="AO271" s="13">
        <v>17.399999999999999</v>
      </c>
      <c r="AP271" s="13">
        <v>15.8</v>
      </c>
      <c r="AQ271" s="13">
        <v>37.6</v>
      </c>
      <c r="AR271" s="13">
        <v>24.1</v>
      </c>
      <c r="AS271" s="13">
        <v>3.7</v>
      </c>
      <c r="AT271" s="13">
        <v>1.4</v>
      </c>
      <c r="AU271" s="13">
        <v>34999</v>
      </c>
      <c r="AV271" s="13">
        <v>41103</v>
      </c>
      <c r="AW271" s="13">
        <v>186</v>
      </c>
      <c r="AX271" s="13">
        <v>31398</v>
      </c>
      <c r="AY271" s="13">
        <v>27625</v>
      </c>
      <c r="AZ271" s="13">
        <v>36339</v>
      </c>
      <c r="BA271" s="13">
        <v>40585</v>
      </c>
      <c r="BB271" s="13">
        <v>34769</v>
      </c>
      <c r="BC271" s="13">
        <v>20601</v>
      </c>
      <c r="BD271" s="13">
        <v>96</v>
      </c>
      <c r="BE271" s="13">
        <v>92</v>
      </c>
      <c r="BF271" s="13">
        <v>95</v>
      </c>
      <c r="BG271" s="13">
        <v>92</v>
      </c>
      <c r="BH271" s="13">
        <v>101</v>
      </c>
      <c r="BI271" s="13">
        <v>98</v>
      </c>
      <c r="BJ271" s="13">
        <v>102</v>
      </c>
      <c r="BK271" s="13">
        <v>97</v>
      </c>
      <c r="BL271" s="13">
        <v>95</v>
      </c>
      <c r="BM271" s="13">
        <v>94</v>
      </c>
      <c r="BN271" s="13">
        <v>95</v>
      </c>
      <c r="BO271" s="13">
        <v>95</v>
      </c>
      <c r="BP271" s="13">
        <v>97</v>
      </c>
      <c r="BQ271" s="13">
        <v>98</v>
      </c>
      <c r="BR271" s="13">
        <v>99</v>
      </c>
      <c r="BS271" s="13">
        <v>100</v>
      </c>
      <c r="BT271" s="13">
        <v>94</v>
      </c>
      <c r="BU271" s="13">
        <v>95</v>
      </c>
      <c r="BV271" s="13">
        <v>99</v>
      </c>
      <c r="BW271" s="13">
        <v>97</v>
      </c>
      <c r="BX271" s="328">
        <f t="shared" si="22"/>
        <v>221952052</v>
      </c>
      <c r="BY271" s="328">
        <f t="shared" si="23"/>
        <v>83578595</v>
      </c>
      <c r="BZ271" s="329">
        <f t="shared" si="20"/>
        <v>0.97921564197796485</v>
      </c>
      <c r="CA271" s="329">
        <f t="shared" si="21"/>
        <v>0.97920832101589306</v>
      </c>
    </row>
    <row r="272" spans="1:79" x14ac:dyDescent="0.25">
      <c r="A272" s="13">
        <v>7610</v>
      </c>
      <c r="B272" s="13">
        <v>271</v>
      </c>
      <c r="C272" s="13" t="s">
        <v>790</v>
      </c>
      <c r="D272" s="13">
        <v>128299</v>
      </c>
      <c r="E272" s="13">
        <v>121003</v>
      </c>
      <c r="F272" s="13">
        <v>122007</v>
      </c>
      <c r="G272" s="13">
        <v>122382</v>
      </c>
      <c r="H272" s="13">
        <v>0.1</v>
      </c>
      <c r="I272" s="13">
        <v>270</v>
      </c>
      <c r="J272" s="13">
        <v>45591</v>
      </c>
      <c r="K272" s="13">
        <v>46710</v>
      </c>
      <c r="L272" s="13">
        <v>47395</v>
      </c>
      <c r="M272" s="13">
        <v>0.3</v>
      </c>
      <c r="N272" s="13">
        <v>2.4900000000000002</v>
      </c>
      <c r="O272" s="13">
        <v>33275</v>
      </c>
      <c r="P272" s="13">
        <v>33286</v>
      </c>
      <c r="Q272" s="13">
        <v>0</v>
      </c>
      <c r="R272" s="13">
        <v>94.6</v>
      </c>
      <c r="S272" s="13">
        <v>93.6</v>
      </c>
      <c r="T272" s="13">
        <v>4.9000000000000004</v>
      </c>
      <c r="U272" s="13">
        <v>5.7</v>
      </c>
      <c r="V272" s="13">
        <v>0.3</v>
      </c>
      <c r="W272" s="13">
        <v>0.5</v>
      </c>
      <c r="X272" s="13">
        <v>0.4</v>
      </c>
      <c r="Y272" s="13">
        <v>0.6</v>
      </c>
      <c r="Z272" s="13">
        <v>5.7</v>
      </c>
      <c r="AA272" s="13">
        <v>6.4</v>
      </c>
      <c r="AB272" s="13">
        <v>6.8</v>
      </c>
      <c r="AC272" s="13">
        <v>7.4</v>
      </c>
      <c r="AD272" s="13">
        <v>6.6</v>
      </c>
      <c r="AE272" s="13">
        <v>26.9</v>
      </c>
      <c r="AF272" s="13">
        <v>22.4</v>
      </c>
      <c r="AG272" s="13">
        <v>15.8</v>
      </c>
      <c r="AH272" s="13">
        <v>2</v>
      </c>
      <c r="AI272" s="13">
        <v>77.099999999999994</v>
      </c>
      <c r="AJ272" s="13">
        <v>36.4</v>
      </c>
      <c r="AK272" s="13">
        <v>38.700000000000003</v>
      </c>
      <c r="AL272" s="13">
        <v>95</v>
      </c>
      <c r="AM272" s="13">
        <v>14252</v>
      </c>
      <c r="AN272" s="13">
        <v>46710</v>
      </c>
      <c r="AO272" s="13">
        <v>20.7</v>
      </c>
      <c r="AP272" s="13">
        <v>18.5</v>
      </c>
      <c r="AQ272" s="13">
        <v>38.5</v>
      </c>
      <c r="AR272" s="13">
        <v>19.3</v>
      </c>
      <c r="AS272" s="13">
        <v>2.4</v>
      </c>
      <c r="AT272" s="13">
        <v>0.6</v>
      </c>
      <c r="AU272" s="13">
        <v>30464</v>
      </c>
      <c r="AV272" s="13">
        <v>34795</v>
      </c>
      <c r="AW272" s="13">
        <v>273</v>
      </c>
      <c r="AX272" s="13">
        <v>28074</v>
      </c>
      <c r="AY272" s="13">
        <v>25388</v>
      </c>
      <c r="AZ272" s="13">
        <v>32347</v>
      </c>
      <c r="BA272" s="13">
        <v>36301</v>
      </c>
      <c r="BB272" s="13">
        <v>32926</v>
      </c>
      <c r="BC272" s="13">
        <v>18849</v>
      </c>
      <c r="BD272" s="13">
        <v>98</v>
      </c>
      <c r="BE272" s="13">
        <v>82</v>
      </c>
      <c r="BF272" s="13">
        <v>94</v>
      </c>
      <c r="BG272" s="13">
        <v>87</v>
      </c>
      <c r="BH272" s="13">
        <v>93</v>
      </c>
      <c r="BI272" s="13">
        <v>90</v>
      </c>
      <c r="BJ272" s="13">
        <v>95</v>
      </c>
      <c r="BK272" s="13">
        <v>96</v>
      </c>
      <c r="BL272" s="13">
        <v>91</v>
      </c>
      <c r="BM272" s="13">
        <v>90</v>
      </c>
      <c r="BN272" s="13">
        <v>90</v>
      </c>
      <c r="BO272" s="13">
        <v>95</v>
      </c>
      <c r="BP272" s="13">
        <v>92</v>
      </c>
      <c r="BQ272" s="13">
        <v>98</v>
      </c>
      <c r="BR272" s="13">
        <v>94</v>
      </c>
      <c r="BS272" s="13">
        <v>97</v>
      </c>
      <c r="BT272" s="13">
        <v>92</v>
      </c>
      <c r="BU272" s="13">
        <v>91</v>
      </c>
      <c r="BV272" s="13">
        <v>102</v>
      </c>
      <c r="BW272" s="13">
        <v>97</v>
      </c>
      <c r="BX272" s="328">
        <f t="shared" si="22"/>
        <v>222074434</v>
      </c>
      <c r="BY272" s="328">
        <f t="shared" si="23"/>
        <v>83625990</v>
      </c>
      <c r="BZ272" s="329">
        <f t="shared" si="20"/>
        <v>0.97975557106452515</v>
      </c>
      <c r="CA272" s="329">
        <f t="shared" si="21"/>
        <v>0.97976360168763144</v>
      </c>
    </row>
    <row r="273" spans="1:79" x14ac:dyDescent="0.25">
      <c r="A273" s="13">
        <v>8920</v>
      </c>
      <c r="B273" s="13">
        <v>272</v>
      </c>
      <c r="C273" s="13" t="s">
        <v>791</v>
      </c>
      <c r="D273" s="13">
        <v>137961</v>
      </c>
      <c r="E273" s="13">
        <v>123798</v>
      </c>
      <c r="F273" s="13">
        <v>121250</v>
      </c>
      <c r="G273" s="13">
        <v>119711</v>
      </c>
      <c r="H273" s="13">
        <v>-0.3</v>
      </c>
      <c r="I273" s="13">
        <v>298</v>
      </c>
      <c r="J273" s="13">
        <v>46932</v>
      </c>
      <c r="K273" s="13">
        <v>46927</v>
      </c>
      <c r="L273" s="13">
        <v>46882</v>
      </c>
      <c r="M273" s="13">
        <v>0</v>
      </c>
      <c r="N273" s="13">
        <v>2.46</v>
      </c>
      <c r="O273" s="13">
        <v>32143</v>
      </c>
      <c r="P273" s="13">
        <v>31287</v>
      </c>
      <c r="Q273" s="13">
        <v>-0.3</v>
      </c>
      <c r="R273" s="13">
        <v>91.8</v>
      </c>
      <c r="S273" s="13">
        <v>90.6</v>
      </c>
      <c r="T273" s="13">
        <v>6.9</v>
      </c>
      <c r="U273" s="13">
        <v>7.5</v>
      </c>
      <c r="V273" s="13">
        <v>0.8</v>
      </c>
      <c r="W273" s="13">
        <v>1.1000000000000001</v>
      </c>
      <c r="X273" s="13">
        <v>0.7</v>
      </c>
      <c r="Y273" s="13">
        <v>1.3</v>
      </c>
      <c r="Z273" s="13">
        <v>5.9</v>
      </c>
      <c r="AA273" s="13">
        <v>6.6</v>
      </c>
      <c r="AB273" s="13">
        <v>7.1</v>
      </c>
      <c r="AC273" s="13">
        <v>8.8000000000000007</v>
      </c>
      <c r="AD273" s="13">
        <v>8.5</v>
      </c>
      <c r="AE273" s="13">
        <v>28.2</v>
      </c>
      <c r="AF273" s="13">
        <v>21.1</v>
      </c>
      <c r="AG273" s="13">
        <v>12</v>
      </c>
      <c r="AH273" s="13">
        <v>1.8</v>
      </c>
      <c r="AI273" s="13">
        <v>76.099999999999994</v>
      </c>
      <c r="AJ273" s="13">
        <v>32.799999999999997</v>
      </c>
      <c r="AK273" s="13">
        <v>35.4</v>
      </c>
      <c r="AL273" s="13">
        <v>91.9</v>
      </c>
      <c r="AM273" s="13">
        <v>15362</v>
      </c>
      <c r="AN273" s="13">
        <v>46927</v>
      </c>
      <c r="AO273" s="13">
        <v>22.3</v>
      </c>
      <c r="AP273" s="13">
        <v>16.7</v>
      </c>
      <c r="AQ273" s="13">
        <v>34.5</v>
      </c>
      <c r="AR273" s="13">
        <v>22.2</v>
      </c>
      <c r="AS273" s="13">
        <v>3.1</v>
      </c>
      <c r="AT273" s="13">
        <v>1.2</v>
      </c>
      <c r="AU273" s="13">
        <v>31976</v>
      </c>
      <c r="AV273" s="13">
        <v>35385</v>
      </c>
      <c r="AW273" s="13">
        <v>236</v>
      </c>
      <c r="AX273" s="13">
        <v>29104</v>
      </c>
      <c r="AY273" s="13">
        <v>21359</v>
      </c>
      <c r="AZ273" s="13">
        <v>35343</v>
      </c>
      <c r="BA273" s="13">
        <v>41380</v>
      </c>
      <c r="BB273" s="13">
        <v>30062</v>
      </c>
      <c r="BC273" s="13">
        <v>19538</v>
      </c>
      <c r="BD273" s="13">
        <v>96</v>
      </c>
      <c r="BE273" s="13">
        <v>93</v>
      </c>
      <c r="BF273" s="13">
        <v>97</v>
      </c>
      <c r="BG273" s="13">
        <v>93</v>
      </c>
      <c r="BH273" s="13">
        <v>102</v>
      </c>
      <c r="BI273" s="13">
        <v>99</v>
      </c>
      <c r="BJ273" s="13">
        <v>100</v>
      </c>
      <c r="BK273" s="13">
        <v>97</v>
      </c>
      <c r="BL273" s="13">
        <v>95</v>
      </c>
      <c r="BM273" s="13">
        <v>95</v>
      </c>
      <c r="BN273" s="13">
        <v>95</v>
      </c>
      <c r="BO273" s="13">
        <v>95</v>
      </c>
      <c r="BP273" s="13">
        <v>98</v>
      </c>
      <c r="BQ273" s="13">
        <v>98</v>
      </c>
      <c r="BR273" s="13">
        <v>101</v>
      </c>
      <c r="BS273" s="13">
        <v>100</v>
      </c>
      <c r="BT273" s="13">
        <v>95</v>
      </c>
      <c r="BU273" s="13">
        <v>96</v>
      </c>
      <c r="BV273" s="13">
        <v>99</v>
      </c>
      <c r="BW273" s="13">
        <v>97</v>
      </c>
      <c r="BX273" s="328">
        <f t="shared" si="22"/>
        <v>222194145</v>
      </c>
      <c r="BY273" s="328">
        <f t="shared" si="23"/>
        <v>83672872</v>
      </c>
      <c r="BZ273" s="329">
        <f t="shared" si="20"/>
        <v>0.98028371614207921</v>
      </c>
      <c r="CA273" s="329">
        <f t="shared" si="21"/>
        <v>0.98031287204215067</v>
      </c>
    </row>
    <row r="274" spans="1:79" x14ac:dyDescent="0.25">
      <c r="A274" s="13">
        <v>2975</v>
      </c>
      <c r="B274" s="13">
        <v>273</v>
      </c>
      <c r="C274" s="13" t="s">
        <v>792</v>
      </c>
      <c r="D274" s="13">
        <v>109649</v>
      </c>
      <c r="E274" s="13">
        <v>118539</v>
      </c>
      <c r="F274" s="13">
        <v>122870</v>
      </c>
      <c r="G274" s="13">
        <v>125317</v>
      </c>
      <c r="H274" s="13">
        <v>0.4</v>
      </c>
      <c r="I274" s="13">
        <v>232</v>
      </c>
      <c r="J274" s="13">
        <v>42815</v>
      </c>
      <c r="K274" s="13">
        <v>45317</v>
      </c>
      <c r="L274" s="13">
        <v>46783</v>
      </c>
      <c r="M274" s="13">
        <v>0.7</v>
      </c>
      <c r="N274" s="13">
        <v>2.61</v>
      </c>
      <c r="O274" s="13">
        <v>30811</v>
      </c>
      <c r="P274" s="13">
        <v>31805</v>
      </c>
      <c r="Q274" s="13">
        <v>0.4</v>
      </c>
      <c r="R274" s="13">
        <v>97.1</v>
      </c>
      <c r="S274" s="13">
        <v>96.9</v>
      </c>
      <c r="T274" s="13">
        <v>2</v>
      </c>
      <c r="U274" s="13">
        <v>1.9</v>
      </c>
      <c r="V274" s="13">
        <v>0.3</v>
      </c>
      <c r="W274" s="13">
        <v>0.5</v>
      </c>
      <c r="X274" s="13">
        <v>1.5</v>
      </c>
      <c r="Y274" s="13">
        <v>1.9</v>
      </c>
      <c r="Z274" s="13">
        <v>7.1</v>
      </c>
      <c r="AA274" s="13">
        <v>7.5</v>
      </c>
      <c r="AB274" s="13">
        <v>7.2</v>
      </c>
      <c r="AC274" s="13">
        <v>6.6</v>
      </c>
      <c r="AD274" s="13">
        <v>5.6</v>
      </c>
      <c r="AE274" s="13">
        <v>30.2</v>
      </c>
      <c r="AF274" s="13">
        <v>21.8</v>
      </c>
      <c r="AG274" s="13">
        <v>12.2</v>
      </c>
      <c r="AH274" s="13">
        <v>1.8</v>
      </c>
      <c r="AI274" s="13">
        <v>74.3</v>
      </c>
      <c r="AJ274" s="13">
        <v>33.700000000000003</v>
      </c>
      <c r="AK274" s="13">
        <v>36</v>
      </c>
      <c r="AL274" s="13">
        <v>99.7</v>
      </c>
      <c r="AM274" s="13">
        <v>15735</v>
      </c>
      <c r="AN274" s="13">
        <v>45317</v>
      </c>
      <c r="AO274" s="13">
        <v>17.899999999999999</v>
      </c>
      <c r="AP274" s="13">
        <v>16</v>
      </c>
      <c r="AQ274" s="13">
        <v>39.200000000000003</v>
      </c>
      <c r="AR274" s="13">
        <v>22.8</v>
      </c>
      <c r="AS274" s="13">
        <v>2.8</v>
      </c>
      <c r="AT274" s="13">
        <v>1.2</v>
      </c>
      <c r="AU274" s="13">
        <v>33939</v>
      </c>
      <c r="AV274" s="13">
        <v>38007</v>
      </c>
      <c r="AW274" s="13">
        <v>201</v>
      </c>
      <c r="AX274" s="13">
        <v>29472</v>
      </c>
      <c r="AY274" s="13">
        <v>27509</v>
      </c>
      <c r="AZ274" s="13">
        <v>34276</v>
      </c>
      <c r="BA274" s="13">
        <v>37244</v>
      </c>
      <c r="BB274" s="13">
        <v>32218</v>
      </c>
      <c r="BC274" s="13">
        <v>18745</v>
      </c>
      <c r="BD274" s="13">
        <v>100</v>
      </c>
      <c r="BE274" s="13">
        <v>84</v>
      </c>
      <c r="BF274" s="13">
        <v>89</v>
      </c>
      <c r="BG274" s="13">
        <v>90</v>
      </c>
      <c r="BH274" s="13">
        <v>91</v>
      </c>
      <c r="BI274" s="13">
        <v>89</v>
      </c>
      <c r="BJ274" s="13">
        <v>101</v>
      </c>
      <c r="BK274" s="13">
        <v>97</v>
      </c>
      <c r="BL274" s="13">
        <v>93</v>
      </c>
      <c r="BM274" s="13">
        <v>90</v>
      </c>
      <c r="BN274" s="13">
        <v>91</v>
      </c>
      <c r="BO274" s="13">
        <v>98</v>
      </c>
      <c r="BP274" s="13">
        <v>92</v>
      </c>
      <c r="BQ274" s="13">
        <v>101</v>
      </c>
      <c r="BR274" s="13">
        <v>92</v>
      </c>
      <c r="BS274" s="13">
        <v>98</v>
      </c>
      <c r="BT274" s="13">
        <v>94</v>
      </c>
      <c r="BU274" s="13">
        <v>93</v>
      </c>
      <c r="BV274" s="13">
        <v>102</v>
      </c>
      <c r="BW274" s="13">
        <v>100</v>
      </c>
      <c r="BX274" s="328">
        <f t="shared" si="22"/>
        <v>222319462</v>
      </c>
      <c r="BY274" s="328">
        <f t="shared" si="23"/>
        <v>83719655</v>
      </c>
      <c r="BZ274" s="329">
        <f t="shared" si="20"/>
        <v>0.98083659396186051</v>
      </c>
      <c r="CA274" s="329">
        <f t="shared" si="21"/>
        <v>0.98086098251089071</v>
      </c>
    </row>
    <row r="275" spans="1:79" x14ac:dyDescent="0.25">
      <c r="A275" s="13">
        <v>450</v>
      </c>
      <c r="B275" s="13">
        <v>274</v>
      </c>
      <c r="C275" s="13" t="s">
        <v>793</v>
      </c>
      <c r="D275" s="13">
        <v>119761</v>
      </c>
      <c r="E275" s="13">
        <v>116034</v>
      </c>
      <c r="F275" s="13">
        <v>117506</v>
      </c>
      <c r="G275" s="13">
        <v>118739</v>
      </c>
      <c r="H275" s="13">
        <v>0.2</v>
      </c>
      <c r="I275" s="13">
        <v>262</v>
      </c>
      <c r="J275" s="13">
        <v>42983</v>
      </c>
      <c r="K275" s="13">
        <v>45148</v>
      </c>
      <c r="L275" s="13">
        <v>46447</v>
      </c>
      <c r="M275" s="13">
        <v>0.6</v>
      </c>
      <c r="N275" s="13">
        <v>2.5099999999999998</v>
      </c>
      <c r="O275" s="13">
        <v>31718</v>
      </c>
      <c r="P275" s="13">
        <v>32720</v>
      </c>
      <c r="Q275" s="13">
        <v>0.4</v>
      </c>
      <c r="R275" s="13">
        <v>80</v>
      </c>
      <c r="S275" s="13">
        <v>78.900000000000006</v>
      </c>
      <c r="T275" s="13">
        <v>18.600000000000001</v>
      </c>
      <c r="U275" s="13">
        <v>19.2</v>
      </c>
      <c r="V275" s="13">
        <v>0.7</v>
      </c>
      <c r="W275" s="13">
        <v>0.9</v>
      </c>
      <c r="X275" s="13">
        <v>1.1000000000000001</v>
      </c>
      <c r="Y275" s="13">
        <v>2.4</v>
      </c>
      <c r="Z275" s="13">
        <v>6.2</v>
      </c>
      <c r="AA275" s="13">
        <v>6.4</v>
      </c>
      <c r="AB275" s="13">
        <v>6.6</v>
      </c>
      <c r="AC275" s="13">
        <v>8.1</v>
      </c>
      <c r="AD275" s="13">
        <v>7.8</v>
      </c>
      <c r="AE275" s="13">
        <v>29.6</v>
      </c>
      <c r="AF275" s="13">
        <v>22.3</v>
      </c>
      <c r="AG275" s="13">
        <v>11.6</v>
      </c>
      <c r="AH275" s="13">
        <v>1.3</v>
      </c>
      <c r="AI275" s="13">
        <v>76.7</v>
      </c>
      <c r="AJ275" s="13">
        <v>32.700000000000003</v>
      </c>
      <c r="AK275" s="13">
        <v>35.6</v>
      </c>
      <c r="AL275" s="13">
        <v>92.7</v>
      </c>
      <c r="AM275" s="13">
        <v>15059</v>
      </c>
      <c r="AN275" s="13">
        <v>45138</v>
      </c>
      <c r="AO275" s="13">
        <v>20.7</v>
      </c>
      <c r="AP275" s="13">
        <v>15.4</v>
      </c>
      <c r="AQ275" s="13">
        <v>38</v>
      </c>
      <c r="AR275" s="13">
        <v>22.4</v>
      </c>
      <c r="AS275" s="13">
        <v>2.8</v>
      </c>
      <c r="AT275" s="13">
        <v>0.7</v>
      </c>
      <c r="AU275" s="13">
        <v>32224</v>
      </c>
      <c r="AV275" s="13">
        <v>39782</v>
      </c>
      <c r="AW275" s="13">
        <v>228</v>
      </c>
      <c r="AX275" s="13">
        <v>30803</v>
      </c>
      <c r="AY275" s="13">
        <v>27074</v>
      </c>
      <c r="AZ275" s="13">
        <v>36534</v>
      </c>
      <c r="BA275" s="13">
        <v>38718</v>
      </c>
      <c r="BB275" s="13">
        <v>31676</v>
      </c>
      <c r="BC275" s="13">
        <v>20282</v>
      </c>
      <c r="BD275" s="13">
        <v>98</v>
      </c>
      <c r="BE275" s="13">
        <v>84</v>
      </c>
      <c r="BF275" s="13">
        <v>90</v>
      </c>
      <c r="BG275" s="13">
        <v>88</v>
      </c>
      <c r="BH275" s="13">
        <v>100</v>
      </c>
      <c r="BI275" s="13">
        <v>97</v>
      </c>
      <c r="BJ275" s="13">
        <v>108</v>
      </c>
      <c r="BK275" s="13">
        <v>99</v>
      </c>
      <c r="BL275" s="13">
        <v>95</v>
      </c>
      <c r="BM275" s="13">
        <v>91</v>
      </c>
      <c r="BN275" s="13">
        <v>90</v>
      </c>
      <c r="BO275" s="13">
        <v>97</v>
      </c>
      <c r="BP275" s="13">
        <v>91</v>
      </c>
      <c r="BQ275" s="13">
        <v>99</v>
      </c>
      <c r="BR275" s="13">
        <v>85</v>
      </c>
      <c r="BS275" s="13">
        <v>98</v>
      </c>
      <c r="BT275" s="13">
        <v>90</v>
      </c>
      <c r="BU275" s="13">
        <v>94</v>
      </c>
      <c r="BV275" s="13">
        <v>99</v>
      </c>
      <c r="BW275" s="13">
        <v>99</v>
      </c>
      <c r="BX275" s="328">
        <f t="shared" si="22"/>
        <v>222438201</v>
      </c>
      <c r="BY275" s="328">
        <f t="shared" si="23"/>
        <v>83766102</v>
      </c>
      <c r="BZ275" s="329">
        <f t="shared" si="20"/>
        <v>0.98136045073662392</v>
      </c>
      <c r="CA275" s="329">
        <f t="shared" si="21"/>
        <v>0.98140515639759252</v>
      </c>
    </row>
    <row r="276" spans="1:79" x14ac:dyDescent="0.25">
      <c r="A276" s="13">
        <v>6820</v>
      </c>
      <c r="B276" s="13">
        <v>275</v>
      </c>
      <c r="C276" s="13" t="s">
        <v>794</v>
      </c>
      <c r="D276" s="13">
        <v>92006</v>
      </c>
      <c r="E276" s="13">
        <v>106470</v>
      </c>
      <c r="F276" s="13">
        <v>115736</v>
      </c>
      <c r="G276" s="13">
        <v>121135</v>
      </c>
      <c r="H276" s="13">
        <v>1</v>
      </c>
      <c r="I276" s="13">
        <v>162</v>
      </c>
      <c r="J276" s="13">
        <v>40058</v>
      </c>
      <c r="K276" s="13">
        <v>44028</v>
      </c>
      <c r="L276" s="13">
        <v>46417</v>
      </c>
      <c r="M276" s="13">
        <v>1.2</v>
      </c>
      <c r="N276" s="13">
        <v>2.57</v>
      </c>
      <c r="O276" s="13">
        <v>27737</v>
      </c>
      <c r="P276" s="13">
        <v>29833</v>
      </c>
      <c r="Q276" s="13">
        <v>0.9</v>
      </c>
      <c r="R276" s="13">
        <v>95.7</v>
      </c>
      <c r="S276" s="13">
        <v>93.7</v>
      </c>
      <c r="T276" s="13">
        <v>0.7</v>
      </c>
      <c r="U276" s="13">
        <v>1</v>
      </c>
      <c r="V276" s="13">
        <v>3</v>
      </c>
      <c r="W276" s="13">
        <v>4.5999999999999996</v>
      </c>
      <c r="X276" s="13">
        <v>0.9</v>
      </c>
      <c r="Y276" s="13">
        <v>1.5</v>
      </c>
      <c r="Z276" s="13">
        <v>7.3</v>
      </c>
      <c r="AA276" s="13">
        <v>8.1</v>
      </c>
      <c r="AB276" s="13">
        <v>7.9</v>
      </c>
      <c r="AC276" s="13">
        <v>6.9</v>
      </c>
      <c r="AD276" s="13">
        <v>5.7</v>
      </c>
      <c r="AE276" s="13">
        <v>33.4</v>
      </c>
      <c r="AF276" s="13">
        <v>20.5</v>
      </c>
      <c r="AG276" s="13">
        <v>8.6</v>
      </c>
      <c r="AH276" s="13">
        <v>1.6</v>
      </c>
      <c r="AI276" s="13">
        <v>72.7</v>
      </c>
      <c r="AJ276" s="13">
        <v>31.6</v>
      </c>
      <c r="AK276" s="13">
        <v>34.200000000000003</v>
      </c>
      <c r="AL276" s="13">
        <v>95.2</v>
      </c>
      <c r="AM276" s="13">
        <v>23268</v>
      </c>
      <c r="AN276" s="13">
        <v>44028</v>
      </c>
      <c r="AO276" s="13">
        <v>9.6</v>
      </c>
      <c r="AP276" s="13">
        <v>8.8000000000000007</v>
      </c>
      <c r="AQ276" s="13">
        <v>32</v>
      </c>
      <c r="AR276" s="13">
        <v>36</v>
      </c>
      <c r="AS276" s="13">
        <v>9.5</v>
      </c>
      <c r="AT276" s="13">
        <v>4</v>
      </c>
      <c r="AU276" s="13">
        <v>49649</v>
      </c>
      <c r="AV276" s="13">
        <v>59831</v>
      </c>
      <c r="AW276" s="13">
        <v>19</v>
      </c>
      <c r="AX276" s="13">
        <v>42563</v>
      </c>
      <c r="AY276" s="13">
        <v>36634</v>
      </c>
      <c r="AZ276" s="13">
        <v>47840</v>
      </c>
      <c r="BA276" s="13">
        <v>55108</v>
      </c>
      <c r="BB276" s="13">
        <v>48394</v>
      </c>
      <c r="BC276" s="13">
        <v>26887</v>
      </c>
      <c r="BD276" s="13">
        <v>101</v>
      </c>
      <c r="BE276" s="13">
        <v>105</v>
      </c>
      <c r="BF276" s="13">
        <v>98</v>
      </c>
      <c r="BG276" s="13">
        <v>102</v>
      </c>
      <c r="BH276" s="13">
        <v>101</v>
      </c>
      <c r="BI276" s="13">
        <v>102</v>
      </c>
      <c r="BJ276" s="13">
        <v>102</v>
      </c>
      <c r="BK276" s="13">
        <v>101</v>
      </c>
      <c r="BL276" s="13">
        <v>102</v>
      </c>
      <c r="BM276" s="13">
        <v>103</v>
      </c>
      <c r="BN276" s="13">
        <v>106</v>
      </c>
      <c r="BO276" s="13">
        <v>102</v>
      </c>
      <c r="BP276" s="13">
        <v>105</v>
      </c>
      <c r="BQ276" s="13">
        <v>103</v>
      </c>
      <c r="BR276" s="13">
        <v>105</v>
      </c>
      <c r="BS276" s="13">
        <v>103</v>
      </c>
      <c r="BT276" s="13">
        <v>104</v>
      </c>
      <c r="BU276" s="13">
        <v>103</v>
      </c>
      <c r="BV276" s="13">
        <v>99</v>
      </c>
      <c r="BW276" s="13">
        <v>101</v>
      </c>
      <c r="BX276" s="328">
        <f t="shared" si="22"/>
        <v>222559336</v>
      </c>
      <c r="BY276" s="328">
        <f t="shared" si="23"/>
        <v>83812519</v>
      </c>
      <c r="BZ276" s="329">
        <f t="shared" si="20"/>
        <v>0.98189487826600308</v>
      </c>
      <c r="CA276" s="329">
        <f t="shared" si="21"/>
        <v>0.9819489788037552</v>
      </c>
    </row>
    <row r="277" spans="1:79" x14ac:dyDescent="0.25">
      <c r="A277" s="13">
        <v>40</v>
      </c>
      <c r="B277" s="13">
        <v>276</v>
      </c>
      <c r="C277" s="13" t="s">
        <v>795</v>
      </c>
      <c r="D277" s="13">
        <v>110932</v>
      </c>
      <c r="E277" s="13">
        <v>119655</v>
      </c>
      <c r="F277" s="13">
        <v>123965</v>
      </c>
      <c r="G277" s="13">
        <v>125603</v>
      </c>
      <c r="H277" s="13">
        <v>0.4</v>
      </c>
      <c r="I277" s="13">
        <v>233</v>
      </c>
      <c r="J277" s="13">
        <v>43301</v>
      </c>
      <c r="K277" s="13">
        <v>45054</v>
      </c>
      <c r="L277" s="13">
        <v>46179</v>
      </c>
      <c r="M277" s="13">
        <v>0.5</v>
      </c>
      <c r="N277" s="13">
        <v>2.56</v>
      </c>
      <c r="O277" s="13">
        <v>31027</v>
      </c>
      <c r="P277" s="13">
        <v>31497</v>
      </c>
      <c r="Q277" s="13">
        <v>0.2</v>
      </c>
      <c r="R277" s="13">
        <v>83.8</v>
      </c>
      <c r="S277" s="13">
        <v>79.900000000000006</v>
      </c>
      <c r="T277" s="13">
        <v>6.3</v>
      </c>
      <c r="U277" s="13">
        <v>7.6</v>
      </c>
      <c r="V277" s="13">
        <v>1.2</v>
      </c>
      <c r="W277" s="13">
        <v>1.8</v>
      </c>
      <c r="X277" s="13">
        <v>14.6</v>
      </c>
      <c r="Y277" s="13">
        <v>18.3</v>
      </c>
      <c r="Z277" s="13">
        <v>8</v>
      </c>
      <c r="AA277" s="13">
        <v>8</v>
      </c>
      <c r="AB277" s="13">
        <v>7.3</v>
      </c>
      <c r="AC277" s="13">
        <v>8</v>
      </c>
      <c r="AD277" s="13">
        <v>8.1999999999999993</v>
      </c>
      <c r="AE277" s="13">
        <v>28.3</v>
      </c>
      <c r="AF277" s="13">
        <v>19.7</v>
      </c>
      <c r="AG277" s="13">
        <v>10.7</v>
      </c>
      <c r="AH277" s="13">
        <v>1.7</v>
      </c>
      <c r="AI277" s="13">
        <v>72.7</v>
      </c>
      <c r="AJ277" s="13">
        <v>30.2</v>
      </c>
      <c r="AK277" s="13">
        <v>32.6</v>
      </c>
      <c r="AL277" s="13">
        <v>93.7</v>
      </c>
      <c r="AM277" s="13">
        <v>14845</v>
      </c>
      <c r="AN277" s="13">
        <v>45051</v>
      </c>
      <c r="AO277" s="13">
        <v>20</v>
      </c>
      <c r="AP277" s="13">
        <v>17.8</v>
      </c>
      <c r="AQ277" s="13">
        <v>35.700000000000003</v>
      </c>
      <c r="AR277" s="13">
        <v>22.3</v>
      </c>
      <c r="AS277" s="13">
        <v>2.9</v>
      </c>
      <c r="AT277" s="13">
        <v>1.3</v>
      </c>
      <c r="AU277" s="13">
        <v>31893</v>
      </c>
      <c r="AV277" s="13">
        <v>38424</v>
      </c>
      <c r="AW277" s="13">
        <v>237</v>
      </c>
      <c r="AX277" s="13">
        <v>32055</v>
      </c>
      <c r="AY277" s="13">
        <v>26100</v>
      </c>
      <c r="AZ277" s="13">
        <v>37646</v>
      </c>
      <c r="BA277" s="13">
        <v>39417</v>
      </c>
      <c r="BB277" s="13">
        <v>37161</v>
      </c>
      <c r="BC277" s="13">
        <v>23367</v>
      </c>
      <c r="BD277" s="13">
        <v>97</v>
      </c>
      <c r="BE277" s="13">
        <v>97</v>
      </c>
      <c r="BF277" s="13">
        <v>96</v>
      </c>
      <c r="BG277" s="13">
        <v>94</v>
      </c>
      <c r="BH277" s="13">
        <v>101</v>
      </c>
      <c r="BI277" s="13">
        <v>100</v>
      </c>
      <c r="BJ277" s="13">
        <v>101</v>
      </c>
      <c r="BK277" s="13">
        <v>98</v>
      </c>
      <c r="BL277" s="13">
        <v>98</v>
      </c>
      <c r="BM277" s="13">
        <v>96</v>
      </c>
      <c r="BN277" s="13">
        <v>97</v>
      </c>
      <c r="BO277" s="13">
        <v>97</v>
      </c>
      <c r="BP277" s="13">
        <v>95</v>
      </c>
      <c r="BQ277" s="13">
        <v>98</v>
      </c>
      <c r="BR277" s="13">
        <v>91</v>
      </c>
      <c r="BS277" s="13">
        <v>98</v>
      </c>
      <c r="BT277" s="13">
        <v>94</v>
      </c>
      <c r="BU277" s="13">
        <v>97</v>
      </c>
      <c r="BV277" s="13">
        <v>99</v>
      </c>
      <c r="BW277" s="13">
        <v>99</v>
      </c>
      <c r="BX277" s="328">
        <f t="shared" si="22"/>
        <v>222684939</v>
      </c>
      <c r="BY277" s="328">
        <f t="shared" si="23"/>
        <v>83858698</v>
      </c>
      <c r="BZ277" s="329">
        <f t="shared" si="20"/>
        <v>0.98244901787035044</v>
      </c>
      <c r="CA277" s="329">
        <f t="shared" si="21"/>
        <v>0.9824900127976407</v>
      </c>
    </row>
    <row r="278" spans="1:79" x14ac:dyDescent="0.25">
      <c r="A278" s="13">
        <v>1020</v>
      </c>
      <c r="B278" s="13">
        <v>277</v>
      </c>
      <c r="C278" s="13" t="s">
        <v>796</v>
      </c>
      <c r="D278" s="13">
        <v>98787</v>
      </c>
      <c r="E278" s="13">
        <v>108978</v>
      </c>
      <c r="F278" s="13">
        <v>117450</v>
      </c>
      <c r="G278" s="13">
        <v>122152</v>
      </c>
      <c r="H278" s="13">
        <v>0.9</v>
      </c>
      <c r="I278" s="13">
        <v>178</v>
      </c>
      <c r="J278" s="13">
        <v>39351</v>
      </c>
      <c r="K278" s="13">
        <v>43346</v>
      </c>
      <c r="L278" s="13">
        <v>45743</v>
      </c>
      <c r="M278" s="13">
        <v>1.2</v>
      </c>
      <c r="N278" s="13">
        <v>2.35</v>
      </c>
      <c r="O278" s="13">
        <v>22953</v>
      </c>
      <c r="P278" s="13">
        <v>24560</v>
      </c>
      <c r="Q278" s="13">
        <v>0.8</v>
      </c>
      <c r="R278" s="13">
        <v>94.3</v>
      </c>
      <c r="S278" s="13">
        <v>93</v>
      </c>
      <c r="T278" s="13">
        <v>2.6</v>
      </c>
      <c r="U278" s="13">
        <v>3</v>
      </c>
      <c r="V278" s="13">
        <v>2.5</v>
      </c>
      <c r="W278" s="13">
        <v>3.3</v>
      </c>
      <c r="X278" s="13">
        <v>1.3</v>
      </c>
      <c r="Y278" s="13">
        <v>1.8</v>
      </c>
      <c r="Z278" s="13">
        <v>5.2</v>
      </c>
      <c r="AA278" s="13">
        <v>5.0999999999999996</v>
      </c>
      <c r="AB278" s="13">
        <v>4.7</v>
      </c>
      <c r="AC278" s="13">
        <v>11.9</v>
      </c>
      <c r="AD278" s="13">
        <v>17.899999999999999</v>
      </c>
      <c r="AE278" s="13">
        <v>30</v>
      </c>
      <c r="AF278" s="13">
        <v>16.399999999999999</v>
      </c>
      <c r="AG278" s="13">
        <v>7.7</v>
      </c>
      <c r="AH278" s="13">
        <v>1</v>
      </c>
      <c r="AI278" s="13">
        <v>82.3</v>
      </c>
      <c r="AJ278" s="13">
        <v>26.4</v>
      </c>
      <c r="AK278" s="13">
        <v>27.8</v>
      </c>
      <c r="AL278" s="13">
        <v>94.5</v>
      </c>
      <c r="AM278" s="13">
        <v>16870</v>
      </c>
      <c r="AN278" s="13">
        <v>43337</v>
      </c>
      <c r="AO278" s="13">
        <v>20.2</v>
      </c>
      <c r="AP278" s="13">
        <v>14.6</v>
      </c>
      <c r="AQ278" s="13">
        <v>33.799999999999997</v>
      </c>
      <c r="AR278" s="13">
        <v>24.4</v>
      </c>
      <c r="AS278" s="13">
        <v>5.2</v>
      </c>
      <c r="AT278" s="13">
        <v>1.9</v>
      </c>
      <c r="AU278" s="13">
        <v>34586</v>
      </c>
      <c r="AV278" s="13">
        <v>42264</v>
      </c>
      <c r="AW278" s="13">
        <v>192</v>
      </c>
      <c r="AX278" s="13">
        <v>33893</v>
      </c>
      <c r="AY278" s="13">
        <v>23984</v>
      </c>
      <c r="AZ278" s="13">
        <v>39642</v>
      </c>
      <c r="BA278" s="13">
        <v>47870</v>
      </c>
      <c r="BB278" s="13">
        <v>42277</v>
      </c>
      <c r="BC278" s="13">
        <v>25892</v>
      </c>
      <c r="BD278" s="13">
        <v>96</v>
      </c>
      <c r="BE278" s="13">
        <v>96</v>
      </c>
      <c r="BF278" s="13">
        <v>93</v>
      </c>
      <c r="BG278" s="13">
        <v>95</v>
      </c>
      <c r="BH278" s="13">
        <v>99</v>
      </c>
      <c r="BI278" s="13">
        <v>95</v>
      </c>
      <c r="BJ278" s="13">
        <v>101</v>
      </c>
      <c r="BK278" s="13">
        <v>94</v>
      </c>
      <c r="BL278" s="13">
        <v>94</v>
      </c>
      <c r="BM278" s="13">
        <v>90</v>
      </c>
      <c r="BN278" s="13">
        <v>94</v>
      </c>
      <c r="BO278" s="13">
        <v>93</v>
      </c>
      <c r="BP278" s="13">
        <v>93</v>
      </c>
      <c r="BQ278" s="13">
        <v>96</v>
      </c>
      <c r="BR278" s="13">
        <v>97</v>
      </c>
      <c r="BS278" s="13">
        <v>98</v>
      </c>
      <c r="BT278" s="13">
        <v>94</v>
      </c>
      <c r="BU278" s="13">
        <v>96</v>
      </c>
      <c r="BV278" s="13">
        <v>97</v>
      </c>
      <c r="BW278" s="13">
        <v>97</v>
      </c>
      <c r="BX278" s="328">
        <f t="shared" si="22"/>
        <v>222807091</v>
      </c>
      <c r="BY278" s="328">
        <f t="shared" si="23"/>
        <v>83904441</v>
      </c>
      <c r="BZ278" s="329">
        <f t="shared" si="20"/>
        <v>0.98298793223505698</v>
      </c>
      <c r="CA278" s="329">
        <f t="shared" si="21"/>
        <v>0.98302593860769094</v>
      </c>
    </row>
    <row r="279" spans="1:79" x14ac:dyDescent="0.25">
      <c r="A279" s="13">
        <v>220</v>
      </c>
      <c r="B279" s="13">
        <v>278</v>
      </c>
      <c r="C279" s="13" t="s">
        <v>797</v>
      </c>
      <c r="D279" s="13">
        <v>135282</v>
      </c>
      <c r="E279" s="13">
        <v>131556</v>
      </c>
      <c r="F279" s="13">
        <v>126838</v>
      </c>
      <c r="G279" s="13">
        <v>124537</v>
      </c>
      <c r="H279" s="13">
        <v>-0.4</v>
      </c>
      <c r="I279" s="13">
        <v>308</v>
      </c>
      <c r="J279" s="13">
        <v>45941</v>
      </c>
      <c r="K279" s="13">
        <v>45648</v>
      </c>
      <c r="L279" s="13">
        <v>45434</v>
      </c>
      <c r="M279" s="13">
        <v>-0.1</v>
      </c>
      <c r="N279" s="13">
        <v>2.67</v>
      </c>
      <c r="O279" s="13">
        <v>34195</v>
      </c>
      <c r="P279" s="13">
        <v>33505</v>
      </c>
      <c r="Q279" s="13">
        <v>-0.2</v>
      </c>
      <c r="R279" s="13">
        <v>70.7</v>
      </c>
      <c r="S279" s="13">
        <v>67.8</v>
      </c>
      <c r="T279" s="13">
        <v>28</v>
      </c>
      <c r="U279" s="13">
        <v>30.5</v>
      </c>
      <c r="V279" s="13">
        <v>0.7</v>
      </c>
      <c r="W279" s="13">
        <v>1</v>
      </c>
      <c r="X279" s="13">
        <v>1.2</v>
      </c>
      <c r="Y279" s="13">
        <v>1.4</v>
      </c>
      <c r="Z279" s="13">
        <v>7.2</v>
      </c>
      <c r="AA279" s="13">
        <v>7.7</v>
      </c>
      <c r="AB279" s="13">
        <v>8.1999999999999993</v>
      </c>
      <c r="AC279" s="13">
        <v>8.1</v>
      </c>
      <c r="AD279" s="13">
        <v>6.6</v>
      </c>
      <c r="AE279" s="13">
        <v>28.4</v>
      </c>
      <c r="AF279" s="13">
        <v>21.3</v>
      </c>
      <c r="AG279" s="13">
        <v>11</v>
      </c>
      <c r="AH279" s="13">
        <v>1.5</v>
      </c>
      <c r="AI279" s="13">
        <v>72</v>
      </c>
      <c r="AJ279" s="13">
        <v>31.4</v>
      </c>
      <c r="AK279" s="13">
        <v>34.1</v>
      </c>
      <c r="AL279" s="13">
        <v>91.1</v>
      </c>
      <c r="AM279" s="13">
        <v>13872</v>
      </c>
      <c r="AN279" s="13">
        <v>45646</v>
      </c>
      <c r="AO279" s="13">
        <v>25</v>
      </c>
      <c r="AP279" s="13">
        <v>17.600000000000001</v>
      </c>
      <c r="AQ279" s="13">
        <v>32.700000000000003</v>
      </c>
      <c r="AR279" s="13">
        <v>19.899999999999999</v>
      </c>
      <c r="AS279" s="13">
        <v>3.3</v>
      </c>
      <c r="AT279" s="13">
        <v>1.4</v>
      </c>
      <c r="AU279" s="13">
        <v>29318</v>
      </c>
      <c r="AV279" s="13">
        <v>33898</v>
      </c>
      <c r="AW279" s="13">
        <v>286</v>
      </c>
      <c r="AX279" s="13">
        <v>30833</v>
      </c>
      <c r="AY279" s="13">
        <v>25284</v>
      </c>
      <c r="AZ279" s="13">
        <v>36038</v>
      </c>
      <c r="BA279" s="13">
        <v>38480</v>
      </c>
      <c r="BB279" s="13">
        <v>34463</v>
      </c>
      <c r="BC279" s="13">
        <v>20994</v>
      </c>
      <c r="BD279" s="13">
        <v>96</v>
      </c>
      <c r="BE279" s="13">
        <v>85</v>
      </c>
      <c r="BF279" s="13">
        <v>89</v>
      </c>
      <c r="BG279" s="13">
        <v>87</v>
      </c>
      <c r="BH279" s="13">
        <v>99</v>
      </c>
      <c r="BI279" s="13">
        <v>96</v>
      </c>
      <c r="BJ279" s="13">
        <v>103</v>
      </c>
      <c r="BK279" s="13">
        <v>98</v>
      </c>
      <c r="BL279" s="13">
        <v>95</v>
      </c>
      <c r="BM279" s="13">
        <v>92</v>
      </c>
      <c r="BN279" s="13">
        <v>88</v>
      </c>
      <c r="BO279" s="13">
        <v>96</v>
      </c>
      <c r="BP279" s="13">
        <v>90</v>
      </c>
      <c r="BQ279" s="13">
        <v>97</v>
      </c>
      <c r="BR279" s="13">
        <v>85</v>
      </c>
      <c r="BS279" s="13">
        <v>98</v>
      </c>
      <c r="BT279" s="13">
        <v>89</v>
      </c>
      <c r="BU279" s="13">
        <v>94</v>
      </c>
      <c r="BV279" s="13">
        <v>96</v>
      </c>
      <c r="BW279" s="13">
        <v>98</v>
      </c>
      <c r="BX279" s="328">
        <f t="shared" si="22"/>
        <v>222931628</v>
      </c>
      <c r="BY279" s="328">
        <f t="shared" si="23"/>
        <v>83949875</v>
      </c>
      <c r="BZ279" s="329">
        <f t="shared" si="20"/>
        <v>0.98353736882420373</v>
      </c>
      <c r="CA279" s="329">
        <f t="shared" si="21"/>
        <v>0.98355824416818805</v>
      </c>
    </row>
    <row r="280" spans="1:79" x14ac:dyDescent="0.25">
      <c r="A280" s="13">
        <v>3285</v>
      </c>
      <c r="B280" s="13">
        <v>279</v>
      </c>
      <c r="C280" s="13" t="s">
        <v>798</v>
      </c>
      <c r="D280" s="13">
        <v>89839</v>
      </c>
      <c r="E280" s="13">
        <v>98738</v>
      </c>
      <c r="F280" s="13">
        <v>111474</v>
      </c>
      <c r="G280" s="13">
        <v>119150</v>
      </c>
      <c r="H280" s="13">
        <v>1.5</v>
      </c>
      <c r="I280" s="13">
        <v>81</v>
      </c>
      <c r="J280" s="13">
        <v>36033</v>
      </c>
      <c r="K280" s="13">
        <v>41741</v>
      </c>
      <c r="L280" s="13">
        <v>45418</v>
      </c>
      <c r="M280" s="13">
        <v>1.8</v>
      </c>
      <c r="N280" s="13">
        <v>2.5499999999999998</v>
      </c>
      <c r="O280" s="13">
        <v>25223</v>
      </c>
      <c r="P280" s="13">
        <v>28841</v>
      </c>
      <c r="Q280" s="13">
        <v>1.6</v>
      </c>
      <c r="R280" s="13">
        <v>74.2</v>
      </c>
      <c r="S280" s="13">
        <v>72.400000000000006</v>
      </c>
      <c r="T280" s="13">
        <v>25</v>
      </c>
      <c r="U280" s="13">
        <v>26.5</v>
      </c>
      <c r="V280" s="13">
        <v>0.6</v>
      </c>
      <c r="W280" s="13">
        <v>0.8</v>
      </c>
      <c r="X280" s="13">
        <v>0.7</v>
      </c>
      <c r="Y280" s="13">
        <v>1.1000000000000001</v>
      </c>
      <c r="Z280" s="13">
        <v>7.2</v>
      </c>
      <c r="AA280" s="13">
        <v>7.3</v>
      </c>
      <c r="AB280" s="13">
        <v>7.3</v>
      </c>
      <c r="AC280" s="13">
        <v>8.6999999999999993</v>
      </c>
      <c r="AD280" s="13">
        <v>10.3</v>
      </c>
      <c r="AE280" s="13">
        <v>29.3</v>
      </c>
      <c r="AF280" s="13">
        <v>18.7</v>
      </c>
      <c r="AG280" s="13">
        <v>9.8000000000000007</v>
      </c>
      <c r="AH280" s="13">
        <v>1.3</v>
      </c>
      <c r="AI280" s="13">
        <v>73.8</v>
      </c>
      <c r="AJ280" s="13">
        <v>29.3</v>
      </c>
      <c r="AK280" s="13">
        <v>30.9</v>
      </c>
      <c r="AL280" s="13">
        <v>90.3</v>
      </c>
      <c r="AM280" s="13">
        <v>13357</v>
      </c>
      <c r="AN280" s="13">
        <v>41739</v>
      </c>
      <c r="AO280" s="13">
        <v>30.8</v>
      </c>
      <c r="AP280" s="13">
        <v>18.2</v>
      </c>
      <c r="AQ280" s="13">
        <v>29.3</v>
      </c>
      <c r="AR280" s="13">
        <v>17.2</v>
      </c>
      <c r="AS280" s="13">
        <v>3.1</v>
      </c>
      <c r="AT280" s="13">
        <v>1.5</v>
      </c>
      <c r="AU280" s="13">
        <v>25607</v>
      </c>
      <c r="AV280" s="13">
        <v>30329</v>
      </c>
      <c r="AW280" s="13">
        <v>307</v>
      </c>
      <c r="AX280" s="13">
        <v>28185</v>
      </c>
      <c r="AY280" s="13">
        <v>22865</v>
      </c>
      <c r="AZ280" s="13">
        <v>33776</v>
      </c>
      <c r="BA280" s="13">
        <v>37098</v>
      </c>
      <c r="BB280" s="13">
        <v>31548</v>
      </c>
      <c r="BC280" s="13">
        <v>18826</v>
      </c>
      <c r="BD280" s="13">
        <v>97</v>
      </c>
      <c r="BE280" s="13">
        <v>87</v>
      </c>
      <c r="BF280" s="13">
        <v>92</v>
      </c>
      <c r="BG280" s="13">
        <v>91</v>
      </c>
      <c r="BH280" s="13">
        <v>100</v>
      </c>
      <c r="BI280" s="13">
        <v>96</v>
      </c>
      <c r="BJ280" s="13">
        <v>106</v>
      </c>
      <c r="BK280" s="13">
        <v>97</v>
      </c>
      <c r="BL280" s="13">
        <v>96</v>
      </c>
      <c r="BM280" s="13">
        <v>90</v>
      </c>
      <c r="BN280" s="13">
        <v>89</v>
      </c>
      <c r="BO280" s="13">
        <v>97</v>
      </c>
      <c r="BP280" s="13">
        <v>90</v>
      </c>
      <c r="BQ280" s="13">
        <v>98</v>
      </c>
      <c r="BR280" s="13">
        <v>86</v>
      </c>
      <c r="BS280" s="13">
        <v>98</v>
      </c>
      <c r="BT280" s="13">
        <v>90</v>
      </c>
      <c r="BU280" s="13">
        <v>94</v>
      </c>
      <c r="BV280" s="13">
        <v>98</v>
      </c>
      <c r="BW280" s="13">
        <v>99</v>
      </c>
      <c r="BX280" s="328">
        <f t="shared" si="22"/>
        <v>223050778</v>
      </c>
      <c r="BY280" s="328">
        <f t="shared" si="23"/>
        <v>83995293</v>
      </c>
      <c r="BZ280" s="329">
        <f t="shared" si="20"/>
        <v>0.98406303886280144</v>
      </c>
      <c r="CA280" s="329">
        <f t="shared" si="21"/>
        <v>0.98409036227239766</v>
      </c>
    </row>
    <row r="281" spans="1:79" x14ac:dyDescent="0.25">
      <c r="A281" s="13">
        <v>9140</v>
      </c>
      <c r="B281" s="13">
        <v>280</v>
      </c>
      <c r="C281" s="13" t="s">
        <v>799</v>
      </c>
      <c r="D281" s="13">
        <v>118416</v>
      </c>
      <c r="E281" s="13">
        <v>118710</v>
      </c>
      <c r="F281" s="13">
        <v>117877</v>
      </c>
      <c r="G281" s="13">
        <v>117132</v>
      </c>
      <c r="H281" s="13">
        <v>-0.1</v>
      </c>
      <c r="I281" s="13">
        <v>288</v>
      </c>
      <c r="J281" s="13">
        <v>44949</v>
      </c>
      <c r="K281" s="13">
        <v>45185</v>
      </c>
      <c r="L281" s="13">
        <v>45300</v>
      </c>
      <c r="M281" s="13">
        <v>0.1</v>
      </c>
      <c r="N281" s="13">
        <v>2.52</v>
      </c>
      <c r="O281" s="13">
        <v>32165</v>
      </c>
      <c r="P281" s="13">
        <v>31570</v>
      </c>
      <c r="Q281" s="13">
        <v>-0.2</v>
      </c>
      <c r="R281" s="13">
        <v>96.9</v>
      </c>
      <c r="S281" s="13">
        <v>96.3</v>
      </c>
      <c r="T281" s="13">
        <v>2.4</v>
      </c>
      <c r="U281" s="13">
        <v>2.7</v>
      </c>
      <c r="V281" s="13">
        <v>0.4</v>
      </c>
      <c r="W281" s="13">
        <v>0.6</v>
      </c>
      <c r="X281" s="13">
        <v>0.5</v>
      </c>
      <c r="Y281" s="13">
        <v>0.8</v>
      </c>
      <c r="Z281" s="13">
        <v>6.3</v>
      </c>
      <c r="AA281" s="13">
        <v>6.9</v>
      </c>
      <c r="AB281" s="13">
        <v>7.2</v>
      </c>
      <c r="AC281" s="13">
        <v>7.1</v>
      </c>
      <c r="AD281" s="13">
        <v>5.9</v>
      </c>
      <c r="AE281" s="13">
        <v>29</v>
      </c>
      <c r="AF281" s="13">
        <v>21.8</v>
      </c>
      <c r="AG281" s="13">
        <v>13.8</v>
      </c>
      <c r="AH281" s="13">
        <v>1.9</v>
      </c>
      <c r="AI281" s="13">
        <v>75.599999999999994</v>
      </c>
      <c r="AJ281" s="13">
        <v>34.799999999999997</v>
      </c>
      <c r="AK281" s="13">
        <v>37.299999999999997</v>
      </c>
      <c r="AL281" s="13">
        <v>94.1</v>
      </c>
      <c r="AM281" s="13">
        <v>15815</v>
      </c>
      <c r="AN281" s="13">
        <v>45185</v>
      </c>
      <c r="AO281" s="13">
        <v>16.399999999999999</v>
      </c>
      <c r="AP281" s="13">
        <v>16.100000000000001</v>
      </c>
      <c r="AQ281" s="13">
        <v>39.9</v>
      </c>
      <c r="AR281" s="13">
        <v>24</v>
      </c>
      <c r="AS281" s="13">
        <v>3</v>
      </c>
      <c r="AT281" s="13">
        <v>0.7</v>
      </c>
      <c r="AU281" s="13">
        <v>34926</v>
      </c>
      <c r="AV281" s="13">
        <v>43060</v>
      </c>
      <c r="AW281" s="13">
        <v>187</v>
      </c>
      <c r="AX281" s="13">
        <v>30947</v>
      </c>
      <c r="AY281" s="13">
        <v>27879</v>
      </c>
      <c r="AZ281" s="13">
        <v>35970</v>
      </c>
      <c r="BA281" s="13">
        <v>39476</v>
      </c>
      <c r="BB281" s="13">
        <v>34973</v>
      </c>
      <c r="BC281" s="13">
        <v>21104</v>
      </c>
      <c r="BD281" s="13">
        <v>99</v>
      </c>
      <c r="BE281" s="13">
        <v>82</v>
      </c>
      <c r="BF281" s="13">
        <v>92</v>
      </c>
      <c r="BG281" s="13">
        <v>88</v>
      </c>
      <c r="BH281" s="13">
        <v>92</v>
      </c>
      <c r="BI281" s="13">
        <v>89</v>
      </c>
      <c r="BJ281" s="13">
        <v>97</v>
      </c>
      <c r="BK281" s="13">
        <v>97</v>
      </c>
      <c r="BL281" s="13">
        <v>92</v>
      </c>
      <c r="BM281" s="13">
        <v>90</v>
      </c>
      <c r="BN281" s="13">
        <v>90</v>
      </c>
      <c r="BO281" s="13">
        <v>96</v>
      </c>
      <c r="BP281" s="13">
        <v>92</v>
      </c>
      <c r="BQ281" s="13">
        <v>99</v>
      </c>
      <c r="BR281" s="13">
        <v>93</v>
      </c>
      <c r="BS281" s="13">
        <v>97</v>
      </c>
      <c r="BT281" s="13">
        <v>92</v>
      </c>
      <c r="BU281" s="13">
        <v>92</v>
      </c>
      <c r="BV281" s="13">
        <v>102</v>
      </c>
      <c r="BW281" s="13">
        <v>98</v>
      </c>
      <c r="BX281" s="328">
        <f t="shared" si="22"/>
        <v>223167910</v>
      </c>
      <c r="BY281" s="328">
        <f t="shared" si="23"/>
        <v>84040593</v>
      </c>
      <c r="BZ281" s="329">
        <f t="shared" si="20"/>
        <v>0.98457980582009075</v>
      </c>
      <c r="CA281" s="329">
        <f t="shared" si="21"/>
        <v>0.98462109788648655</v>
      </c>
    </row>
    <row r="282" spans="1:79" x14ac:dyDescent="0.25">
      <c r="A282" s="13">
        <v>5280</v>
      </c>
      <c r="B282" s="13">
        <v>281</v>
      </c>
      <c r="C282" s="13" t="s">
        <v>800</v>
      </c>
      <c r="D282" s="13">
        <v>128587</v>
      </c>
      <c r="E282" s="13">
        <v>119659</v>
      </c>
      <c r="F282" s="13">
        <v>117219</v>
      </c>
      <c r="G282" s="13">
        <v>115573</v>
      </c>
      <c r="H282" s="13">
        <v>-0.2</v>
      </c>
      <c r="I282" s="13">
        <v>297</v>
      </c>
      <c r="J282" s="13">
        <v>45177</v>
      </c>
      <c r="K282" s="13">
        <v>45219</v>
      </c>
      <c r="L282" s="13">
        <v>45213</v>
      </c>
      <c r="M282" s="13">
        <v>0</v>
      </c>
      <c r="N282" s="13">
        <v>2.41</v>
      </c>
      <c r="O282" s="13">
        <v>30186</v>
      </c>
      <c r="P282" s="13">
        <v>29591</v>
      </c>
      <c r="Q282" s="13">
        <v>-0.2</v>
      </c>
      <c r="R282" s="13">
        <v>93</v>
      </c>
      <c r="S282" s="13">
        <v>91.8</v>
      </c>
      <c r="T282" s="13">
        <v>6</v>
      </c>
      <c r="U282" s="13">
        <v>6.8</v>
      </c>
      <c r="V282" s="13">
        <v>0.5</v>
      </c>
      <c r="W282" s="13">
        <v>0.7</v>
      </c>
      <c r="X282" s="13">
        <v>0.7</v>
      </c>
      <c r="Y282" s="13">
        <v>1</v>
      </c>
      <c r="Z282" s="13">
        <v>5.7</v>
      </c>
      <c r="AA282" s="13">
        <v>5.6</v>
      </c>
      <c r="AB282" s="13">
        <v>5.9</v>
      </c>
      <c r="AC282" s="13">
        <v>10.3</v>
      </c>
      <c r="AD282" s="13">
        <v>11.2</v>
      </c>
      <c r="AE282" s="13">
        <v>26.4</v>
      </c>
      <c r="AF282" s="13">
        <v>22</v>
      </c>
      <c r="AG282" s="13">
        <v>11.4</v>
      </c>
      <c r="AH282" s="13">
        <v>1.4</v>
      </c>
      <c r="AI282" s="13">
        <v>79.099999999999994</v>
      </c>
      <c r="AJ282" s="13">
        <v>31.4</v>
      </c>
      <c r="AK282" s="13">
        <v>34.299999999999997</v>
      </c>
      <c r="AL282" s="13">
        <v>91.5</v>
      </c>
      <c r="AM282" s="13">
        <v>14275</v>
      </c>
      <c r="AN282" s="13">
        <v>45219</v>
      </c>
      <c r="AO282" s="13">
        <v>26</v>
      </c>
      <c r="AP282" s="13">
        <v>17</v>
      </c>
      <c r="AQ282" s="13">
        <v>33.6</v>
      </c>
      <c r="AR282" s="13">
        <v>19.7</v>
      </c>
      <c r="AS282" s="13">
        <v>2.6</v>
      </c>
      <c r="AT282" s="13">
        <v>1.1000000000000001</v>
      </c>
      <c r="AU282" s="13">
        <v>29446</v>
      </c>
      <c r="AV282" s="13">
        <v>32736</v>
      </c>
      <c r="AW282" s="13">
        <v>284</v>
      </c>
      <c r="AX282" s="13">
        <v>28501</v>
      </c>
      <c r="AY282" s="13">
        <v>21186</v>
      </c>
      <c r="AZ282" s="13">
        <v>33566</v>
      </c>
      <c r="BA282" s="13">
        <v>39171</v>
      </c>
      <c r="BB282" s="13">
        <v>31930</v>
      </c>
      <c r="BC282" s="13">
        <v>18292</v>
      </c>
      <c r="BD282" s="13">
        <v>97</v>
      </c>
      <c r="BE282" s="13">
        <v>93</v>
      </c>
      <c r="BF282" s="13">
        <v>96</v>
      </c>
      <c r="BG282" s="13">
        <v>94</v>
      </c>
      <c r="BH282" s="13">
        <v>102</v>
      </c>
      <c r="BI282" s="13">
        <v>98</v>
      </c>
      <c r="BJ282" s="13">
        <v>102</v>
      </c>
      <c r="BK282" s="13">
        <v>97</v>
      </c>
      <c r="BL282" s="13">
        <v>95</v>
      </c>
      <c r="BM282" s="13">
        <v>94</v>
      </c>
      <c r="BN282" s="13">
        <v>95</v>
      </c>
      <c r="BO282" s="13">
        <v>95</v>
      </c>
      <c r="BP282" s="13">
        <v>97</v>
      </c>
      <c r="BQ282" s="13">
        <v>98</v>
      </c>
      <c r="BR282" s="13">
        <v>100</v>
      </c>
      <c r="BS282" s="13">
        <v>100</v>
      </c>
      <c r="BT282" s="13">
        <v>95</v>
      </c>
      <c r="BU282" s="13">
        <v>96</v>
      </c>
      <c r="BV282" s="13">
        <v>99</v>
      </c>
      <c r="BW282" s="13">
        <v>97</v>
      </c>
      <c r="BX282" s="328">
        <f t="shared" si="22"/>
        <v>223283483</v>
      </c>
      <c r="BY282" s="328">
        <f t="shared" si="23"/>
        <v>84085806</v>
      </c>
      <c r="BZ282" s="329">
        <f t="shared" si="20"/>
        <v>0.98508969472794505</v>
      </c>
      <c r="CA282" s="329">
        <f t="shared" si="21"/>
        <v>0.98515081420701212</v>
      </c>
    </row>
    <row r="283" spans="1:79" x14ac:dyDescent="0.25">
      <c r="A283" s="13">
        <v>2620</v>
      </c>
      <c r="B283" s="13">
        <v>282</v>
      </c>
      <c r="C283" s="13" t="s">
        <v>801</v>
      </c>
      <c r="D283" s="13">
        <v>79032</v>
      </c>
      <c r="E283" s="13">
        <v>101760</v>
      </c>
      <c r="F283" s="13">
        <v>121338</v>
      </c>
      <c r="G283" s="13">
        <v>133278</v>
      </c>
      <c r="H283" s="13">
        <v>2.2000000000000002</v>
      </c>
      <c r="I283" s="13">
        <v>40</v>
      </c>
      <c r="J283" s="13">
        <v>31642</v>
      </c>
      <c r="K283" s="13">
        <v>39529</v>
      </c>
      <c r="L283" s="13">
        <v>44568</v>
      </c>
      <c r="M283" s="13">
        <v>2.7</v>
      </c>
      <c r="N283" s="13">
        <v>2.89</v>
      </c>
      <c r="O283" s="13">
        <v>22486</v>
      </c>
      <c r="P283" s="13">
        <v>26058</v>
      </c>
      <c r="Q283" s="13">
        <v>1.8</v>
      </c>
      <c r="R283" s="13">
        <v>65.7</v>
      </c>
      <c r="S283" s="13">
        <v>64.099999999999994</v>
      </c>
      <c r="T283" s="13">
        <v>1.4</v>
      </c>
      <c r="U283" s="13">
        <v>1.7</v>
      </c>
      <c r="V283" s="13">
        <v>0.9</v>
      </c>
      <c r="W283" s="13">
        <v>1.2</v>
      </c>
      <c r="X283" s="13">
        <v>9.6</v>
      </c>
      <c r="Y283" s="13">
        <v>12</v>
      </c>
      <c r="Z283" s="13">
        <v>8.1</v>
      </c>
      <c r="AA283" s="13">
        <v>8.5</v>
      </c>
      <c r="AB283" s="13">
        <v>8.5</v>
      </c>
      <c r="AC283" s="13">
        <v>10.199999999999999</v>
      </c>
      <c r="AD283" s="13">
        <v>10</v>
      </c>
      <c r="AE283" s="13">
        <v>31.1</v>
      </c>
      <c r="AF283" s="13">
        <v>17.2</v>
      </c>
      <c r="AG283" s="13">
        <v>5.7</v>
      </c>
      <c r="AH283" s="13">
        <v>0.6</v>
      </c>
      <c r="AI283" s="13">
        <v>70.8</v>
      </c>
      <c r="AJ283" s="13">
        <v>26.4</v>
      </c>
      <c r="AK283" s="13">
        <v>28.3</v>
      </c>
      <c r="AL283" s="13">
        <v>99.8</v>
      </c>
      <c r="AM283" s="13">
        <v>12719</v>
      </c>
      <c r="AN283" s="13">
        <v>39514</v>
      </c>
      <c r="AO283" s="13">
        <v>23.9</v>
      </c>
      <c r="AP283" s="13">
        <v>17</v>
      </c>
      <c r="AQ283" s="13">
        <v>34</v>
      </c>
      <c r="AR283" s="13">
        <v>21.2</v>
      </c>
      <c r="AS283" s="13">
        <v>3</v>
      </c>
      <c r="AT283" s="13">
        <v>0.9</v>
      </c>
      <c r="AU283" s="13">
        <v>30508</v>
      </c>
      <c r="AV283" s="13">
        <v>32868</v>
      </c>
      <c r="AW283" s="13">
        <v>271</v>
      </c>
      <c r="AX283" s="13">
        <v>29874</v>
      </c>
      <c r="AY283" s="13">
        <v>22639</v>
      </c>
      <c r="AZ283" s="13">
        <v>34899</v>
      </c>
      <c r="BA283" s="13">
        <v>38276</v>
      </c>
      <c r="BB283" s="13">
        <v>33369</v>
      </c>
      <c r="BC283" s="13">
        <v>22401</v>
      </c>
      <c r="BD283" s="13">
        <v>100</v>
      </c>
      <c r="BE283" s="13">
        <v>98</v>
      </c>
      <c r="BF283" s="13">
        <v>91</v>
      </c>
      <c r="BG283" s="13">
        <v>96</v>
      </c>
      <c r="BH283" s="13">
        <v>97</v>
      </c>
      <c r="BI283" s="13">
        <v>97</v>
      </c>
      <c r="BJ283" s="13">
        <v>102</v>
      </c>
      <c r="BK283" s="13">
        <v>99</v>
      </c>
      <c r="BL283" s="13">
        <v>99</v>
      </c>
      <c r="BM283" s="13">
        <v>96</v>
      </c>
      <c r="BN283" s="13">
        <v>97</v>
      </c>
      <c r="BO283" s="13">
        <v>95</v>
      </c>
      <c r="BP283" s="13">
        <v>92</v>
      </c>
      <c r="BQ283" s="13">
        <v>95</v>
      </c>
      <c r="BR283" s="13">
        <v>91</v>
      </c>
      <c r="BS283" s="13">
        <v>96</v>
      </c>
      <c r="BT283" s="13">
        <v>95</v>
      </c>
      <c r="BU283" s="13">
        <v>96</v>
      </c>
      <c r="BV283" s="13">
        <v>97</v>
      </c>
      <c r="BW283" s="13">
        <v>97</v>
      </c>
      <c r="BX283" s="328">
        <f t="shared" si="22"/>
        <v>223416761</v>
      </c>
      <c r="BY283" s="328">
        <f t="shared" si="23"/>
        <v>84130374</v>
      </c>
      <c r="BZ283" s="329">
        <f t="shared" si="20"/>
        <v>0.98567769515936954</v>
      </c>
      <c r="CA283" s="329">
        <f t="shared" si="21"/>
        <v>0.98567297369594631</v>
      </c>
    </row>
    <row r="284" spans="1:79" x14ac:dyDescent="0.25">
      <c r="A284" s="13">
        <v>2880</v>
      </c>
      <c r="B284" s="13">
        <v>283</v>
      </c>
      <c r="C284" s="13" t="s">
        <v>802</v>
      </c>
      <c r="D284" s="13">
        <v>103057</v>
      </c>
      <c r="E284" s="13">
        <v>99840</v>
      </c>
      <c r="F284" s="13">
        <v>105439</v>
      </c>
      <c r="G284" s="13">
        <v>108965</v>
      </c>
      <c r="H284" s="13">
        <v>0.7</v>
      </c>
      <c r="I284" s="13">
        <v>201</v>
      </c>
      <c r="J284" s="13">
        <v>38675</v>
      </c>
      <c r="K284" s="13">
        <v>42072</v>
      </c>
      <c r="L284" s="13">
        <v>44243</v>
      </c>
      <c r="M284" s="13">
        <v>1</v>
      </c>
      <c r="N284" s="13">
        <v>2.48</v>
      </c>
      <c r="O284" s="13">
        <v>28585</v>
      </c>
      <c r="P284" s="13">
        <v>30641</v>
      </c>
      <c r="Q284" s="13">
        <v>0.8</v>
      </c>
      <c r="R284" s="13">
        <v>85.4</v>
      </c>
      <c r="S284" s="13">
        <v>84.4</v>
      </c>
      <c r="T284" s="13">
        <v>13.8</v>
      </c>
      <c r="U284" s="13">
        <v>14.7</v>
      </c>
      <c r="V284" s="13">
        <v>0.4</v>
      </c>
      <c r="W284" s="13">
        <v>0.4</v>
      </c>
      <c r="X284" s="13">
        <v>0.3</v>
      </c>
      <c r="Y284" s="13">
        <v>1</v>
      </c>
      <c r="Z284" s="13">
        <v>5.7</v>
      </c>
      <c r="AA284" s="13">
        <v>6</v>
      </c>
      <c r="AB284" s="13">
        <v>6.6</v>
      </c>
      <c r="AC284" s="13">
        <v>7.3</v>
      </c>
      <c r="AD284" s="13">
        <v>6.4</v>
      </c>
      <c r="AE284" s="13">
        <v>28</v>
      </c>
      <c r="AF284" s="13">
        <v>23.9</v>
      </c>
      <c r="AG284" s="13">
        <v>14.6</v>
      </c>
      <c r="AH284" s="13">
        <v>1.6</v>
      </c>
      <c r="AI284" s="13">
        <v>77.2</v>
      </c>
      <c r="AJ284" s="13">
        <v>36</v>
      </c>
      <c r="AK284" s="13">
        <v>38.6</v>
      </c>
      <c r="AL284" s="13">
        <v>90.5</v>
      </c>
      <c r="AM284" s="13">
        <v>15963</v>
      </c>
      <c r="AN284" s="13">
        <v>42072</v>
      </c>
      <c r="AO284" s="13">
        <v>22.4</v>
      </c>
      <c r="AP284" s="13">
        <v>15.1</v>
      </c>
      <c r="AQ284" s="13">
        <v>35.299999999999997</v>
      </c>
      <c r="AR284" s="13">
        <v>22.4</v>
      </c>
      <c r="AS284" s="13">
        <v>3.5</v>
      </c>
      <c r="AT284" s="13">
        <v>1.2</v>
      </c>
      <c r="AU284" s="13">
        <v>32391</v>
      </c>
      <c r="AV284" s="13">
        <v>38506</v>
      </c>
      <c r="AW284" s="13">
        <v>224</v>
      </c>
      <c r="AX284" s="13">
        <v>31606</v>
      </c>
      <c r="AY284" s="13">
        <v>27799</v>
      </c>
      <c r="AZ284" s="13">
        <v>38798</v>
      </c>
      <c r="BA284" s="13">
        <v>41064</v>
      </c>
      <c r="BB284" s="13">
        <v>33899</v>
      </c>
      <c r="BC284" s="13">
        <v>19526</v>
      </c>
      <c r="BD284" s="13">
        <v>97</v>
      </c>
      <c r="BE284" s="13">
        <v>79</v>
      </c>
      <c r="BF284" s="13">
        <v>89</v>
      </c>
      <c r="BG284" s="13">
        <v>85</v>
      </c>
      <c r="BH284" s="13">
        <v>101</v>
      </c>
      <c r="BI284" s="13">
        <v>97</v>
      </c>
      <c r="BJ284" s="13">
        <v>110</v>
      </c>
      <c r="BK284" s="13">
        <v>98</v>
      </c>
      <c r="BL284" s="13">
        <v>94</v>
      </c>
      <c r="BM284" s="13">
        <v>88</v>
      </c>
      <c r="BN284" s="13">
        <v>86</v>
      </c>
      <c r="BO284" s="13">
        <v>96</v>
      </c>
      <c r="BP284" s="13">
        <v>89</v>
      </c>
      <c r="BQ284" s="13">
        <v>98</v>
      </c>
      <c r="BR284" s="13">
        <v>83</v>
      </c>
      <c r="BS284" s="13">
        <v>98</v>
      </c>
      <c r="BT284" s="13">
        <v>87</v>
      </c>
      <c r="BU284" s="13">
        <v>92</v>
      </c>
      <c r="BV284" s="13">
        <v>101</v>
      </c>
      <c r="BW284" s="13">
        <v>98</v>
      </c>
      <c r="BX284" s="328">
        <f t="shared" si="22"/>
        <v>223525726</v>
      </c>
      <c r="BY284" s="328">
        <f t="shared" si="23"/>
        <v>84174617</v>
      </c>
      <c r="BZ284" s="329">
        <f t="shared" si="20"/>
        <v>0.98615843066718156</v>
      </c>
      <c r="CA284" s="329">
        <f t="shared" si="21"/>
        <v>0.98619132547903987</v>
      </c>
    </row>
    <row r="285" spans="1:79" x14ac:dyDescent="0.25">
      <c r="A285" s="13">
        <v>120</v>
      </c>
      <c r="B285" s="13">
        <v>284</v>
      </c>
      <c r="C285" s="13" t="s">
        <v>803</v>
      </c>
      <c r="D285" s="13">
        <v>112394</v>
      </c>
      <c r="E285" s="13">
        <v>112561</v>
      </c>
      <c r="F285" s="13">
        <v>119112</v>
      </c>
      <c r="G285" s="13">
        <v>122656</v>
      </c>
      <c r="H285" s="13">
        <v>0.7</v>
      </c>
      <c r="I285" s="13">
        <v>197</v>
      </c>
      <c r="J285" s="13">
        <v>39362</v>
      </c>
      <c r="K285" s="13">
        <v>42142</v>
      </c>
      <c r="L285" s="13">
        <v>43847</v>
      </c>
      <c r="M285" s="13">
        <v>0.8</v>
      </c>
      <c r="N285" s="13">
        <v>2.71</v>
      </c>
      <c r="O285" s="13">
        <v>29394</v>
      </c>
      <c r="P285" s="13">
        <v>31092</v>
      </c>
      <c r="Q285" s="13">
        <v>0.7</v>
      </c>
      <c r="R285" s="13">
        <v>53.3</v>
      </c>
      <c r="S285" s="13">
        <v>50.2</v>
      </c>
      <c r="T285" s="13">
        <v>45.8</v>
      </c>
      <c r="U285" s="13">
        <v>48.4</v>
      </c>
      <c r="V285" s="13">
        <v>0.4</v>
      </c>
      <c r="W285" s="13">
        <v>0.7</v>
      </c>
      <c r="X285" s="13">
        <v>0.8</v>
      </c>
      <c r="Y285" s="13">
        <v>1.6</v>
      </c>
      <c r="Z285" s="13">
        <v>7.8</v>
      </c>
      <c r="AA285" s="13">
        <v>8.4</v>
      </c>
      <c r="AB285" s="13">
        <v>8.4</v>
      </c>
      <c r="AC285" s="13">
        <v>9.1</v>
      </c>
      <c r="AD285" s="13">
        <v>7.1</v>
      </c>
      <c r="AE285" s="13">
        <v>30.2</v>
      </c>
      <c r="AF285" s="13">
        <v>19.8</v>
      </c>
      <c r="AG285" s="13">
        <v>8.1999999999999993</v>
      </c>
      <c r="AH285" s="13">
        <v>1</v>
      </c>
      <c r="AI285" s="13">
        <v>70.099999999999994</v>
      </c>
      <c r="AJ285" s="13">
        <v>29.9</v>
      </c>
      <c r="AK285" s="13">
        <v>31.8</v>
      </c>
      <c r="AL285" s="13">
        <v>91.2</v>
      </c>
      <c r="AM285" s="13">
        <v>13017</v>
      </c>
      <c r="AN285" s="13">
        <v>42142</v>
      </c>
      <c r="AO285" s="13">
        <v>26</v>
      </c>
      <c r="AP285" s="13">
        <v>17</v>
      </c>
      <c r="AQ285" s="13">
        <v>33</v>
      </c>
      <c r="AR285" s="13">
        <v>20.2</v>
      </c>
      <c r="AS285" s="13">
        <v>2.8</v>
      </c>
      <c r="AT285" s="13">
        <v>1</v>
      </c>
      <c r="AU285" s="13">
        <v>30027</v>
      </c>
      <c r="AV285" s="13">
        <v>32240</v>
      </c>
      <c r="AW285" s="13">
        <v>278</v>
      </c>
      <c r="AX285" s="13">
        <v>28237</v>
      </c>
      <c r="AY285" s="13">
        <v>23263</v>
      </c>
      <c r="AZ285" s="13">
        <v>32428</v>
      </c>
      <c r="BA285" s="13">
        <v>37161</v>
      </c>
      <c r="BB285" s="13">
        <v>29331</v>
      </c>
      <c r="BC285" s="13">
        <v>18548</v>
      </c>
      <c r="BD285" s="13">
        <v>97</v>
      </c>
      <c r="BE285" s="13">
        <v>94</v>
      </c>
      <c r="BF285" s="13">
        <v>94</v>
      </c>
      <c r="BG285" s="13">
        <v>94</v>
      </c>
      <c r="BH285" s="13">
        <v>101</v>
      </c>
      <c r="BI285" s="13">
        <v>98</v>
      </c>
      <c r="BJ285" s="13">
        <v>101</v>
      </c>
      <c r="BK285" s="13">
        <v>99</v>
      </c>
      <c r="BL285" s="13">
        <v>98</v>
      </c>
      <c r="BM285" s="13">
        <v>98</v>
      </c>
      <c r="BN285" s="13">
        <v>93</v>
      </c>
      <c r="BO285" s="13">
        <v>98</v>
      </c>
      <c r="BP285" s="13">
        <v>95</v>
      </c>
      <c r="BQ285" s="13">
        <v>98</v>
      </c>
      <c r="BR285" s="13">
        <v>90</v>
      </c>
      <c r="BS285" s="13">
        <v>99</v>
      </c>
      <c r="BT285" s="13">
        <v>95</v>
      </c>
      <c r="BU285" s="13">
        <v>98</v>
      </c>
      <c r="BV285" s="13">
        <v>94</v>
      </c>
      <c r="BW285" s="13">
        <v>99</v>
      </c>
      <c r="BX285" s="328">
        <f t="shared" si="22"/>
        <v>223648382</v>
      </c>
      <c r="BY285" s="328">
        <f t="shared" si="23"/>
        <v>84218464</v>
      </c>
      <c r="BZ285" s="329">
        <f t="shared" si="20"/>
        <v>0.98669956859629804</v>
      </c>
      <c r="CA285" s="329">
        <f t="shared" si="21"/>
        <v>0.98670503771901685</v>
      </c>
    </row>
    <row r="286" spans="1:79" x14ac:dyDescent="0.25">
      <c r="A286" s="13">
        <v>7620</v>
      </c>
      <c r="B286" s="13">
        <v>285</v>
      </c>
      <c r="C286" s="13" t="s">
        <v>804</v>
      </c>
      <c r="D286" s="13">
        <v>100935</v>
      </c>
      <c r="E286" s="13">
        <v>103877</v>
      </c>
      <c r="F286" s="13">
        <v>110611</v>
      </c>
      <c r="G286" s="13">
        <v>114295</v>
      </c>
      <c r="H286" s="13">
        <v>0.8</v>
      </c>
      <c r="I286" s="13">
        <v>189</v>
      </c>
      <c r="J286" s="13">
        <v>38592</v>
      </c>
      <c r="K286" s="13">
        <v>41747</v>
      </c>
      <c r="L286" s="13">
        <v>43711</v>
      </c>
      <c r="M286" s="13">
        <v>1</v>
      </c>
      <c r="N286" s="13">
        <v>2.58</v>
      </c>
      <c r="O286" s="13">
        <v>28006</v>
      </c>
      <c r="P286" s="13">
        <v>29648</v>
      </c>
      <c r="Q286" s="13">
        <v>0.7</v>
      </c>
      <c r="R286" s="13">
        <v>96.6</v>
      </c>
      <c r="S286" s="13">
        <v>95.2</v>
      </c>
      <c r="T286" s="13">
        <v>0.4</v>
      </c>
      <c r="U286" s="13">
        <v>0.7</v>
      </c>
      <c r="V286" s="13">
        <v>2</v>
      </c>
      <c r="W286" s="13">
        <v>2.8</v>
      </c>
      <c r="X286" s="13">
        <v>1.6</v>
      </c>
      <c r="Y286" s="13">
        <v>2.4</v>
      </c>
      <c r="Z286" s="13">
        <v>6.2</v>
      </c>
      <c r="AA286" s="13">
        <v>7.1</v>
      </c>
      <c r="AB286" s="13">
        <v>7.8</v>
      </c>
      <c r="AC286" s="13">
        <v>7.5</v>
      </c>
      <c r="AD286" s="13">
        <v>5.5</v>
      </c>
      <c r="AE286" s="13">
        <v>30.7</v>
      </c>
      <c r="AF286" s="13">
        <v>21</v>
      </c>
      <c r="AG286" s="13">
        <v>12.2</v>
      </c>
      <c r="AH286" s="13">
        <v>1.9</v>
      </c>
      <c r="AI286" s="13">
        <v>74.099999999999994</v>
      </c>
      <c r="AJ286" s="13">
        <v>33.799999999999997</v>
      </c>
      <c r="AK286" s="13">
        <v>36.299999999999997</v>
      </c>
      <c r="AL286" s="13">
        <v>99.3</v>
      </c>
      <c r="AM286" s="13">
        <v>20933</v>
      </c>
      <c r="AN286" s="13">
        <v>41747</v>
      </c>
      <c r="AO286" s="13">
        <v>8.9</v>
      </c>
      <c r="AP286" s="13">
        <v>9.4</v>
      </c>
      <c r="AQ286" s="13">
        <v>36.299999999999997</v>
      </c>
      <c r="AR286" s="13">
        <v>35.700000000000003</v>
      </c>
      <c r="AS286" s="13">
        <v>7.8</v>
      </c>
      <c r="AT286" s="13">
        <v>1.9</v>
      </c>
      <c r="AU286" s="13">
        <v>46872</v>
      </c>
      <c r="AV286" s="13">
        <v>60320</v>
      </c>
      <c r="AW286" s="13">
        <v>30</v>
      </c>
      <c r="AX286" s="13">
        <v>37216</v>
      </c>
      <c r="AY286" s="13">
        <v>34297</v>
      </c>
      <c r="AZ286" s="13">
        <v>42331</v>
      </c>
      <c r="BA286" s="13">
        <v>48022</v>
      </c>
      <c r="BB286" s="13">
        <v>42675</v>
      </c>
      <c r="BC286" s="13">
        <v>23758</v>
      </c>
      <c r="BD286" s="13">
        <v>97</v>
      </c>
      <c r="BE286" s="13">
        <v>87</v>
      </c>
      <c r="BF286" s="13">
        <v>88</v>
      </c>
      <c r="BG286" s="13">
        <v>88</v>
      </c>
      <c r="BH286" s="13">
        <v>100</v>
      </c>
      <c r="BI286" s="13">
        <v>95</v>
      </c>
      <c r="BJ286" s="13">
        <v>106</v>
      </c>
      <c r="BK286" s="13">
        <v>98</v>
      </c>
      <c r="BL286" s="13">
        <v>94</v>
      </c>
      <c r="BM286" s="13">
        <v>92</v>
      </c>
      <c r="BN286" s="13">
        <v>93</v>
      </c>
      <c r="BO286" s="13">
        <v>95</v>
      </c>
      <c r="BP286" s="13">
        <v>95</v>
      </c>
      <c r="BQ286" s="13">
        <v>99</v>
      </c>
      <c r="BR286" s="13">
        <v>94</v>
      </c>
      <c r="BS286" s="13">
        <v>101</v>
      </c>
      <c r="BT286" s="13">
        <v>93</v>
      </c>
      <c r="BU286" s="13">
        <v>95</v>
      </c>
      <c r="BV286" s="13">
        <v>100</v>
      </c>
      <c r="BW286" s="13">
        <v>98</v>
      </c>
      <c r="BX286" s="328">
        <f t="shared" si="22"/>
        <v>223762677</v>
      </c>
      <c r="BY286" s="328">
        <f t="shared" si="23"/>
        <v>84262175</v>
      </c>
      <c r="BZ286" s="329">
        <f t="shared" si="20"/>
        <v>0.9872038191801128</v>
      </c>
      <c r="CA286" s="329">
        <f t="shared" si="21"/>
        <v>0.98721715658054987</v>
      </c>
    </row>
    <row r="287" spans="1:79" x14ac:dyDescent="0.25">
      <c r="A287" s="13">
        <v>2040</v>
      </c>
      <c r="B287" s="13">
        <v>286</v>
      </c>
      <c r="C287" s="13" t="s">
        <v>805</v>
      </c>
      <c r="D287" s="13">
        <v>131375</v>
      </c>
      <c r="E287" s="13">
        <v>117206</v>
      </c>
      <c r="F287" s="13">
        <v>113441</v>
      </c>
      <c r="G287" s="13">
        <v>111036</v>
      </c>
      <c r="H287" s="13">
        <v>-0.4</v>
      </c>
      <c r="I287" s="13">
        <v>306</v>
      </c>
      <c r="J287" s="13">
        <v>45996</v>
      </c>
      <c r="K287" s="13">
        <v>44519</v>
      </c>
      <c r="L287" s="13">
        <v>43623</v>
      </c>
      <c r="M287" s="13">
        <v>-0.4</v>
      </c>
      <c r="N287" s="13">
        <v>2.48</v>
      </c>
      <c r="O287" s="13">
        <v>32330</v>
      </c>
      <c r="P287" s="13">
        <v>30623</v>
      </c>
      <c r="Q287" s="13">
        <v>-0.7</v>
      </c>
      <c r="R287" s="13">
        <v>87.2</v>
      </c>
      <c r="S287" s="13">
        <v>85.5</v>
      </c>
      <c r="T287" s="13">
        <v>12.1</v>
      </c>
      <c r="U287" s="13">
        <v>13.5</v>
      </c>
      <c r="V287" s="13">
        <v>0.4</v>
      </c>
      <c r="W287" s="13">
        <v>0.6</v>
      </c>
      <c r="X287" s="13">
        <v>0.5</v>
      </c>
      <c r="Y287" s="13">
        <v>0.7</v>
      </c>
      <c r="Z287" s="13">
        <v>6.9</v>
      </c>
      <c r="AA287" s="13">
        <v>6.9</v>
      </c>
      <c r="AB287" s="13">
        <v>7.3</v>
      </c>
      <c r="AC287" s="13">
        <v>8.1</v>
      </c>
      <c r="AD287" s="13">
        <v>6.2</v>
      </c>
      <c r="AE287" s="13">
        <v>27.7</v>
      </c>
      <c r="AF287" s="13">
        <v>22.4</v>
      </c>
      <c r="AG287" s="13">
        <v>12.7</v>
      </c>
      <c r="AH287" s="13">
        <v>1.9</v>
      </c>
      <c r="AI287" s="13">
        <v>74.2</v>
      </c>
      <c r="AJ287" s="13">
        <v>35</v>
      </c>
      <c r="AK287" s="13">
        <v>36.9</v>
      </c>
      <c r="AL287" s="13">
        <v>91.8</v>
      </c>
      <c r="AM287" s="13">
        <v>16658</v>
      </c>
      <c r="AN287" s="13">
        <v>44519</v>
      </c>
      <c r="AO287" s="13">
        <v>19.899999999999999</v>
      </c>
      <c r="AP287" s="13">
        <v>15.1</v>
      </c>
      <c r="AQ287" s="13">
        <v>35.799999999999997</v>
      </c>
      <c r="AR287" s="13">
        <v>23.9</v>
      </c>
      <c r="AS287" s="13">
        <v>3.6</v>
      </c>
      <c r="AT287" s="13">
        <v>1.7</v>
      </c>
      <c r="AU287" s="13">
        <v>34820</v>
      </c>
      <c r="AV287" s="13">
        <v>37941</v>
      </c>
      <c r="AW287" s="13">
        <v>189</v>
      </c>
      <c r="AX287" s="13">
        <v>32094</v>
      </c>
      <c r="AY287" s="13">
        <v>26348</v>
      </c>
      <c r="AZ287" s="13">
        <v>37950</v>
      </c>
      <c r="BA287" s="13">
        <v>40713</v>
      </c>
      <c r="BB287" s="13">
        <v>35528</v>
      </c>
      <c r="BC287" s="13">
        <v>22278</v>
      </c>
      <c r="BD287" s="13">
        <v>97</v>
      </c>
      <c r="BE287" s="13">
        <v>92</v>
      </c>
      <c r="BF287" s="13">
        <v>95</v>
      </c>
      <c r="BG287" s="13">
        <v>93</v>
      </c>
      <c r="BH287" s="13">
        <v>102</v>
      </c>
      <c r="BI287" s="13">
        <v>98</v>
      </c>
      <c r="BJ287" s="13">
        <v>102</v>
      </c>
      <c r="BK287" s="13">
        <v>98</v>
      </c>
      <c r="BL287" s="13">
        <v>96</v>
      </c>
      <c r="BM287" s="13">
        <v>96</v>
      </c>
      <c r="BN287" s="13">
        <v>96</v>
      </c>
      <c r="BO287" s="13">
        <v>96</v>
      </c>
      <c r="BP287" s="13">
        <v>98</v>
      </c>
      <c r="BQ287" s="13">
        <v>99</v>
      </c>
      <c r="BR287" s="13">
        <v>100</v>
      </c>
      <c r="BS287" s="13">
        <v>101</v>
      </c>
      <c r="BT287" s="13">
        <v>96</v>
      </c>
      <c r="BU287" s="13">
        <v>97</v>
      </c>
      <c r="BV287" s="13">
        <v>98</v>
      </c>
      <c r="BW287" s="13">
        <v>98</v>
      </c>
      <c r="BX287" s="328">
        <f t="shared" si="22"/>
        <v>223873713</v>
      </c>
      <c r="BY287" s="328">
        <f t="shared" si="23"/>
        <v>84305798</v>
      </c>
      <c r="BZ287" s="329">
        <f t="shared" si="20"/>
        <v>0.98769369159644282</v>
      </c>
      <c r="CA287" s="329">
        <f t="shared" si="21"/>
        <v>0.9877282444325014</v>
      </c>
    </row>
    <row r="288" spans="1:79" x14ac:dyDescent="0.25">
      <c r="A288" s="13">
        <v>1950</v>
      </c>
      <c r="B288" s="13">
        <v>287</v>
      </c>
      <c r="C288" s="13" t="s">
        <v>806</v>
      </c>
      <c r="D288" s="13">
        <v>111789</v>
      </c>
      <c r="E288" s="13">
        <v>108711</v>
      </c>
      <c r="F288" s="13">
        <v>108352</v>
      </c>
      <c r="G288" s="13">
        <v>107901</v>
      </c>
      <c r="H288" s="13">
        <v>0</v>
      </c>
      <c r="I288" s="13">
        <v>282</v>
      </c>
      <c r="J288" s="13">
        <v>42325</v>
      </c>
      <c r="K288" s="13">
        <v>43064</v>
      </c>
      <c r="L288" s="13">
        <v>43437</v>
      </c>
      <c r="M288" s="13">
        <v>0.2</v>
      </c>
      <c r="N288" s="13">
        <v>2.4700000000000002</v>
      </c>
      <c r="O288" s="13">
        <v>30681</v>
      </c>
      <c r="P288" s="13">
        <v>30538</v>
      </c>
      <c r="Q288" s="13">
        <v>-0.1</v>
      </c>
      <c r="R288" s="13">
        <v>67.900000000000006</v>
      </c>
      <c r="S288" s="13">
        <v>64.8</v>
      </c>
      <c r="T288" s="13">
        <v>31.6</v>
      </c>
      <c r="U288" s="13">
        <v>34.5</v>
      </c>
      <c r="V288" s="13">
        <v>0.3</v>
      </c>
      <c r="W288" s="13">
        <v>0.4</v>
      </c>
      <c r="X288" s="13">
        <v>0.5</v>
      </c>
      <c r="Y288" s="13">
        <v>1</v>
      </c>
      <c r="Z288" s="13">
        <v>5.6</v>
      </c>
      <c r="AA288" s="13">
        <v>6.6</v>
      </c>
      <c r="AB288" s="13">
        <v>6.6</v>
      </c>
      <c r="AC288" s="13">
        <v>6.7</v>
      </c>
      <c r="AD288" s="13">
        <v>5.2</v>
      </c>
      <c r="AE288" s="13">
        <v>29</v>
      </c>
      <c r="AF288" s="13">
        <v>23.8</v>
      </c>
      <c r="AG288" s="13">
        <v>14.6</v>
      </c>
      <c r="AH288" s="13">
        <v>1.8</v>
      </c>
      <c r="AI288" s="13">
        <v>77.2</v>
      </c>
      <c r="AJ288" s="13">
        <v>36.4</v>
      </c>
      <c r="AK288" s="13">
        <v>38.799999999999997</v>
      </c>
      <c r="AL288" s="13">
        <v>90.7</v>
      </c>
      <c r="AM288" s="13">
        <v>13001</v>
      </c>
      <c r="AN288" s="13">
        <v>43057</v>
      </c>
      <c r="AO288" s="13">
        <v>28.4</v>
      </c>
      <c r="AP288" s="13">
        <v>18.5</v>
      </c>
      <c r="AQ288" s="13">
        <v>34.5</v>
      </c>
      <c r="AR288" s="13">
        <v>16.399999999999999</v>
      </c>
      <c r="AS288" s="13">
        <v>1.4</v>
      </c>
      <c r="AT288" s="13">
        <v>0.8</v>
      </c>
      <c r="AU288" s="13">
        <v>26564</v>
      </c>
      <c r="AV288" s="13">
        <v>29283</v>
      </c>
      <c r="AW288" s="13">
        <v>304</v>
      </c>
      <c r="AX288" s="13">
        <v>25290</v>
      </c>
      <c r="AY288" s="13">
        <v>22447</v>
      </c>
      <c r="AZ288" s="13">
        <v>29706</v>
      </c>
      <c r="BA288" s="13">
        <v>33123</v>
      </c>
      <c r="BB288" s="13">
        <v>28027</v>
      </c>
      <c r="BC288" s="13">
        <v>16425</v>
      </c>
      <c r="BD288" s="13">
        <v>96</v>
      </c>
      <c r="BE288" s="13">
        <v>77</v>
      </c>
      <c r="BF288" s="13">
        <v>86</v>
      </c>
      <c r="BG288" s="13">
        <v>82</v>
      </c>
      <c r="BH288" s="13">
        <v>101</v>
      </c>
      <c r="BI288" s="13">
        <v>96</v>
      </c>
      <c r="BJ288" s="13">
        <v>107</v>
      </c>
      <c r="BK288" s="13">
        <v>98</v>
      </c>
      <c r="BL288" s="13">
        <v>92</v>
      </c>
      <c r="BM288" s="13">
        <v>87</v>
      </c>
      <c r="BN288" s="13">
        <v>84</v>
      </c>
      <c r="BO288" s="13">
        <v>95</v>
      </c>
      <c r="BP288" s="13">
        <v>88</v>
      </c>
      <c r="BQ288" s="13">
        <v>96</v>
      </c>
      <c r="BR288" s="13">
        <v>82</v>
      </c>
      <c r="BS288" s="13">
        <v>97</v>
      </c>
      <c r="BT288" s="13">
        <v>84</v>
      </c>
      <c r="BU288" s="13">
        <v>90</v>
      </c>
      <c r="BV288" s="13">
        <v>100</v>
      </c>
      <c r="BW288" s="13">
        <v>96</v>
      </c>
      <c r="BX288" s="328">
        <f t="shared" si="22"/>
        <v>223981614</v>
      </c>
      <c r="BY288" s="328">
        <f t="shared" si="23"/>
        <v>84349235</v>
      </c>
      <c r="BZ288" s="329">
        <f t="shared" si="20"/>
        <v>0.98816973291272259</v>
      </c>
      <c r="CA288" s="329">
        <f t="shared" si="21"/>
        <v>0.98823715310511029</v>
      </c>
    </row>
    <row r="289" spans="1:79" x14ac:dyDescent="0.25">
      <c r="A289" s="13">
        <v>7640</v>
      </c>
      <c r="B289" s="13">
        <v>288</v>
      </c>
      <c r="C289" s="13" t="s">
        <v>807</v>
      </c>
      <c r="D289" s="13">
        <v>89796</v>
      </c>
      <c r="E289" s="13">
        <v>95021</v>
      </c>
      <c r="F289" s="13">
        <v>102967</v>
      </c>
      <c r="G289" s="13">
        <v>107866</v>
      </c>
      <c r="H289" s="13">
        <v>1</v>
      </c>
      <c r="I289" s="13">
        <v>170</v>
      </c>
      <c r="J289" s="13">
        <v>36847</v>
      </c>
      <c r="K289" s="13">
        <v>40649</v>
      </c>
      <c r="L289" s="13">
        <v>43048</v>
      </c>
      <c r="M289" s="13">
        <v>1.2</v>
      </c>
      <c r="N289" s="13">
        <v>2.4700000000000002</v>
      </c>
      <c r="O289" s="13">
        <v>26534</v>
      </c>
      <c r="P289" s="13">
        <v>28528</v>
      </c>
      <c r="Q289" s="13">
        <v>0.9</v>
      </c>
      <c r="R289" s="13">
        <v>90</v>
      </c>
      <c r="S289" s="13">
        <v>88.7</v>
      </c>
      <c r="T289" s="13">
        <v>6.9</v>
      </c>
      <c r="U289" s="13">
        <v>7.5</v>
      </c>
      <c r="V289" s="13">
        <v>0.4</v>
      </c>
      <c r="W289" s="13">
        <v>0.7</v>
      </c>
      <c r="X289" s="13">
        <v>2.9</v>
      </c>
      <c r="Y289" s="13">
        <v>4</v>
      </c>
      <c r="Z289" s="13">
        <v>6.3</v>
      </c>
      <c r="AA289" s="13">
        <v>7.1</v>
      </c>
      <c r="AB289" s="13">
        <v>7.3</v>
      </c>
      <c r="AC289" s="13">
        <v>7.2</v>
      </c>
      <c r="AD289" s="13">
        <v>5.4</v>
      </c>
      <c r="AE289" s="13">
        <v>26.7</v>
      </c>
      <c r="AF289" s="13">
        <v>23.1</v>
      </c>
      <c r="AG289" s="13">
        <v>14.7</v>
      </c>
      <c r="AH289" s="13">
        <v>2.2000000000000002</v>
      </c>
      <c r="AI289" s="13">
        <v>75.2</v>
      </c>
      <c r="AJ289" s="13">
        <v>35</v>
      </c>
      <c r="AK289" s="13">
        <v>38.4</v>
      </c>
      <c r="AL289" s="13">
        <v>91.2</v>
      </c>
      <c r="AM289" s="13">
        <v>15483</v>
      </c>
      <c r="AN289" s="13">
        <v>40649</v>
      </c>
      <c r="AO289" s="13">
        <v>22</v>
      </c>
      <c r="AP289" s="13">
        <v>17</v>
      </c>
      <c r="AQ289" s="13">
        <v>36.1</v>
      </c>
      <c r="AR289" s="13">
        <v>20.2</v>
      </c>
      <c r="AS289" s="13">
        <v>3.3</v>
      </c>
      <c r="AT289" s="13">
        <v>1.5</v>
      </c>
      <c r="AU289" s="13">
        <v>30948</v>
      </c>
      <c r="AV289" s="13">
        <v>35941</v>
      </c>
      <c r="AW289" s="13">
        <v>260</v>
      </c>
      <c r="AX289" s="13">
        <v>31491</v>
      </c>
      <c r="AY289" s="13">
        <v>27705</v>
      </c>
      <c r="AZ289" s="13">
        <v>37881</v>
      </c>
      <c r="BA289" s="13">
        <v>40846</v>
      </c>
      <c r="BB289" s="13">
        <v>33940</v>
      </c>
      <c r="BC289" s="13">
        <v>20633</v>
      </c>
      <c r="BD289" s="13">
        <v>97</v>
      </c>
      <c r="BE289" s="13">
        <v>85</v>
      </c>
      <c r="BF289" s="13">
        <v>91</v>
      </c>
      <c r="BG289" s="13">
        <v>88</v>
      </c>
      <c r="BH289" s="13">
        <v>100</v>
      </c>
      <c r="BI289" s="13">
        <v>98</v>
      </c>
      <c r="BJ289" s="13">
        <v>108</v>
      </c>
      <c r="BK289" s="13">
        <v>98</v>
      </c>
      <c r="BL289" s="13">
        <v>96</v>
      </c>
      <c r="BM289" s="13">
        <v>91</v>
      </c>
      <c r="BN289" s="13">
        <v>91</v>
      </c>
      <c r="BO289" s="13">
        <v>96</v>
      </c>
      <c r="BP289" s="13">
        <v>91</v>
      </c>
      <c r="BQ289" s="13">
        <v>99</v>
      </c>
      <c r="BR289" s="13">
        <v>86</v>
      </c>
      <c r="BS289" s="13">
        <v>98</v>
      </c>
      <c r="BT289" s="13">
        <v>89</v>
      </c>
      <c r="BU289" s="13">
        <v>94</v>
      </c>
      <c r="BV289" s="13">
        <v>101</v>
      </c>
      <c r="BW289" s="13">
        <v>99</v>
      </c>
      <c r="BX289" s="328">
        <f t="shared" si="22"/>
        <v>224089480</v>
      </c>
      <c r="BY289" s="328">
        <f t="shared" si="23"/>
        <v>84392283</v>
      </c>
      <c r="BZ289" s="329">
        <f t="shared" si="20"/>
        <v>0.98864561981480714</v>
      </c>
      <c r="CA289" s="329">
        <f t="shared" si="21"/>
        <v>0.98874150424672846</v>
      </c>
    </row>
    <row r="290" spans="1:79" x14ac:dyDescent="0.25">
      <c r="A290" s="13">
        <v>2980</v>
      </c>
      <c r="B290" s="13">
        <v>289</v>
      </c>
      <c r="C290" s="13" t="s">
        <v>808</v>
      </c>
      <c r="D290" s="13">
        <v>97054</v>
      </c>
      <c r="E290" s="13">
        <v>104666</v>
      </c>
      <c r="F290" s="13">
        <v>112583</v>
      </c>
      <c r="G290" s="13">
        <v>116706</v>
      </c>
      <c r="H290" s="13">
        <v>0.9</v>
      </c>
      <c r="I290" s="13">
        <v>181</v>
      </c>
      <c r="J290" s="13">
        <v>36889</v>
      </c>
      <c r="K290" s="13">
        <v>39857</v>
      </c>
      <c r="L290" s="13">
        <v>41692</v>
      </c>
      <c r="M290" s="13">
        <v>0.9</v>
      </c>
      <c r="N290" s="13">
        <v>2.62</v>
      </c>
      <c r="O290" s="13">
        <v>27577</v>
      </c>
      <c r="P290" s="13">
        <v>29170</v>
      </c>
      <c r="Q290" s="13">
        <v>0.7</v>
      </c>
      <c r="R290" s="13">
        <v>66.099999999999994</v>
      </c>
      <c r="S290" s="13">
        <v>64.2</v>
      </c>
      <c r="T290" s="13">
        <v>32.299999999999997</v>
      </c>
      <c r="U290" s="13">
        <v>33.1</v>
      </c>
      <c r="V290" s="13">
        <v>0.8</v>
      </c>
      <c r="W290" s="13">
        <v>1.3</v>
      </c>
      <c r="X290" s="13">
        <v>1.3</v>
      </c>
      <c r="Y290" s="13">
        <v>2.5</v>
      </c>
      <c r="Z290" s="13">
        <v>7.5</v>
      </c>
      <c r="AA290" s="13">
        <v>7.6</v>
      </c>
      <c r="AB290" s="13">
        <v>7</v>
      </c>
      <c r="AC290" s="13">
        <v>6.7</v>
      </c>
      <c r="AD290" s="13">
        <v>6.8</v>
      </c>
      <c r="AE290" s="13">
        <v>32.799999999999997</v>
      </c>
      <c r="AF290" s="13">
        <v>20.8</v>
      </c>
      <c r="AG290" s="13">
        <v>9.8000000000000007</v>
      </c>
      <c r="AH290" s="13">
        <v>1</v>
      </c>
      <c r="AI290" s="13">
        <v>73.900000000000006</v>
      </c>
      <c r="AJ290" s="13">
        <v>31.8</v>
      </c>
      <c r="AK290" s="13">
        <v>33.6</v>
      </c>
      <c r="AL290" s="13">
        <v>100</v>
      </c>
      <c r="AM290" s="13">
        <v>17477</v>
      </c>
      <c r="AN290" s="13">
        <v>39857</v>
      </c>
      <c r="AO290" s="13">
        <v>14.4</v>
      </c>
      <c r="AP290" s="13">
        <v>14.3</v>
      </c>
      <c r="AQ290" s="13">
        <v>36.6</v>
      </c>
      <c r="AR290" s="13">
        <v>28.4</v>
      </c>
      <c r="AS290" s="13">
        <v>5</v>
      </c>
      <c r="AT290" s="13">
        <v>1.2</v>
      </c>
      <c r="AU290" s="13">
        <v>38256</v>
      </c>
      <c r="AV290" s="13">
        <v>48662</v>
      </c>
      <c r="AW290" s="13">
        <v>121</v>
      </c>
      <c r="AX290" s="13">
        <v>34752</v>
      </c>
      <c r="AY290" s="13">
        <v>30581</v>
      </c>
      <c r="AZ290" s="13">
        <v>40981</v>
      </c>
      <c r="BA290" s="13">
        <v>43711</v>
      </c>
      <c r="BB290" s="13">
        <v>36765</v>
      </c>
      <c r="BC290" s="13">
        <v>22215</v>
      </c>
      <c r="BD290" s="13">
        <v>97</v>
      </c>
      <c r="BE290" s="13">
        <v>84</v>
      </c>
      <c r="BF290" s="13">
        <v>87</v>
      </c>
      <c r="BG290" s="13">
        <v>86</v>
      </c>
      <c r="BH290" s="13">
        <v>99</v>
      </c>
      <c r="BI290" s="13">
        <v>95</v>
      </c>
      <c r="BJ290" s="13">
        <v>107</v>
      </c>
      <c r="BK290" s="13">
        <v>98</v>
      </c>
      <c r="BL290" s="13">
        <v>95</v>
      </c>
      <c r="BM290" s="13">
        <v>91</v>
      </c>
      <c r="BN290" s="13">
        <v>89</v>
      </c>
      <c r="BO290" s="13">
        <v>96</v>
      </c>
      <c r="BP290" s="13">
        <v>90</v>
      </c>
      <c r="BQ290" s="13">
        <v>98</v>
      </c>
      <c r="BR290" s="13">
        <v>84</v>
      </c>
      <c r="BS290" s="13">
        <v>99</v>
      </c>
      <c r="BT290" s="13">
        <v>89</v>
      </c>
      <c r="BU290" s="13">
        <v>94</v>
      </c>
      <c r="BV290" s="13">
        <v>98</v>
      </c>
      <c r="BW290" s="13">
        <v>99</v>
      </c>
      <c r="BX290" s="328">
        <f t="shared" si="22"/>
        <v>224206186</v>
      </c>
      <c r="BY290" s="328">
        <f t="shared" si="23"/>
        <v>84433975</v>
      </c>
      <c r="BZ290" s="329">
        <f t="shared" si="20"/>
        <v>0.98916050733074989</v>
      </c>
      <c r="CA290" s="329">
        <f t="shared" si="21"/>
        <v>0.98922996846797784</v>
      </c>
    </row>
    <row r="291" spans="1:79" x14ac:dyDescent="0.25">
      <c r="A291" s="13">
        <v>3850</v>
      </c>
      <c r="B291" s="13">
        <v>290</v>
      </c>
      <c r="C291" s="13" t="s">
        <v>809</v>
      </c>
      <c r="D291" s="13">
        <v>103715</v>
      </c>
      <c r="E291" s="13">
        <v>96946</v>
      </c>
      <c r="F291" s="13">
        <v>100083</v>
      </c>
      <c r="G291" s="13">
        <v>101854</v>
      </c>
      <c r="H291" s="13">
        <v>0.4</v>
      </c>
      <c r="I291" s="13">
        <v>240</v>
      </c>
      <c r="J291" s="13">
        <v>37549</v>
      </c>
      <c r="K291" s="13">
        <v>39669</v>
      </c>
      <c r="L291" s="13">
        <v>40977</v>
      </c>
      <c r="M291" s="13">
        <v>0.7</v>
      </c>
      <c r="N291" s="13">
        <v>2.4900000000000002</v>
      </c>
      <c r="O291" s="13">
        <v>27283</v>
      </c>
      <c r="P291" s="13">
        <v>28178</v>
      </c>
      <c r="Q291" s="13">
        <v>0.4</v>
      </c>
      <c r="R291" s="13">
        <v>94.3</v>
      </c>
      <c r="S291" s="13">
        <v>93.3</v>
      </c>
      <c r="T291" s="13">
        <v>4.5</v>
      </c>
      <c r="U291" s="13">
        <v>5.2</v>
      </c>
      <c r="V291" s="13">
        <v>0.5</v>
      </c>
      <c r="W291" s="13">
        <v>0.7</v>
      </c>
      <c r="X291" s="13">
        <v>1.2</v>
      </c>
      <c r="Y291" s="13">
        <v>1.7</v>
      </c>
      <c r="Z291" s="13">
        <v>6.6</v>
      </c>
      <c r="AA291" s="13">
        <v>6.8</v>
      </c>
      <c r="AB291" s="13">
        <v>7.1</v>
      </c>
      <c r="AC291" s="13">
        <v>7.3</v>
      </c>
      <c r="AD291" s="13">
        <v>6</v>
      </c>
      <c r="AE291" s="13">
        <v>29.1</v>
      </c>
      <c r="AF291" s="13">
        <v>24.6</v>
      </c>
      <c r="AG291" s="13">
        <v>11.2</v>
      </c>
      <c r="AH291" s="13">
        <v>1.4</v>
      </c>
      <c r="AI291" s="13">
        <v>75</v>
      </c>
      <c r="AJ291" s="13">
        <v>34.299999999999997</v>
      </c>
      <c r="AK291" s="13">
        <v>36.9</v>
      </c>
      <c r="AL291" s="13">
        <v>92.7</v>
      </c>
      <c r="AM291" s="13">
        <v>21463</v>
      </c>
      <c r="AN291" s="13">
        <v>39669</v>
      </c>
      <c r="AO291" s="13">
        <v>12.4</v>
      </c>
      <c r="AP291" s="13">
        <v>10.199999999999999</v>
      </c>
      <c r="AQ291" s="13">
        <v>33.799999999999997</v>
      </c>
      <c r="AR291" s="13">
        <v>34</v>
      </c>
      <c r="AS291" s="13">
        <v>7.1</v>
      </c>
      <c r="AT291" s="13">
        <v>2.5</v>
      </c>
      <c r="AU291" s="13">
        <v>44697</v>
      </c>
      <c r="AV291" s="13">
        <v>50765</v>
      </c>
      <c r="AW291" s="13">
        <v>41</v>
      </c>
      <c r="AX291" s="13">
        <v>40741</v>
      </c>
      <c r="AY291" s="13">
        <v>32823</v>
      </c>
      <c r="AZ291" s="13">
        <v>46255</v>
      </c>
      <c r="BA291" s="13">
        <v>54027</v>
      </c>
      <c r="BB291" s="13">
        <v>43674</v>
      </c>
      <c r="BC291" s="13">
        <v>24533</v>
      </c>
      <c r="BD291" s="13">
        <v>98</v>
      </c>
      <c r="BE291" s="13">
        <v>91</v>
      </c>
      <c r="BF291" s="13">
        <v>95</v>
      </c>
      <c r="BG291" s="13">
        <v>93</v>
      </c>
      <c r="BH291" s="13">
        <v>102</v>
      </c>
      <c r="BI291" s="13">
        <v>99</v>
      </c>
      <c r="BJ291" s="13">
        <v>104</v>
      </c>
      <c r="BK291" s="13">
        <v>99</v>
      </c>
      <c r="BL291" s="13">
        <v>96</v>
      </c>
      <c r="BM291" s="13">
        <v>96</v>
      </c>
      <c r="BN291" s="13">
        <v>96</v>
      </c>
      <c r="BO291" s="13">
        <v>97</v>
      </c>
      <c r="BP291" s="13">
        <v>99</v>
      </c>
      <c r="BQ291" s="13">
        <v>100</v>
      </c>
      <c r="BR291" s="13">
        <v>99</v>
      </c>
      <c r="BS291" s="13">
        <v>101</v>
      </c>
      <c r="BT291" s="13">
        <v>96</v>
      </c>
      <c r="BU291" s="13">
        <v>97</v>
      </c>
      <c r="BV291" s="13">
        <v>100</v>
      </c>
      <c r="BW291" s="13">
        <v>98</v>
      </c>
      <c r="BX291" s="328">
        <f t="shared" si="22"/>
        <v>224308040</v>
      </c>
      <c r="BY291" s="328">
        <f t="shared" si="23"/>
        <v>84474952</v>
      </c>
      <c r="BZ291" s="329">
        <f t="shared" si="20"/>
        <v>0.9896098702859436</v>
      </c>
      <c r="CA291" s="329">
        <f t="shared" si="21"/>
        <v>0.98971005573637794</v>
      </c>
    </row>
    <row r="292" spans="1:79" x14ac:dyDescent="0.25">
      <c r="A292" s="13">
        <v>3500</v>
      </c>
      <c r="B292" s="13">
        <v>291</v>
      </c>
      <c r="C292" s="13" t="s">
        <v>810</v>
      </c>
      <c r="D292" s="13">
        <v>81717</v>
      </c>
      <c r="E292" s="13">
        <v>96119</v>
      </c>
      <c r="F292" s="13">
        <v>102904</v>
      </c>
      <c r="G292" s="13">
        <v>106626</v>
      </c>
      <c r="H292" s="13">
        <v>0.8</v>
      </c>
      <c r="I292" s="13">
        <v>185</v>
      </c>
      <c r="J292" s="13">
        <v>36067</v>
      </c>
      <c r="K292" s="13">
        <v>39058</v>
      </c>
      <c r="L292" s="13">
        <v>40853</v>
      </c>
      <c r="M292" s="13">
        <v>1</v>
      </c>
      <c r="N292" s="13">
        <v>2.39</v>
      </c>
      <c r="O292" s="13">
        <v>20317</v>
      </c>
      <c r="P292" s="13">
        <v>21035</v>
      </c>
      <c r="Q292" s="13">
        <v>0.4</v>
      </c>
      <c r="R292" s="13">
        <v>93.3</v>
      </c>
      <c r="S292" s="13">
        <v>91.3</v>
      </c>
      <c r="T292" s="13">
        <v>2.1</v>
      </c>
      <c r="U292" s="13">
        <v>2.5</v>
      </c>
      <c r="V292" s="13">
        <v>4</v>
      </c>
      <c r="W292" s="13">
        <v>5.2</v>
      </c>
      <c r="X292" s="13">
        <v>1.5</v>
      </c>
      <c r="Y292" s="13">
        <v>2.7</v>
      </c>
      <c r="Z292" s="13">
        <v>5.7</v>
      </c>
      <c r="AA292" s="13">
        <v>5.7</v>
      </c>
      <c r="AB292" s="13">
        <v>5.2</v>
      </c>
      <c r="AC292" s="13">
        <v>9.4</v>
      </c>
      <c r="AD292" s="13">
        <v>16.600000000000001</v>
      </c>
      <c r="AE292" s="13">
        <v>34.6</v>
      </c>
      <c r="AF292" s="13">
        <v>15.4</v>
      </c>
      <c r="AG292" s="13">
        <v>6.4</v>
      </c>
      <c r="AH292" s="13">
        <v>1</v>
      </c>
      <c r="AI292" s="13">
        <v>80.8</v>
      </c>
      <c r="AJ292" s="13">
        <v>27.3</v>
      </c>
      <c r="AK292" s="13">
        <v>28.5</v>
      </c>
      <c r="AL292" s="13">
        <v>100</v>
      </c>
      <c r="AM292" s="13">
        <v>20453</v>
      </c>
      <c r="AN292" s="13">
        <v>39057</v>
      </c>
      <c r="AO292" s="13">
        <v>16.100000000000001</v>
      </c>
      <c r="AP292" s="13">
        <v>14.1</v>
      </c>
      <c r="AQ292" s="13">
        <v>32.299999999999997</v>
      </c>
      <c r="AR292" s="13">
        <v>26.5</v>
      </c>
      <c r="AS292" s="13">
        <v>6.9</v>
      </c>
      <c r="AT292" s="13">
        <v>4.2</v>
      </c>
      <c r="AU292" s="13">
        <v>38699</v>
      </c>
      <c r="AV292" s="13">
        <v>46294</v>
      </c>
      <c r="AW292" s="13">
        <v>115</v>
      </c>
      <c r="AX292" s="13">
        <v>37786</v>
      </c>
      <c r="AY292" s="13">
        <v>25891</v>
      </c>
      <c r="AZ292" s="13">
        <v>44460</v>
      </c>
      <c r="BA292" s="13">
        <v>55280</v>
      </c>
      <c r="BB292" s="13">
        <v>54581</v>
      </c>
      <c r="BC292" s="13">
        <v>29759</v>
      </c>
      <c r="BD292" s="13">
        <v>96</v>
      </c>
      <c r="BE292" s="13">
        <v>103</v>
      </c>
      <c r="BF292" s="13">
        <v>93</v>
      </c>
      <c r="BG292" s="13">
        <v>97</v>
      </c>
      <c r="BH292" s="13">
        <v>98</v>
      </c>
      <c r="BI292" s="13">
        <v>95</v>
      </c>
      <c r="BJ292" s="13">
        <v>97</v>
      </c>
      <c r="BK292" s="13">
        <v>93</v>
      </c>
      <c r="BL292" s="13">
        <v>95</v>
      </c>
      <c r="BM292" s="13">
        <v>91</v>
      </c>
      <c r="BN292" s="13">
        <v>97</v>
      </c>
      <c r="BO292" s="13">
        <v>94</v>
      </c>
      <c r="BP292" s="13">
        <v>94</v>
      </c>
      <c r="BQ292" s="13">
        <v>96</v>
      </c>
      <c r="BR292" s="13">
        <v>98</v>
      </c>
      <c r="BS292" s="13">
        <v>98</v>
      </c>
      <c r="BT292" s="13">
        <v>96</v>
      </c>
      <c r="BU292" s="13">
        <v>97</v>
      </c>
      <c r="BV292" s="13">
        <v>95</v>
      </c>
      <c r="BW292" s="13">
        <v>98</v>
      </c>
      <c r="BX292" s="328">
        <f t="shared" si="22"/>
        <v>224414666</v>
      </c>
      <c r="BY292" s="328">
        <f t="shared" si="23"/>
        <v>84515805</v>
      </c>
      <c r="BZ292" s="329">
        <f t="shared" si="20"/>
        <v>0.99008028651368607</v>
      </c>
      <c r="CA292" s="329">
        <f t="shared" si="21"/>
        <v>0.99018869021854972</v>
      </c>
    </row>
    <row r="293" spans="1:79" x14ac:dyDescent="0.25">
      <c r="A293" s="13">
        <v>3580</v>
      </c>
      <c r="B293" s="13">
        <v>292</v>
      </c>
      <c r="C293" s="13" t="s">
        <v>811</v>
      </c>
      <c r="D293" s="13">
        <v>87273</v>
      </c>
      <c r="E293" s="13">
        <v>90801</v>
      </c>
      <c r="F293" s="13">
        <v>100424</v>
      </c>
      <c r="G293" s="13">
        <v>106024</v>
      </c>
      <c r="H293" s="13">
        <v>1.2</v>
      </c>
      <c r="I293" s="13">
        <v>117</v>
      </c>
      <c r="J293" s="13">
        <v>34167</v>
      </c>
      <c r="K293" s="13">
        <v>38301</v>
      </c>
      <c r="L293" s="13">
        <v>40846</v>
      </c>
      <c r="M293" s="13">
        <v>1.4</v>
      </c>
      <c r="N293" s="13">
        <v>2.52</v>
      </c>
      <c r="O293" s="13">
        <v>24806</v>
      </c>
      <c r="P293" s="13">
        <v>27198</v>
      </c>
      <c r="Q293" s="13">
        <v>1.1000000000000001</v>
      </c>
      <c r="R293" s="13">
        <v>71.3</v>
      </c>
      <c r="S293" s="13">
        <v>69.5</v>
      </c>
      <c r="T293" s="13">
        <v>28.2</v>
      </c>
      <c r="U293" s="13">
        <v>29.8</v>
      </c>
      <c r="V293" s="13">
        <v>0.3</v>
      </c>
      <c r="W293" s="13">
        <v>0.4</v>
      </c>
      <c r="X293" s="13">
        <v>0.5</v>
      </c>
      <c r="Y293" s="13">
        <v>0.8</v>
      </c>
      <c r="Z293" s="13">
        <v>6.7</v>
      </c>
      <c r="AA293" s="13">
        <v>7.3</v>
      </c>
      <c r="AB293" s="13">
        <v>7.2</v>
      </c>
      <c r="AC293" s="13">
        <v>8</v>
      </c>
      <c r="AD293" s="13">
        <v>7.1</v>
      </c>
      <c r="AE293" s="13">
        <v>29.4</v>
      </c>
      <c r="AF293" s="13">
        <v>20.5</v>
      </c>
      <c r="AG293" s="13">
        <v>11.9</v>
      </c>
      <c r="AH293" s="13">
        <v>1.9</v>
      </c>
      <c r="AI293" s="13">
        <v>74.7</v>
      </c>
      <c r="AJ293" s="13">
        <v>32.9</v>
      </c>
      <c r="AK293" s="13">
        <v>35</v>
      </c>
      <c r="AL293" s="13">
        <v>90.3</v>
      </c>
      <c r="AM293" s="13">
        <v>17142</v>
      </c>
      <c r="AN293" s="13">
        <v>38301</v>
      </c>
      <c r="AO293" s="13">
        <v>18.2</v>
      </c>
      <c r="AP293" s="13">
        <v>15.2</v>
      </c>
      <c r="AQ293" s="13">
        <v>34.9</v>
      </c>
      <c r="AR293" s="13">
        <v>24.9</v>
      </c>
      <c r="AS293" s="13">
        <v>5</v>
      </c>
      <c r="AT293" s="13">
        <v>1.8</v>
      </c>
      <c r="AU293" s="13">
        <v>35445</v>
      </c>
      <c r="AV293" s="13">
        <v>42474</v>
      </c>
      <c r="AW293" s="13">
        <v>172</v>
      </c>
      <c r="AX293" s="13">
        <v>35770</v>
      </c>
      <c r="AY293" s="13">
        <v>31481</v>
      </c>
      <c r="AZ293" s="13">
        <v>42642</v>
      </c>
      <c r="BA293" s="13">
        <v>47265</v>
      </c>
      <c r="BB293" s="13">
        <v>38885</v>
      </c>
      <c r="BC293" s="13">
        <v>22727</v>
      </c>
      <c r="BD293" s="13">
        <v>98</v>
      </c>
      <c r="BE293" s="13">
        <v>88</v>
      </c>
      <c r="BF293" s="13">
        <v>90</v>
      </c>
      <c r="BG293" s="13">
        <v>91</v>
      </c>
      <c r="BH293" s="13">
        <v>101</v>
      </c>
      <c r="BI293" s="13">
        <v>98</v>
      </c>
      <c r="BJ293" s="13">
        <v>105</v>
      </c>
      <c r="BK293" s="13">
        <v>99</v>
      </c>
      <c r="BL293" s="13">
        <v>97</v>
      </c>
      <c r="BM293" s="13">
        <v>94</v>
      </c>
      <c r="BN293" s="13">
        <v>91</v>
      </c>
      <c r="BO293" s="13">
        <v>99</v>
      </c>
      <c r="BP293" s="13">
        <v>93</v>
      </c>
      <c r="BQ293" s="13">
        <v>99</v>
      </c>
      <c r="BR293" s="13">
        <v>88</v>
      </c>
      <c r="BS293" s="13">
        <v>99</v>
      </c>
      <c r="BT293" s="13">
        <v>92</v>
      </c>
      <c r="BU293" s="13">
        <v>96</v>
      </c>
      <c r="BV293" s="13">
        <v>98</v>
      </c>
      <c r="BW293" s="13">
        <v>99</v>
      </c>
      <c r="BX293" s="328">
        <f t="shared" si="22"/>
        <v>224520690</v>
      </c>
      <c r="BY293" s="328">
        <f t="shared" si="23"/>
        <v>84556651</v>
      </c>
      <c r="BZ293" s="329">
        <f t="shared" si="20"/>
        <v>0.99054804681727215</v>
      </c>
      <c r="CA293" s="329">
        <f t="shared" si="21"/>
        <v>0.99066724268859552</v>
      </c>
    </row>
    <row r="294" spans="1:79" x14ac:dyDescent="0.25">
      <c r="A294" s="13">
        <v>3605</v>
      </c>
      <c r="B294" s="13">
        <v>293</v>
      </c>
      <c r="C294" s="13" t="s">
        <v>812</v>
      </c>
      <c r="D294" s="13">
        <v>112784</v>
      </c>
      <c r="E294" s="13">
        <v>149838</v>
      </c>
      <c r="F294" s="13">
        <v>143172</v>
      </c>
      <c r="G294" s="13">
        <v>142755</v>
      </c>
      <c r="H294" s="13">
        <v>-0.6</v>
      </c>
      <c r="I294" s="13">
        <v>311</v>
      </c>
      <c r="J294" s="13">
        <v>40658</v>
      </c>
      <c r="K294" s="13">
        <v>40722</v>
      </c>
      <c r="L294" s="13">
        <v>40745</v>
      </c>
      <c r="M294" s="13">
        <v>0</v>
      </c>
      <c r="N294" s="13">
        <v>2.81</v>
      </c>
      <c r="O294" s="13">
        <v>32971</v>
      </c>
      <c r="P294" s="13">
        <v>32610</v>
      </c>
      <c r="Q294" s="13">
        <v>-0.1</v>
      </c>
      <c r="R294" s="13">
        <v>74.7</v>
      </c>
      <c r="S294" s="13">
        <v>72.400000000000006</v>
      </c>
      <c r="T294" s="13">
        <v>19.899999999999999</v>
      </c>
      <c r="U294" s="13">
        <v>18.899999999999999</v>
      </c>
      <c r="V294" s="13">
        <v>2</v>
      </c>
      <c r="W294" s="13">
        <v>3.3</v>
      </c>
      <c r="X294" s="13">
        <v>5.4</v>
      </c>
      <c r="Y294" s="13">
        <v>9.3000000000000007</v>
      </c>
      <c r="Z294" s="13">
        <v>9.6</v>
      </c>
      <c r="AA294" s="13">
        <v>8</v>
      </c>
      <c r="AB294" s="13">
        <v>6.1</v>
      </c>
      <c r="AC294" s="13">
        <v>7.6</v>
      </c>
      <c r="AD294" s="13">
        <v>18.5</v>
      </c>
      <c r="AE294" s="13">
        <v>33.200000000000003</v>
      </c>
      <c r="AF294" s="13">
        <v>12.3</v>
      </c>
      <c r="AG294" s="13">
        <v>4.3</v>
      </c>
      <c r="AH294" s="13">
        <v>0.4</v>
      </c>
      <c r="AI294" s="13">
        <v>73.8</v>
      </c>
      <c r="AJ294" s="13">
        <v>24.6</v>
      </c>
      <c r="AK294" s="13">
        <v>25.1</v>
      </c>
      <c r="AL294" s="13">
        <v>139.6</v>
      </c>
      <c r="AM294" s="13">
        <v>16602</v>
      </c>
      <c r="AN294" s="13">
        <v>40722</v>
      </c>
      <c r="AO294" s="13">
        <v>7.5</v>
      </c>
      <c r="AP294" s="13">
        <v>17.7</v>
      </c>
      <c r="AQ294" s="13">
        <v>39.799999999999997</v>
      </c>
      <c r="AR294" s="13">
        <v>30.1</v>
      </c>
      <c r="AS294" s="13">
        <v>4</v>
      </c>
      <c r="AT294" s="13">
        <v>0.8</v>
      </c>
      <c r="AU294" s="13">
        <v>39075</v>
      </c>
      <c r="AV294" s="13">
        <v>54788</v>
      </c>
      <c r="AW294" s="13">
        <v>110</v>
      </c>
      <c r="AX294" s="13">
        <v>35241</v>
      </c>
      <c r="AY294" s="13">
        <v>30423</v>
      </c>
      <c r="AZ294" s="13">
        <v>41079</v>
      </c>
      <c r="BA294" s="13">
        <v>44216</v>
      </c>
      <c r="BB294" s="13">
        <v>40525</v>
      </c>
      <c r="BC294" s="13">
        <v>25934</v>
      </c>
      <c r="BD294" s="13">
        <v>93</v>
      </c>
      <c r="BE294" s="13">
        <v>89</v>
      </c>
      <c r="BF294" s="13">
        <v>79</v>
      </c>
      <c r="BG294" s="13">
        <v>81</v>
      </c>
      <c r="BH294" s="13">
        <v>92</v>
      </c>
      <c r="BI294" s="13">
        <v>89</v>
      </c>
      <c r="BJ294" s="13">
        <v>98</v>
      </c>
      <c r="BK294" s="13">
        <v>95</v>
      </c>
      <c r="BL294" s="13">
        <v>95</v>
      </c>
      <c r="BM294" s="13">
        <v>88</v>
      </c>
      <c r="BN294" s="13">
        <v>92</v>
      </c>
      <c r="BO294" s="13">
        <v>92</v>
      </c>
      <c r="BP294" s="13">
        <v>87</v>
      </c>
      <c r="BQ294" s="13">
        <v>94</v>
      </c>
      <c r="BR294" s="13">
        <v>80</v>
      </c>
      <c r="BS294" s="13">
        <v>98</v>
      </c>
      <c r="BT294" s="13">
        <v>86</v>
      </c>
      <c r="BU294" s="13">
        <v>94</v>
      </c>
      <c r="BV294" s="13">
        <v>93</v>
      </c>
      <c r="BW294" s="13">
        <v>98</v>
      </c>
      <c r="BX294" s="328">
        <f t="shared" si="22"/>
        <v>224663445</v>
      </c>
      <c r="BY294" s="328">
        <f t="shared" si="23"/>
        <v>84597396</v>
      </c>
      <c r="BZ294" s="329">
        <f t="shared" si="20"/>
        <v>0.99117785820090631</v>
      </c>
      <c r="CA294" s="329">
        <f t="shared" si="21"/>
        <v>0.99114461184082636</v>
      </c>
    </row>
    <row r="295" spans="1:79" x14ac:dyDescent="0.25">
      <c r="A295" s="13">
        <v>7200</v>
      </c>
      <c r="B295" s="13">
        <v>294</v>
      </c>
      <c r="C295" s="13" t="s">
        <v>813</v>
      </c>
      <c r="D295" s="13">
        <v>84784</v>
      </c>
      <c r="E295" s="13">
        <v>98458</v>
      </c>
      <c r="F295" s="13">
        <v>103276</v>
      </c>
      <c r="G295" s="13">
        <v>106601</v>
      </c>
      <c r="H295" s="13">
        <v>0.6</v>
      </c>
      <c r="I295" s="13">
        <v>212</v>
      </c>
      <c r="J295" s="13">
        <v>35408</v>
      </c>
      <c r="K295" s="13">
        <v>37922</v>
      </c>
      <c r="L295" s="13">
        <v>39535</v>
      </c>
      <c r="M295" s="13">
        <v>0.8</v>
      </c>
      <c r="N295" s="13">
        <v>2.59</v>
      </c>
      <c r="O295" s="13">
        <v>25212</v>
      </c>
      <c r="P295" s="13">
        <v>26660</v>
      </c>
      <c r="Q295" s="13">
        <v>0.7</v>
      </c>
      <c r="R295" s="13">
        <v>80.8</v>
      </c>
      <c r="S295" s="13">
        <v>77.400000000000006</v>
      </c>
      <c r="T295" s="13">
        <v>4.2</v>
      </c>
      <c r="U295" s="13">
        <v>4.3</v>
      </c>
      <c r="V295" s="13">
        <v>1</v>
      </c>
      <c r="W295" s="13">
        <v>1.4</v>
      </c>
      <c r="X295" s="13">
        <v>25.9</v>
      </c>
      <c r="Y295" s="13">
        <v>31.3</v>
      </c>
      <c r="Z295" s="13">
        <v>7.8</v>
      </c>
      <c r="AA295" s="13">
        <v>8</v>
      </c>
      <c r="AB295" s="13">
        <v>7.4</v>
      </c>
      <c r="AC295" s="13">
        <v>8</v>
      </c>
      <c r="AD295" s="13">
        <v>7.7</v>
      </c>
      <c r="AE295" s="13">
        <v>28.3</v>
      </c>
      <c r="AF295" s="13">
        <v>19.899999999999999</v>
      </c>
      <c r="AG295" s="13">
        <v>11.4</v>
      </c>
      <c r="AH295" s="13">
        <v>1.6</v>
      </c>
      <c r="AI295" s="13">
        <v>72.900000000000006</v>
      </c>
      <c r="AJ295" s="13">
        <v>31.2</v>
      </c>
      <c r="AK295" s="13">
        <v>33.5</v>
      </c>
      <c r="AL295" s="13">
        <v>94.4</v>
      </c>
      <c r="AM295" s="13">
        <v>15682</v>
      </c>
      <c r="AN295" s="13">
        <v>37922</v>
      </c>
      <c r="AO295" s="13">
        <v>18.3</v>
      </c>
      <c r="AP295" s="13">
        <v>16.8</v>
      </c>
      <c r="AQ295" s="13">
        <v>35.799999999999997</v>
      </c>
      <c r="AR295" s="13">
        <v>24</v>
      </c>
      <c r="AS295" s="13">
        <v>3.8</v>
      </c>
      <c r="AT295" s="13">
        <v>1.3</v>
      </c>
      <c r="AU295" s="13">
        <v>33863</v>
      </c>
      <c r="AV295" s="13">
        <v>41306</v>
      </c>
      <c r="AW295" s="13">
        <v>203</v>
      </c>
      <c r="AX295" s="13">
        <v>33482</v>
      </c>
      <c r="AY295" s="13">
        <v>27564</v>
      </c>
      <c r="AZ295" s="13">
        <v>38784</v>
      </c>
      <c r="BA295" s="13">
        <v>42338</v>
      </c>
      <c r="BB295" s="13">
        <v>37014</v>
      </c>
      <c r="BC295" s="13">
        <v>24635</v>
      </c>
      <c r="BD295" s="13">
        <v>97</v>
      </c>
      <c r="BE295" s="13">
        <v>95</v>
      </c>
      <c r="BF295" s="13">
        <v>93</v>
      </c>
      <c r="BG295" s="13">
        <v>92</v>
      </c>
      <c r="BH295" s="13">
        <v>99</v>
      </c>
      <c r="BI295" s="13">
        <v>98</v>
      </c>
      <c r="BJ295" s="13">
        <v>102</v>
      </c>
      <c r="BK295" s="13">
        <v>99</v>
      </c>
      <c r="BL295" s="13">
        <v>98</v>
      </c>
      <c r="BM295" s="13">
        <v>95</v>
      </c>
      <c r="BN295" s="13">
        <v>96</v>
      </c>
      <c r="BO295" s="13">
        <v>97</v>
      </c>
      <c r="BP295" s="13">
        <v>94</v>
      </c>
      <c r="BQ295" s="13">
        <v>99</v>
      </c>
      <c r="BR295" s="13">
        <v>89</v>
      </c>
      <c r="BS295" s="13">
        <v>99</v>
      </c>
      <c r="BT295" s="13">
        <v>92</v>
      </c>
      <c r="BU295" s="13">
        <v>98</v>
      </c>
      <c r="BV295" s="13">
        <v>99</v>
      </c>
      <c r="BW295" s="13">
        <v>101</v>
      </c>
      <c r="BX295" s="328">
        <f t="shared" si="22"/>
        <v>224770046</v>
      </c>
      <c r="BY295" s="328">
        <f t="shared" si="23"/>
        <v>84636931</v>
      </c>
      <c r="BZ295" s="329">
        <f t="shared" si="20"/>
        <v>0.99164816413279522</v>
      </c>
      <c r="CA295" s="329">
        <f t="shared" si="21"/>
        <v>0.99160780461131215</v>
      </c>
    </row>
    <row r="296" spans="1:79" x14ac:dyDescent="0.25">
      <c r="A296" s="13">
        <v>4243</v>
      </c>
      <c r="B296" s="13">
        <v>295</v>
      </c>
      <c r="C296" s="13" t="s">
        <v>814</v>
      </c>
      <c r="D296" s="13">
        <v>99509</v>
      </c>
      <c r="E296" s="13">
        <v>105259</v>
      </c>
      <c r="F296" s="13">
        <v>100602</v>
      </c>
      <c r="G296" s="13">
        <v>97812</v>
      </c>
      <c r="H296" s="13">
        <v>-0.5</v>
      </c>
      <c r="I296" s="13">
        <v>310</v>
      </c>
      <c r="J296" s="13">
        <v>40017</v>
      </c>
      <c r="K296" s="13">
        <v>39601</v>
      </c>
      <c r="L296" s="13">
        <v>39273</v>
      </c>
      <c r="M296" s="13">
        <v>-0.1</v>
      </c>
      <c r="N296" s="13">
        <v>2.46</v>
      </c>
      <c r="O296" s="13">
        <v>28047</v>
      </c>
      <c r="P296" s="13">
        <v>27197</v>
      </c>
      <c r="Q296" s="13">
        <v>-0.4</v>
      </c>
      <c r="R296" s="13">
        <v>98.5</v>
      </c>
      <c r="S296" s="13">
        <v>98</v>
      </c>
      <c r="T296" s="13">
        <v>0.5</v>
      </c>
      <c r="U296" s="13">
        <v>0.6</v>
      </c>
      <c r="V296" s="13">
        <v>0.5</v>
      </c>
      <c r="W296" s="13">
        <v>0.7</v>
      </c>
      <c r="X296" s="13">
        <v>0.7</v>
      </c>
      <c r="Y296" s="13">
        <v>1.1000000000000001</v>
      </c>
      <c r="Z296" s="13">
        <v>5.9</v>
      </c>
      <c r="AA296" s="13">
        <v>7.1</v>
      </c>
      <c r="AB296" s="13">
        <v>7.2</v>
      </c>
      <c r="AC296" s="13">
        <v>7.3</v>
      </c>
      <c r="AD296" s="13">
        <v>6.8</v>
      </c>
      <c r="AE296" s="13">
        <v>30</v>
      </c>
      <c r="AF296" s="13">
        <v>21.5</v>
      </c>
      <c r="AG296" s="13">
        <v>12.2</v>
      </c>
      <c r="AH296" s="13">
        <v>1.9</v>
      </c>
      <c r="AI296" s="13">
        <v>75.8</v>
      </c>
      <c r="AJ296" s="13">
        <v>32.799999999999997</v>
      </c>
      <c r="AK296" s="13">
        <v>36.1</v>
      </c>
      <c r="AL296" s="13">
        <v>94.3</v>
      </c>
      <c r="AM296" s="13">
        <v>17822</v>
      </c>
      <c r="AN296" s="13">
        <v>39601</v>
      </c>
      <c r="AO296" s="13">
        <v>15.5</v>
      </c>
      <c r="AP296" s="13">
        <v>13.6</v>
      </c>
      <c r="AQ296" s="13">
        <v>38.4</v>
      </c>
      <c r="AR296" s="13">
        <v>26.7</v>
      </c>
      <c r="AS296" s="13">
        <v>4.5</v>
      </c>
      <c r="AT296" s="13">
        <v>1.3</v>
      </c>
      <c r="AU296" s="13">
        <v>37115</v>
      </c>
      <c r="AV296" s="13">
        <v>45606</v>
      </c>
      <c r="AW296" s="13">
        <v>138</v>
      </c>
      <c r="AX296" s="13">
        <v>32815</v>
      </c>
      <c r="AY296" s="13">
        <v>30515</v>
      </c>
      <c r="AZ296" s="13">
        <v>39325</v>
      </c>
      <c r="BA296" s="13">
        <v>41455</v>
      </c>
      <c r="BB296" s="13">
        <v>35171</v>
      </c>
      <c r="BC296" s="13">
        <v>19759</v>
      </c>
      <c r="BD296" s="13">
        <v>98</v>
      </c>
      <c r="BE296" s="13">
        <v>87</v>
      </c>
      <c r="BF296" s="13">
        <v>90</v>
      </c>
      <c r="BG296" s="13">
        <v>88</v>
      </c>
      <c r="BH296" s="13">
        <v>91</v>
      </c>
      <c r="BI296" s="13">
        <v>88</v>
      </c>
      <c r="BJ296" s="13">
        <v>95</v>
      </c>
      <c r="BK296" s="13">
        <v>96</v>
      </c>
      <c r="BL296" s="13">
        <v>93</v>
      </c>
      <c r="BM296" s="13">
        <v>91</v>
      </c>
      <c r="BN296" s="13">
        <v>92</v>
      </c>
      <c r="BO296" s="13">
        <v>96</v>
      </c>
      <c r="BP296" s="13">
        <v>92</v>
      </c>
      <c r="BQ296" s="13">
        <v>99</v>
      </c>
      <c r="BR296" s="13">
        <v>93</v>
      </c>
      <c r="BS296" s="13">
        <v>97</v>
      </c>
      <c r="BT296" s="13">
        <v>93</v>
      </c>
      <c r="BU296" s="13">
        <v>93</v>
      </c>
      <c r="BV296" s="13">
        <v>99</v>
      </c>
      <c r="BW296" s="13">
        <v>98</v>
      </c>
      <c r="BX296" s="328">
        <f t="shared" si="22"/>
        <v>224867858</v>
      </c>
      <c r="BY296" s="328">
        <f t="shared" si="23"/>
        <v>84676204</v>
      </c>
      <c r="BZ296" s="329">
        <f t="shared" si="20"/>
        <v>0.99207969445436728</v>
      </c>
      <c r="CA296" s="329">
        <f t="shared" si="21"/>
        <v>0.99206792778508956</v>
      </c>
    </row>
    <row r="297" spans="1:79" x14ac:dyDescent="0.25">
      <c r="A297" s="13">
        <v>1900</v>
      </c>
      <c r="B297" s="13">
        <v>296</v>
      </c>
      <c r="C297" s="13" t="s">
        <v>815</v>
      </c>
      <c r="D297" s="13">
        <v>107782</v>
      </c>
      <c r="E297" s="13">
        <v>101643</v>
      </c>
      <c r="F297" s="13">
        <v>98448</v>
      </c>
      <c r="G297" s="13">
        <v>96633</v>
      </c>
      <c r="H297" s="13">
        <v>-0.4</v>
      </c>
      <c r="I297" s="13">
        <v>305</v>
      </c>
      <c r="J297" s="13">
        <v>39615</v>
      </c>
      <c r="K297" s="13">
        <v>39134</v>
      </c>
      <c r="L297" s="13">
        <v>38859</v>
      </c>
      <c r="M297" s="13">
        <v>-0.1</v>
      </c>
      <c r="N297" s="13">
        <v>2.4300000000000002</v>
      </c>
      <c r="O297" s="13">
        <v>27899</v>
      </c>
      <c r="P297" s="13">
        <v>26885</v>
      </c>
      <c r="Q297" s="13">
        <v>-0.4</v>
      </c>
      <c r="R297" s="13">
        <v>97.2</v>
      </c>
      <c r="S297" s="13">
        <v>96.6</v>
      </c>
      <c r="T297" s="13">
        <v>2.2000000000000002</v>
      </c>
      <c r="U297" s="13">
        <v>2.7</v>
      </c>
      <c r="V297" s="13">
        <v>0.4</v>
      </c>
      <c r="W297" s="13">
        <v>0.5</v>
      </c>
      <c r="X297" s="13">
        <v>0.4</v>
      </c>
      <c r="Y297" s="13">
        <v>0.6</v>
      </c>
      <c r="Z297" s="13">
        <v>5.4</v>
      </c>
      <c r="AA297" s="13">
        <v>6.4</v>
      </c>
      <c r="AB297" s="13">
        <v>6.6</v>
      </c>
      <c r="AC297" s="13">
        <v>7.8</v>
      </c>
      <c r="AD297" s="13">
        <v>6.2</v>
      </c>
      <c r="AE297" s="13">
        <v>25.2</v>
      </c>
      <c r="AF297" s="13">
        <v>23.7</v>
      </c>
      <c r="AG297" s="13">
        <v>16.7</v>
      </c>
      <c r="AH297" s="13">
        <v>2.1</v>
      </c>
      <c r="AI297" s="13">
        <v>77.8</v>
      </c>
      <c r="AJ297" s="13">
        <v>36.9</v>
      </c>
      <c r="AK297" s="13">
        <v>39.9</v>
      </c>
      <c r="AL297" s="13">
        <v>91.5</v>
      </c>
      <c r="AM297" s="13">
        <v>12879</v>
      </c>
      <c r="AN297" s="13">
        <v>39134</v>
      </c>
      <c r="AO297" s="13">
        <v>28.4</v>
      </c>
      <c r="AP297" s="13">
        <v>21.3</v>
      </c>
      <c r="AQ297" s="13">
        <v>33.6</v>
      </c>
      <c r="AR297" s="13">
        <v>14.2</v>
      </c>
      <c r="AS297" s="13">
        <v>1.5</v>
      </c>
      <c r="AT297" s="13">
        <v>1</v>
      </c>
      <c r="AU297" s="13">
        <v>25156</v>
      </c>
      <c r="AV297" s="13">
        <v>27745</v>
      </c>
      <c r="AW297" s="13">
        <v>311</v>
      </c>
      <c r="AX297" s="13">
        <v>24729</v>
      </c>
      <c r="AY297" s="13">
        <v>22293</v>
      </c>
      <c r="AZ297" s="13">
        <v>30871</v>
      </c>
      <c r="BA297" s="13">
        <v>32663</v>
      </c>
      <c r="BB297" s="13">
        <v>28189</v>
      </c>
      <c r="BC297" s="13">
        <v>16059</v>
      </c>
      <c r="BD297" s="13">
        <v>95</v>
      </c>
      <c r="BE297" s="13">
        <v>83</v>
      </c>
      <c r="BF297" s="13">
        <v>94</v>
      </c>
      <c r="BG297" s="13">
        <v>86</v>
      </c>
      <c r="BH297" s="13">
        <v>104</v>
      </c>
      <c r="BI297" s="13">
        <v>100</v>
      </c>
      <c r="BJ297" s="13">
        <v>105</v>
      </c>
      <c r="BK297" s="13">
        <v>97</v>
      </c>
      <c r="BL297" s="13">
        <v>92</v>
      </c>
      <c r="BM297" s="13">
        <v>90</v>
      </c>
      <c r="BN297" s="13">
        <v>89</v>
      </c>
      <c r="BO297" s="13">
        <v>93</v>
      </c>
      <c r="BP297" s="13">
        <v>91</v>
      </c>
      <c r="BQ297" s="13">
        <v>97</v>
      </c>
      <c r="BR297" s="13">
        <v>88</v>
      </c>
      <c r="BS297" s="13">
        <v>97</v>
      </c>
      <c r="BT297" s="13">
        <v>87</v>
      </c>
      <c r="BU297" s="13">
        <v>92</v>
      </c>
      <c r="BV297" s="13">
        <v>102</v>
      </c>
      <c r="BW297" s="13">
        <v>96</v>
      </c>
      <c r="BX297" s="328">
        <f t="shared" si="22"/>
        <v>224964491</v>
      </c>
      <c r="BY297" s="328">
        <f t="shared" si="23"/>
        <v>84715063</v>
      </c>
      <c r="BZ297" s="329">
        <f t="shared" si="20"/>
        <v>0.99250602322348025</v>
      </c>
      <c r="CA297" s="329">
        <f t="shared" si="21"/>
        <v>0.99252320052742704</v>
      </c>
    </row>
    <row r="298" spans="1:79" x14ac:dyDescent="0.25">
      <c r="A298" s="13">
        <v>3740</v>
      </c>
      <c r="B298" s="13">
        <v>297</v>
      </c>
      <c r="C298" s="13" t="s">
        <v>816</v>
      </c>
      <c r="D298" s="13">
        <v>102926</v>
      </c>
      <c r="E298" s="13">
        <v>96255</v>
      </c>
      <c r="F298" s="13">
        <v>102559</v>
      </c>
      <c r="G298" s="13">
        <v>106205</v>
      </c>
      <c r="H298" s="13">
        <v>0.8</v>
      </c>
      <c r="I298" s="13">
        <v>188</v>
      </c>
      <c r="J298" s="13">
        <v>34623</v>
      </c>
      <c r="K298" s="13">
        <v>36964</v>
      </c>
      <c r="L298" s="13">
        <v>38362</v>
      </c>
      <c r="M298" s="13">
        <v>0.8</v>
      </c>
      <c r="N298" s="13">
        <v>2.67</v>
      </c>
      <c r="O298" s="13">
        <v>24922</v>
      </c>
      <c r="P298" s="13">
        <v>26068</v>
      </c>
      <c r="Q298" s="13">
        <v>0.5</v>
      </c>
      <c r="R298" s="13">
        <v>83.3</v>
      </c>
      <c r="S298" s="13">
        <v>81.099999999999994</v>
      </c>
      <c r="T298" s="13">
        <v>15</v>
      </c>
      <c r="U298" s="13">
        <v>16.600000000000001</v>
      </c>
      <c r="V298" s="13">
        <v>0.7</v>
      </c>
      <c r="W298" s="13">
        <v>0.9</v>
      </c>
      <c r="X298" s="13">
        <v>2</v>
      </c>
      <c r="Y298" s="13">
        <v>2.9</v>
      </c>
      <c r="Z298" s="13">
        <v>7.7</v>
      </c>
      <c r="AA298" s="13">
        <v>8.1</v>
      </c>
      <c r="AB298" s="13">
        <v>8.1</v>
      </c>
      <c r="AC298" s="13">
        <v>7.8</v>
      </c>
      <c r="AD298" s="13">
        <v>5.8</v>
      </c>
      <c r="AE298" s="13">
        <v>28.2</v>
      </c>
      <c r="AF298" s="13">
        <v>20.6</v>
      </c>
      <c r="AG298" s="13">
        <v>12.2</v>
      </c>
      <c r="AH298" s="13">
        <v>1.6</v>
      </c>
      <c r="AI298" s="13">
        <v>71.5</v>
      </c>
      <c r="AJ298" s="13">
        <v>32.9</v>
      </c>
      <c r="AK298" s="13">
        <v>34.9</v>
      </c>
      <c r="AL298" s="13">
        <v>95</v>
      </c>
      <c r="AM298" s="13">
        <v>16892</v>
      </c>
      <c r="AN298" s="13">
        <v>36964</v>
      </c>
      <c r="AO298" s="13">
        <v>16.7</v>
      </c>
      <c r="AP298" s="13">
        <v>13</v>
      </c>
      <c r="AQ298" s="13">
        <v>36.4</v>
      </c>
      <c r="AR298" s="13">
        <v>27.2</v>
      </c>
      <c r="AS298" s="13">
        <v>4.9000000000000004</v>
      </c>
      <c r="AT298" s="13">
        <v>1.7</v>
      </c>
      <c r="AU298" s="13">
        <v>38456</v>
      </c>
      <c r="AV298" s="13">
        <v>45047</v>
      </c>
      <c r="AW298" s="13">
        <v>118</v>
      </c>
      <c r="AX298" s="13">
        <v>34683</v>
      </c>
      <c r="AY298" s="13">
        <v>30949</v>
      </c>
      <c r="AZ298" s="13">
        <v>40548</v>
      </c>
      <c r="BA298" s="13">
        <v>45857</v>
      </c>
      <c r="BB298" s="13">
        <v>35690</v>
      </c>
      <c r="BC298" s="13">
        <v>22684</v>
      </c>
      <c r="BD298" s="13">
        <v>96</v>
      </c>
      <c r="BE298" s="13">
        <v>89</v>
      </c>
      <c r="BF298" s="13">
        <v>92</v>
      </c>
      <c r="BG298" s="13">
        <v>89</v>
      </c>
      <c r="BH298" s="13">
        <v>100</v>
      </c>
      <c r="BI298" s="13">
        <v>96</v>
      </c>
      <c r="BJ298" s="13">
        <v>101</v>
      </c>
      <c r="BK298" s="13">
        <v>98</v>
      </c>
      <c r="BL298" s="13">
        <v>95</v>
      </c>
      <c r="BM298" s="13">
        <v>94</v>
      </c>
      <c r="BN298" s="13">
        <v>92</v>
      </c>
      <c r="BO298" s="13">
        <v>94</v>
      </c>
      <c r="BP298" s="13">
        <v>96</v>
      </c>
      <c r="BQ298" s="13">
        <v>97</v>
      </c>
      <c r="BR298" s="13">
        <v>97</v>
      </c>
      <c r="BS298" s="13">
        <v>101</v>
      </c>
      <c r="BT298" s="13">
        <v>93</v>
      </c>
      <c r="BU298" s="13">
        <v>96</v>
      </c>
      <c r="BV298" s="13">
        <v>98</v>
      </c>
      <c r="BW298" s="13">
        <v>97</v>
      </c>
      <c r="BX298" s="328">
        <f t="shared" si="22"/>
        <v>225070696</v>
      </c>
      <c r="BY298" s="328">
        <f t="shared" si="23"/>
        <v>84753425</v>
      </c>
      <c r="BZ298" s="329">
        <f t="shared" si="20"/>
        <v>0.99297458206904687</v>
      </c>
      <c r="CA298" s="329">
        <f t="shared" si="21"/>
        <v>0.99297265040883276</v>
      </c>
    </row>
    <row r="299" spans="1:79" x14ac:dyDescent="0.25">
      <c r="A299" s="13">
        <v>4200</v>
      </c>
      <c r="B299" s="13">
        <v>298</v>
      </c>
      <c r="C299" s="13" t="s">
        <v>817</v>
      </c>
      <c r="D299" s="13">
        <v>112456</v>
      </c>
      <c r="E299" s="13">
        <v>111486</v>
      </c>
      <c r="F299" s="13">
        <v>113171</v>
      </c>
      <c r="G299" s="13">
        <v>113690</v>
      </c>
      <c r="H299" s="13">
        <v>0.2</v>
      </c>
      <c r="I299" s="13">
        <v>257</v>
      </c>
      <c r="J299" s="13">
        <v>37569</v>
      </c>
      <c r="K299" s="13">
        <v>37978</v>
      </c>
      <c r="L299" s="13">
        <v>38221</v>
      </c>
      <c r="M299" s="13">
        <v>0.1</v>
      </c>
      <c r="N299" s="13">
        <v>2.72</v>
      </c>
      <c r="O299" s="13">
        <v>28724</v>
      </c>
      <c r="P299" s="13">
        <v>28421</v>
      </c>
      <c r="Q299" s="13">
        <v>-0.1</v>
      </c>
      <c r="R299" s="13">
        <v>71.5</v>
      </c>
      <c r="S299" s="13">
        <v>70.3</v>
      </c>
      <c r="T299" s="13">
        <v>17.899999999999999</v>
      </c>
      <c r="U299" s="13">
        <v>17.3</v>
      </c>
      <c r="V299" s="13">
        <v>2.7</v>
      </c>
      <c r="W299" s="13">
        <v>3.4</v>
      </c>
      <c r="X299" s="13">
        <v>6.2</v>
      </c>
      <c r="Y299" s="13">
        <v>9</v>
      </c>
      <c r="Z299" s="13">
        <v>8.3000000000000007</v>
      </c>
      <c r="AA299" s="13">
        <v>8.1</v>
      </c>
      <c r="AB299" s="13">
        <v>7.7</v>
      </c>
      <c r="AC299" s="13">
        <v>8.1999999999999993</v>
      </c>
      <c r="AD299" s="13">
        <v>10</v>
      </c>
      <c r="AE299" s="13">
        <v>31.1</v>
      </c>
      <c r="AF299" s="13">
        <v>17.600000000000001</v>
      </c>
      <c r="AG299" s="13">
        <v>8.1999999999999993</v>
      </c>
      <c r="AH299" s="13">
        <v>0.9</v>
      </c>
      <c r="AI299" s="13">
        <v>72.099999999999994</v>
      </c>
      <c r="AJ299" s="13">
        <v>28.2</v>
      </c>
      <c r="AK299" s="13">
        <v>29.5</v>
      </c>
      <c r="AL299" s="13">
        <v>105.7</v>
      </c>
      <c r="AM299" s="13">
        <v>12921</v>
      </c>
      <c r="AN299" s="13">
        <v>37964</v>
      </c>
      <c r="AO299" s="13">
        <v>19.8</v>
      </c>
      <c r="AP299" s="13">
        <v>20.8</v>
      </c>
      <c r="AQ299" s="13">
        <v>38.1</v>
      </c>
      <c r="AR299" s="13">
        <v>18.600000000000001</v>
      </c>
      <c r="AS299" s="13">
        <v>2.1</v>
      </c>
      <c r="AT299" s="13">
        <v>0.6</v>
      </c>
      <c r="AU299" s="13">
        <v>29851</v>
      </c>
      <c r="AV299" s="13">
        <v>32897</v>
      </c>
      <c r="AW299" s="13">
        <v>281</v>
      </c>
      <c r="AX299" s="13">
        <v>28135</v>
      </c>
      <c r="AY299" s="13">
        <v>23723</v>
      </c>
      <c r="AZ299" s="13">
        <v>31119</v>
      </c>
      <c r="BA299" s="13">
        <v>34812</v>
      </c>
      <c r="BB299" s="13">
        <v>32172</v>
      </c>
      <c r="BC299" s="13">
        <v>22586</v>
      </c>
      <c r="BD299" s="13">
        <v>95</v>
      </c>
      <c r="BE299" s="13">
        <v>94</v>
      </c>
      <c r="BF299" s="13">
        <v>87</v>
      </c>
      <c r="BG299" s="13">
        <v>88</v>
      </c>
      <c r="BH299" s="13">
        <v>98</v>
      </c>
      <c r="BI299" s="13">
        <v>95</v>
      </c>
      <c r="BJ299" s="13">
        <v>98</v>
      </c>
      <c r="BK299" s="13">
        <v>97</v>
      </c>
      <c r="BL299" s="13">
        <v>97</v>
      </c>
      <c r="BM299" s="13">
        <v>93</v>
      </c>
      <c r="BN299" s="13">
        <v>95</v>
      </c>
      <c r="BO299" s="13">
        <v>95</v>
      </c>
      <c r="BP299" s="13">
        <v>92</v>
      </c>
      <c r="BQ299" s="13">
        <v>97</v>
      </c>
      <c r="BR299" s="13">
        <v>86</v>
      </c>
      <c r="BS299" s="13">
        <v>99</v>
      </c>
      <c r="BT299" s="13">
        <v>92</v>
      </c>
      <c r="BU299" s="13">
        <v>96</v>
      </c>
      <c r="BV299" s="13">
        <v>96</v>
      </c>
      <c r="BW299" s="13">
        <v>99</v>
      </c>
      <c r="BX299" s="328">
        <f t="shared" si="22"/>
        <v>225184386</v>
      </c>
      <c r="BY299" s="328">
        <f t="shared" si="23"/>
        <v>84791646</v>
      </c>
      <c r="BZ299" s="329">
        <f t="shared" si="20"/>
        <v>0.99347616349320278</v>
      </c>
      <c r="CA299" s="329">
        <f t="shared" si="21"/>
        <v>0.99342044833170462</v>
      </c>
    </row>
    <row r="300" spans="1:79" x14ac:dyDescent="0.25">
      <c r="A300" s="13">
        <v>4150</v>
      </c>
      <c r="B300" s="13">
        <v>299</v>
      </c>
      <c r="C300" s="13" t="s">
        <v>818</v>
      </c>
      <c r="D300" s="13">
        <v>67640</v>
      </c>
      <c r="E300" s="13">
        <v>81798</v>
      </c>
      <c r="F300" s="13">
        <v>92441</v>
      </c>
      <c r="G300" s="13">
        <v>99494</v>
      </c>
      <c r="H300" s="13">
        <v>1.5</v>
      </c>
      <c r="I300" s="13">
        <v>80</v>
      </c>
      <c r="J300" s="13">
        <v>30138</v>
      </c>
      <c r="K300" s="13">
        <v>35060</v>
      </c>
      <c r="L300" s="13">
        <v>38035</v>
      </c>
      <c r="M300" s="13">
        <v>1.9</v>
      </c>
      <c r="N300" s="13">
        <v>2.42</v>
      </c>
      <c r="O300" s="13">
        <v>17291</v>
      </c>
      <c r="P300" s="13">
        <v>19568</v>
      </c>
      <c r="Q300" s="13">
        <v>1.5</v>
      </c>
      <c r="R300" s="13">
        <v>89.1</v>
      </c>
      <c r="S300" s="13">
        <v>88.1</v>
      </c>
      <c r="T300" s="13">
        <v>4.0999999999999996</v>
      </c>
      <c r="U300" s="13">
        <v>4.4000000000000004</v>
      </c>
      <c r="V300" s="13">
        <v>3.2</v>
      </c>
      <c r="W300" s="13">
        <v>3.9</v>
      </c>
      <c r="X300" s="13">
        <v>2.6</v>
      </c>
      <c r="Y300" s="13">
        <v>3.7</v>
      </c>
      <c r="Z300" s="13">
        <v>5.9</v>
      </c>
      <c r="AA300" s="13">
        <v>5.8</v>
      </c>
      <c r="AB300" s="13">
        <v>5.6</v>
      </c>
      <c r="AC300" s="13">
        <v>10.5</v>
      </c>
      <c r="AD300" s="13">
        <v>17.5</v>
      </c>
      <c r="AE300" s="13">
        <v>31.8</v>
      </c>
      <c r="AF300" s="13">
        <v>15.1</v>
      </c>
      <c r="AG300" s="13">
        <v>6.7</v>
      </c>
      <c r="AH300" s="13">
        <v>1.2</v>
      </c>
      <c r="AI300" s="13">
        <v>79.900000000000006</v>
      </c>
      <c r="AJ300" s="13">
        <v>25.8</v>
      </c>
      <c r="AK300" s="13">
        <v>27.4</v>
      </c>
      <c r="AL300" s="13">
        <v>100.4</v>
      </c>
      <c r="AM300" s="13">
        <v>15921</v>
      </c>
      <c r="AN300" s="13">
        <v>35056</v>
      </c>
      <c r="AO300" s="13">
        <v>23.9</v>
      </c>
      <c r="AP300" s="13">
        <v>14.6</v>
      </c>
      <c r="AQ300" s="13">
        <v>33.5</v>
      </c>
      <c r="AR300" s="13">
        <v>21.9</v>
      </c>
      <c r="AS300" s="13">
        <v>4</v>
      </c>
      <c r="AT300" s="13">
        <v>1.9</v>
      </c>
      <c r="AU300" s="13">
        <v>32313</v>
      </c>
      <c r="AV300" s="13">
        <v>37203</v>
      </c>
      <c r="AW300" s="13">
        <v>226</v>
      </c>
      <c r="AX300" s="13">
        <v>31816</v>
      </c>
      <c r="AY300" s="13">
        <v>22682</v>
      </c>
      <c r="AZ300" s="13">
        <v>37607</v>
      </c>
      <c r="BA300" s="13">
        <v>48875</v>
      </c>
      <c r="BB300" s="13">
        <v>42719</v>
      </c>
      <c r="BC300" s="13">
        <v>25810</v>
      </c>
      <c r="BD300" s="13">
        <v>95</v>
      </c>
      <c r="BE300" s="13">
        <v>93</v>
      </c>
      <c r="BF300" s="13">
        <v>86</v>
      </c>
      <c r="BG300" s="13">
        <v>89</v>
      </c>
      <c r="BH300" s="13">
        <v>95</v>
      </c>
      <c r="BI300" s="13">
        <v>91</v>
      </c>
      <c r="BJ300" s="13">
        <v>100</v>
      </c>
      <c r="BK300" s="13">
        <v>92</v>
      </c>
      <c r="BL300" s="13">
        <v>93</v>
      </c>
      <c r="BM300" s="13">
        <v>86</v>
      </c>
      <c r="BN300" s="13">
        <v>92</v>
      </c>
      <c r="BO300" s="13">
        <v>91</v>
      </c>
      <c r="BP300" s="13">
        <v>89</v>
      </c>
      <c r="BQ300" s="13">
        <v>94</v>
      </c>
      <c r="BR300" s="13">
        <v>92</v>
      </c>
      <c r="BS300" s="13">
        <v>98</v>
      </c>
      <c r="BT300" s="13">
        <v>90</v>
      </c>
      <c r="BU300" s="13">
        <v>93</v>
      </c>
      <c r="BV300" s="13">
        <v>95</v>
      </c>
      <c r="BW300" s="13">
        <v>96</v>
      </c>
      <c r="BX300" s="328">
        <f t="shared" si="22"/>
        <v>225283880</v>
      </c>
      <c r="BY300" s="328">
        <f t="shared" si="23"/>
        <v>84829681</v>
      </c>
      <c r="BZ300" s="329">
        <f t="shared" si="20"/>
        <v>0.99391511451980985</v>
      </c>
      <c r="CA300" s="329">
        <f t="shared" si="21"/>
        <v>0.99386606707523384</v>
      </c>
    </row>
    <row r="301" spans="1:79" x14ac:dyDescent="0.25">
      <c r="A301" s="13">
        <v>1010</v>
      </c>
      <c r="B301" s="13">
        <v>300</v>
      </c>
      <c r="C301" s="13" t="s">
        <v>819</v>
      </c>
      <c r="D301" s="13">
        <v>79988</v>
      </c>
      <c r="E301" s="13">
        <v>83831</v>
      </c>
      <c r="F301" s="13">
        <v>92008</v>
      </c>
      <c r="G301" s="13">
        <v>96848</v>
      </c>
      <c r="H301" s="13">
        <v>1.1000000000000001</v>
      </c>
      <c r="I301" s="13">
        <v>141</v>
      </c>
      <c r="J301" s="13">
        <v>31361</v>
      </c>
      <c r="K301" s="13">
        <v>35302</v>
      </c>
      <c r="L301" s="13">
        <v>37800</v>
      </c>
      <c r="M301" s="13">
        <v>1.4</v>
      </c>
      <c r="N301" s="13">
        <v>2.5299999999999998</v>
      </c>
      <c r="O301" s="13">
        <v>22178</v>
      </c>
      <c r="P301" s="13">
        <v>24483</v>
      </c>
      <c r="Q301" s="13">
        <v>1.2</v>
      </c>
      <c r="R301" s="13">
        <v>97</v>
      </c>
      <c r="S301" s="13">
        <v>96.2</v>
      </c>
      <c r="T301" s="13">
        <v>0.1</v>
      </c>
      <c r="U301" s="13">
        <v>0.1</v>
      </c>
      <c r="V301" s="13">
        <v>0.3</v>
      </c>
      <c r="W301" s="13">
        <v>0.6</v>
      </c>
      <c r="X301" s="13">
        <v>0.5</v>
      </c>
      <c r="Y301" s="13">
        <v>0.7</v>
      </c>
      <c r="Z301" s="13">
        <v>6.2</v>
      </c>
      <c r="AA301" s="13">
        <v>7.3</v>
      </c>
      <c r="AB301" s="13">
        <v>8.4</v>
      </c>
      <c r="AC301" s="13">
        <v>8</v>
      </c>
      <c r="AD301" s="13">
        <v>5.9</v>
      </c>
      <c r="AE301" s="13">
        <v>30.6</v>
      </c>
      <c r="AF301" s="13">
        <v>21.7</v>
      </c>
      <c r="AG301" s="13">
        <v>10.4</v>
      </c>
      <c r="AH301" s="13">
        <v>1.6</v>
      </c>
      <c r="AI301" s="13">
        <v>73.3</v>
      </c>
      <c r="AJ301" s="13">
        <v>32.299999999999997</v>
      </c>
      <c r="AK301" s="13">
        <v>35.6</v>
      </c>
      <c r="AL301" s="13">
        <v>95.8</v>
      </c>
      <c r="AM301" s="13">
        <v>16569</v>
      </c>
      <c r="AN301" s="13">
        <v>35302</v>
      </c>
      <c r="AO301" s="13">
        <v>15.9</v>
      </c>
      <c r="AP301" s="13">
        <v>16.600000000000001</v>
      </c>
      <c r="AQ301" s="13">
        <v>37.5</v>
      </c>
      <c r="AR301" s="13">
        <v>24.9</v>
      </c>
      <c r="AS301" s="13">
        <v>3.9</v>
      </c>
      <c r="AT301" s="13">
        <v>1.2</v>
      </c>
      <c r="AU301" s="13">
        <v>36109</v>
      </c>
      <c r="AV301" s="13">
        <v>42300</v>
      </c>
      <c r="AW301" s="13">
        <v>156</v>
      </c>
      <c r="AX301" s="13">
        <v>33426</v>
      </c>
      <c r="AY301" s="13">
        <v>27843</v>
      </c>
      <c r="AZ301" s="13">
        <v>38168</v>
      </c>
      <c r="BA301" s="13">
        <v>44114</v>
      </c>
      <c r="BB301" s="13">
        <v>37349</v>
      </c>
      <c r="BC301" s="13">
        <v>21502</v>
      </c>
      <c r="BD301" s="13">
        <v>98</v>
      </c>
      <c r="BE301" s="13">
        <v>94</v>
      </c>
      <c r="BF301" s="13">
        <v>89</v>
      </c>
      <c r="BG301" s="13">
        <v>92</v>
      </c>
      <c r="BH301" s="13">
        <v>98</v>
      </c>
      <c r="BI301" s="13">
        <v>96</v>
      </c>
      <c r="BJ301" s="13">
        <v>101</v>
      </c>
      <c r="BK301" s="13">
        <v>98</v>
      </c>
      <c r="BL301" s="13">
        <v>98</v>
      </c>
      <c r="BM301" s="13">
        <v>96</v>
      </c>
      <c r="BN301" s="13">
        <v>98</v>
      </c>
      <c r="BO301" s="13">
        <v>97</v>
      </c>
      <c r="BP301" s="13">
        <v>98</v>
      </c>
      <c r="BQ301" s="13">
        <v>100</v>
      </c>
      <c r="BR301" s="13">
        <v>97</v>
      </c>
      <c r="BS301" s="13">
        <v>102</v>
      </c>
      <c r="BT301" s="13">
        <v>97</v>
      </c>
      <c r="BU301" s="13">
        <v>98</v>
      </c>
      <c r="BV301" s="13">
        <v>98</v>
      </c>
      <c r="BW301" s="13">
        <v>99</v>
      </c>
      <c r="BX301" s="328">
        <f t="shared" si="22"/>
        <v>225380728</v>
      </c>
      <c r="BY301" s="328">
        <f t="shared" si="23"/>
        <v>84867481</v>
      </c>
      <c r="BZ301" s="329">
        <f t="shared" si="20"/>
        <v>0.99434239183326445</v>
      </c>
      <c r="CA301" s="329">
        <f t="shared" si="21"/>
        <v>0.99430893255453989</v>
      </c>
    </row>
    <row r="302" spans="1:79" x14ac:dyDescent="0.25">
      <c r="A302" s="13">
        <v>7000</v>
      </c>
      <c r="B302" s="13">
        <v>301</v>
      </c>
      <c r="C302" s="13" t="s">
        <v>820</v>
      </c>
      <c r="D302" s="13">
        <v>101868</v>
      </c>
      <c r="E302" s="13">
        <v>97715</v>
      </c>
      <c r="F302" s="13">
        <v>97031</v>
      </c>
      <c r="G302" s="13">
        <v>96627</v>
      </c>
      <c r="H302" s="13">
        <v>-0.1</v>
      </c>
      <c r="I302" s="13">
        <v>287</v>
      </c>
      <c r="J302" s="13">
        <v>37915</v>
      </c>
      <c r="K302" s="13">
        <v>37730</v>
      </c>
      <c r="L302" s="13">
        <v>37603</v>
      </c>
      <c r="M302" s="13">
        <v>-0.1</v>
      </c>
      <c r="N302" s="13">
        <v>2.5</v>
      </c>
      <c r="O302" s="13">
        <v>26504</v>
      </c>
      <c r="P302" s="13">
        <v>25787</v>
      </c>
      <c r="Q302" s="13">
        <v>-0.3</v>
      </c>
      <c r="R302" s="13">
        <v>96.1</v>
      </c>
      <c r="S302" s="13">
        <v>95.4</v>
      </c>
      <c r="T302" s="13">
        <v>2.7</v>
      </c>
      <c r="U302" s="13">
        <v>3.2</v>
      </c>
      <c r="V302" s="13">
        <v>0.3</v>
      </c>
      <c r="W302" s="13">
        <v>0.4</v>
      </c>
      <c r="X302" s="13">
        <v>1.9</v>
      </c>
      <c r="Y302" s="13">
        <v>2.4</v>
      </c>
      <c r="Z302" s="13">
        <v>6.6</v>
      </c>
      <c r="AA302" s="13">
        <v>7.1</v>
      </c>
      <c r="AB302" s="13">
        <v>7.6</v>
      </c>
      <c r="AC302" s="13">
        <v>7.4</v>
      </c>
      <c r="AD302" s="13">
        <v>6</v>
      </c>
      <c r="AE302" s="13">
        <v>28.2</v>
      </c>
      <c r="AF302" s="13">
        <v>20.8</v>
      </c>
      <c r="AG302" s="13">
        <v>13.8</v>
      </c>
      <c r="AH302" s="13">
        <v>2.5</v>
      </c>
      <c r="AI302" s="13">
        <v>74.400000000000006</v>
      </c>
      <c r="AJ302" s="13">
        <v>34.299999999999997</v>
      </c>
      <c r="AK302" s="13">
        <v>36.5</v>
      </c>
      <c r="AL302" s="13">
        <v>91.7</v>
      </c>
      <c r="AM302" s="13">
        <v>14435</v>
      </c>
      <c r="AN302" s="13">
        <v>37713</v>
      </c>
      <c r="AO302" s="13">
        <v>23.4</v>
      </c>
      <c r="AP302" s="13">
        <v>16.5</v>
      </c>
      <c r="AQ302" s="13">
        <v>37</v>
      </c>
      <c r="AR302" s="13">
        <v>19.7</v>
      </c>
      <c r="AS302" s="13">
        <v>2.6</v>
      </c>
      <c r="AT302" s="13">
        <v>0.8</v>
      </c>
      <c r="AU302" s="13">
        <v>30550</v>
      </c>
      <c r="AV302" s="13">
        <v>36360</v>
      </c>
      <c r="AW302" s="13">
        <v>270</v>
      </c>
      <c r="AX302" s="13">
        <v>28942</v>
      </c>
      <c r="AY302" s="13">
        <v>25526</v>
      </c>
      <c r="AZ302" s="13">
        <v>34699</v>
      </c>
      <c r="BA302" s="13">
        <v>37313</v>
      </c>
      <c r="BB302" s="13">
        <v>32583</v>
      </c>
      <c r="BC302" s="13">
        <v>19681</v>
      </c>
      <c r="BD302" s="13">
        <v>96</v>
      </c>
      <c r="BE302" s="13">
        <v>86</v>
      </c>
      <c r="BF302" s="13">
        <v>90</v>
      </c>
      <c r="BG302" s="13">
        <v>89</v>
      </c>
      <c r="BH302" s="13">
        <v>100</v>
      </c>
      <c r="BI302" s="13">
        <v>96</v>
      </c>
      <c r="BJ302" s="13">
        <v>104</v>
      </c>
      <c r="BK302" s="13">
        <v>97</v>
      </c>
      <c r="BL302" s="13">
        <v>94</v>
      </c>
      <c r="BM302" s="13">
        <v>92</v>
      </c>
      <c r="BN302" s="13">
        <v>91</v>
      </c>
      <c r="BO302" s="13">
        <v>94</v>
      </c>
      <c r="BP302" s="13">
        <v>94</v>
      </c>
      <c r="BQ302" s="13">
        <v>97</v>
      </c>
      <c r="BR302" s="13">
        <v>96</v>
      </c>
      <c r="BS302" s="13">
        <v>100</v>
      </c>
      <c r="BT302" s="13">
        <v>91</v>
      </c>
      <c r="BU302" s="13">
        <v>94</v>
      </c>
      <c r="BV302" s="13">
        <v>100</v>
      </c>
      <c r="BW302" s="13">
        <v>96</v>
      </c>
      <c r="BX302" s="328">
        <f t="shared" si="22"/>
        <v>225477355</v>
      </c>
      <c r="BY302" s="328">
        <f t="shared" si="23"/>
        <v>84905084</v>
      </c>
      <c r="BZ302" s="329">
        <f t="shared" si="20"/>
        <v>0.99476869413137248</v>
      </c>
      <c r="CA302" s="329">
        <f t="shared" si="21"/>
        <v>0.9947494899783057</v>
      </c>
    </row>
    <row r="303" spans="1:79" x14ac:dyDescent="0.25">
      <c r="A303" s="13">
        <v>8140</v>
      </c>
      <c r="B303" s="13">
        <v>302</v>
      </c>
      <c r="C303" s="13" t="s">
        <v>821</v>
      </c>
      <c r="D303" s="13">
        <v>88243</v>
      </c>
      <c r="E303" s="13">
        <v>102637</v>
      </c>
      <c r="F303" s="13">
        <v>106578</v>
      </c>
      <c r="G303" s="13">
        <v>109748</v>
      </c>
      <c r="H303" s="13">
        <v>0.5</v>
      </c>
      <c r="I303" s="13">
        <v>228</v>
      </c>
      <c r="J303" s="13">
        <v>32723</v>
      </c>
      <c r="K303" s="13">
        <v>35209</v>
      </c>
      <c r="L303" s="13">
        <v>37065</v>
      </c>
      <c r="M303" s="13">
        <v>0.9</v>
      </c>
      <c r="N303" s="13">
        <v>2.81</v>
      </c>
      <c r="O303" s="13">
        <v>25673</v>
      </c>
      <c r="P303" s="13">
        <v>27192</v>
      </c>
      <c r="Q303" s="13">
        <v>0.7</v>
      </c>
      <c r="R303" s="13">
        <v>55.3</v>
      </c>
      <c r="S303" s="13">
        <v>53.5</v>
      </c>
      <c r="T303" s="13">
        <v>43.2</v>
      </c>
      <c r="U303" s="13">
        <v>44.5</v>
      </c>
      <c r="V303" s="13">
        <v>0.9</v>
      </c>
      <c r="W303" s="13">
        <v>1.2</v>
      </c>
      <c r="X303" s="13">
        <v>1.2</v>
      </c>
      <c r="Y303" s="13">
        <v>1.7</v>
      </c>
      <c r="Z303" s="13">
        <v>7.7</v>
      </c>
      <c r="AA303" s="13">
        <v>7.7</v>
      </c>
      <c r="AB303" s="13">
        <v>7.3</v>
      </c>
      <c r="AC303" s="13">
        <v>7.3</v>
      </c>
      <c r="AD303" s="13">
        <v>8.4</v>
      </c>
      <c r="AE303" s="13">
        <v>33.299999999999997</v>
      </c>
      <c r="AF303" s="13">
        <v>18.600000000000001</v>
      </c>
      <c r="AG303" s="13">
        <v>8.8000000000000007</v>
      </c>
      <c r="AH303" s="13">
        <v>1</v>
      </c>
      <c r="AI303" s="13">
        <v>73.099999999999994</v>
      </c>
      <c r="AJ303" s="13">
        <v>29.6</v>
      </c>
      <c r="AK303" s="13">
        <v>31.5</v>
      </c>
      <c r="AL303" s="13">
        <v>98.7</v>
      </c>
      <c r="AM303" s="13">
        <v>15163</v>
      </c>
      <c r="AN303" s="13">
        <v>35206</v>
      </c>
      <c r="AO303" s="13">
        <v>17.5</v>
      </c>
      <c r="AP303" s="13">
        <v>16.899999999999999</v>
      </c>
      <c r="AQ303" s="13">
        <v>35.6</v>
      </c>
      <c r="AR303" s="13">
        <v>25.2</v>
      </c>
      <c r="AS303" s="13">
        <v>3.9</v>
      </c>
      <c r="AT303" s="13">
        <v>0.9</v>
      </c>
      <c r="AU303" s="13">
        <v>34483</v>
      </c>
      <c r="AV303" s="13">
        <v>43623</v>
      </c>
      <c r="AW303" s="13">
        <v>195</v>
      </c>
      <c r="AX303" s="13">
        <v>32212</v>
      </c>
      <c r="AY303" s="13">
        <v>27738</v>
      </c>
      <c r="AZ303" s="13">
        <v>36275</v>
      </c>
      <c r="BA303" s="13">
        <v>40648</v>
      </c>
      <c r="BB303" s="13">
        <v>35182</v>
      </c>
      <c r="BC303" s="13">
        <v>22222</v>
      </c>
      <c r="BD303" s="13">
        <v>96</v>
      </c>
      <c r="BE303" s="13">
        <v>87</v>
      </c>
      <c r="BF303" s="13">
        <v>88</v>
      </c>
      <c r="BG303" s="13">
        <v>87</v>
      </c>
      <c r="BH303" s="13">
        <v>99</v>
      </c>
      <c r="BI303" s="13">
        <v>95</v>
      </c>
      <c r="BJ303" s="13">
        <v>103</v>
      </c>
      <c r="BK303" s="13">
        <v>98</v>
      </c>
      <c r="BL303" s="13">
        <v>96</v>
      </c>
      <c r="BM303" s="13">
        <v>92</v>
      </c>
      <c r="BN303" s="13">
        <v>90</v>
      </c>
      <c r="BO303" s="13">
        <v>97</v>
      </c>
      <c r="BP303" s="13">
        <v>91</v>
      </c>
      <c r="BQ303" s="13">
        <v>97</v>
      </c>
      <c r="BR303" s="13">
        <v>85</v>
      </c>
      <c r="BS303" s="13">
        <v>98</v>
      </c>
      <c r="BT303" s="13">
        <v>90</v>
      </c>
      <c r="BU303" s="13">
        <v>95</v>
      </c>
      <c r="BV303" s="13">
        <v>96</v>
      </c>
      <c r="BW303" s="13">
        <v>98</v>
      </c>
      <c r="BX303" s="328">
        <f t="shared" si="22"/>
        <v>225587103</v>
      </c>
      <c r="BY303" s="328">
        <f t="shared" si="23"/>
        <v>84942149</v>
      </c>
      <c r="BZ303" s="329">
        <f t="shared" si="20"/>
        <v>0.99525288410532142</v>
      </c>
      <c r="CA303" s="329">
        <f t="shared" si="21"/>
        <v>0.99518374418440303</v>
      </c>
    </row>
    <row r="304" spans="1:79" x14ac:dyDescent="0.25">
      <c r="A304" s="13">
        <v>5990</v>
      </c>
      <c r="B304" s="13">
        <v>303</v>
      </c>
      <c r="C304" s="13" t="s">
        <v>822</v>
      </c>
      <c r="D304" s="13">
        <v>85949</v>
      </c>
      <c r="E304" s="13">
        <v>87189</v>
      </c>
      <c r="F304" s="13">
        <v>91318</v>
      </c>
      <c r="G304" s="13">
        <v>93776</v>
      </c>
      <c r="H304" s="13">
        <v>0.6</v>
      </c>
      <c r="I304" s="13">
        <v>216</v>
      </c>
      <c r="J304" s="13">
        <v>33036</v>
      </c>
      <c r="K304" s="13">
        <v>35491</v>
      </c>
      <c r="L304" s="13">
        <v>37028</v>
      </c>
      <c r="M304" s="13">
        <v>0.9</v>
      </c>
      <c r="N304" s="13">
        <v>2.52</v>
      </c>
      <c r="O304" s="13">
        <v>23980</v>
      </c>
      <c r="P304" s="13">
        <v>25149</v>
      </c>
      <c r="Q304" s="13">
        <v>0.6</v>
      </c>
      <c r="R304" s="13">
        <v>95.4</v>
      </c>
      <c r="S304" s="13">
        <v>95.1</v>
      </c>
      <c r="T304" s="13">
        <v>4.2</v>
      </c>
      <c r="U304" s="13">
        <v>4.3</v>
      </c>
      <c r="V304" s="13">
        <v>0.3</v>
      </c>
      <c r="W304" s="13">
        <v>0.4</v>
      </c>
      <c r="X304" s="13">
        <v>0.4</v>
      </c>
      <c r="Y304" s="13">
        <v>0.5</v>
      </c>
      <c r="Z304" s="13">
        <v>7</v>
      </c>
      <c r="AA304" s="13">
        <v>7.1</v>
      </c>
      <c r="AB304" s="13">
        <v>7.3</v>
      </c>
      <c r="AC304" s="13">
        <v>7.5</v>
      </c>
      <c r="AD304" s="13">
        <v>6.6</v>
      </c>
      <c r="AE304" s="13">
        <v>29</v>
      </c>
      <c r="AF304" s="13">
        <v>22.4</v>
      </c>
      <c r="AG304" s="13">
        <v>11.5</v>
      </c>
      <c r="AH304" s="13">
        <v>1.4</v>
      </c>
      <c r="AI304" s="13">
        <v>74</v>
      </c>
      <c r="AJ304" s="13">
        <v>33.200000000000003</v>
      </c>
      <c r="AK304" s="13">
        <v>35.6</v>
      </c>
      <c r="AL304" s="13">
        <v>92.4</v>
      </c>
      <c r="AM304" s="13">
        <v>16615</v>
      </c>
      <c r="AN304" s="13">
        <v>35488</v>
      </c>
      <c r="AO304" s="13">
        <v>18.5</v>
      </c>
      <c r="AP304" s="13">
        <v>14.5</v>
      </c>
      <c r="AQ304" s="13">
        <v>36.6</v>
      </c>
      <c r="AR304" s="13">
        <v>25.1</v>
      </c>
      <c r="AS304" s="13">
        <v>4.2</v>
      </c>
      <c r="AT304" s="13">
        <v>1.2</v>
      </c>
      <c r="AU304" s="13">
        <v>35406</v>
      </c>
      <c r="AV304" s="13">
        <v>45937</v>
      </c>
      <c r="AW304" s="13">
        <v>176</v>
      </c>
      <c r="AX304" s="13">
        <v>33079</v>
      </c>
      <c r="AY304" s="13">
        <v>28138</v>
      </c>
      <c r="AZ304" s="13">
        <v>38889</v>
      </c>
      <c r="BA304" s="13">
        <v>43013</v>
      </c>
      <c r="BB304" s="13">
        <v>35130</v>
      </c>
      <c r="BC304" s="13">
        <v>21801</v>
      </c>
      <c r="BD304" s="13">
        <v>98</v>
      </c>
      <c r="BE304" s="13">
        <v>90</v>
      </c>
      <c r="BF304" s="13">
        <v>96</v>
      </c>
      <c r="BG304" s="13">
        <v>92</v>
      </c>
      <c r="BH304" s="13">
        <v>103</v>
      </c>
      <c r="BI304" s="13">
        <v>100</v>
      </c>
      <c r="BJ304" s="13">
        <v>105</v>
      </c>
      <c r="BK304" s="13">
        <v>99</v>
      </c>
      <c r="BL304" s="13">
        <v>96</v>
      </c>
      <c r="BM304" s="13">
        <v>95</v>
      </c>
      <c r="BN304" s="13">
        <v>93</v>
      </c>
      <c r="BO304" s="13">
        <v>97</v>
      </c>
      <c r="BP304" s="13">
        <v>95</v>
      </c>
      <c r="BQ304" s="13">
        <v>100</v>
      </c>
      <c r="BR304" s="13">
        <v>90</v>
      </c>
      <c r="BS304" s="13">
        <v>98</v>
      </c>
      <c r="BT304" s="13">
        <v>93</v>
      </c>
      <c r="BU304" s="13">
        <v>96</v>
      </c>
      <c r="BV304" s="13">
        <v>100</v>
      </c>
      <c r="BW304" s="13">
        <v>99</v>
      </c>
      <c r="BX304" s="328">
        <f t="shared" si="22"/>
        <v>225680879</v>
      </c>
      <c r="BY304" s="328">
        <f t="shared" si="23"/>
        <v>84979177</v>
      </c>
      <c r="BZ304" s="329">
        <f t="shared" si="20"/>
        <v>0.99566660826427689</v>
      </c>
      <c r="CA304" s="329">
        <f t="shared" si="21"/>
        <v>0.99561756489783537</v>
      </c>
    </row>
    <row r="305" spans="1:79" x14ac:dyDescent="0.25">
      <c r="A305" s="13">
        <v>2985</v>
      </c>
      <c r="B305" s="13">
        <v>304</v>
      </c>
      <c r="C305" s="13" t="s">
        <v>823</v>
      </c>
      <c r="D305" s="13">
        <v>100944</v>
      </c>
      <c r="E305" s="13">
        <v>103181</v>
      </c>
      <c r="F305" s="13">
        <v>100816</v>
      </c>
      <c r="G305" s="13">
        <v>99442</v>
      </c>
      <c r="H305" s="13">
        <v>-0.3</v>
      </c>
      <c r="I305" s="13">
        <v>301</v>
      </c>
      <c r="J305" s="13">
        <v>37324</v>
      </c>
      <c r="K305" s="13">
        <v>37137</v>
      </c>
      <c r="L305" s="13">
        <v>37001</v>
      </c>
      <c r="M305" s="13">
        <v>-0.1</v>
      </c>
      <c r="N305" s="13">
        <v>2.5299999999999998</v>
      </c>
      <c r="O305" s="13">
        <v>25364</v>
      </c>
      <c r="P305" s="13">
        <v>24615</v>
      </c>
      <c r="Q305" s="13">
        <v>-0.4</v>
      </c>
      <c r="R305" s="13">
        <v>95.2</v>
      </c>
      <c r="S305" s="13">
        <v>93.8</v>
      </c>
      <c r="T305" s="13">
        <v>1.5</v>
      </c>
      <c r="U305" s="13">
        <v>1.7</v>
      </c>
      <c r="V305" s="13">
        <v>0.9</v>
      </c>
      <c r="W305" s="13">
        <v>1.4</v>
      </c>
      <c r="X305" s="13">
        <v>2.1</v>
      </c>
      <c r="Y305" s="13">
        <v>3.3</v>
      </c>
      <c r="Z305" s="13">
        <v>6.8</v>
      </c>
      <c r="AA305" s="13">
        <v>7.1</v>
      </c>
      <c r="AB305" s="13">
        <v>7.4</v>
      </c>
      <c r="AC305" s="13">
        <v>9.1</v>
      </c>
      <c r="AD305" s="13">
        <v>10.5</v>
      </c>
      <c r="AE305" s="13">
        <v>29.6</v>
      </c>
      <c r="AF305" s="13">
        <v>17.399999999999999</v>
      </c>
      <c r="AG305" s="13">
        <v>10.199999999999999</v>
      </c>
      <c r="AH305" s="13">
        <v>1.9</v>
      </c>
      <c r="AI305" s="13">
        <v>74.599999999999994</v>
      </c>
      <c r="AJ305" s="13">
        <v>29</v>
      </c>
      <c r="AK305" s="13">
        <v>31.1</v>
      </c>
      <c r="AL305" s="13">
        <v>102.5</v>
      </c>
      <c r="AM305" s="13">
        <v>15475</v>
      </c>
      <c r="AN305" s="13">
        <v>37134</v>
      </c>
      <c r="AO305" s="13">
        <v>17.399999999999999</v>
      </c>
      <c r="AP305" s="13">
        <v>16.399999999999999</v>
      </c>
      <c r="AQ305" s="13">
        <v>38.700000000000003</v>
      </c>
      <c r="AR305" s="13">
        <v>23.2</v>
      </c>
      <c r="AS305" s="13">
        <v>3.5</v>
      </c>
      <c r="AT305" s="13">
        <v>0.8</v>
      </c>
      <c r="AU305" s="13">
        <v>33904</v>
      </c>
      <c r="AV305" s="13">
        <v>41481</v>
      </c>
      <c r="AW305" s="13">
        <v>202</v>
      </c>
      <c r="AX305" s="13">
        <v>31215</v>
      </c>
      <c r="AY305" s="13">
        <v>25180</v>
      </c>
      <c r="AZ305" s="13">
        <v>36997</v>
      </c>
      <c r="BA305" s="13">
        <v>42149</v>
      </c>
      <c r="BB305" s="13">
        <v>38352</v>
      </c>
      <c r="BC305" s="13">
        <v>23122</v>
      </c>
      <c r="BD305" s="13">
        <v>95</v>
      </c>
      <c r="BE305" s="13">
        <v>91</v>
      </c>
      <c r="BF305" s="13">
        <v>86</v>
      </c>
      <c r="BG305" s="13">
        <v>88</v>
      </c>
      <c r="BH305" s="13">
        <v>96</v>
      </c>
      <c r="BI305" s="13">
        <v>93</v>
      </c>
      <c r="BJ305" s="13">
        <v>100</v>
      </c>
      <c r="BK305" s="13">
        <v>96</v>
      </c>
      <c r="BL305" s="13">
        <v>95</v>
      </c>
      <c r="BM305" s="13">
        <v>89</v>
      </c>
      <c r="BN305" s="13">
        <v>93</v>
      </c>
      <c r="BO305" s="13">
        <v>94</v>
      </c>
      <c r="BP305" s="13">
        <v>93</v>
      </c>
      <c r="BQ305" s="13">
        <v>96</v>
      </c>
      <c r="BR305" s="13">
        <v>93</v>
      </c>
      <c r="BS305" s="13">
        <v>100</v>
      </c>
      <c r="BT305" s="13">
        <v>91</v>
      </c>
      <c r="BU305" s="13">
        <v>95</v>
      </c>
      <c r="BV305" s="13">
        <v>98</v>
      </c>
      <c r="BW305" s="13">
        <v>97</v>
      </c>
      <c r="BX305" s="328">
        <f t="shared" si="22"/>
        <v>225780321</v>
      </c>
      <c r="BY305" s="328">
        <f t="shared" si="23"/>
        <v>85016178</v>
      </c>
      <c r="BZ305" s="329">
        <f t="shared" si="20"/>
        <v>0.99610532987550837</v>
      </c>
      <c r="CA305" s="329">
        <f t="shared" si="21"/>
        <v>0.99605106927878251</v>
      </c>
    </row>
    <row r="306" spans="1:79" x14ac:dyDescent="0.25">
      <c r="A306" s="13">
        <v>6660</v>
      </c>
      <c r="B306" s="13">
        <v>305</v>
      </c>
      <c r="C306" s="13" t="s">
        <v>824</v>
      </c>
      <c r="D306" s="13">
        <v>70361</v>
      </c>
      <c r="E306" s="13">
        <v>81343</v>
      </c>
      <c r="F306" s="13">
        <v>87474</v>
      </c>
      <c r="G306" s="13">
        <v>91072</v>
      </c>
      <c r="H306" s="13">
        <v>0.9</v>
      </c>
      <c r="I306" s="13">
        <v>182</v>
      </c>
      <c r="J306" s="13">
        <v>30553</v>
      </c>
      <c r="K306" s="13">
        <v>33139</v>
      </c>
      <c r="L306" s="13">
        <v>34683</v>
      </c>
      <c r="M306" s="13">
        <v>1</v>
      </c>
      <c r="N306" s="13">
        <v>2.59</v>
      </c>
      <c r="O306" s="13">
        <v>21762</v>
      </c>
      <c r="P306" s="13">
        <v>23107</v>
      </c>
      <c r="Q306" s="13">
        <v>0.7</v>
      </c>
      <c r="R306" s="13">
        <v>89.5</v>
      </c>
      <c r="S306" s="13">
        <v>87.4</v>
      </c>
      <c r="T306" s="13">
        <v>1.6</v>
      </c>
      <c r="U306" s="13">
        <v>2.2000000000000002</v>
      </c>
      <c r="V306" s="13">
        <v>1.1000000000000001</v>
      </c>
      <c r="W306" s="13">
        <v>1.5</v>
      </c>
      <c r="X306" s="13">
        <v>2.2000000000000002</v>
      </c>
      <c r="Y306" s="13">
        <v>3</v>
      </c>
      <c r="Z306" s="13">
        <v>8</v>
      </c>
      <c r="AA306" s="13">
        <v>8.1</v>
      </c>
      <c r="AB306" s="13">
        <v>7.6</v>
      </c>
      <c r="AC306" s="13">
        <v>7.6</v>
      </c>
      <c r="AD306" s="13">
        <v>7.7</v>
      </c>
      <c r="AE306" s="13">
        <v>31.8</v>
      </c>
      <c r="AF306" s="13">
        <v>18.8</v>
      </c>
      <c r="AG306" s="13">
        <v>9.1</v>
      </c>
      <c r="AH306" s="13">
        <v>1.2</v>
      </c>
      <c r="AI306" s="13">
        <v>71.8</v>
      </c>
      <c r="AJ306" s="13">
        <v>30.1</v>
      </c>
      <c r="AK306" s="13">
        <v>32.1</v>
      </c>
      <c r="AL306" s="13">
        <v>98.7</v>
      </c>
      <c r="AM306" s="13">
        <v>15740</v>
      </c>
      <c r="AN306" s="13">
        <v>33139</v>
      </c>
      <c r="AO306" s="13">
        <v>15</v>
      </c>
      <c r="AP306" s="13">
        <v>19</v>
      </c>
      <c r="AQ306" s="13">
        <v>38.799999999999997</v>
      </c>
      <c r="AR306" s="13">
        <v>22.5</v>
      </c>
      <c r="AS306" s="13">
        <v>3.5</v>
      </c>
      <c r="AT306" s="13">
        <v>1.2</v>
      </c>
      <c r="AU306" s="13">
        <v>33363</v>
      </c>
      <c r="AV306" s="13">
        <v>41190</v>
      </c>
      <c r="AW306" s="13">
        <v>209</v>
      </c>
      <c r="AX306" s="13">
        <v>31640</v>
      </c>
      <c r="AY306" s="13">
        <v>25976</v>
      </c>
      <c r="AZ306" s="13">
        <v>36175</v>
      </c>
      <c r="BA306" s="13">
        <v>40106</v>
      </c>
      <c r="BB306" s="13">
        <v>37498</v>
      </c>
      <c r="BC306" s="13">
        <v>22388</v>
      </c>
      <c r="BD306" s="13">
        <v>97</v>
      </c>
      <c r="BE306" s="13">
        <v>97</v>
      </c>
      <c r="BF306" s="13">
        <v>90</v>
      </c>
      <c r="BG306" s="13">
        <v>93</v>
      </c>
      <c r="BH306" s="13">
        <v>98</v>
      </c>
      <c r="BI306" s="13">
        <v>96</v>
      </c>
      <c r="BJ306" s="13">
        <v>101</v>
      </c>
      <c r="BK306" s="13">
        <v>98</v>
      </c>
      <c r="BL306" s="13">
        <v>98</v>
      </c>
      <c r="BM306" s="13">
        <v>96</v>
      </c>
      <c r="BN306" s="13">
        <v>99</v>
      </c>
      <c r="BO306" s="13">
        <v>97</v>
      </c>
      <c r="BP306" s="13">
        <v>98</v>
      </c>
      <c r="BQ306" s="13">
        <v>99</v>
      </c>
      <c r="BR306" s="13">
        <v>97</v>
      </c>
      <c r="BS306" s="13">
        <v>102</v>
      </c>
      <c r="BT306" s="13">
        <v>97</v>
      </c>
      <c r="BU306" s="13">
        <v>99</v>
      </c>
      <c r="BV306" s="13">
        <v>97</v>
      </c>
      <c r="BW306" s="13">
        <v>99</v>
      </c>
      <c r="BX306" s="328">
        <f t="shared" si="22"/>
        <v>225871393</v>
      </c>
      <c r="BY306" s="328">
        <f t="shared" si="23"/>
        <v>85050861</v>
      </c>
      <c r="BZ306" s="329">
        <f t="shared" si="20"/>
        <v>0.99650712443493061</v>
      </c>
      <c r="CA306" s="329">
        <f t="shared" si="21"/>
        <v>0.99645741593007275</v>
      </c>
    </row>
    <row r="307" spans="1:79" x14ac:dyDescent="0.25">
      <c r="A307" s="13">
        <v>2335</v>
      </c>
      <c r="B307" s="13">
        <v>306</v>
      </c>
      <c r="C307" s="13" t="s">
        <v>825</v>
      </c>
      <c r="D307" s="13">
        <v>97656</v>
      </c>
      <c r="E307" s="13">
        <v>95195</v>
      </c>
      <c r="F307" s="13">
        <v>92674</v>
      </c>
      <c r="G307" s="13">
        <v>91080</v>
      </c>
      <c r="H307" s="13">
        <v>-0.3</v>
      </c>
      <c r="I307" s="13">
        <v>304</v>
      </c>
      <c r="J307" s="13">
        <v>35275</v>
      </c>
      <c r="K307" s="13">
        <v>34857</v>
      </c>
      <c r="L307" s="13">
        <v>34560</v>
      </c>
      <c r="M307" s="13">
        <v>-0.1</v>
      </c>
      <c r="N307" s="13">
        <v>2.52</v>
      </c>
      <c r="O307" s="13">
        <v>24808</v>
      </c>
      <c r="P307" s="13">
        <v>23889</v>
      </c>
      <c r="Q307" s="13">
        <v>-0.5</v>
      </c>
      <c r="R307" s="13">
        <v>92.8</v>
      </c>
      <c r="S307" s="13">
        <v>91.7</v>
      </c>
      <c r="T307" s="13">
        <v>5.5</v>
      </c>
      <c r="U307" s="13">
        <v>6.1</v>
      </c>
      <c r="V307" s="13">
        <v>0.7</v>
      </c>
      <c r="W307" s="13">
        <v>1.1000000000000001</v>
      </c>
      <c r="X307" s="13">
        <v>1.5</v>
      </c>
      <c r="Y307" s="13">
        <v>1.9</v>
      </c>
      <c r="Z307" s="13">
        <v>7.1</v>
      </c>
      <c r="AA307" s="13">
        <v>7.5</v>
      </c>
      <c r="AB307" s="13">
        <v>7.2</v>
      </c>
      <c r="AC307" s="13">
        <v>7.2</v>
      </c>
      <c r="AD307" s="13">
        <v>6.1</v>
      </c>
      <c r="AE307" s="13">
        <v>28.3</v>
      </c>
      <c r="AF307" s="13">
        <v>21.3</v>
      </c>
      <c r="AG307" s="13">
        <v>13.5</v>
      </c>
      <c r="AH307" s="13">
        <v>1.9</v>
      </c>
      <c r="AI307" s="13">
        <v>74.3</v>
      </c>
      <c r="AJ307" s="13">
        <v>34.200000000000003</v>
      </c>
      <c r="AK307" s="13">
        <v>36.4</v>
      </c>
      <c r="AL307" s="13">
        <v>95.2</v>
      </c>
      <c r="AM307" s="13">
        <v>14473</v>
      </c>
      <c r="AN307" s="13">
        <v>34856</v>
      </c>
      <c r="AO307" s="13">
        <v>21.3</v>
      </c>
      <c r="AP307" s="13">
        <v>18</v>
      </c>
      <c r="AQ307" s="13">
        <v>37.200000000000003</v>
      </c>
      <c r="AR307" s="13">
        <v>19.7</v>
      </c>
      <c r="AS307" s="13">
        <v>2.7</v>
      </c>
      <c r="AT307" s="13">
        <v>1</v>
      </c>
      <c r="AU307" s="13">
        <v>30939</v>
      </c>
      <c r="AV307" s="13">
        <v>34183</v>
      </c>
      <c r="AW307" s="13">
        <v>261</v>
      </c>
      <c r="AX307" s="13">
        <v>27441</v>
      </c>
      <c r="AY307" s="13">
        <v>25401</v>
      </c>
      <c r="AZ307" s="13">
        <v>32477</v>
      </c>
      <c r="BA307" s="13">
        <v>35553</v>
      </c>
      <c r="BB307" s="13">
        <v>30069</v>
      </c>
      <c r="BC307" s="13">
        <v>17180</v>
      </c>
      <c r="BD307" s="13">
        <v>97</v>
      </c>
      <c r="BE307" s="13">
        <v>89</v>
      </c>
      <c r="BF307" s="13">
        <v>98</v>
      </c>
      <c r="BG307" s="13">
        <v>92</v>
      </c>
      <c r="BH307" s="13">
        <v>94</v>
      </c>
      <c r="BI307" s="13">
        <v>92</v>
      </c>
      <c r="BJ307" s="13">
        <v>92</v>
      </c>
      <c r="BK307" s="13">
        <v>96</v>
      </c>
      <c r="BL307" s="13">
        <v>92</v>
      </c>
      <c r="BM307" s="13">
        <v>95</v>
      </c>
      <c r="BN307" s="13">
        <v>93</v>
      </c>
      <c r="BO307" s="13">
        <v>96</v>
      </c>
      <c r="BP307" s="13">
        <v>96</v>
      </c>
      <c r="BQ307" s="13">
        <v>99</v>
      </c>
      <c r="BR307" s="13">
        <v>99</v>
      </c>
      <c r="BS307" s="13">
        <v>97</v>
      </c>
      <c r="BT307" s="13">
        <v>95</v>
      </c>
      <c r="BU307" s="13">
        <v>94</v>
      </c>
      <c r="BV307" s="13">
        <v>100</v>
      </c>
      <c r="BW307" s="13">
        <v>98</v>
      </c>
      <c r="BX307" s="328">
        <f t="shared" si="22"/>
        <v>225962473</v>
      </c>
      <c r="BY307" s="328">
        <f t="shared" si="23"/>
        <v>85085421</v>
      </c>
      <c r="BZ307" s="329">
        <f t="shared" si="20"/>
        <v>0.99690895428902615</v>
      </c>
      <c r="CA307" s="329">
        <f t="shared" si="21"/>
        <v>0.99686232151115262</v>
      </c>
    </row>
    <row r="308" spans="1:79" x14ac:dyDescent="0.25">
      <c r="A308" s="13">
        <v>1580</v>
      </c>
      <c r="B308" s="13">
        <v>307</v>
      </c>
      <c r="C308" s="13" t="s">
        <v>826</v>
      </c>
      <c r="D308" s="13">
        <v>68649</v>
      </c>
      <c r="E308" s="13">
        <v>73142</v>
      </c>
      <c r="F308" s="13">
        <v>78589</v>
      </c>
      <c r="G308" s="13">
        <v>81995</v>
      </c>
      <c r="H308" s="13">
        <v>0.9</v>
      </c>
      <c r="I308" s="13">
        <v>183</v>
      </c>
      <c r="J308" s="13">
        <v>28092</v>
      </c>
      <c r="K308" s="13">
        <v>31250</v>
      </c>
      <c r="L308" s="13">
        <v>33319</v>
      </c>
      <c r="M308" s="13">
        <v>1.3</v>
      </c>
      <c r="N308" s="13">
        <v>2.4700000000000002</v>
      </c>
      <c r="O308" s="13">
        <v>19816</v>
      </c>
      <c r="P308" s="13">
        <v>21666</v>
      </c>
      <c r="Q308" s="13">
        <v>1.1000000000000001</v>
      </c>
      <c r="R308" s="13">
        <v>90.6</v>
      </c>
      <c r="S308" s="13">
        <v>90.3</v>
      </c>
      <c r="T308" s="13">
        <v>3</v>
      </c>
      <c r="U308" s="13">
        <v>2.9</v>
      </c>
      <c r="V308" s="13">
        <v>1.1000000000000001</v>
      </c>
      <c r="W308" s="13">
        <v>1.4</v>
      </c>
      <c r="X308" s="13">
        <v>10</v>
      </c>
      <c r="Y308" s="13">
        <v>10.3</v>
      </c>
      <c r="Z308" s="13">
        <v>6.5</v>
      </c>
      <c r="AA308" s="13">
        <v>7.1</v>
      </c>
      <c r="AB308" s="13">
        <v>7.5</v>
      </c>
      <c r="AC308" s="13">
        <v>7.8</v>
      </c>
      <c r="AD308" s="13">
        <v>7.4</v>
      </c>
      <c r="AE308" s="13">
        <v>29.7</v>
      </c>
      <c r="AF308" s="13">
        <v>22.7</v>
      </c>
      <c r="AG308" s="13">
        <v>9.9</v>
      </c>
      <c r="AH308" s="13">
        <v>1.3</v>
      </c>
      <c r="AI308" s="13">
        <v>74.2</v>
      </c>
      <c r="AJ308" s="13">
        <v>31.9</v>
      </c>
      <c r="AK308" s="13">
        <v>35.299999999999997</v>
      </c>
      <c r="AL308" s="13">
        <v>100.3</v>
      </c>
      <c r="AM308" s="13">
        <v>16038</v>
      </c>
      <c r="AN308" s="13">
        <v>31250</v>
      </c>
      <c r="AO308" s="13">
        <v>17.7</v>
      </c>
      <c r="AP308" s="13">
        <v>17.899999999999999</v>
      </c>
      <c r="AQ308" s="13">
        <v>37.5</v>
      </c>
      <c r="AR308" s="13">
        <v>23.4</v>
      </c>
      <c r="AS308" s="13">
        <v>2.6</v>
      </c>
      <c r="AT308" s="13">
        <v>0.9</v>
      </c>
      <c r="AU308" s="13">
        <v>33669</v>
      </c>
      <c r="AV308" s="13">
        <v>37280</v>
      </c>
      <c r="AW308" s="13">
        <v>205</v>
      </c>
      <c r="AX308" s="13">
        <v>32934</v>
      </c>
      <c r="AY308" s="13">
        <v>25089</v>
      </c>
      <c r="AZ308" s="13">
        <v>38601</v>
      </c>
      <c r="BA308" s="13">
        <v>42558</v>
      </c>
      <c r="BB308" s="13">
        <v>36741</v>
      </c>
      <c r="BC308" s="13">
        <v>23263</v>
      </c>
      <c r="BD308" s="13">
        <v>100</v>
      </c>
      <c r="BE308" s="13">
        <v>97</v>
      </c>
      <c r="BF308" s="13">
        <v>98</v>
      </c>
      <c r="BG308" s="13">
        <v>96</v>
      </c>
      <c r="BH308" s="13">
        <v>101</v>
      </c>
      <c r="BI308" s="13">
        <v>100</v>
      </c>
      <c r="BJ308" s="13">
        <v>101</v>
      </c>
      <c r="BK308" s="13">
        <v>100</v>
      </c>
      <c r="BL308" s="13">
        <v>100</v>
      </c>
      <c r="BM308" s="13">
        <v>100</v>
      </c>
      <c r="BN308" s="13">
        <v>99</v>
      </c>
      <c r="BO308" s="13">
        <v>95</v>
      </c>
      <c r="BP308" s="13">
        <v>95</v>
      </c>
      <c r="BQ308" s="13">
        <v>97</v>
      </c>
      <c r="BR308" s="13">
        <v>94</v>
      </c>
      <c r="BS308" s="13">
        <v>96</v>
      </c>
      <c r="BT308" s="13">
        <v>97</v>
      </c>
      <c r="BU308" s="13">
        <v>97</v>
      </c>
      <c r="BV308" s="13">
        <v>99</v>
      </c>
      <c r="BW308" s="13">
        <v>96</v>
      </c>
      <c r="BX308" s="328">
        <f t="shared" si="22"/>
        <v>226044468</v>
      </c>
      <c r="BY308" s="328">
        <f t="shared" si="23"/>
        <v>85118740</v>
      </c>
      <c r="BZ308" s="329">
        <f t="shared" si="20"/>
        <v>0.99727070262989748</v>
      </c>
      <c r="CA308" s="329">
        <f t="shared" si="21"/>
        <v>0.99725268751393037</v>
      </c>
    </row>
    <row r="309" spans="1:79" x14ac:dyDescent="0.25">
      <c r="A309" s="13">
        <v>2200</v>
      </c>
      <c r="B309" s="13">
        <v>308</v>
      </c>
      <c r="C309" s="13" t="s">
        <v>827</v>
      </c>
      <c r="D309" s="13">
        <v>93745</v>
      </c>
      <c r="E309" s="13">
        <v>86403</v>
      </c>
      <c r="F309" s="13">
        <v>88061</v>
      </c>
      <c r="G309" s="13">
        <v>88942</v>
      </c>
      <c r="H309" s="13">
        <v>0.2</v>
      </c>
      <c r="I309" s="13">
        <v>251</v>
      </c>
      <c r="J309" s="13">
        <v>30799</v>
      </c>
      <c r="K309" s="13">
        <v>32108</v>
      </c>
      <c r="L309" s="13">
        <v>32937</v>
      </c>
      <c r="M309" s="13">
        <v>0.5</v>
      </c>
      <c r="N309" s="13">
        <v>2.61</v>
      </c>
      <c r="O309" s="13">
        <v>22150</v>
      </c>
      <c r="P309" s="13">
        <v>22616</v>
      </c>
      <c r="Q309" s="13">
        <v>0.3</v>
      </c>
      <c r="R309" s="13">
        <v>98.8</v>
      </c>
      <c r="S309" s="13">
        <v>98.4</v>
      </c>
      <c r="T309" s="13">
        <v>0.4</v>
      </c>
      <c r="U309" s="13">
        <v>0.5</v>
      </c>
      <c r="V309" s="13">
        <v>0.5</v>
      </c>
      <c r="W309" s="13">
        <v>0.7</v>
      </c>
      <c r="X309" s="13">
        <v>0.5</v>
      </c>
      <c r="Y309" s="13">
        <v>0.9</v>
      </c>
      <c r="Z309" s="13">
        <v>6.2</v>
      </c>
      <c r="AA309" s="13">
        <v>6.7</v>
      </c>
      <c r="AB309" s="13">
        <v>7.6</v>
      </c>
      <c r="AC309" s="13">
        <v>8.4</v>
      </c>
      <c r="AD309" s="13">
        <v>6.5</v>
      </c>
      <c r="AE309" s="13">
        <v>29</v>
      </c>
      <c r="AF309" s="13">
        <v>21.5</v>
      </c>
      <c r="AG309" s="13">
        <v>11.9</v>
      </c>
      <c r="AH309" s="13">
        <v>2</v>
      </c>
      <c r="AI309" s="13">
        <v>74.599999999999994</v>
      </c>
      <c r="AJ309" s="13">
        <v>33.1</v>
      </c>
      <c r="AK309" s="13">
        <v>35.700000000000003</v>
      </c>
      <c r="AL309" s="13">
        <v>95.2</v>
      </c>
      <c r="AM309" s="13">
        <v>14611</v>
      </c>
      <c r="AN309" s="13">
        <v>32105</v>
      </c>
      <c r="AO309" s="13">
        <v>18.8</v>
      </c>
      <c r="AP309" s="13">
        <v>17</v>
      </c>
      <c r="AQ309" s="13">
        <v>39.1</v>
      </c>
      <c r="AR309" s="13">
        <v>21.2</v>
      </c>
      <c r="AS309" s="13">
        <v>2.6</v>
      </c>
      <c r="AT309" s="13">
        <v>1.3</v>
      </c>
      <c r="AU309" s="13">
        <v>32594</v>
      </c>
      <c r="AV309" s="13">
        <v>35890</v>
      </c>
      <c r="AW309" s="13">
        <v>220</v>
      </c>
      <c r="AX309" s="13">
        <v>29207</v>
      </c>
      <c r="AY309" s="13">
        <v>23857</v>
      </c>
      <c r="AZ309" s="13">
        <v>34230</v>
      </c>
      <c r="BA309" s="13">
        <v>38997</v>
      </c>
      <c r="BB309" s="13">
        <v>31968</v>
      </c>
      <c r="BC309" s="13">
        <v>18677</v>
      </c>
      <c r="BD309" s="13">
        <v>97</v>
      </c>
      <c r="BE309" s="13">
        <v>90</v>
      </c>
      <c r="BF309" s="13">
        <v>94</v>
      </c>
      <c r="BG309" s="13">
        <v>92</v>
      </c>
      <c r="BH309" s="13">
        <v>101</v>
      </c>
      <c r="BI309" s="13">
        <v>98</v>
      </c>
      <c r="BJ309" s="13">
        <v>103</v>
      </c>
      <c r="BK309" s="13">
        <v>98</v>
      </c>
      <c r="BL309" s="13">
        <v>95</v>
      </c>
      <c r="BM309" s="13">
        <v>94</v>
      </c>
      <c r="BN309" s="13">
        <v>95</v>
      </c>
      <c r="BO309" s="13">
        <v>96</v>
      </c>
      <c r="BP309" s="13">
        <v>97</v>
      </c>
      <c r="BQ309" s="13">
        <v>99</v>
      </c>
      <c r="BR309" s="13">
        <v>98</v>
      </c>
      <c r="BS309" s="13">
        <v>101</v>
      </c>
      <c r="BT309" s="13">
        <v>94</v>
      </c>
      <c r="BU309" s="13">
        <v>96</v>
      </c>
      <c r="BV309" s="13">
        <v>101</v>
      </c>
      <c r="BW309" s="13">
        <v>98</v>
      </c>
      <c r="BX309" s="328">
        <f t="shared" si="22"/>
        <v>226133410</v>
      </c>
      <c r="BY309" s="328">
        <f t="shared" si="23"/>
        <v>85151677</v>
      </c>
      <c r="BZ309" s="329">
        <f t="shared" si="20"/>
        <v>0.99766309998258695</v>
      </c>
      <c r="CA309" s="329">
        <f t="shared" si="21"/>
        <v>0.99763857799784317</v>
      </c>
    </row>
    <row r="310" spans="1:79" x14ac:dyDescent="0.25">
      <c r="A310" s="13">
        <v>3700</v>
      </c>
      <c r="B310" s="13">
        <v>309</v>
      </c>
      <c r="C310" s="13" t="s">
        <v>828</v>
      </c>
      <c r="D310" s="13">
        <v>63239</v>
      </c>
      <c r="E310" s="13">
        <v>68956</v>
      </c>
      <c r="F310" s="13">
        <v>78002</v>
      </c>
      <c r="G310" s="13">
        <v>83387</v>
      </c>
      <c r="H310" s="13">
        <v>1.5</v>
      </c>
      <c r="I310" s="13">
        <v>77</v>
      </c>
      <c r="J310" s="13">
        <v>26285</v>
      </c>
      <c r="K310" s="13">
        <v>29906</v>
      </c>
      <c r="L310" s="13">
        <v>32076</v>
      </c>
      <c r="M310" s="13">
        <v>1.6</v>
      </c>
      <c r="N310" s="13">
        <v>2.52</v>
      </c>
      <c r="O310" s="13">
        <v>18877</v>
      </c>
      <c r="P310" s="13">
        <v>21159</v>
      </c>
      <c r="Q310" s="13">
        <v>1.4</v>
      </c>
      <c r="R310" s="13">
        <v>93.5</v>
      </c>
      <c r="S310" s="13">
        <v>92.2</v>
      </c>
      <c r="T310" s="13">
        <v>5.5</v>
      </c>
      <c r="U310" s="13">
        <v>6.2</v>
      </c>
      <c r="V310" s="13">
        <v>0.6</v>
      </c>
      <c r="W310" s="13">
        <v>0.8</v>
      </c>
      <c r="X310" s="13">
        <v>0.6</v>
      </c>
      <c r="Y310" s="13">
        <v>1.4</v>
      </c>
      <c r="Z310" s="13">
        <v>6.8</v>
      </c>
      <c r="AA310" s="13">
        <v>7.1</v>
      </c>
      <c r="AB310" s="13">
        <v>6.8</v>
      </c>
      <c r="AC310" s="13">
        <v>8.1999999999999993</v>
      </c>
      <c r="AD310" s="13">
        <v>8.8000000000000007</v>
      </c>
      <c r="AE310" s="13">
        <v>29.5</v>
      </c>
      <c r="AF310" s="13">
        <v>21.1</v>
      </c>
      <c r="AG310" s="13">
        <v>10.4</v>
      </c>
      <c r="AH310" s="13">
        <v>1.3</v>
      </c>
      <c r="AI310" s="13">
        <v>75.400000000000006</v>
      </c>
      <c r="AJ310" s="13">
        <v>31.6</v>
      </c>
      <c r="AK310" s="13">
        <v>33.4</v>
      </c>
      <c r="AL310" s="13">
        <v>93.3</v>
      </c>
      <c r="AM310" s="13">
        <v>13768</v>
      </c>
      <c r="AN310" s="13">
        <v>29905</v>
      </c>
      <c r="AO310" s="13">
        <v>24.8</v>
      </c>
      <c r="AP310" s="13">
        <v>18.8</v>
      </c>
      <c r="AQ310" s="13">
        <v>34.9</v>
      </c>
      <c r="AR310" s="13">
        <v>18</v>
      </c>
      <c r="AS310" s="13">
        <v>2.2999999999999998</v>
      </c>
      <c r="AT310" s="13">
        <v>1.2</v>
      </c>
      <c r="AU310" s="13">
        <v>28422</v>
      </c>
      <c r="AV310" s="13">
        <v>32687</v>
      </c>
      <c r="AW310" s="13">
        <v>291</v>
      </c>
      <c r="AX310" s="13">
        <v>28253</v>
      </c>
      <c r="AY310" s="13">
        <v>23993</v>
      </c>
      <c r="AZ310" s="13">
        <v>34700</v>
      </c>
      <c r="BA310" s="13">
        <v>35609</v>
      </c>
      <c r="BB310" s="13">
        <v>32358</v>
      </c>
      <c r="BC310" s="13">
        <v>17818</v>
      </c>
      <c r="BD310" s="13">
        <v>99</v>
      </c>
      <c r="BE310" s="13">
        <v>89</v>
      </c>
      <c r="BF310" s="13">
        <v>93</v>
      </c>
      <c r="BG310" s="13">
        <v>93</v>
      </c>
      <c r="BH310" s="13">
        <v>100</v>
      </c>
      <c r="BI310" s="13">
        <v>99</v>
      </c>
      <c r="BJ310" s="13">
        <v>110</v>
      </c>
      <c r="BK310" s="13">
        <v>99</v>
      </c>
      <c r="BL310" s="13">
        <v>98</v>
      </c>
      <c r="BM310" s="13">
        <v>93</v>
      </c>
      <c r="BN310" s="13">
        <v>93</v>
      </c>
      <c r="BO310" s="13">
        <v>99</v>
      </c>
      <c r="BP310" s="13">
        <v>93</v>
      </c>
      <c r="BQ310" s="13">
        <v>100</v>
      </c>
      <c r="BR310" s="13">
        <v>87</v>
      </c>
      <c r="BS310" s="13">
        <v>99</v>
      </c>
      <c r="BT310" s="13">
        <v>92</v>
      </c>
      <c r="BU310" s="13">
        <v>96</v>
      </c>
      <c r="BV310" s="13">
        <v>101</v>
      </c>
      <c r="BW310" s="13">
        <v>100</v>
      </c>
      <c r="BX310" s="328">
        <f t="shared" si="22"/>
        <v>226216797</v>
      </c>
      <c r="BY310" s="328">
        <f t="shared" si="23"/>
        <v>85183753</v>
      </c>
      <c r="BZ310" s="329">
        <f t="shared" si="20"/>
        <v>0.99803098959659065</v>
      </c>
      <c r="CA310" s="329">
        <f t="shared" si="21"/>
        <v>0.99801438099028283</v>
      </c>
    </row>
    <row r="311" spans="1:79" x14ac:dyDescent="0.25">
      <c r="A311" s="13">
        <v>3040</v>
      </c>
      <c r="B311" s="13">
        <v>310</v>
      </c>
      <c r="C311" s="13" t="s">
        <v>829</v>
      </c>
      <c r="D311" s="13">
        <v>80696</v>
      </c>
      <c r="E311" s="13">
        <v>77691</v>
      </c>
      <c r="F311" s="13">
        <v>78458</v>
      </c>
      <c r="G311" s="13">
        <v>78963</v>
      </c>
      <c r="H311" s="13">
        <v>0.1</v>
      </c>
      <c r="I311" s="13">
        <v>266</v>
      </c>
      <c r="J311" s="13">
        <v>30133</v>
      </c>
      <c r="K311" s="13">
        <v>31120</v>
      </c>
      <c r="L311" s="13">
        <v>31722</v>
      </c>
      <c r="M311" s="13">
        <v>0.4</v>
      </c>
      <c r="N311" s="13">
        <v>2.46</v>
      </c>
      <c r="O311" s="13">
        <v>21037</v>
      </c>
      <c r="P311" s="13">
        <v>21107</v>
      </c>
      <c r="Q311" s="13">
        <v>0</v>
      </c>
      <c r="R311" s="13">
        <v>93.1</v>
      </c>
      <c r="S311" s="13">
        <v>92.2</v>
      </c>
      <c r="T311" s="13">
        <v>1.4</v>
      </c>
      <c r="U311" s="13">
        <v>1.7</v>
      </c>
      <c r="V311" s="13">
        <v>1</v>
      </c>
      <c r="W311" s="13">
        <v>1.1000000000000001</v>
      </c>
      <c r="X311" s="13">
        <v>1.8</v>
      </c>
      <c r="Y311" s="13">
        <v>2</v>
      </c>
      <c r="Z311" s="13">
        <v>6.8</v>
      </c>
      <c r="AA311" s="13">
        <v>7.2</v>
      </c>
      <c r="AB311" s="13">
        <v>7.6</v>
      </c>
      <c r="AC311" s="13">
        <v>7.5</v>
      </c>
      <c r="AD311" s="13">
        <v>7.1</v>
      </c>
      <c r="AE311" s="13">
        <v>27.7</v>
      </c>
      <c r="AF311" s="13">
        <v>23.5</v>
      </c>
      <c r="AG311" s="13">
        <v>11</v>
      </c>
      <c r="AH311" s="13">
        <v>1.6</v>
      </c>
      <c r="AI311" s="13">
        <v>73.900000000000006</v>
      </c>
      <c r="AJ311" s="13">
        <v>32.700000000000003</v>
      </c>
      <c r="AK311" s="13">
        <v>36</v>
      </c>
      <c r="AL311" s="13">
        <v>97.9</v>
      </c>
      <c r="AM311" s="13">
        <v>14342</v>
      </c>
      <c r="AN311" s="13">
        <v>31115</v>
      </c>
      <c r="AO311" s="13">
        <v>22.5</v>
      </c>
      <c r="AP311" s="13">
        <v>21.1</v>
      </c>
      <c r="AQ311" s="13">
        <v>36.1</v>
      </c>
      <c r="AR311" s="13">
        <v>17</v>
      </c>
      <c r="AS311" s="13">
        <v>2.4</v>
      </c>
      <c r="AT311" s="13">
        <v>0.9</v>
      </c>
      <c r="AU311" s="13">
        <v>28160</v>
      </c>
      <c r="AV311" s="13">
        <v>31854</v>
      </c>
      <c r="AW311" s="13">
        <v>293</v>
      </c>
      <c r="AX311" s="13">
        <v>26910</v>
      </c>
      <c r="AY311" s="13">
        <v>21535</v>
      </c>
      <c r="AZ311" s="13">
        <v>32152</v>
      </c>
      <c r="BA311" s="13">
        <v>33623</v>
      </c>
      <c r="BB311" s="13">
        <v>29216</v>
      </c>
      <c r="BC311" s="13">
        <v>19478</v>
      </c>
      <c r="BD311" s="13">
        <v>98</v>
      </c>
      <c r="BE311" s="13">
        <v>90</v>
      </c>
      <c r="BF311" s="13">
        <v>94</v>
      </c>
      <c r="BG311" s="13">
        <v>91</v>
      </c>
      <c r="BH311" s="13">
        <v>100</v>
      </c>
      <c r="BI311" s="13">
        <v>97</v>
      </c>
      <c r="BJ311" s="13">
        <v>101</v>
      </c>
      <c r="BK311" s="13">
        <v>98</v>
      </c>
      <c r="BL311" s="13">
        <v>96</v>
      </c>
      <c r="BM311" s="13">
        <v>94</v>
      </c>
      <c r="BN311" s="13">
        <v>93</v>
      </c>
      <c r="BO311" s="13">
        <v>92</v>
      </c>
      <c r="BP311" s="13">
        <v>91</v>
      </c>
      <c r="BQ311" s="13">
        <v>94</v>
      </c>
      <c r="BR311" s="13">
        <v>91</v>
      </c>
      <c r="BS311" s="13">
        <v>95</v>
      </c>
      <c r="BT311" s="13">
        <v>92</v>
      </c>
      <c r="BU311" s="13">
        <v>93</v>
      </c>
      <c r="BV311" s="13">
        <v>99</v>
      </c>
      <c r="BW311" s="13">
        <v>94</v>
      </c>
      <c r="BX311" s="328">
        <f t="shared" si="22"/>
        <v>226295760</v>
      </c>
      <c r="BY311" s="328">
        <f t="shared" si="23"/>
        <v>85215475</v>
      </c>
      <c r="BZ311" s="329">
        <f t="shared" si="20"/>
        <v>0.99837936125632876</v>
      </c>
      <c r="CA311" s="329">
        <f t="shared" si="21"/>
        <v>0.9983860365123608</v>
      </c>
    </row>
    <row r="312" spans="1:79" x14ac:dyDescent="0.25">
      <c r="A312" s="13">
        <v>8750</v>
      </c>
      <c r="B312" s="13">
        <v>311</v>
      </c>
      <c r="C312" s="13" t="s">
        <v>830</v>
      </c>
      <c r="D312" s="13">
        <v>68807</v>
      </c>
      <c r="E312" s="13">
        <v>74361</v>
      </c>
      <c r="F312" s="13">
        <v>82558</v>
      </c>
      <c r="G312" s="13">
        <v>86762</v>
      </c>
      <c r="H312" s="13">
        <v>1.3</v>
      </c>
      <c r="I312" s="13">
        <v>109</v>
      </c>
      <c r="J312" s="13">
        <v>26228</v>
      </c>
      <c r="K312" s="13">
        <v>29438</v>
      </c>
      <c r="L312" s="13">
        <v>31457</v>
      </c>
      <c r="M312" s="13">
        <v>1.4</v>
      </c>
      <c r="N312" s="13">
        <v>2.74</v>
      </c>
      <c r="O312" s="13">
        <v>19820</v>
      </c>
      <c r="P312" s="13">
        <v>21968</v>
      </c>
      <c r="Q312" s="13">
        <v>1.3</v>
      </c>
      <c r="R312" s="13">
        <v>79.7</v>
      </c>
      <c r="S312" s="13">
        <v>77.099999999999994</v>
      </c>
      <c r="T312" s="13">
        <v>6.6</v>
      </c>
      <c r="U312" s="13">
        <v>6.7</v>
      </c>
      <c r="V312" s="13">
        <v>0.3</v>
      </c>
      <c r="W312" s="13">
        <v>0.5</v>
      </c>
      <c r="X312" s="13">
        <v>34.1</v>
      </c>
      <c r="Y312" s="13">
        <v>40.5</v>
      </c>
      <c r="Z312" s="13">
        <v>8.1999999999999993</v>
      </c>
      <c r="AA312" s="13">
        <v>8.1999999999999993</v>
      </c>
      <c r="AB312" s="13">
        <v>8.6999999999999993</v>
      </c>
      <c r="AC312" s="13">
        <v>8.1999999999999993</v>
      </c>
      <c r="AD312" s="13">
        <v>6.1</v>
      </c>
      <c r="AE312" s="13">
        <v>28.8</v>
      </c>
      <c r="AF312" s="13">
        <v>20.6</v>
      </c>
      <c r="AG312" s="13">
        <v>10</v>
      </c>
      <c r="AH312" s="13">
        <v>1.2</v>
      </c>
      <c r="AI312" s="13">
        <v>69.900000000000006</v>
      </c>
      <c r="AJ312" s="13">
        <v>31.6</v>
      </c>
      <c r="AK312" s="13">
        <v>33.5</v>
      </c>
      <c r="AL312" s="13">
        <v>96</v>
      </c>
      <c r="AM312" s="13">
        <v>15570</v>
      </c>
      <c r="AN312" s="13">
        <v>29438</v>
      </c>
      <c r="AO312" s="13">
        <v>21</v>
      </c>
      <c r="AP312" s="13">
        <v>14.6</v>
      </c>
      <c r="AQ312" s="13">
        <v>33.5</v>
      </c>
      <c r="AR312" s="13">
        <v>24.4</v>
      </c>
      <c r="AS312" s="13">
        <v>4.4000000000000004</v>
      </c>
      <c r="AT312" s="13">
        <v>2</v>
      </c>
      <c r="AU312" s="13">
        <v>35157</v>
      </c>
      <c r="AV312" s="13">
        <v>40687</v>
      </c>
      <c r="AW312" s="13">
        <v>181</v>
      </c>
      <c r="AX312" s="13">
        <v>34776</v>
      </c>
      <c r="AY312" s="13">
        <v>28359</v>
      </c>
      <c r="AZ312" s="13">
        <v>39771</v>
      </c>
      <c r="BA312" s="13">
        <v>43536</v>
      </c>
      <c r="BB312" s="13">
        <v>36238</v>
      </c>
      <c r="BC312" s="13">
        <v>23497</v>
      </c>
      <c r="BD312" s="13">
        <v>99</v>
      </c>
      <c r="BE312" s="13">
        <v>98</v>
      </c>
      <c r="BF312" s="13">
        <v>94</v>
      </c>
      <c r="BG312" s="13">
        <v>95</v>
      </c>
      <c r="BH312" s="13">
        <v>99</v>
      </c>
      <c r="BI312" s="13">
        <v>100</v>
      </c>
      <c r="BJ312" s="13">
        <v>103</v>
      </c>
      <c r="BK312" s="13">
        <v>100</v>
      </c>
      <c r="BL312" s="13">
        <v>101</v>
      </c>
      <c r="BM312" s="13">
        <v>98</v>
      </c>
      <c r="BN312" s="13">
        <v>99</v>
      </c>
      <c r="BO312" s="13">
        <v>99</v>
      </c>
      <c r="BP312" s="13">
        <v>97</v>
      </c>
      <c r="BQ312" s="13">
        <v>101</v>
      </c>
      <c r="BR312" s="13">
        <v>90</v>
      </c>
      <c r="BS312" s="13">
        <v>100</v>
      </c>
      <c r="BT312" s="13">
        <v>95</v>
      </c>
      <c r="BU312" s="13">
        <v>100</v>
      </c>
      <c r="BV312" s="13">
        <v>100</v>
      </c>
      <c r="BW312" s="13">
        <v>102</v>
      </c>
      <c r="BX312" s="328">
        <f t="shared" si="22"/>
        <v>226382522</v>
      </c>
      <c r="BY312" s="328">
        <f t="shared" si="23"/>
        <v>85246932</v>
      </c>
      <c r="BZ312" s="329">
        <f t="shared" si="20"/>
        <v>0.99876214081057813</v>
      </c>
      <c r="CA312" s="329">
        <f t="shared" si="21"/>
        <v>0.99875458728967637</v>
      </c>
    </row>
    <row r="313" spans="1:79" x14ac:dyDescent="0.25">
      <c r="A313" s="13">
        <v>6340</v>
      </c>
      <c r="B313" s="13">
        <v>312</v>
      </c>
      <c r="C313" s="13" t="s">
        <v>831</v>
      </c>
      <c r="D313" s="13">
        <v>65421</v>
      </c>
      <c r="E313" s="13">
        <v>66026</v>
      </c>
      <c r="F313" s="13">
        <v>74456</v>
      </c>
      <c r="G313" s="13">
        <v>79388</v>
      </c>
      <c r="H313" s="13">
        <v>1.5</v>
      </c>
      <c r="I313" s="13">
        <v>83</v>
      </c>
      <c r="J313" s="13">
        <v>23412</v>
      </c>
      <c r="K313" s="13">
        <v>26620</v>
      </c>
      <c r="L313" s="13">
        <v>28606</v>
      </c>
      <c r="M313" s="13">
        <v>1.6</v>
      </c>
      <c r="N313" s="13">
        <v>2.75</v>
      </c>
      <c r="O313" s="13">
        <v>16794</v>
      </c>
      <c r="P313" s="13">
        <v>18768</v>
      </c>
      <c r="Q313" s="13">
        <v>1.4</v>
      </c>
      <c r="R313" s="13">
        <v>93.5</v>
      </c>
      <c r="S313" s="13">
        <v>92.1</v>
      </c>
      <c r="T313" s="13">
        <v>0.7</v>
      </c>
      <c r="U313" s="13">
        <v>1.2</v>
      </c>
      <c r="V313" s="13">
        <v>1.1000000000000001</v>
      </c>
      <c r="W313" s="13">
        <v>1.3</v>
      </c>
      <c r="X313" s="13">
        <v>4.0999999999999996</v>
      </c>
      <c r="Y313" s="13">
        <v>5.8</v>
      </c>
      <c r="Z313" s="13">
        <v>7.8</v>
      </c>
      <c r="AA313" s="13">
        <v>8</v>
      </c>
      <c r="AB313" s="13">
        <v>9</v>
      </c>
      <c r="AC313" s="13">
        <v>9.9</v>
      </c>
      <c r="AD313" s="13">
        <v>8.4</v>
      </c>
      <c r="AE313" s="13">
        <v>28.6</v>
      </c>
      <c r="AF313" s="13">
        <v>18.899999999999999</v>
      </c>
      <c r="AG313" s="13">
        <v>8.4</v>
      </c>
      <c r="AH313" s="13">
        <v>1.1000000000000001</v>
      </c>
      <c r="AI313" s="13">
        <v>69.400000000000006</v>
      </c>
      <c r="AJ313" s="13">
        <v>29.5</v>
      </c>
      <c r="AK313" s="13">
        <v>30.3</v>
      </c>
      <c r="AL313" s="13">
        <v>99.9</v>
      </c>
      <c r="AM313" s="13">
        <v>16533</v>
      </c>
      <c r="AN313" s="13">
        <v>26611</v>
      </c>
      <c r="AO313" s="13">
        <v>15.7</v>
      </c>
      <c r="AP313" s="13">
        <v>12</v>
      </c>
      <c r="AQ313" s="13">
        <v>36.799999999999997</v>
      </c>
      <c r="AR313" s="13">
        <v>29</v>
      </c>
      <c r="AS313" s="13">
        <v>5.2</v>
      </c>
      <c r="AT313" s="13">
        <v>1.3</v>
      </c>
      <c r="AU313" s="13">
        <v>39515</v>
      </c>
      <c r="AV313" s="13">
        <v>46702</v>
      </c>
      <c r="AW313" s="13">
        <v>100</v>
      </c>
      <c r="AX313" s="13">
        <v>34920</v>
      </c>
      <c r="AY313" s="13">
        <v>27761</v>
      </c>
      <c r="AZ313" s="13">
        <v>40731</v>
      </c>
      <c r="BA313" s="13">
        <v>44991</v>
      </c>
      <c r="BB313" s="13">
        <v>37802</v>
      </c>
      <c r="BC313" s="13">
        <v>23193</v>
      </c>
      <c r="BD313" s="13">
        <v>99</v>
      </c>
      <c r="BE313" s="13">
        <v>92</v>
      </c>
      <c r="BF313" s="13">
        <v>90</v>
      </c>
      <c r="BG313" s="13">
        <v>91</v>
      </c>
      <c r="BH313" s="13">
        <v>97</v>
      </c>
      <c r="BI313" s="13">
        <v>95</v>
      </c>
      <c r="BJ313" s="13">
        <v>102</v>
      </c>
      <c r="BK313" s="13">
        <v>98</v>
      </c>
      <c r="BL313" s="13">
        <v>98</v>
      </c>
      <c r="BM313" s="13">
        <v>95</v>
      </c>
      <c r="BN313" s="13">
        <v>95</v>
      </c>
      <c r="BO313" s="13">
        <v>93</v>
      </c>
      <c r="BP313" s="13">
        <v>91</v>
      </c>
      <c r="BQ313" s="13">
        <v>95</v>
      </c>
      <c r="BR313" s="13">
        <v>89</v>
      </c>
      <c r="BS313" s="13">
        <v>96</v>
      </c>
      <c r="BT313" s="13">
        <v>93</v>
      </c>
      <c r="BU313" s="13">
        <v>94</v>
      </c>
      <c r="BV313" s="13">
        <v>97</v>
      </c>
      <c r="BW313" s="13">
        <v>95</v>
      </c>
      <c r="BX313" s="328">
        <f t="shared" si="22"/>
        <v>226461910</v>
      </c>
      <c r="BY313" s="328">
        <f t="shared" si="23"/>
        <v>85275538</v>
      </c>
      <c r="BZ313" s="329">
        <f t="shared" si="20"/>
        <v>0.99911238749982856</v>
      </c>
      <c r="CA313" s="329">
        <f t="shared" si="21"/>
        <v>0.99908973569975656</v>
      </c>
    </row>
    <row r="314" spans="1:79" x14ac:dyDescent="0.25">
      <c r="A314" s="13">
        <v>6240</v>
      </c>
      <c r="B314" s="13">
        <v>313</v>
      </c>
      <c r="C314" s="13" t="s">
        <v>832</v>
      </c>
      <c r="D314" s="13">
        <v>90718</v>
      </c>
      <c r="E314" s="13">
        <v>85487</v>
      </c>
      <c r="F314" s="13">
        <v>81676</v>
      </c>
      <c r="G314" s="13">
        <v>79378</v>
      </c>
      <c r="H314" s="13">
        <v>-0.6</v>
      </c>
      <c r="I314" s="13">
        <v>312</v>
      </c>
      <c r="J314" s="13">
        <v>30001</v>
      </c>
      <c r="K314" s="13">
        <v>28606</v>
      </c>
      <c r="L314" s="13">
        <v>27783</v>
      </c>
      <c r="M314" s="13">
        <v>-0.6</v>
      </c>
      <c r="N314" s="13">
        <v>2.7</v>
      </c>
      <c r="O314" s="13">
        <v>21972</v>
      </c>
      <c r="P314" s="13">
        <v>20599</v>
      </c>
      <c r="Q314" s="13">
        <v>-0.8</v>
      </c>
      <c r="R314" s="13">
        <v>56</v>
      </c>
      <c r="S314" s="13">
        <v>52.4</v>
      </c>
      <c r="T314" s="13">
        <v>43.1</v>
      </c>
      <c r="U314" s="13">
        <v>46.4</v>
      </c>
      <c r="V314" s="13">
        <v>0.4</v>
      </c>
      <c r="W314" s="13">
        <v>0.5</v>
      </c>
      <c r="X314" s="13">
        <v>0.5</v>
      </c>
      <c r="Y314" s="13">
        <v>1.1000000000000001</v>
      </c>
      <c r="Z314" s="13">
        <v>7.2</v>
      </c>
      <c r="AA314" s="13">
        <v>7.5</v>
      </c>
      <c r="AB314" s="13">
        <v>7.9</v>
      </c>
      <c r="AC314" s="13">
        <v>8.6999999999999993</v>
      </c>
      <c r="AD314" s="13">
        <v>7.8</v>
      </c>
      <c r="AE314" s="13">
        <v>28</v>
      </c>
      <c r="AF314" s="13">
        <v>20.3</v>
      </c>
      <c r="AG314" s="13">
        <v>11.1</v>
      </c>
      <c r="AH314" s="13">
        <v>1.5</v>
      </c>
      <c r="AI314" s="13">
        <v>72.599999999999994</v>
      </c>
      <c r="AJ314" s="13">
        <v>31.9</v>
      </c>
      <c r="AK314" s="13">
        <v>33.4</v>
      </c>
      <c r="AL314" s="13">
        <v>93.5</v>
      </c>
      <c r="AM314" s="13">
        <v>12951</v>
      </c>
      <c r="AN314" s="13">
        <v>28605</v>
      </c>
      <c r="AO314" s="13">
        <v>28</v>
      </c>
      <c r="AP314" s="13">
        <v>16.399999999999999</v>
      </c>
      <c r="AQ314" s="13">
        <v>31.8</v>
      </c>
      <c r="AR314" s="13">
        <v>19.8</v>
      </c>
      <c r="AS314" s="13">
        <v>2.9</v>
      </c>
      <c r="AT314" s="13">
        <v>1</v>
      </c>
      <c r="AU314" s="13">
        <v>28377</v>
      </c>
      <c r="AV314" s="13">
        <v>33902</v>
      </c>
      <c r="AW314" s="13">
        <v>292</v>
      </c>
      <c r="AX314" s="13">
        <v>28377</v>
      </c>
      <c r="AY314" s="13">
        <v>24308</v>
      </c>
      <c r="AZ314" s="13">
        <v>33639</v>
      </c>
      <c r="BA314" s="13">
        <v>37009</v>
      </c>
      <c r="BB314" s="13">
        <v>30135</v>
      </c>
      <c r="BC314" s="13">
        <v>19676</v>
      </c>
      <c r="BD314" s="13">
        <v>96</v>
      </c>
      <c r="BE314" s="13">
        <v>83</v>
      </c>
      <c r="BF314" s="13">
        <v>91</v>
      </c>
      <c r="BG314" s="13">
        <v>87</v>
      </c>
      <c r="BH314" s="13">
        <v>101</v>
      </c>
      <c r="BI314" s="13">
        <v>96</v>
      </c>
      <c r="BJ314" s="13">
        <v>104</v>
      </c>
      <c r="BK314" s="13">
        <v>98</v>
      </c>
      <c r="BL314" s="13">
        <v>94</v>
      </c>
      <c r="BM314" s="13">
        <v>92</v>
      </c>
      <c r="BN314" s="13">
        <v>86</v>
      </c>
      <c r="BO314" s="13">
        <v>96</v>
      </c>
      <c r="BP314" s="13">
        <v>90</v>
      </c>
      <c r="BQ314" s="13">
        <v>97</v>
      </c>
      <c r="BR314" s="13">
        <v>86</v>
      </c>
      <c r="BS314" s="13">
        <v>98</v>
      </c>
      <c r="BT314" s="13">
        <v>89</v>
      </c>
      <c r="BU314" s="13">
        <v>94</v>
      </c>
      <c r="BV314" s="13">
        <v>96</v>
      </c>
      <c r="BW314" s="13">
        <v>98</v>
      </c>
      <c r="BX314" s="328">
        <f t="shared" si="22"/>
        <v>226541288</v>
      </c>
      <c r="BY314" s="328">
        <f t="shared" si="23"/>
        <v>85303321</v>
      </c>
      <c r="BZ314" s="329">
        <f t="shared" si="20"/>
        <v>0.99946259007073757</v>
      </c>
      <c r="CA314" s="329">
        <f t="shared" si="21"/>
        <v>0.99941524182704644</v>
      </c>
    </row>
    <row r="315" spans="1:79" x14ac:dyDescent="0.25">
      <c r="A315" s="13">
        <v>1350</v>
      </c>
      <c r="B315" s="13">
        <v>314</v>
      </c>
      <c r="C315" s="13" t="s">
        <v>833</v>
      </c>
      <c r="D315" s="13">
        <v>71856</v>
      </c>
      <c r="E315" s="13">
        <v>61226</v>
      </c>
      <c r="F315" s="13">
        <v>63616</v>
      </c>
      <c r="G315" s="13">
        <v>65058</v>
      </c>
      <c r="H315" s="13">
        <v>0.5</v>
      </c>
      <c r="I315" s="13">
        <v>226</v>
      </c>
      <c r="J315" s="13">
        <v>23837</v>
      </c>
      <c r="K315" s="13">
        <v>25920</v>
      </c>
      <c r="L315" s="13">
        <v>27269</v>
      </c>
      <c r="M315" s="13">
        <v>1</v>
      </c>
      <c r="N315" s="13">
        <v>2.42</v>
      </c>
      <c r="O315" s="13">
        <v>16657</v>
      </c>
      <c r="P315" s="13">
        <v>17673</v>
      </c>
      <c r="Q315" s="13">
        <v>0.7</v>
      </c>
      <c r="R315" s="13">
        <v>96.9</v>
      </c>
      <c r="S315" s="13">
        <v>96.7</v>
      </c>
      <c r="T315" s="13">
        <v>0.7</v>
      </c>
      <c r="U315" s="13">
        <v>0.8</v>
      </c>
      <c r="V315" s="13">
        <v>0.5</v>
      </c>
      <c r="W315" s="13">
        <v>0.6</v>
      </c>
      <c r="X315" s="13">
        <v>3.7</v>
      </c>
      <c r="Y315" s="13">
        <v>3.6</v>
      </c>
      <c r="Z315" s="13">
        <v>6.3</v>
      </c>
      <c r="AA315" s="13">
        <v>7.2</v>
      </c>
      <c r="AB315" s="13">
        <v>8.1</v>
      </c>
      <c r="AC315" s="13">
        <v>8.4</v>
      </c>
      <c r="AD315" s="13">
        <v>6.6</v>
      </c>
      <c r="AE315" s="13">
        <v>28.9</v>
      </c>
      <c r="AF315" s="13">
        <v>22.5</v>
      </c>
      <c r="AG315" s="13">
        <v>10.7</v>
      </c>
      <c r="AH315" s="13">
        <v>1.2</v>
      </c>
      <c r="AI315" s="13">
        <v>73.2</v>
      </c>
      <c r="AJ315" s="13">
        <v>32.799999999999997</v>
      </c>
      <c r="AK315" s="13">
        <v>36.200000000000003</v>
      </c>
      <c r="AL315" s="13">
        <v>97.4</v>
      </c>
      <c r="AM315" s="13">
        <v>15631</v>
      </c>
      <c r="AN315" s="13">
        <v>25889</v>
      </c>
      <c r="AO315" s="13">
        <v>20.9</v>
      </c>
      <c r="AP315" s="13">
        <v>16.7</v>
      </c>
      <c r="AQ315" s="13">
        <v>38.5</v>
      </c>
      <c r="AR315" s="13">
        <v>20.100000000000001</v>
      </c>
      <c r="AS315" s="13">
        <v>2.7</v>
      </c>
      <c r="AT315" s="13">
        <v>1.1000000000000001</v>
      </c>
      <c r="AU315" s="13">
        <v>31988</v>
      </c>
      <c r="AV315" s="13">
        <v>34200</v>
      </c>
      <c r="AW315" s="13">
        <v>234</v>
      </c>
      <c r="AX315" s="13">
        <v>31756</v>
      </c>
      <c r="AY315" s="13">
        <v>24768</v>
      </c>
      <c r="AZ315" s="13">
        <v>37216</v>
      </c>
      <c r="BA315" s="13">
        <v>37818</v>
      </c>
      <c r="BB315" s="13">
        <v>36604</v>
      </c>
      <c r="BC315" s="13">
        <v>22684</v>
      </c>
      <c r="BD315" s="13">
        <v>100</v>
      </c>
      <c r="BE315" s="13">
        <v>94</v>
      </c>
      <c r="BF315" s="13">
        <v>92</v>
      </c>
      <c r="BG315" s="13">
        <v>93</v>
      </c>
      <c r="BH315" s="13">
        <v>98</v>
      </c>
      <c r="BI315" s="13">
        <v>97</v>
      </c>
      <c r="BJ315" s="13">
        <v>101</v>
      </c>
      <c r="BK315" s="13">
        <v>99</v>
      </c>
      <c r="BL315" s="13">
        <v>99</v>
      </c>
      <c r="BM315" s="13">
        <v>98</v>
      </c>
      <c r="BN315" s="13">
        <v>98</v>
      </c>
      <c r="BO315" s="13">
        <v>94</v>
      </c>
      <c r="BP315" s="13">
        <v>93</v>
      </c>
      <c r="BQ315" s="13">
        <v>96</v>
      </c>
      <c r="BR315" s="13">
        <v>91</v>
      </c>
      <c r="BS315" s="13">
        <v>96</v>
      </c>
      <c r="BT315" s="13">
        <v>96</v>
      </c>
      <c r="BU315" s="13">
        <v>96</v>
      </c>
      <c r="BV315" s="13">
        <v>98</v>
      </c>
      <c r="BW315" s="13">
        <v>95</v>
      </c>
      <c r="BX315" s="328">
        <f t="shared" si="22"/>
        <v>226606346</v>
      </c>
      <c r="BY315" s="328">
        <f t="shared" si="23"/>
        <v>85330590</v>
      </c>
      <c r="BZ315" s="329">
        <f t="shared" si="20"/>
        <v>0.99974961517666361</v>
      </c>
      <c r="CA315" s="329">
        <f t="shared" si="21"/>
        <v>0.99973472592109924</v>
      </c>
    </row>
    <row r="316" spans="1:79" x14ac:dyDescent="0.25">
      <c r="A316" s="13">
        <v>2340</v>
      </c>
      <c r="B316" s="13">
        <v>315</v>
      </c>
      <c r="C316" s="13" t="s">
        <v>834</v>
      </c>
      <c r="D316" s="13">
        <v>62820</v>
      </c>
      <c r="E316" s="13">
        <v>56735</v>
      </c>
      <c r="F316" s="13">
        <v>56656</v>
      </c>
      <c r="G316" s="13">
        <v>56753</v>
      </c>
      <c r="H316" s="13">
        <v>0</v>
      </c>
      <c r="I316" s="13">
        <v>279</v>
      </c>
      <c r="J316" s="13">
        <v>22460</v>
      </c>
      <c r="K316" s="13">
        <v>22556</v>
      </c>
      <c r="L316" s="13">
        <v>22642</v>
      </c>
      <c r="M316" s="13">
        <v>0.1</v>
      </c>
      <c r="N316" s="13">
        <v>2.44</v>
      </c>
      <c r="O316" s="13">
        <v>15738</v>
      </c>
      <c r="P316" s="13">
        <v>15532</v>
      </c>
      <c r="Q316" s="13">
        <v>-0.2</v>
      </c>
      <c r="R316" s="13">
        <v>92.4</v>
      </c>
      <c r="S316" s="13">
        <v>91.9</v>
      </c>
      <c r="T316" s="13">
        <v>3.6</v>
      </c>
      <c r="U316" s="13">
        <v>3.6</v>
      </c>
      <c r="V316" s="13">
        <v>1</v>
      </c>
      <c r="W316" s="13">
        <v>1.2</v>
      </c>
      <c r="X316" s="13">
        <v>1.9</v>
      </c>
      <c r="Y316" s="13">
        <v>2.7</v>
      </c>
      <c r="Z316" s="13">
        <v>6.6</v>
      </c>
      <c r="AA316" s="13">
        <v>7</v>
      </c>
      <c r="AB316" s="13">
        <v>7.8</v>
      </c>
      <c r="AC316" s="13">
        <v>7.7</v>
      </c>
      <c r="AD316" s="13">
        <v>6.2</v>
      </c>
      <c r="AE316" s="13">
        <v>27.7</v>
      </c>
      <c r="AF316" s="13">
        <v>21.8</v>
      </c>
      <c r="AG316" s="13">
        <v>13.1</v>
      </c>
      <c r="AH316" s="13">
        <v>2.1</v>
      </c>
      <c r="AI316" s="13">
        <v>73.8</v>
      </c>
      <c r="AJ316" s="13">
        <v>34.200000000000003</v>
      </c>
      <c r="AK316" s="13">
        <v>36.5</v>
      </c>
      <c r="AL316" s="13">
        <v>93.2</v>
      </c>
      <c r="AM316" s="13">
        <v>12655</v>
      </c>
      <c r="AN316" s="13">
        <v>22556</v>
      </c>
      <c r="AO316" s="13">
        <v>27.3</v>
      </c>
      <c r="AP316" s="13">
        <v>21.3</v>
      </c>
      <c r="AQ316" s="13">
        <v>36.299999999999997</v>
      </c>
      <c r="AR316" s="13">
        <v>12.7</v>
      </c>
      <c r="AS316" s="13">
        <v>1.8</v>
      </c>
      <c r="AT316" s="13">
        <v>0.7</v>
      </c>
      <c r="AU316" s="13">
        <v>25641</v>
      </c>
      <c r="AV316" s="13">
        <v>27466</v>
      </c>
      <c r="AW316" s="13">
        <v>306</v>
      </c>
      <c r="AX316" s="13">
        <v>24887</v>
      </c>
      <c r="AY316" s="13">
        <v>21884</v>
      </c>
      <c r="AZ316" s="13">
        <v>29078</v>
      </c>
      <c r="BA316" s="13">
        <v>32022</v>
      </c>
      <c r="BB316" s="13">
        <v>26679</v>
      </c>
      <c r="BC316" s="13">
        <v>18186</v>
      </c>
      <c r="BD316" s="13">
        <v>97</v>
      </c>
      <c r="BE316" s="13">
        <v>88</v>
      </c>
      <c r="BF316" s="13">
        <v>92</v>
      </c>
      <c r="BG316" s="13">
        <v>90</v>
      </c>
      <c r="BH316" s="13">
        <v>101</v>
      </c>
      <c r="BI316" s="13">
        <v>98</v>
      </c>
      <c r="BJ316" s="13">
        <v>106</v>
      </c>
      <c r="BK316" s="13">
        <v>98</v>
      </c>
      <c r="BL316" s="13">
        <v>96</v>
      </c>
      <c r="BM316" s="13">
        <v>92</v>
      </c>
      <c r="BN316" s="13">
        <v>92</v>
      </c>
      <c r="BO316" s="13">
        <v>96</v>
      </c>
      <c r="BP316" s="13">
        <v>92</v>
      </c>
      <c r="BQ316" s="13">
        <v>98</v>
      </c>
      <c r="BR316" s="13">
        <v>88</v>
      </c>
      <c r="BS316" s="13">
        <v>98</v>
      </c>
      <c r="BT316" s="13">
        <v>91</v>
      </c>
      <c r="BU316" s="13">
        <v>95</v>
      </c>
      <c r="BV316" s="13">
        <v>101</v>
      </c>
      <c r="BW316" s="13">
        <v>98</v>
      </c>
      <c r="BX316" s="328">
        <f t="shared" si="22"/>
        <v>226663099</v>
      </c>
      <c r="BY316" s="328">
        <f t="shared" si="23"/>
        <v>85353232</v>
      </c>
      <c r="BZ316" s="329">
        <f t="shared" si="20"/>
        <v>1</v>
      </c>
      <c r="CA316" s="329">
        <f t="shared" si="21"/>
        <v>1</v>
      </c>
    </row>
  </sheetData>
  <customSheetViews>
    <customSheetView guid="{00A591F2-C6CE-11D4-B3FE-00409628F381}" scale="75" showPageBreaks="1" showRuler="0">
      <selection activeCell="A41" sqref="A41"/>
      <pageMargins left="0.75" right="0.75" top="1" bottom="1" header="0.5" footer="0.5"/>
      <pageSetup orientation="portrait" r:id="rId1"/>
      <headerFooter alignWithMargins="0"/>
    </customSheetView>
    <customSheetView guid="{39AEF1F3-C6CC-11D4-B3CC-0080C71F7D28}" scale="75" showRuler="0" topLeftCell="BW1">
      <selection activeCell="CE24" sqref="CE24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88"/>
  <sheetViews>
    <sheetView zoomScale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8" sqref="E28"/>
    </sheetView>
  </sheetViews>
  <sheetFormatPr defaultColWidth="9.109375" defaultRowHeight="13.2" x14ac:dyDescent="0.25"/>
  <cols>
    <col min="1" max="2" width="2.6640625" style="144" customWidth="1"/>
    <col min="3" max="3" width="40.33203125" style="13" customWidth="1"/>
    <col min="4" max="4" width="3.5546875" style="13" customWidth="1"/>
    <col min="5" max="14" width="11.33203125" style="13" bestFit="1" customWidth="1"/>
    <col min="15" max="24" width="11.33203125" style="13" customWidth="1"/>
    <col min="25" max="16384" width="9.109375" style="13"/>
  </cols>
  <sheetData>
    <row r="1" spans="1:26" x14ac:dyDescent="0.25">
      <c r="A1" s="143" t="s">
        <v>96</v>
      </c>
      <c r="B1" s="380"/>
      <c r="C1" s="6"/>
    </row>
    <row r="2" spans="1:26" ht="13.8" thickBot="1" x14ac:dyDescent="0.3">
      <c r="C2" s="160"/>
      <c r="D2" s="160"/>
    </row>
    <row r="3" spans="1:26" x14ac:dyDescent="0.25">
      <c r="A3" s="381"/>
      <c r="B3" s="382"/>
      <c r="C3" s="16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7"/>
    </row>
    <row r="4" spans="1:26" x14ac:dyDescent="0.25">
      <c r="A4" s="383"/>
      <c r="B4" s="33"/>
      <c r="C4" s="170"/>
      <c r="D4" s="170"/>
      <c r="E4" s="499">
        <f>Assumptions!F6</f>
        <v>2001</v>
      </c>
      <c r="F4" s="499">
        <f>Assumptions!G6</f>
        <v>2002</v>
      </c>
      <c r="G4" s="499">
        <f>Assumptions!H6</f>
        <v>2003</v>
      </c>
      <c r="H4" s="499">
        <f>Assumptions!I6</f>
        <v>2004</v>
      </c>
      <c r="I4" s="499">
        <f>Assumptions!J6</f>
        <v>2005</v>
      </c>
      <c r="J4" s="499">
        <f>Assumptions!K6</f>
        <v>2006</v>
      </c>
      <c r="K4" s="499">
        <f>Assumptions!L6</f>
        <v>2007</v>
      </c>
      <c r="L4" s="499">
        <f>Assumptions!M6</f>
        <v>2008</v>
      </c>
      <c r="M4" s="499">
        <f>Assumptions!N6</f>
        <v>2009</v>
      </c>
      <c r="N4" s="499">
        <f>Assumptions!O6</f>
        <v>2010</v>
      </c>
      <c r="O4" s="499">
        <f>Assumptions!P6</f>
        <v>2011</v>
      </c>
      <c r="P4" s="499">
        <f>Assumptions!Q6</f>
        <v>2012</v>
      </c>
      <c r="Q4" s="499">
        <f>Assumptions!R6</f>
        <v>2013</v>
      </c>
      <c r="R4" s="499">
        <f>Assumptions!S6</f>
        <v>2014</v>
      </c>
      <c r="S4" s="499">
        <f>Assumptions!T6</f>
        <v>2015</v>
      </c>
      <c r="T4" s="499">
        <f>Assumptions!U6</f>
        <v>2016</v>
      </c>
      <c r="U4" s="499">
        <f>Assumptions!V6</f>
        <v>2017</v>
      </c>
      <c r="V4" s="499">
        <f>Assumptions!W6</f>
        <v>2018</v>
      </c>
      <c r="W4" s="499">
        <f>Assumptions!X6</f>
        <v>2019</v>
      </c>
      <c r="X4" s="499">
        <f>Assumptions!Y6</f>
        <v>2020</v>
      </c>
      <c r="Y4" s="15"/>
      <c r="Z4" s="172"/>
    </row>
    <row r="5" spans="1:26" x14ac:dyDescent="0.25">
      <c r="A5" s="383"/>
      <c r="B5" s="343"/>
      <c r="C5" s="170"/>
      <c r="D5" s="170"/>
      <c r="Y5" s="15"/>
      <c r="Z5" s="172"/>
    </row>
    <row r="6" spans="1:26" x14ac:dyDescent="0.25">
      <c r="A6" s="383"/>
      <c r="B6" s="343"/>
      <c r="C6" s="170"/>
      <c r="D6" s="170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"/>
      <c r="Z6" s="172"/>
    </row>
    <row r="7" spans="1:26" x14ac:dyDescent="0.25">
      <c r="A7" s="383"/>
      <c r="B7" s="33"/>
      <c r="C7" s="170" t="s">
        <v>0</v>
      </c>
      <c r="D7" s="182"/>
      <c r="E7" s="182">
        <f>Assumptions!F9</f>
        <v>10</v>
      </c>
      <c r="F7" s="182">
        <f>Assumptions!G9</f>
        <v>18</v>
      </c>
      <c r="G7" s="182">
        <f>Assumptions!H9</f>
        <v>26</v>
      </c>
      <c r="H7" s="182">
        <f>Assumptions!I9</f>
        <v>34</v>
      </c>
      <c r="I7" s="182">
        <f>Assumptions!J9</f>
        <v>42</v>
      </c>
      <c r="J7" s="182">
        <f>Assumptions!K9</f>
        <v>50</v>
      </c>
      <c r="K7" s="182">
        <f>Assumptions!L9</f>
        <v>58</v>
      </c>
      <c r="L7" s="182">
        <f>Assumptions!M9</f>
        <v>66</v>
      </c>
      <c r="M7" s="182">
        <f>Assumptions!N9</f>
        <v>74</v>
      </c>
      <c r="N7" s="182">
        <f>Assumptions!O9</f>
        <v>82</v>
      </c>
      <c r="O7" s="182">
        <f>Assumptions!P9</f>
        <v>90</v>
      </c>
      <c r="P7" s="182">
        <f>Assumptions!Q9</f>
        <v>98</v>
      </c>
      <c r="Q7" s="182">
        <f>Assumptions!R9</f>
        <v>106</v>
      </c>
      <c r="R7" s="182">
        <f>Assumptions!S9</f>
        <v>114</v>
      </c>
      <c r="S7" s="182">
        <f>Assumptions!T9</f>
        <v>122</v>
      </c>
      <c r="T7" s="182">
        <f>Assumptions!U9</f>
        <v>130</v>
      </c>
      <c r="U7" s="182">
        <f>Assumptions!V9</f>
        <v>138</v>
      </c>
      <c r="V7" s="182">
        <f>Assumptions!W9</f>
        <v>146</v>
      </c>
      <c r="W7" s="182">
        <f>Assumptions!X9</f>
        <v>154</v>
      </c>
      <c r="X7" s="182">
        <f>Assumptions!Y9</f>
        <v>162</v>
      </c>
      <c r="Y7" s="15"/>
      <c r="Z7" s="172"/>
    </row>
    <row r="8" spans="1:26" x14ac:dyDescent="0.25">
      <c r="A8" s="383"/>
      <c r="B8" s="33"/>
      <c r="C8" s="170" t="s">
        <v>3</v>
      </c>
      <c r="D8" s="182"/>
      <c r="E8" s="182">
        <f>Assumptions!F13</f>
        <v>15797070.385256346</v>
      </c>
      <c r="F8" s="182">
        <f>Assumptions!G13</f>
        <v>23838930.891089108</v>
      </c>
      <c r="G8" s="182">
        <f>Assumptions!H13</f>
        <v>30141380.099999998</v>
      </c>
      <c r="H8" s="182">
        <f>Assumptions!I13</f>
        <v>35426757.293199994</v>
      </c>
      <c r="I8" s="182">
        <f>Assumptions!J13</f>
        <v>39916021.005769998</v>
      </c>
      <c r="J8" s="182">
        <f>Assumptions!K13</f>
        <v>43801566.888440713</v>
      </c>
      <c r="K8" s="182">
        <f>Assumptions!L13</f>
        <v>46959927.181743674</v>
      </c>
      <c r="L8" s="182">
        <f>Assumptions!M13</f>
        <v>49769893.421778053</v>
      </c>
      <c r="M8" s="182">
        <f>Assumptions!N13</f>
        <v>52379508.853080474</v>
      </c>
      <c r="N8" s="182">
        <f>Assumptions!O13</f>
        <v>54776543.746989921</v>
      </c>
      <c r="O8" s="182">
        <f>Assumptions!P13</f>
        <v>57061274.603729241</v>
      </c>
      <c r="P8" s="182">
        <f>Assumptions!Q13</f>
        <v>59177734.188602462</v>
      </c>
      <c r="Q8" s="182">
        <f>Assumptions!R13</f>
        <v>61194677.127306886</v>
      </c>
      <c r="R8" s="182">
        <f>Assumptions!S13</f>
        <v>63136822.929017089</v>
      </c>
      <c r="S8" s="182">
        <f>Assumptions!T13</f>
        <v>64963909.676381312</v>
      </c>
      <c r="T8" s="182">
        <f>Assumptions!U13</f>
        <v>66709586.875025675</v>
      </c>
      <c r="U8" s="182">
        <f>Assumptions!V13</f>
        <v>68406702.294036478</v>
      </c>
      <c r="V8" s="182">
        <f>Assumptions!W13</f>
        <v>71544003.997388795</v>
      </c>
      <c r="W8" s="182">
        <f>Assumptions!X13</f>
        <v>74637638.043329671</v>
      </c>
      <c r="X8" s="182">
        <f>Assumptions!Y13</f>
        <v>77688908.68335408</v>
      </c>
      <c r="Y8" s="15"/>
      <c r="Z8" s="172"/>
    </row>
    <row r="9" spans="1:26" x14ac:dyDescent="0.25">
      <c r="A9" s="383"/>
      <c r="B9" s="33"/>
      <c r="C9" s="170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5"/>
      <c r="Z9" s="172"/>
    </row>
    <row r="10" spans="1:26" x14ac:dyDescent="0.25">
      <c r="A10" s="383"/>
      <c r="B10" s="33"/>
      <c r="C10" s="170" t="s">
        <v>19</v>
      </c>
      <c r="D10" s="182"/>
      <c r="E10" s="182">
        <f>Assumptions!F132</f>
        <v>3</v>
      </c>
      <c r="F10" s="182">
        <f>Assumptions!G132</f>
        <v>3</v>
      </c>
      <c r="G10" s="182">
        <f>Assumptions!H132</f>
        <v>3</v>
      </c>
      <c r="H10" s="182">
        <f>Assumptions!I132</f>
        <v>3</v>
      </c>
      <c r="I10" s="182">
        <f>Assumptions!J132</f>
        <v>3</v>
      </c>
      <c r="J10" s="182">
        <f>Assumptions!K132</f>
        <v>3</v>
      </c>
      <c r="K10" s="182">
        <f>Assumptions!L132</f>
        <v>3</v>
      </c>
      <c r="L10" s="182">
        <f>Assumptions!M132</f>
        <v>3</v>
      </c>
      <c r="M10" s="182">
        <f>Assumptions!N132</f>
        <v>3</v>
      </c>
      <c r="N10" s="182">
        <f>Assumptions!O132</f>
        <v>3</v>
      </c>
      <c r="O10" s="182">
        <f>Assumptions!P132</f>
        <v>3</v>
      </c>
      <c r="P10" s="182">
        <f>Assumptions!Q132</f>
        <v>3</v>
      </c>
      <c r="Q10" s="182">
        <f>Assumptions!R132</f>
        <v>3</v>
      </c>
      <c r="R10" s="182">
        <f>Assumptions!S132</f>
        <v>3</v>
      </c>
      <c r="S10" s="182">
        <f>Assumptions!T132</f>
        <v>3</v>
      </c>
      <c r="T10" s="182">
        <f>Assumptions!U132</f>
        <v>3</v>
      </c>
      <c r="U10" s="182">
        <f>Assumptions!V132</f>
        <v>3</v>
      </c>
      <c r="V10" s="182">
        <f>Assumptions!W132</f>
        <v>3</v>
      </c>
      <c r="W10" s="182">
        <f>Assumptions!X132</f>
        <v>3</v>
      </c>
      <c r="X10" s="182">
        <f>Assumptions!Y132</f>
        <v>3</v>
      </c>
      <c r="Y10" s="15"/>
      <c r="Z10" s="172"/>
    </row>
    <row r="11" spans="1:26" x14ac:dyDescent="0.25">
      <c r="A11" s="383"/>
      <c r="B11" s="33"/>
      <c r="C11" s="170" t="s">
        <v>12</v>
      </c>
      <c r="D11" s="182"/>
      <c r="E11" s="182">
        <f>Assumptions!F134</f>
        <v>3</v>
      </c>
      <c r="F11" s="182">
        <f>Assumptions!G134</f>
        <v>3</v>
      </c>
      <c r="G11" s="182">
        <f>Assumptions!H134</f>
        <v>3</v>
      </c>
      <c r="H11" s="182">
        <f>Assumptions!I134</f>
        <v>3</v>
      </c>
      <c r="I11" s="182">
        <f>Assumptions!J134</f>
        <v>3</v>
      </c>
      <c r="J11" s="182">
        <f>Assumptions!K134</f>
        <v>3</v>
      </c>
      <c r="K11" s="182">
        <f>Assumptions!L134</f>
        <v>3</v>
      </c>
      <c r="L11" s="182">
        <f>Assumptions!M134</f>
        <v>3</v>
      </c>
      <c r="M11" s="182">
        <f>Assumptions!N134</f>
        <v>3</v>
      </c>
      <c r="N11" s="182">
        <f>Assumptions!O134</f>
        <v>3</v>
      </c>
      <c r="O11" s="182">
        <f>Assumptions!P134</f>
        <v>3</v>
      </c>
      <c r="P11" s="182">
        <f>Assumptions!Q134</f>
        <v>3</v>
      </c>
      <c r="Q11" s="182">
        <f>Assumptions!R134</f>
        <v>3</v>
      </c>
      <c r="R11" s="182">
        <f>Assumptions!S134</f>
        <v>3</v>
      </c>
      <c r="S11" s="182">
        <f>Assumptions!T134</f>
        <v>3</v>
      </c>
      <c r="T11" s="182">
        <f>Assumptions!U134</f>
        <v>3</v>
      </c>
      <c r="U11" s="182">
        <f>Assumptions!V134</f>
        <v>3</v>
      </c>
      <c r="V11" s="182">
        <f>Assumptions!W134</f>
        <v>3</v>
      </c>
      <c r="W11" s="182">
        <f>Assumptions!X134</f>
        <v>3</v>
      </c>
      <c r="X11" s="182">
        <f>Assumptions!Y134</f>
        <v>3</v>
      </c>
      <c r="Y11" s="15"/>
      <c r="Z11" s="172"/>
    </row>
    <row r="12" spans="1:26" x14ac:dyDescent="0.25">
      <c r="A12" s="383"/>
      <c r="B12" s="33"/>
      <c r="C12" s="170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5"/>
      <c r="Z12" s="172"/>
    </row>
    <row r="13" spans="1:26" x14ac:dyDescent="0.25">
      <c r="A13" s="383"/>
      <c r="B13" s="33"/>
      <c r="C13" s="170" t="s">
        <v>28</v>
      </c>
      <c r="D13" s="182"/>
      <c r="E13" s="182">
        <f>Assumptions!F135</f>
        <v>40000</v>
      </c>
      <c r="F13" s="182">
        <f>Assumptions!G135</f>
        <v>35000</v>
      </c>
      <c r="G13" s="182">
        <f>Assumptions!H135</f>
        <v>30000</v>
      </c>
      <c r="H13" s="182">
        <f>Assumptions!I135</f>
        <v>25000</v>
      </c>
      <c r="I13" s="182">
        <f>Assumptions!J135</f>
        <v>20000</v>
      </c>
      <c r="J13" s="182">
        <f>Assumptions!K135</f>
        <v>18000</v>
      </c>
      <c r="K13" s="182">
        <f>Assumptions!L135</f>
        <v>15500</v>
      </c>
      <c r="L13" s="182">
        <f>Assumptions!M135</f>
        <v>15500</v>
      </c>
      <c r="M13" s="182">
        <f>Assumptions!N135</f>
        <v>15500</v>
      </c>
      <c r="N13" s="182">
        <f>Assumptions!O135</f>
        <v>15500</v>
      </c>
      <c r="O13" s="182">
        <f>Assumptions!P135</f>
        <v>15500</v>
      </c>
      <c r="P13" s="182">
        <f>Assumptions!Q135</f>
        <v>15500</v>
      </c>
      <c r="Q13" s="182">
        <f>Assumptions!R135</f>
        <v>15500</v>
      </c>
      <c r="R13" s="182">
        <f>Assumptions!S135</f>
        <v>15500</v>
      </c>
      <c r="S13" s="182">
        <f>Assumptions!T135</f>
        <v>15500</v>
      </c>
      <c r="T13" s="182">
        <f>Assumptions!U135</f>
        <v>15500</v>
      </c>
      <c r="U13" s="182">
        <f>Assumptions!V135</f>
        <v>15500</v>
      </c>
      <c r="V13" s="182">
        <f>Assumptions!W135</f>
        <v>15500</v>
      </c>
      <c r="W13" s="182">
        <f>Assumptions!X135</f>
        <v>15500</v>
      </c>
      <c r="X13" s="182">
        <f>Assumptions!Y135</f>
        <v>15500</v>
      </c>
      <c r="Y13" s="15"/>
      <c r="Z13" s="172"/>
    </row>
    <row r="14" spans="1:26" s="38" customFormat="1" ht="13.8" thickBot="1" x14ac:dyDescent="0.3">
      <c r="A14" s="500"/>
      <c r="B14" s="501"/>
      <c r="C14" s="502"/>
      <c r="D14" s="503"/>
      <c r="E14" s="503"/>
      <c r="F14" s="503"/>
      <c r="G14" s="503"/>
      <c r="H14" s="503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211"/>
      <c r="Z14" s="287"/>
    </row>
    <row r="15" spans="1:26" x14ac:dyDescent="0.25">
      <c r="A15" s="381"/>
      <c r="B15" s="382"/>
      <c r="C15" s="164"/>
      <c r="D15" s="504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165"/>
      <c r="Z15" s="167"/>
    </row>
    <row r="16" spans="1:26" x14ac:dyDescent="0.25">
      <c r="A16" s="383"/>
      <c r="B16" s="33"/>
      <c r="C16" s="180" t="s">
        <v>9</v>
      </c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5"/>
      <c r="Z16" s="172"/>
    </row>
    <row r="17" spans="1:26" x14ac:dyDescent="0.25">
      <c r="A17" s="383"/>
      <c r="B17" s="33"/>
      <c r="C17" s="170" t="s">
        <v>24</v>
      </c>
      <c r="D17" s="182"/>
      <c r="E17" s="182">
        <f>E11*E7</f>
        <v>30</v>
      </c>
      <c r="F17" s="182">
        <f t="shared" ref="F17:N17" si="0">F11*F7</f>
        <v>54</v>
      </c>
      <c r="G17" s="182">
        <f t="shared" si="0"/>
        <v>78</v>
      </c>
      <c r="H17" s="182">
        <f t="shared" si="0"/>
        <v>102</v>
      </c>
      <c r="I17" s="182">
        <f t="shared" si="0"/>
        <v>126</v>
      </c>
      <c r="J17" s="182">
        <f t="shared" si="0"/>
        <v>150</v>
      </c>
      <c r="K17" s="182">
        <f t="shared" si="0"/>
        <v>174</v>
      </c>
      <c r="L17" s="182">
        <f t="shared" si="0"/>
        <v>198</v>
      </c>
      <c r="M17" s="182">
        <f t="shared" si="0"/>
        <v>222</v>
      </c>
      <c r="N17" s="182">
        <f t="shared" si="0"/>
        <v>246</v>
      </c>
      <c r="O17" s="182">
        <f t="shared" ref="O17:X17" si="1">O11*O7</f>
        <v>270</v>
      </c>
      <c r="P17" s="182">
        <f t="shared" si="1"/>
        <v>294</v>
      </c>
      <c r="Q17" s="182">
        <f t="shared" si="1"/>
        <v>318</v>
      </c>
      <c r="R17" s="182">
        <f t="shared" si="1"/>
        <v>342</v>
      </c>
      <c r="S17" s="182">
        <f t="shared" si="1"/>
        <v>366</v>
      </c>
      <c r="T17" s="182">
        <f t="shared" si="1"/>
        <v>390</v>
      </c>
      <c r="U17" s="182">
        <f t="shared" si="1"/>
        <v>414</v>
      </c>
      <c r="V17" s="182">
        <f t="shared" si="1"/>
        <v>438</v>
      </c>
      <c r="W17" s="182">
        <f t="shared" si="1"/>
        <v>462</v>
      </c>
      <c r="X17" s="182">
        <f t="shared" si="1"/>
        <v>486</v>
      </c>
      <c r="Y17" s="15"/>
      <c r="Z17" s="172"/>
    </row>
    <row r="18" spans="1:26" ht="12.75" customHeight="1" x14ac:dyDescent="0.25">
      <c r="A18" s="383"/>
      <c r="B18" s="33"/>
      <c r="C18" s="15" t="s">
        <v>55</v>
      </c>
      <c r="D18" s="182"/>
      <c r="E18" s="182">
        <f>Assumptions!F28</f>
        <v>9679.8918346216069</v>
      </c>
      <c r="F18" s="182">
        <f>Assumptions!G28</f>
        <v>44842.917049465184</v>
      </c>
      <c r="G18" s="182">
        <f>Assumptions!H28</f>
        <v>162753.03567903742</v>
      </c>
      <c r="H18" s="182">
        <f>Assumptions!I28</f>
        <v>527157.45529150765</v>
      </c>
      <c r="I18" s="182">
        <f>Assumptions!J28</f>
        <v>1031810.3824692816</v>
      </c>
      <c r="J18" s="182">
        <f>Assumptions!K28</f>
        <v>1641073.8851990085</v>
      </c>
      <c r="K18" s="182">
        <f>Assumptions!L28</f>
        <v>2400998.0565802758</v>
      </c>
      <c r="L18" s="182">
        <f>Assumptions!M28</f>
        <v>3190622.9249297455</v>
      </c>
      <c r="M18" s="182">
        <f>Assumptions!N28</f>
        <v>4001011.861038697</v>
      </c>
      <c r="N18" s="182">
        <f>Assumptions!O28</f>
        <v>4831291.1584845111</v>
      </c>
      <c r="O18" s="182">
        <f>Assumptions!P28</f>
        <v>5364969.5117721474</v>
      </c>
      <c r="P18" s="182">
        <f>Assumptions!Q28</f>
        <v>5998221.9978256002</v>
      </c>
      <c r="Q18" s="182">
        <f>Assumptions!R28</f>
        <v>6602547.2276779683</v>
      </c>
      <c r="R18" s="182">
        <f>Assumptions!S28</f>
        <v>7247440.9611745151</v>
      </c>
      <c r="S18" s="182">
        <f>Assumptions!T28</f>
        <v>7842598.0657263361</v>
      </c>
      <c r="T18" s="182">
        <f>Assumptions!U28</f>
        <v>8375473.9944316531</v>
      </c>
      <c r="U18" s="182">
        <f>Assumptions!V28</f>
        <v>8932090.9672121629</v>
      </c>
      <c r="V18" s="182">
        <f>Assumptions!W28</f>
        <v>9715408.4563397542</v>
      </c>
      <c r="W18" s="182">
        <f>Assumptions!X28</f>
        <v>10540932.898125341</v>
      </c>
      <c r="X18" s="182">
        <f>Assumptions!Y28</f>
        <v>11410732.42162074</v>
      </c>
      <c r="Y18" s="15"/>
      <c r="Z18" s="172"/>
    </row>
    <row r="19" spans="1:26" x14ac:dyDescent="0.25">
      <c r="A19" s="383"/>
      <c r="B19" s="33"/>
      <c r="C19" s="170" t="s">
        <v>37</v>
      </c>
      <c r="D19" s="178"/>
      <c r="E19" s="178">
        <f t="shared" ref="E19:N19" si="2">E18/E17</f>
        <v>322.66306115405354</v>
      </c>
      <c r="F19" s="178">
        <f t="shared" si="2"/>
        <v>830.42438980491079</v>
      </c>
      <c r="G19" s="178">
        <f t="shared" si="2"/>
        <v>2086.5773805004796</v>
      </c>
      <c r="H19" s="178">
        <f t="shared" si="2"/>
        <v>5168.2103459951732</v>
      </c>
      <c r="I19" s="178">
        <f t="shared" si="2"/>
        <v>8188.9712894387421</v>
      </c>
      <c r="J19" s="178">
        <f t="shared" si="2"/>
        <v>10940.492567993389</v>
      </c>
      <c r="K19" s="178">
        <f t="shared" si="2"/>
        <v>13798.839405633769</v>
      </c>
      <c r="L19" s="178">
        <f t="shared" si="2"/>
        <v>16114.257196614877</v>
      </c>
      <c r="M19" s="178">
        <f t="shared" si="2"/>
        <v>18022.57595062476</v>
      </c>
      <c r="N19" s="178">
        <f t="shared" si="2"/>
        <v>19639.394953189068</v>
      </c>
      <c r="O19" s="178">
        <f t="shared" ref="O19:X19" si="3">O18/O17</f>
        <v>19870.257451007954</v>
      </c>
      <c r="P19" s="178">
        <f t="shared" si="3"/>
        <v>20402.115638862586</v>
      </c>
      <c r="Q19" s="178">
        <f t="shared" si="3"/>
        <v>20762.727131062795</v>
      </c>
      <c r="R19" s="178">
        <f t="shared" si="3"/>
        <v>21191.347839691563</v>
      </c>
      <c r="S19" s="178">
        <f t="shared" si="3"/>
        <v>21427.863567558295</v>
      </c>
      <c r="T19" s="178">
        <f t="shared" si="3"/>
        <v>21475.574344696546</v>
      </c>
      <c r="U19" s="178">
        <f t="shared" si="3"/>
        <v>21575.098954618752</v>
      </c>
      <c r="V19" s="178">
        <f t="shared" si="3"/>
        <v>22181.297845524554</v>
      </c>
      <c r="W19" s="178">
        <f t="shared" si="3"/>
        <v>22815.872073864375</v>
      </c>
      <c r="X19" s="178">
        <f t="shared" si="3"/>
        <v>23478.873295515925</v>
      </c>
      <c r="Y19" s="15"/>
      <c r="Z19" s="172"/>
    </row>
    <row r="20" spans="1:26" x14ac:dyDescent="0.25">
      <c r="A20" s="383"/>
      <c r="B20" s="33"/>
      <c r="C20" s="170" t="str">
        <f>Assumptions!D39</f>
        <v>Max  % of  users at peak</v>
      </c>
      <c r="D20" s="170"/>
      <c r="E20" s="438">
        <f>Assumptions!F39</f>
        <v>0.5</v>
      </c>
      <c r="F20" s="438">
        <f>Assumptions!G39</f>
        <v>0.25</v>
      </c>
      <c r="G20" s="438">
        <f>Assumptions!H39</f>
        <v>0.1</v>
      </c>
      <c r="H20" s="438">
        <f>Assumptions!I39</f>
        <v>0.1</v>
      </c>
      <c r="I20" s="438">
        <f>Assumptions!J39</f>
        <v>0.1</v>
      </c>
      <c r="J20" s="438">
        <f>Assumptions!K39</f>
        <v>0.1</v>
      </c>
      <c r="K20" s="438">
        <f>Assumptions!L39</f>
        <v>0.1</v>
      </c>
      <c r="L20" s="438">
        <f>Assumptions!M39</f>
        <v>0.1</v>
      </c>
      <c r="M20" s="438">
        <f>Assumptions!N39</f>
        <v>0.1</v>
      </c>
      <c r="N20" s="438">
        <f>Assumptions!O39</f>
        <v>0.1</v>
      </c>
      <c r="O20" s="438">
        <f>Assumptions!P39</f>
        <v>0.1</v>
      </c>
      <c r="P20" s="438">
        <f>Assumptions!Q39</f>
        <v>0.1</v>
      </c>
      <c r="Q20" s="438">
        <f>Assumptions!R39</f>
        <v>0.1</v>
      </c>
      <c r="R20" s="438">
        <f>Assumptions!S39</f>
        <v>0.1</v>
      </c>
      <c r="S20" s="438">
        <f>Assumptions!T39</f>
        <v>0.1</v>
      </c>
      <c r="T20" s="438">
        <f>Assumptions!U39</f>
        <v>0.1</v>
      </c>
      <c r="U20" s="438">
        <f>Assumptions!V39</f>
        <v>0.1</v>
      </c>
      <c r="V20" s="438">
        <f>Assumptions!W39</f>
        <v>0.1</v>
      </c>
      <c r="W20" s="438">
        <f>Assumptions!X39</f>
        <v>0.1</v>
      </c>
      <c r="X20" s="438">
        <f>Assumptions!Y39</f>
        <v>0.1</v>
      </c>
      <c r="Y20" s="15"/>
      <c r="Z20" s="172"/>
    </row>
    <row r="21" spans="1:26" x14ac:dyDescent="0.25">
      <c r="A21" s="383"/>
      <c r="B21" s="33"/>
      <c r="C21" s="170" t="s">
        <v>38</v>
      </c>
      <c r="D21" s="178"/>
      <c r="E21" s="178">
        <f>E20*E19</f>
        <v>161.33153057702677</v>
      </c>
      <c r="F21" s="178">
        <f t="shared" ref="F21:N21" si="4">F20*F19</f>
        <v>207.6060974512277</v>
      </c>
      <c r="G21" s="178">
        <f t="shared" si="4"/>
        <v>208.65773805004798</v>
      </c>
      <c r="H21" s="178">
        <f t="shared" si="4"/>
        <v>516.82103459951736</v>
      </c>
      <c r="I21" s="178">
        <f t="shared" si="4"/>
        <v>818.89712894387424</v>
      </c>
      <c r="J21" s="178">
        <f t="shared" si="4"/>
        <v>1094.049256799339</v>
      </c>
      <c r="K21" s="178">
        <f t="shared" si="4"/>
        <v>1379.8839405633771</v>
      </c>
      <c r="L21" s="178">
        <f t="shared" si="4"/>
        <v>1611.4257196614878</v>
      </c>
      <c r="M21" s="178">
        <f t="shared" si="4"/>
        <v>1802.257595062476</v>
      </c>
      <c r="N21" s="178">
        <f t="shared" si="4"/>
        <v>1963.9394953189069</v>
      </c>
      <c r="O21" s="178">
        <f t="shared" ref="O21:X21" si="5">O20*O19</f>
        <v>1987.0257451007956</v>
      </c>
      <c r="P21" s="178">
        <f t="shared" si="5"/>
        <v>2040.2115638862588</v>
      </c>
      <c r="Q21" s="178">
        <f t="shared" si="5"/>
        <v>2076.2727131062798</v>
      </c>
      <c r="R21" s="178">
        <f t="shared" si="5"/>
        <v>2119.1347839691566</v>
      </c>
      <c r="S21" s="178">
        <f t="shared" si="5"/>
        <v>2142.7863567558297</v>
      </c>
      <c r="T21" s="178">
        <f t="shared" si="5"/>
        <v>2147.5574344696547</v>
      </c>
      <c r="U21" s="178">
        <f t="shared" si="5"/>
        <v>2157.5098954618752</v>
      </c>
      <c r="V21" s="178">
        <f t="shared" si="5"/>
        <v>2218.1297845524555</v>
      </c>
      <c r="W21" s="178">
        <f t="shared" si="5"/>
        <v>2281.5872073864375</v>
      </c>
      <c r="X21" s="178">
        <f t="shared" si="5"/>
        <v>2347.8873295515928</v>
      </c>
      <c r="Y21" s="15"/>
      <c r="Z21" s="172"/>
    </row>
    <row r="22" spans="1:26" x14ac:dyDescent="0.25">
      <c r="A22" s="383"/>
      <c r="B22" s="33"/>
      <c r="C22" s="170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5"/>
      <c r="Z22" s="172"/>
    </row>
    <row r="23" spans="1:26" x14ac:dyDescent="0.25">
      <c r="A23" s="383"/>
      <c r="B23" s="33"/>
      <c r="C23" s="180" t="s">
        <v>25</v>
      </c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5"/>
      <c r="Z23" s="172"/>
    </row>
    <row r="24" spans="1:26" x14ac:dyDescent="0.25">
      <c r="A24" s="383"/>
      <c r="B24" s="33"/>
      <c r="C24" s="170" t="s">
        <v>26</v>
      </c>
      <c r="D24" s="182"/>
      <c r="E24" s="182">
        <f>E8/E13</f>
        <v>394.92675963140869</v>
      </c>
      <c r="F24" s="182">
        <f t="shared" ref="F24:N24" si="6">F8/F13</f>
        <v>681.11231117397449</v>
      </c>
      <c r="G24" s="182">
        <f t="shared" si="6"/>
        <v>1004.7126699999999</v>
      </c>
      <c r="H24" s="182">
        <f t="shared" si="6"/>
        <v>1417.0702917279998</v>
      </c>
      <c r="I24" s="182">
        <f t="shared" si="6"/>
        <v>1995.8010502884999</v>
      </c>
      <c r="J24" s="182">
        <f t="shared" si="6"/>
        <v>2433.4203826911507</v>
      </c>
      <c r="K24" s="182">
        <f t="shared" si="6"/>
        <v>3029.6727214028178</v>
      </c>
      <c r="L24" s="182">
        <f t="shared" si="6"/>
        <v>3210.9608659211649</v>
      </c>
      <c r="M24" s="182">
        <f t="shared" si="6"/>
        <v>3379.3231518116436</v>
      </c>
      <c r="N24" s="182">
        <f t="shared" si="6"/>
        <v>3533.9705643219304</v>
      </c>
      <c r="O24" s="182">
        <f t="shared" ref="O24:X24" si="7">O8/O13</f>
        <v>3681.372555079306</v>
      </c>
      <c r="P24" s="182">
        <f t="shared" si="7"/>
        <v>3817.9183347485459</v>
      </c>
      <c r="Q24" s="182">
        <f t="shared" si="7"/>
        <v>3948.0436856327024</v>
      </c>
      <c r="R24" s="182">
        <f t="shared" si="7"/>
        <v>4073.343414775296</v>
      </c>
      <c r="S24" s="182">
        <f t="shared" si="7"/>
        <v>4191.2199791213752</v>
      </c>
      <c r="T24" s="182">
        <f t="shared" si="7"/>
        <v>4303.8443145177853</v>
      </c>
      <c r="U24" s="182">
        <f t="shared" si="7"/>
        <v>4413.3356318733213</v>
      </c>
      <c r="V24" s="182">
        <f t="shared" si="7"/>
        <v>4615.7421933799224</v>
      </c>
      <c r="W24" s="182">
        <f t="shared" si="7"/>
        <v>4815.3314866664305</v>
      </c>
      <c r="X24" s="182">
        <f t="shared" si="7"/>
        <v>5012.1876569905862</v>
      </c>
      <c r="Y24" s="15"/>
      <c r="Z24" s="172"/>
    </row>
    <row r="25" spans="1:26" x14ac:dyDescent="0.25">
      <c r="A25" s="383"/>
      <c r="B25" s="33"/>
      <c r="C25" s="170" t="s">
        <v>49</v>
      </c>
      <c r="D25" s="182"/>
      <c r="E25" s="182">
        <f t="shared" ref="E25:N25" si="8">E24/E17</f>
        <v>13.164225321046956</v>
      </c>
      <c r="F25" s="182">
        <f t="shared" si="8"/>
        <v>12.613190947666194</v>
      </c>
      <c r="G25" s="182">
        <f t="shared" si="8"/>
        <v>12.880931666666665</v>
      </c>
      <c r="H25" s="182">
        <f t="shared" si="8"/>
        <v>13.892845997333332</v>
      </c>
      <c r="I25" s="182">
        <f t="shared" si="8"/>
        <v>15.839690875305555</v>
      </c>
      <c r="J25" s="182">
        <f t="shared" si="8"/>
        <v>16.222802551274338</v>
      </c>
      <c r="K25" s="182">
        <f t="shared" si="8"/>
        <v>17.411912191970217</v>
      </c>
      <c r="L25" s="182">
        <f t="shared" si="8"/>
        <v>16.216974070308915</v>
      </c>
      <c r="M25" s="182">
        <f t="shared" si="8"/>
        <v>15.222176359511908</v>
      </c>
      <c r="N25" s="182">
        <f t="shared" si="8"/>
        <v>14.36573400130866</v>
      </c>
      <c r="O25" s="182">
        <f t="shared" ref="O25:X25" si="9">O24/O17</f>
        <v>13.634713166960394</v>
      </c>
      <c r="P25" s="182">
        <f t="shared" si="9"/>
        <v>12.986116784859</v>
      </c>
      <c r="Q25" s="182">
        <f t="shared" si="9"/>
        <v>12.415231715826108</v>
      </c>
      <c r="R25" s="182">
        <f t="shared" si="9"/>
        <v>11.91036086191607</v>
      </c>
      <c r="S25" s="182">
        <f t="shared" si="9"/>
        <v>11.451420707981899</v>
      </c>
      <c r="T25" s="182">
        <f t="shared" si="9"/>
        <v>11.035498242353295</v>
      </c>
      <c r="U25" s="182">
        <f t="shared" si="9"/>
        <v>10.660230994863095</v>
      </c>
      <c r="V25" s="182">
        <f t="shared" si="9"/>
        <v>10.53822418579891</v>
      </c>
      <c r="W25" s="182">
        <f t="shared" si="9"/>
        <v>10.422795425684914</v>
      </c>
      <c r="X25" s="182">
        <f t="shared" si="9"/>
        <v>10.313143327141123</v>
      </c>
      <c r="Y25" s="15"/>
      <c r="Z25" s="172"/>
    </row>
    <row r="26" spans="1:26" x14ac:dyDescent="0.25">
      <c r="A26" s="383"/>
      <c r="B26" s="33"/>
      <c r="C26" s="170" t="s">
        <v>27</v>
      </c>
      <c r="D26" s="182"/>
      <c r="E26" s="182">
        <f t="shared" ref="E26:N26" si="10">E24/E7</f>
        <v>39.492675963140869</v>
      </c>
      <c r="F26" s="182">
        <f t="shared" si="10"/>
        <v>37.839572842998585</v>
      </c>
      <c r="G26" s="182">
        <f t="shared" si="10"/>
        <v>38.642794999999992</v>
      </c>
      <c r="H26" s="182">
        <f t="shared" si="10"/>
        <v>41.678537991999995</v>
      </c>
      <c r="I26" s="182">
        <f t="shared" si="10"/>
        <v>47.519072625916664</v>
      </c>
      <c r="J26" s="182">
        <f t="shared" si="10"/>
        <v>48.668407653823017</v>
      </c>
      <c r="K26" s="182">
        <f t="shared" si="10"/>
        <v>52.23573657591065</v>
      </c>
      <c r="L26" s="182">
        <f t="shared" si="10"/>
        <v>48.650922210926744</v>
      </c>
      <c r="M26" s="182">
        <f t="shared" si="10"/>
        <v>45.666529078535724</v>
      </c>
      <c r="N26" s="182">
        <f t="shared" si="10"/>
        <v>43.097202003925979</v>
      </c>
      <c r="O26" s="182">
        <f t="shared" ref="O26:X26" si="11">O24/O7</f>
        <v>40.904139500881179</v>
      </c>
      <c r="P26" s="182">
        <f t="shared" si="11"/>
        <v>38.958350354577</v>
      </c>
      <c r="Q26" s="182">
        <f t="shared" si="11"/>
        <v>37.245695147478322</v>
      </c>
      <c r="R26" s="182">
        <f t="shared" si="11"/>
        <v>35.731082585748211</v>
      </c>
      <c r="S26" s="182">
        <f t="shared" si="11"/>
        <v>34.354262123945702</v>
      </c>
      <c r="T26" s="182">
        <f t="shared" si="11"/>
        <v>33.106494727059889</v>
      </c>
      <c r="U26" s="182">
        <f t="shared" si="11"/>
        <v>31.980692984589286</v>
      </c>
      <c r="V26" s="182">
        <f t="shared" si="11"/>
        <v>31.61467255739673</v>
      </c>
      <c r="W26" s="182">
        <f t="shared" si="11"/>
        <v>31.268386277054745</v>
      </c>
      <c r="X26" s="182">
        <f t="shared" si="11"/>
        <v>30.939429981423373</v>
      </c>
      <c r="Y26" s="15"/>
      <c r="Z26" s="172"/>
    </row>
    <row r="27" spans="1:26" x14ac:dyDescent="0.25">
      <c r="A27" s="383"/>
      <c r="B27" s="33"/>
      <c r="C27" s="15" t="s">
        <v>55</v>
      </c>
      <c r="D27" s="182"/>
      <c r="E27" s="182">
        <f>E18</f>
        <v>9679.8918346216069</v>
      </c>
      <c r="F27" s="182">
        <f t="shared" ref="F27:N27" si="12">F18</f>
        <v>44842.917049465184</v>
      </c>
      <c r="G27" s="182">
        <f t="shared" si="12"/>
        <v>162753.03567903742</v>
      </c>
      <c r="H27" s="182">
        <f t="shared" si="12"/>
        <v>527157.45529150765</v>
      </c>
      <c r="I27" s="182">
        <f t="shared" si="12"/>
        <v>1031810.3824692816</v>
      </c>
      <c r="J27" s="182">
        <f t="shared" si="12"/>
        <v>1641073.8851990085</v>
      </c>
      <c r="K27" s="182">
        <f t="shared" si="12"/>
        <v>2400998.0565802758</v>
      </c>
      <c r="L27" s="182">
        <f t="shared" si="12"/>
        <v>3190622.9249297455</v>
      </c>
      <c r="M27" s="182">
        <f t="shared" si="12"/>
        <v>4001011.861038697</v>
      </c>
      <c r="N27" s="182">
        <f t="shared" si="12"/>
        <v>4831291.1584845111</v>
      </c>
      <c r="O27" s="182">
        <f t="shared" ref="O27:X27" si="13">O18</f>
        <v>5364969.5117721474</v>
      </c>
      <c r="P27" s="182">
        <f t="shared" si="13"/>
        <v>5998221.9978256002</v>
      </c>
      <c r="Q27" s="182">
        <f t="shared" si="13"/>
        <v>6602547.2276779683</v>
      </c>
      <c r="R27" s="182">
        <f t="shared" si="13"/>
        <v>7247440.9611745151</v>
      </c>
      <c r="S27" s="182">
        <f t="shared" si="13"/>
        <v>7842598.0657263361</v>
      </c>
      <c r="T27" s="182">
        <f t="shared" si="13"/>
        <v>8375473.9944316531</v>
      </c>
      <c r="U27" s="182">
        <f t="shared" si="13"/>
        <v>8932090.9672121629</v>
      </c>
      <c r="V27" s="182">
        <f t="shared" si="13"/>
        <v>9715408.4563397542</v>
      </c>
      <c r="W27" s="182">
        <f t="shared" si="13"/>
        <v>10540932.898125341</v>
      </c>
      <c r="X27" s="182">
        <f t="shared" si="13"/>
        <v>11410732.42162074</v>
      </c>
      <c r="Y27" s="15"/>
      <c r="Z27" s="172"/>
    </row>
    <row r="28" spans="1:26" x14ac:dyDescent="0.25">
      <c r="A28" s="383"/>
      <c r="B28" s="33"/>
      <c r="C28" s="170" t="s">
        <v>39</v>
      </c>
      <c r="D28" s="178"/>
      <c r="E28" s="178">
        <f>E27/E24</f>
        <v>24.510600000000004</v>
      </c>
      <c r="F28" s="178">
        <f>F27/F24</f>
        <v>65.837772000000001</v>
      </c>
      <c r="G28" s="178">
        <f>G27/G24</f>
        <v>161.989632</v>
      </c>
      <c r="H28" s="178">
        <f>H27/H24</f>
        <v>372.00515625000003</v>
      </c>
      <c r="I28" s="178">
        <f t="shared" ref="I28:N28" si="14">I27/I24</f>
        <v>516.99059999999986</v>
      </c>
      <c r="J28" s="178">
        <f t="shared" si="14"/>
        <v>674.38979999999992</v>
      </c>
      <c r="K28" s="178">
        <f t="shared" si="14"/>
        <v>792.49419899999987</v>
      </c>
      <c r="L28" s="178">
        <f t="shared" si="14"/>
        <v>993.66608880000013</v>
      </c>
      <c r="M28" s="178">
        <f t="shared" si="14"/>
        <v>1183.9684106249999</v>
      </c>
      <c r="N28" s="178">
        <f t="shared" si="14"/>
        <v>1367.1</v>
      </c>
      <c r="O28" s="178">
        <f t="shared" ref="O28:X28" si="15">O27/O24</f>
        <v>1457.3285999999998</v>
      </c>
      <c r="P28" s="178">
        <f t="shared" si="15"/>
        <v>1571.07132</v>
      </c>
      <c r="Q28" s="178">
        <f t="shared" si="15"/>
        <v>1672.35921216</v>
      </c>
      <c r="R28" s="178">
        <f t="shared" si="15"/>
        <v>1779.2364215808002</v>
      </c>
      <c r="S28" s="178">
        <f t="shared" si="15"/>
        <v>1871.1969557299201</v>
      </c>
      <c r="T28" s="178">
        <f t="shared" si="15"/>
        <v>1946.0448339591169</v>
      </c>
      <c r="U28" s="178">
        <f t="shared" si="15"/>
        <v>2023.8866273174817</v>
      </c>
      <c r="V28" s="178">
        <f t="shared" si="15"/>
        <v>2104.8420924101811</v>
      </c>
      <c r="W28" s="178">
        <f t="shared" si="15"/>
        <v>2189.0357761065884</v>
      </c>
      <c r="X28" s="178">
        <f t="shared" si="15"/>
        <v>2276.5972071508518</v>
      </c>
      <c r="Y28" s="15"/>
      <c r="Z28" s="172"/>
    </row>
    <row r="29" spans="1:26" ht="13.8" thickBot="1" x14ac:dyDescent="0.3">
      <c r="A29" s="386"/>
      <c r="B29" s="34"/>
      <c r="C29" s="223"/>
      <c r="D29" s="18"/>
      <c r="E29" s="30">
        <f>E28/E13</f>
        <v>6.1276500000000014E-4</v>
      </c>
      <c r="F29" s="505">
        <f>F28/F13</f>
        <v>1.8810792E-3</v>
      </c>
      <c r="G29" s="505">
        <f>G28/G13</f>
        <v>5.3996544000000004E-3</v>
      </c>
      <c r="H29" s="505">
        <f>H28/H13</f>
        <v>1.4880206250000002E-2</v>
      </c>
      <c r="I29" s="505">
        <f t="shared" ref="I29:X29" si="16">I28/I13</f>
        <v>2.5849529999999992E-2</v>
      </c>
      <c r="J29" s="505">
        <f t="shared" si="16"/>
        <v>3.7466099999999995E-2</v>
      </c>
      <c r="K29" s="505">
        <f t="shared" si="16"/>
        <v>5.1128657999999993E-2</v>
      </c>
      <c r="L29" s="505">
        <f t="shared" si="16"/>
        <v>6.4107489600000012E-2</v>
      </c>
      <c r="M29" s="505">
        <f t="shared" si="16"/>
        <v>7.6385058749999998E-2</v>
      </c>
      <c r="N29" s="505">
        <f t="shared" si="16"/>
        <v>8.8200000000000001E-2</v>
      </c>
      <c r="O29" s="505">
        <f t="shared" si="16"/>
        <v>9.4021199999999985E-2</v>
      </c>
      <c r="P29" s="505">
        <f t="shared" si="16"/>
        <v>0.10135944</v>
      </c>
      <c r="Q29" s="505">
        <f t="shared" si="16"/>
        <v>0.10789414272</v>
      </c>
      <c r="R29" s="505">
        <f t="shared" si="16"/>
        <v>0.11478944655360002</v>
      </c>
      <c r="S29" s="505">
        <f t="shared" si="16"/>
        <v>0.12072238424064001</v>
      </c>
      <c r="T29" s="505">
        <f t="shared" si="16"/>
        <v>0.1255512796102656</v>
      </c>
      <c r="U29" s="505">
        <f t="shared" si="16"/>
        <v>0.13057333079467623</v>
      </c>
      <c r="V29" s="505">
        <f t="shared" si="16"/>
        <v>0.1357962640264633</v>
      </c>
      <c r="W29" s="505">
        <f t="shared" si="16"/>
        <v>0.14122811458752182</v>
      </c>
      <c r="X29" s="505">
        <f t="shared" si="16"/>
        <v>0.14687723917102269</v>
      </c>
      <c r="Y29" s="18"/>
      <c r="Z29" s="212"/>
    </row>
    <row r="31" spans="1:26" x14ac:dyDescent="0.25">
      <c r="F31" s="443"/>
      <c r="G31" s="443"/>
      <c r="H31" s="443"/>
      <c r="I31" s="443"/>
    </row>
    <row r="32" spans="1:26" x14ac:dyDescent="0.25">
      <c r="C32" s="160"/>
      <c r="F32" s="443"/>
      <c r="G32" s="443"/>
      <c r="H32" s="443"/>
      <c r="I32" s="443"/>
    </row>
    <row r="33" spans="3:9" x14ac:dyDescent="0.25">
      <c r="C33" s="160"/>
    </row>
    <row r="34" spans="3:9" x14ac:dyDescent="0.25">
      <c r="C34" s="160"/>
      <c r="F34" s="443"/>
      <c r="G34" s="443"/>
      <c r="H34" s="443"/>
      <c r="I34" s="443"/>
    </row>
    <row r="35" spans="3:9" x14ac:dyDescent="0.25">
      <c r="F35" s="443"/>
      <c r="G35" s="443"/>
      <c r="H35" s="443"/>
      <c r="I35" s="443"/>
    </row>
    <row r="43" spans="3:9" x14ac:dyDescent="0.25">
      <c r="C43" s="160"/>
    </row>
    <row r="44" spans="3:9" x14ac:dyDescent="0.25">
      <c r="C44" s="160"/>
    </row>
    <row r="45" spans="3:9" x14ac:dyDescent="0.25">
      <c r="C45" s="160"/>
    </row>
    <row r="46" spans="3:9" x14ac:dyDescent="0.25">
      <c r="C46" s="160"/>
    </row>
    <row r="47" spans="3:9" x14ac:dyDescent="0.25">
      <c r="C47" s="160"/>
    </row>
    <row r="48" spans="3:9" x14ac:dyDescent="0.25">
      <c r="C48" s="160"/>
    </row>
    <row r="49" spans="3:3" x14ac:dyDescent="0.25">
      <c r="C49" s="506"/>
    </row>
    <row r="76" spans="3:3" x14ac:dyDescent="0.25">
      <c r="C76" s="160"/>
    </row>
    <row r="77" spans="3:3" x14ac:dyDescent="0.25">
      <c r="C77" s="160"/>
    </row>
    <row r="79" spans="3:3" x14ac:dyDescent="0.25">
      <c r="C79" s="160"/>
    </row>
    <row r="80" spans="3:3" x14ac:dyDescent="0.25">
      <c r="C80" s="160"/>
    </row>
    <row r="81" spans="3:3" x14ac:dyDescent="0.25">
      <c r="C81" s="160"/>
    </row>
    <row r="82" spans="3:3" x14ac:dyDescent="0.25">
      <c r="C82" s="160"/>
    </row>
    <row r="83" spans="3:3" x14ac:dyDescent="0.25">
      <c r="C83" s="160"/>
    </row>
    <row r="84" spans="3:3" x14ac:dyDescent="0.25">
      <c r="C84" s="160"/>
    </row>
    <row r="85" spans="3:3" x14ac:dyDescent="0.25">
      <c r="C85" s="160"/>
    </row>
    <row r="88" spans="3:3" x14ac:dyDescent="0.25">
      <c r="C88" s="160"/>
    </row>
  </sheetData>
  <customSheetViews>
    <customSheetView guid="{00A591F2-C6CE-11D4-B3FE-00409628F381}" scale="75" showPageBreaks="1" fitToPage="1" showRuler="0">
      <pane xSplit="3" ySplit="5" topLeftCell="D6" activePane="bottomRight" state="frozen"/>
      <selection pane="bottomRight" activeCell="E28" sqref="E28"/>
      <pageMargins left="0.75" right="0.75" top="1" bottom="1" header="0.5" footer="0.5"/>
      <pageSetup paperSize="5" scale="55" orientation="landscape" r:id="rId1"/>
      <headerFooter alignWithMargins="0"/>
    </customSheetView>
    <customSheetView guid="{39AEF1F3-C6CC-11D4-B3CC-0080C71F7D28}" scale="75" fitToPage="1" showRuler="0">
      <pane xSplit="3" ySplit="5" topLeftCell="D6" activePane="bottomRight" state="frozen"/>
      <selection pane="bottomRight" activeCell="E28" sqref="E28"/>
      <pageMargins left="0.75" right="0.75" top="1" bottom="1" header="0.5" footer="0.5"/>
      <pageSetup paperSize="5" scale="55" orientation="landscape" r:id="rId2"/>
      <headerFooter alignWithMargins="0"/>
    </customSheetView>
  </customSheetViews>
  <pageMargins left="0.75" right="0.75" top="1" bottom="1" header="0.5" footer="0.5"/>
  <pageSetup paperSize="5" scale="55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96"/>
  <sheetViews>
    <sheetView tabSelected="1" zoomScale="75" zoomScaleNormal="75" workbookViewId="0">
      <pane xSplit="3" ySplit="5" topLeftCell="D31" activePane="bottomRight" state="frozen"/>
      <selection pane="topRight" activeCell="D1" sqref="D1"/>
      <selection pane="bottomLeft" activeCell="A6" sqref="A6"/>
      <selection pane="bottomRight" activeCell="E40" sqref="E40"/>
    </sheetView>
  </sheetViews>
  <sheetFormatPr defaultColWidth="9.109375" defaultRowHeight="13.2" x14ac:dyDescent="0.25"/>
  <cols>
    <col min="1" max="2" width="2.6640625" style="13" customWidth="1"/>
    <col min="3" max="3" width="64.33203125" style="13" bestFit="1" customWidth="1"/>
    <col min="4" max="4" width="3" style="13" customWidth="1"/>
    <col min="5" max="25" width="10.6640625" style="13" customWidth="1"/>
    <col min="26" max="26" width="9.109375" style="13"/>
    <col min="27" max="27" width="33.33203125" style="13" customWidth="1"/>
    <col min="28" max="34" width="9.109375" style="13"/>
    <col min="35" max="35" width="13" style="13" customWidth="1"/>
    <col min="36" max="16384" width="9.109375" style="13"/>
  </cols>
  <sheetData>
    <row r="1" spans="1:27" ht="16.5" customHeight="1" x14ac:dyDescent="0.3">
      <c r="A1" s="5" t="s">
        <v>116</v>
      </c>
      <c r="B1" s="6"/>
      <c r="C1" s="143"/>
      <c r="D1" s="428"/>
      <c r="E1" s="428"/>
      <c r="F1" s="428"/>
      <c r="G1" s="428"/>
    </row>
    <row r="2" spans="1:27" ht="12.75" customHeight="1" thickBot="1" x14ac:dyDescent="0.3">
      <c r="C2" s="160"/>
      <c r="D2" s="160"/>
      <c r="E2" s="160"/>
      <c r="F2" s="160"/>
      <c r="G2" s="160"/>
    </row>
    <row r="3" spans="1:27" ht="12.75" customHeight="1" x14ac:dyDescent="0.25">
      <c r="A3" s="213"/>
      <c r="B3" s="165"/>
      <c r="C3" s="164"/>
      <c r="D3" s="164"/>
      <c r="E3" s="164"/>
      <c r="F3" s="164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</row>
    <row r="4" spans="1:27" ht="12.75" customHeight="1" x14ac:dyDescent="0.25">
      <c r="A4" s="14"/>
      <c r="B4" s="343"/>
      <c r="C4" s="170"/>
      <c r="D4" s="170"/>
      <c r="E4" s="37">
        <f>Assumptions!F6</f>
        <v>2001</v>
      </c>
      <c r="F4" s="37">
        <f>Assumptions!G6</f>
        <v>2002</v>
      </c>
      <c r="G4" s="37">
        <f>Assumptions!H6</f>
        <v>2003</v>
      </c>
      <c r="H4" s="37">
        <f>Assumptions!I6</f>
        <v>2004</v>
      </c>
      <c r="I4" s="37">
        <f>Assumptions!J6</f>
        <v>2005</v>
      </c>
      <c r="J4" s="37">
        <f>Assumptions!K6</f>
        <v>2006</v>
      </c>
      <c r="K4" s="37">
        <f>Assumptions!L6</f>
        <v>2007</v>
      </c>
      <c r="L4" s="37">
        <f>Assumptions!M6</f>
        <v>2008</v>
      </c>
      <c r="M4" s="37">
        <f>Assumptions!N6</f>
        <v>2009</v>
      </c>
      <c r="N4" s="37">
        <f>Assumptions!O6</f>
        <v>2010</v>
      </c>
      <c r="O4" s="37">
        <f>Assumptions!P6</f>
        <v>2011</v>
      </c>
      <c r="P4" s="37">
        <f>Assumptions!Q6</f>
        <v>2012</v>
      </c>
      <c r="Q4" s="37">
        <f>Assumptions!R6</f>
        <v>2013</v>
      </c>
      <c r="R4" s="37">
        <f>Assumptions!S6</f>
        <v>2014</v>
      </c>
      <c r="S4" s="37">
        <f>Assumptions!T6</f>
        <v>2015</v>
      </c>
      <c r="T4" s="37">
        <f>Assumptions!U6</f>
        <v>2016</v>
      </c>
      <c r="U4" s="37">
        <f>Assumptions!V6</f>
        <v>2017</v>
      </c>
      <c r="V4" s="37">
        <f>Assumptions!W6</f>
        <v>2018</v>
      </c>
      <c r="W4" s="37">
        <f>Assumptions!X6</f>
        <v>2019</v>
      </c>
      <c r="X4" s="37">
        <f>Assumptions!Y6</f>
        <v>2020</v>
      </c>
      <c r="Y4" s="17"/>
      <c r="Z4" s="15"/>
      <c r="AA4" s="172"/>
    </row>
    <row r="5" spans="1:27" ht="12.75" customHeight="1" x14ac:dyDescent="0.25">
      <c r="A5" s="14"/>
      <c r="B5" s="343"/>
      <c r="C5" s="170"/>
      <c r="D5" s="170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5"/>
      <c r="AA5" s="172"/>
    </row>
    <row r="6" spans="1:27" ht="15" customHeight="1" x14ac:dyDescent="0.25">
      <c r="A6" s="14"/>
      <c r="B6" s="15" t="s">
        <v>379</v>
      </c>
      <c r="C6" s="170"/>
      <c r="D6" s="17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5"/>
      <c r="AA6" s="172"/>
    </row>
    <row r="7" spans="1:27" ht="12.75" customHeight="1" x14ac:dyDescent="0.25">
      <c r="A7" s="14"/>
      <c r="B7" s="343"/>
      <c r="C7" s="170" t="s">
        <v>380</v>
      </c>
      <c r="D7" s="170"/>
      <c r="E7" s="20">
        <f>Assumptions!F41</f>
        <v>50</v>
      </c>
      <c r="F7" s="20">
        <f>Assumptions!G41</f>
        <v>50</v>
      </c>
      <c r="G7" s="20">
        <f>Assumptions!H41</f>
        <v>50</v>
      </c>
      <c r="H7" s="20">
        <f>Assumptions!I41</f>
        <v>50</v>
      </c>
      <c r="I7" s="20">
        <f>Assumptions!J41</f>
        <v>50</v>
      </c>
      <c r="J7" s="20">
        <f>Assumptions!K41</f>
        <v>50</v>
      </c>
      <c r="K7" s="20">
        <f>Assumptions!L41</f>
        <v>50</v>
      </c>
      <c r="L7" s="20">
        <f>Assumptions!M41</f>
        <v>50</v>
      </c>
      <c r="M7" s="20">
        <f>Assumptions!N41</f>
        <v>50</v>
      </c>
      <c r="N7" s="20">
        <f>Assumptions!O41</f>
        <v>50</v>
      </c>
      <c r="O7" s="20">
        <f>Assumptions!P41</f>
        <v>50</v>
      </c>
      <c r="P7" s="20">
        <f>Assumptions!Q41</f>
        <v>50</v>
      </c>
      <c r="Q7" s="20">
        <f>Assumptions!R41</f>
        <v>50</v>
      </c>
      <c r="R7" s="20">
        <f>Assumptions!S41</f>
        <v>50</v>
      </c>
      <c r="S7" s="20">
        <f>Assumptions!T41</f>
        <v>50</v>
      </c>
      <c r="T7" s="20">
        <f>Assumptions!U41</f>
        <v>50</v>
      </c>
      <c r="U7" s="20">
        <f>Assumptions!V41</f>
        <v>50</v>
      </c>
      <c r="V7" s="20">
        <f>Assumptions!W41</f>
        <v>50</v>
      </c>
      <c r="W7" s="20">
        <f>Assumptions!X41</f>
        <v>50</v>
      </c>
      <c r="X7" s="20">
        <f>Assumptions!Y41</f>
        <v>50</v>
      </c>
      <c r="Y7" s="20"/>
      <c r="Z7" s="15"/>
      <c r="AA7" s="172"/>
    </row>
    <row r="8" spans="1:27" ht="12.75" customHeight="1" x14ac:dyDescent="0.25">
      <c r="A8" s="14"/>
      <c r="B8" s="15" t="s">
        <v>394</v>
      </c>
      <c r="C8" s="170"/>
      <c r="D8" s="17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15"/>
      <c r="AA8" s="172"/>
    </row>
    <row r="9" spans="1:27" ht="12.75" customHeight="1" x14ac:dyDescent="0.25">
      <c r="A9" s="14"/>
      <c r="B9" s="472"/>
      <c r="C9" s="170" t="s">
        <v>380</v>
      </c>
      <c r="D9" s="170"/>
      <c r="E9" s="20">
        <f>Assumptions!F34*Assumptions!F37</f>
        <v>0</v>
      </c>
      <c r="F9" s="20">
        <f>Assumptions!G34*Assumptions!G37</f>
        <v>0</v>
      </c>
      <c r="G9" s="20">
        <f>Assumptions!H34*Assumptions!H37</f>
        <v>0</v>
      </c>
      <c r="H9" s="20">
        <f>Assumptions!I34*Assumptions!I37</f>
        <v>0</v>
      </c>
      <c r="I9" s="20">
        <f>Assumptions!J34*Assumptions!J37</f>
        <v>0</v>
      </c>
      <c r="J9" s="20">
        <f>Assumptions!K34*Assumptions!K37</f>
        <v>0</v>
      </c>
      <c r="K9" s="20">
        <f>Assumptions!L34*Assumptions!L37</f>
        <v>0</v>
      </c>
      <c r="L9" s="20">
        <f>Assumptions!M34*Assumptions!M37</f>
        <v>0</v>
      </c>
      <c r="M9" s="20">
        <f>Assumptions!N34*Assumptions!N37</f>
        <v>0</v>
      </c>
      <c r="N9" s="20">
        <f>Assumptions!O34*Assumptions!O37</f>
        <v>0</v>
      </c>
      <c r="O9" s="20">
        <f>Assumptions!P34*Assumptions!P37</f>
        <v>0</v>
      </c>
      <c r="P9" s="20">
        <f>Assumptions!Q34*Assumptions!Q37</f>
        <v>0</v>
      </c>
      <c r="Q9" s="20">
        <f>Assumptions!R34*Assumptions!R37</f>
        <v>0</v>
      </c>
      <c r="R9" s="20">
        <f>Assumptions!S34*Assumptions!S37</f>
        <v>0</v>
      </c>
      <c r="S9" s="20">
        <f>Assumptions!T34*Assumptions!T37</f>
        <v>0</v>
      </c>
      <c r="T9" s="20">
        <f>Assumptions!U34*Assumptions!U37</f>
        <v>0</v>
      </c>
      <c r="U9" s="20">
        <f>Assumptions!V34*Assumptions!V37</f>
        <v>0</v>
      </c>
      <c r="V9" s="20">
        <f>Assumptions!W34*Assumptions!W37</f>
        <v>0</v>
      </c>
      <c r="W9" s="20">
        <f>Assumptions!X34*Assumptions!X37</f>
        <v>0</v>
      </c>
      <c r="X9" s="20">
        <f>Assumptions!Y34*Assumptions!Y37</f>
        <v>0</v>
      </c>
      <c r="Y9" s="20"/>
      <c r="Z9" s="15"/>
      <c r="AA9" s="172"/>
    </row>
    <row r="10" spans="1:27" ht="12.75" customHeight="1" x14ac:dyDescent="0.25">
      <c r="A10" s="14"/>
      <c r="B10" s="343"/>
      <c r="C10" s="170"/>
      <c r="D10" s="17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5"/>
      <c r="AA10" s="172"/>
    </row>
    <row r="11" spans="1:27" ht="12.75" customHeight="1" x14ac:dyDescent="0.25">
      <c r="A11" s="14"/>
      <c r="B11" s="15"/>
      <c r="C11" s="170" t="s">
        <v>119</v>
      </c>
      <c r="D11" s="170"/>
      <c r="E11" s="473">
        <f>Assumptions!F50</f>
        <v>1.318359375</v>
      </c>
      <c r="F11" s="473">
        <f>Assumptions!G50</f>
        <v>0.966796875</v>
      </c>
      <c r="G11" s="473">
        <f>Assumptions!H50</f>
        <v>0.966796875</v>
      </c>
      <c r="H11" s="473">
        <f>Assumptions!I50</f>
        <v>0.966796875</v>
      </c>
      <c r="I11" s="473">
        <f>Assumptions!J50</f>
        <v>0.966796875</v>
      </c>
      <c r="J11" s="473">
        <f>Assumptions!K50</f>
        <v>0.966796875</v>
      </c>
      <c r="K11" s="473">
        <f>Assumptions!L50</f>
        <v>0.966796875</v>
      </c>
      <c r="L11" s="473">
        <f>Assumptions!M50</f>
        <v>0.966796875</v>
      </c>
      <c r="M11" s="473">
        <f>Assumptions!N50</f>
        <v>0.966796875</v>
      </c>
      <c r="N11" s="473">
        <f>Assumptions!O50</f>
        <v>0.966796875</v>
      </c>
      <c r="O11" s="473">
        <f>Assumptions!P50</f>
        <v>0.966796875</v>
      </c>
      <c r="P11" s="473">
        <f>Assumptions!Q50</f>
        <v>0.966796875</v>
      </c>
      <c r="Q11" s="473">
        <f>Assumptions!R50</f>
        <v>0.966796875</v>
      </c>
      <c r="R11" s="473">
        <f>Assumptions!S50</f>
        <v>0.966796875</v>
      </c>
      <c r="S11" s="473">
        <f>Assumptions!T50</f>
        <v>0.966796875</v>
      </c>
      <c r="T11" s="473">
        <f>Assumptions!U50</f>
        <v>0.966796875</v>
      </c>
      <c r="U11" s="473">
        <f>Assumptions!V50</f>
        <v>0.966796875</v>
      </c>
      <c r="V11" s="473">
        <f>Assumptions!W50</f>
        <v>0.966796875</v>
      </c>
      <c r="W11" s="473">
        <f>Assumptions!X50</f>
        <v>0.966796875</v>
      </c>
      <c r="X11" s="473">
        <f>Assumptions!Y50</f>
        <v>0.966796875</v>
      </c>
      <c r="Y11" s="473"/>
      <c r="Z11" s="15"/>
      <c r="AA11" s="172"/>
    </row>
    <row r="12" spans="1:27" ht="12.75" customHeight="1" thickBot="1" x14ac:dyDescent="0.3">
      <c r="A12" s="31"/>
      <c r="B12" s="18"/>
      <c r="C12" s="223"/>
      <c r="D12" s="223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18"/>
      <c r="AA12" s="212"/>
    </row>
    <row r="13" spans="1:27" ht="12.75" customHeight="1" x14ac:dyDescent="0.25">
      <c r="A13" s="213"/>
      <c r="B13" s="165"/>
      <c r="C13" s="164"/>
      <c r="D13" s="16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474"/>
      <c r="X13" s="474"/>
      <c r="Y13" s="474"/>
      <c r="Z13" s="165"/>
      <c r="AA13" s="167"/>
    </row>
    <row r="14" spans="1:27" ht="12.75" customHeight="1" x14ac:dyDescent="0.25">
      <c r="A14" s="14"/>
      <c r="B14" s="343" t="s">
        <v>117</v>
      </c>
      <c r="C14" s="170"/>
      <c r="D14" s="170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5"/>
      <c r="AA14" s="172"/>
    </row>
    <row r="15" spans="1:27" ht="12.75" customHeight="1" x14ac:dyDescent="0.25">
      <c r="A15" s="14"/>
      <c r="B15" s="15"/>
      <c r="C15" s="170"/>
      <c r="D15" s="170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5"/>
      <c r="AA15" s="172"/>
    </row>
    <row r="16" spans="1:27" ht="12.75" customHeight="1" x14ac:dyDescent="0.25">
      <c r="A16" s="14"/>
      <c r="B16" s="15"/>
      <c r="C16" s="170" t="s">
        <v>118</v>
      </c>
      <c r="D16" s="170"/>
      <c r="E16" s="475">
        <f>E7</f>
        <v>50</v>
      </c>
      <c r="F16" s="475">
        <f t="shared" ref="F16:N16" si="0">F7</f>
        <v>50</v>
      </c>
      <c r="G16" s="475">
        <f t="shared" si="0"/>
        <v>50</v>
      </c>
      <c r="H16" s="475">
        <f t="shared" si="0"/>
        <v>50</v>
      </c>
      <c r="I16" s="475">
        <f t="shared" si="0"/>
        <v>50</v>
      </c>
      <c r="J16" s="475">
        <f t="shared" si="0"/>
        <v>50</v>
      </c>
      <c r="K16" s="475">
        <f t="shared" si="0"/>
        <v>50</v>
      </c>
      <c r="L16" s="475">
        <f t="shared" si="0"/>
        <v>50</v>
      </c>
      <c r="M16" s="475">
        <f t="shared" si="0"/>
        <v>50</v>
      </c>
      <c r="N16" s="475">
        <f t="shared" si="0"/>
        <v>50</v>
      </c>
      <c r="O16" s="475">
        <f t="shared" ref="O16:X16" si="1">O7</f>
        <v>50</v>
      </c>
      <c r="P16" s="475">
        <f t="shared" si="1"/>
        <v>50</v>
      </c>
      <c r="Q16" s="475">
        <f t="shared" si="1"/>
        <v>50</v>
      </c>
      <c r="R16" s="475">
        <f t="shared" si="1"/>
        <v>50</v>
      </c>
      <c r="S16" s="475">
        <f t="shared" si="1"/>
        <v>50</v>
      </c>
      <c r="T16" s="475">
        <f t="shared" si="1"/>
        <v>50</v>
      </c>
      <c r="U16" s="475">
        <f t="shared" si="1"/>
        <v>50</v>
      </c>
      <c r="V16" s="475">
        <f t="shared" si="1"/>
        <v>50</v>
      </c>
      <c r="W16" s="475">
        <f t="shared" si="1"/>
        <v>50</v>
      </c>
      <c r="X16" s="475">
        <f t="shared" si="1"/>
        <v>50</v>
      </c>
      <c r="Y16" s="475"/>
      <c r="Z16" s="15"/>
      <c r="AA16" s="172"/>
    </row>
    <row r="17" spans="1:27" ht="12.75" customHeight="1" x14ac:dyDescent="0.25">
      <c r="A17" s="14"/>
      <c r="B17" s="15"/>
      <c r="C17" s="15" t="s">
        <v>120</v>
      </c>
      <c r="D17" s="15"/>
      <c r="E17" s="475">
        <f>E16*E11</f>
        <v>65.91796875</v>
      </c>
      <c r="F17" s="475">
        <f t="shared" ref="F17:N17" si="2">F16*F11</f>
        <v>48.33984375</v>
      </c>
      <c r="G17" s="475">
        <f t="shared" si="2"/>
        <v>48.33984375</v>
      </c>
      <c r="H17" s="475">
        <f t="shared" si="2"/>
        <v>48.33984375</v>
      </c>
      <c r="I17" s="475">
        <f t="shared" si="2"/>
        <v>48.33984375</v>
      </c>
      <c r="J17" s="475">
        <f t="shared" si="2"/>
        <v>48.33984375</v>
      </c>
      <c r="K17" s="475">
        <f t="shared" si="2"/>
        <v>48.33984375</v>
      </c>
      <c r="L17" s="475">
        <f t="shared" si="2"/>
        <v>48.33984375</v>
      </c>
      <c r="M17" s="475">
        <f t="shared" si="2"/>
        <v>48.33984375</v>
      </c>
      <c r="N17" s="475">
        <f t="shared" si="2"/>
        <v>48.33984375</v>
      </c>
      <c r="O17" s="475">
        <f t="shared" ref="O17:X17" si="3">O16*O11</f>
        <v>48.33984375</v>
      </c>
      <c r="P17" s="475">
        <f t="shared" si="3"/>
        <v>48.33984375</v>
      </c>
      <c r="Q17" s="475">
        <f t="shared" si="3"/>
        <v>48.33984375</v>
      </c>
      <c r="R17" s="475">
        <f t="shared" si="3"/>
        <v>48.33984375</v>
      </c>
      <c r="S17" s="475">
        <f t="shared" si="3"/>
        <v>48.33984375</v>
      </c>
      <c r="T17" s="475">
        <f t="shared" si="3"/>
        <v>48.33984375</v>
      </c>
      <c r="U17" s="475">
        <f t="shared" si="3"/>
        <v>48.33984375</v>
      </c>
      <c r="V17" s="475">
        <f t="shared" si="3"/>
        <v>48.33984375</v>
      </c>
      <c r="W17" s="475">
        <f t="shared" si="3"/>
        <v>48.33984375</v>
      </c>
      <c r="X17" s="475">
        <f t="shared" si="3"/>
        <v>48.33984375</v>
      </c>
      <c r="Y17" s="475"/>
      <c r="Z17" s="15"/>
      <c r="AA17" s="172"/>
    </row>
    <row r="18" spans="1:27" ht="12.75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2"/>
    </row>
    <row r="19" spans="1:27" ht="12.75" customHeight="1" x14ac:dyDescent="0.25">
      <c r="A19" s="14"/>
      <c r="B19" s="15"/>
      <c r="C19" s="15" t="s">
        <v>393</v>
      </c>
      <c r="D19" s="15"/>
      <c r="E19" s="274">
        <f>Network!E17</f>
        <v>30</v>
      </c>
      <c r="F19" s="274">
        <f>Network!F17</f>
        <v>54</v>
      </c>
      <c r="G19" s="274">
        <f>Network!G17</f>
        <v>78</v>
      </c>
      <c r="H19" s="274">
        <f>Network!H17</f>
        <v>102</v>
      </c>
      <c r="I19" s="274">
        <f>Network!I17</f>
        <v>126</v>
      </c>
      <c r="J19" s="274">
        <f>Network!J17</f>
        <v>150</v>
      </c>
      <c r="K19" s="274">
        <f>Network!K17</f>
        <v>174</v>
      </c>
      <c r="L19" s="274">
        <f>Network!L17</f>
        <v>198</v>
      </c>
      <c r="M19" s="274">
        <f>Network!M17</f>
        <v>222</v>
      </c>
      <c r="N19" s="274">
        <f>Network!N17</f>
        <v>246</v>
      </c>
      <c r="O19" s="274">
        <f>Network!O17</f>
        <v>270</v>
      </c>
      <c r="P19" s="274">
        <f>Network!P17</f>
        <v>294</v>
      </c>
      <c r="Q19" s="274">
        <f>Network!Q17</f>
        <v>318</v>
      </c>
      <c r="R19" s="274">
        <f>Network!R17</f>
        <v>342</v>
      </c>
      <c r="S19" s="274">
        <f>Network!S17</f>
        <v>366</v>
      </c>
      <c r="T19" s="274">
        <f>Network!T17</f>
        <v>390</v>
      </c>
      <c r="U19" s="274">
        <f>Network!U17</f>
        <v>414</v>
      </c>
      <c r="V19" s="274">
        <f>Network!V17</f>
        <v>438</v>
      </c>
      <c r="W19" s="274">
        <f>Network!W17</f>
        <v>462</v>
      </c>
      <c r="X19" s="274">
        <f>Network!X17</f>
        <v>486</v>
      </c>
      <c r="Y19" s="274"/>
      <c r="Z19" s="15"/>
      <c r="AA19" s="172"/>
    </row>
    <row r="20" spans="1:27" ht="12.75" customHeight="1" x14ac:dyDescent="0.25">
      <c r="A20" s="14"/>
      <c r="B20" s="15"/>
      <c r="C20" s="17" t="s">
        <v>42</v>
      </c>
      <c r="D20" s="17"/>
      <c r="E20" s="22">
        <f>(E19*E17)+(E9*E11)</f>
        <v>1977.5390625</v>
      </c>
      <c r="F20" s="22">
        <f t="shared" ref="F20:N20" si="4">(F19*F17)+(F9*F11)</f>
        <v>2610.3515625</v>
      </c>
      <c r="G20" s="22">
        <f t="shared" si="4"/>
        <v>3770.5078125</v>
      </c>
      <c r="H20" s="22">
        <f t="shared" si="4"/>
        <v>4930.6640625</v>
      </c>
      <c r="I20" s="22">
        <f t="shared" si="4"/>
        <v>6090.8203125</v>
      </c>
      <c r="J20" s="22">
        <f t="shared" si="4"/>
        <v>7250.9765625</v>
      </c>
      <c r="K20" s="22">
        <f t="shared" si="4"/>
        <v>8411.1328125</v>
      </c>
      <c r="L20" s="22">
        <f t="shared" si="4"/>
        <v>9571.2890625</v>
      </c>
      <c r="M20" s="22">
        <f t="shared" si="4"/>
        <v>10731.4453125</v>
      </c>
      <c r="N20" s="22">
        <f t="shared" si="4"/>
        <v>11891.6015625</v>
      </c>
      <c r="O20" s="22">
        <f t="shared" ref="O20:X20" si="5">(O19*O17)+(O9*O11)</f>
        <v>13051.7578125</v>
      </c>
      <c r="P20" s="22">
        <f t="shared" si="5"/>
        <v>14211.9140625</v>
      </c>
      <c r="Q20" s="22">
        <f t="shared" si="5"/>
        <v>15372.0703125</v>
      </c>
      <c r="R20" s="22">
        <f t="shared" si="5"/>
        <v>16532.2265625</v>
      </c>
      <c r="S20" s="22">
        <f t="shared" si="5"/>
        <v>17692.3828125</v>
      </c>
      <c r="T20" s="22">
        <f t="shared" si="5"/>
        <v>18852.5390625</v>
      </c>
      <c r="U20" s="22">
        <f t="shared" si="5"/>
        <v>20012.6953125</v>
      </c>
      <c r="V20" s="22">
        <f t="shared" si="5"/>
        <v>21172.8515625</v>
      </c>
      <c r="W20" s="22">
        <f t="shared" si="5"/>
        <v>22333.0078125</v>
      </c>
      <c r="X20" s="22">
        <f t="shared" si="5"/>
        <v>23493.1640625</v>
      </c>
      <c r="Y20" s="22"/>
      <c r="Z20" s="15"/>
      <c r="AA20" s="172"/>
    </row>
    <row r="21" spans="1:27" ht="12.75" customHeight="1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5"/>
      <c r="AA21" s="172"/>
    </row>
    <row r="22" spans="1:27" ht="12.75" customHeight="1" x14ac:dyDescent="0.25">
      <c r="A22" s="14"/>
      <c r="B22" s="15"/>
      <c r="C22" s="170" t="str">
        <f>Assumptions!D175</f>
        <v>Streaming rate of Master POP servers (Mbps)</v>
      </c>
      <c r="D22" s="170"/>
      <c r="E22" s="178">
        <f>Assumptions!F175</f>
        <v>400.00000000000006</v>
      </c>
      <c r="F22" s="178">
        <f>Assumptions!G175</f>
        <v>400.00000000000006</v>
      </c>
      <c r="G22" s="178">
        <f>Assumptions!H175</f>
        <v>400.00000000000006</v>
      </c>
      <c r="H22" s="178">
        <f>Assumptions!I175</f>
        <v>400.00000000000006</v>
      </c>
      <c r="I22" s="178">
        <f>Assumptions!J175</f>
        <v>400.00000000000006</v>
      </c>
      <c r="J22" s="178">
        <f>Assumptions!K175</f>
        <v>400.00000000000006</v>
      </c>
      <c r="K22" s="178">
        <f>Assumptions!L175</f>
        <v>400.00000000000006</v>
      </c>
      <c r="L22" s="178">
        <f>Assumptions!M175</f>
        <v>400.00000000000006</v>
      </c>
      <c r="M22" s="178">
        <f>Assumptions!N175</f>
        <v>400.00000000000006</v>
      </c>
      <c r="N22" s="178">
        <f>Assumptions!O175</f>
        <v>400.00000000000006</v>
      </c>
      <c r="O22" s="178">
        <f>Assumptions!P175</f>
        <v>400.00000000000006</v>
      </c>
      <c r="P22" s="178">
        <f>Assumptions!Q175</f>
        <v>400.00000000000006</v>
      </c>
      <c r="Q22" s="178">
        <f>Assumptions!R175</f>
        <v>400.00000000000006</v>
      </c>
      <c r="R22" s="178">
        <f>Assumptions!S175</f>
        <v>400.00000000000006</v>
      </c>
      <c r="S22" s="178">
        <f>Assumptions!T175</f>
        <v>400.00000000000006</v>
      </c>
      <c r="T22" s="178">
        <f>Assumptions!U175</f>
        <v>400.00000000000006</v>
      </c>
      <c r="U22" s="178">
        <f>Assumptions!V175</f>
        <v>400.00000000000006</v>
      </c>
      <c r="V22" s="178">
        <f>Assumptions!W175</f>
        <v>400.00000000000006</v>
      </c>
      <c r="W22" s="178">
        <f>Assumptions!X175</f>
        <v>400.00000000000006</v>
      </c>
      <c r="X22" s="178">
        <f>Assumptions!Y175</f>
        <v>400.00000000000006</v>
      </c>
      <c r="Y22" s="178"/>
      <c r="Z22" s="15"/>
      <c r="AA22" s="172"/>
    </row>
    <row r="23" spans="1:27" ht="12.75" customHeight="1" x14ac:dyDescent="0.25">
      <c r="A23" s="14"/>
      <c r="B23" s="15"/>
      <c r="C23" s="170" t="s">
        <v>35</v>
      </c>
      <c r="D23" s="170"/>
      <c r="E23" s="182">
        <f>E22*3600*24*30*(1/1024)*(1/8)</f>
        <v>126562.50000000003</v>
      </c>
      <c r="F23" s="182">
        <f t="shared" ref="F23:N23" si="6">F22*3600*24*30*(1/1024)*(1/8)</f>
        <v>126562.50000000003</v>
      </c>
      <c r="G23" s="182">
        <f t="shared" si="6"/>
        <v>126562.50000000003</v>
      </c>
      <c r="H23" s="182">
        <f t="shared" si="6"/>
        <v>126562.50000000003</v>
      </c>
      <c r="I23" s="182">
        <f t="shared" si="6"/>
        <v>126562.50000000003</v>
      </c>
      <c r="J23" s="182">
        <f t="shared" si="6"/>
        <v>126562.50000000003</v>
      </c>
      <c r="K23" s="182">
        <f t="shared" si="6"/>
        <v>126562.50000000003</v>
      </c>
      <c r="L23" s="182">
        <f t="shared" si="6"/>
        <v>126562.50000000003</v>
      </c>
      <c r="M23" s="182">
        <f t="shared" si="6"/>
        <v>126562.50000000003</v>
      </c>
      <c r="N23" s="182">
        <f t="shared" si="6"/>
        <v>126562.50000000003</v>
      </c>
      <c r="O23" s="182">
        <f t="shared" ref="O23:X23" si="7">O22*3600*24*30*(1/1024)*(1/8)</f>
        <v>126562.50000000003</v>
      </c>
      <c r="P23" s="182">
        <f t="shared" si="7"/>
        <v>126562.50000000003</v>
      </c>
      <c r="Q23" s="182">
        <f t="shared" si="7"/>
        <v>126562.50000000003</v>
      </c>
      <c r="R23" s="182">
        <f t="shared" si="7"/>
        <v>126562.50000000003</v>
      </c>
      <c r="S23" s="182">
        <f t="shared" si="7"/>
        <v>126562.50000000003</v>
      </c>
      <c r="T23" s="182">
        <f t="shared" si="7"/>
        <v>126562.50000000003</v>
      </c>
      <c r="U23" s="182">
        <f t="shared" si="7"/>
        <v>126562.50000000003</v>
      </c>
      <c r="V23" s="182">
        <f t="shared" si="7"/>
        <v>126562.50000000003</v>
      </c>
      <c r="W23" s="182">
        <f t="shared" si="7"/>
        <v>126562.50000000003</v>
      </c>
      <c r="X23" s="182">
        <f t="shared" si="7"/>
        <v>126562.50000000003</v>
      </c>
      <c r="Y23" s="182"/>
      <c r="Z23" s="15"/>
      <c r="AA23" s="275" t="s">
        <v>121</v>
      </c>
    </row>
    <row r="24" spans="1:27" s="1" customFormat="1" ht="12.75" customHeight="1" x14ac:dyDescent="0.25">
      <c r="A24" s="436"/>
      <c r="B24" s="17"/>
      <c r="C24" s="177" t="s">
        <v>126</v>
      </c>
      <c r="D24" s="177"/>
      <c r="E24" s="476">
        <f>ROUNDUP(E20/E23,0)*Assumptions!$F$158</f>
        <v>1</v>
      </c>
      <c r="F24" s="476">
        <f>ROUNDUP(F20/F23,0)*Assumptions!$F$158</f>
        <v>1</v>
      </c>
      <c r="G24" s="476">
        <f>ROUNDUP(G20/G23,0)*Assumptions!$F$158</f>
        <v>1</v>
      </c>
      <c r="H24" s="476">
        <f>ROUNDUP(H20/H23,0)*Assumptions!$F$158</f>
        <v>1</v>
      </c>
      <c r="I24" s="476">
        <f>ROUNDUP(I20/I23,0)*Assumptions!$F$158</f>
        <v>1</v>
      </c>
      <c r="J24" s="476">
        <f>ROUNDUP(J20/J23,0)*Assumptions!$F$158</f>
        <v>1</v>
      </c>
      <c r="K24" s="476">
        <f>ROUNDUP(K20/K23,0)*Assumptions!$F$158</f>
        <v>1</v>
      </c>
      <c r="L24" s="476">
        <f>ROUNDUP(L20/L23,0)*Assumptions!$F$158</f>
        <v>1</v>
      </c>
      <c r="M24" s="476">
        <f>ROUNDUP(M20/M23,0)*Assumptions!$F$158</f>
        <v>1</v>
      </c>
      <c r="N24" s="476">
        <f>ROUNDUP(N20/N23,0)*Assumptions!$F$158</f>
        <v>1</v>
      </c>
      <c r="O24" s="476">
        <f>ROUNDUP(O20/O23,0)*Assumptions!$F$158</f>
        <v>1</v>
      </c>
      <c r="P24" s="476">
        <f>ROUNDUP(P20/P23,0)*Assumptions!$F$158</f>
        <v>1</v>
      </c>
      <c r="Q24" s="476">
        <f>ROUNDUP(Q20/Q23,0)*Assumptions!$F$158</f>
        <v>1</v>
      </c>
      <c r="R24" s="476">
        <f>ROUNDUP(R20/R23,0)*Assumptions!$F$158</f>
        <v>1</v>
      </c>
      <c r="S24" s="476">
        <f>ROUNDUP(S20/S23,0)*Assumptions!$F$158</f>
        <v>1</v>
      </c>
      <c r="T24" s="476">
        <f>ROUNDUP(T20/T23,0)*Assumptions!$F$158</f>
        <v>1</v>
      </c>
      <c r="U24" s="476">
        <f>ROUNDUP(U20/U23,0)*Assumptions!$F$158</f>
        <v>1</v>
      </c>
      <c r="V24" s="476">
        <f>ROUNDUP(V20/V23,0)*Assumptions!$F$158</f>
        <v>1</v>
      </c>
      <c r="W24" s="476">
        <f>ROUNDUP(W20/W23,0)*Assumptions!$F$158</f>
        <v>1</v>
      </c>
      <c r="X24" s="476">
        <f>ROUNDUP(X20/X23,0)*Assumptions!$F$158</f>
        <v>1</v>
      </c>
      <c r="Y24" s="476"/>
      <c r="Z24" s="17"/>
      <c r="AA24" s="463"/>
    </row>
    <row r="25" spans="1:27" s="1" customFormat="1" ht="12.75" customHeight="1" x14ac:dyDescent="0.25">
      <c r="A25" s="436"/>
      <c r="B25" s="17"/>
      <c r="C25" s="177" t="s">
        <v>127</v>
      </c>
      <c r="D25" s="177"/>
      <c r="E25" s="477">
        <f>E24</f>
        <v>1</v>
      </c>
      <c r="F25" s="477">
        <f>F24-E25</f>
        <v>0</v>
      </c>
      <c r="G25" s="477">
        <f>G24-SUM(E25:F25)</f>
        <v>0</v>
      </c>
      <c r="H25" s="477">
        <f>H24-SUM(E25:G25)</f>
        <v>0</v>
      </c>
      <c r="I25" s="477">
        <f>I24-SUM(E25:H25)</f>
        <v>0</v>
      </c>
      <c r="J25" s="477">
        <f>J24-SUM(F25:I25)</f>
        <v>1</v>
      </c>
      <c r="K25" s="477">
        <f t="shared" ref="K25:X25" si="8">K24-SUM(G25:J25)</f>
        <v>0</v>
      </c>
      <c r="L25" s="477">
        <f t="shared" si="8"/>
        <v>0</v>
      </c>
      <c r="M25" s="477">
        <f t="shared" si="8"/>
        <v>0</v>
      </c>
      <c r="N25" s="477">
        <f t="shared" si="8"/>
        <v>0</v>
      </c>
      <c r="O25" s="477">
        <f t="shared" si="8"/>
        <v>1</v>
      </c>
      <c r="P25" s="477">
        <f t="shared" si="8"/>
        <v>0</v>
      </c>
      <c r="Q25" s="477">
        <f t="shared" si="8"/>
        <v>0</v>
      </c>
      <c r="R25" s="477">
        <f t="shared" si="8"/>
        <v>0</v>
      </c>
      <c r="S25" s="477">
        <f t="shared" si="8"/>
        <v>0</v>
      </c>
      <c r="T25" s="477">
        <f t="shared" si="8"/>
        <v>1</v>
      </c>
      <c r="U25" s="477">
        <f t="shared" si="8"/>
        <v>0</v>
      </c>
      <c r="V25" s="477">
        <f t="shared" si="8"/>
        <v>0</v>
      </c>
      <c r="W25" s="477">
        <f t="shared" si="8"/>
        <v>0</v>
      </c>
      <c r="X25" s="477">
        <f t="shared" si="8"/>
        <v>0</v>
      </c>
      <c r="Y25" s="476"/>
      <c r="Z25" s="17"/>
      <c r="AA25" s="172" t="s">
        <v>128</v>
      </c>
    </row>
    <row r="26" spans="1:27" s="1" customFormat="1" ht="12.75" customHeight="1" x14ac:dyDescent="0.25">
      <c r="A26" s="436"/>
      <c r="B26" s="17"/>
      <c r="C26" s="177"/>
      <c r="D26" s="177"/>
      <c r="E26" s="465"/>
      <c r="F26" s="465"/>
      <c r="G26" s="465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17"/>
      <c r="AA26" s="463"/>
    </row>
    <row r="27" spans="1:27" s="1" customFormat="1" ht="12.75" customHeight="1" x14ac:dyDescent="0.25">
      <c r="A27" s="436"/>
      <c r="B27" s="17"/>
      <c r="C27" s="170" t="s">
        <v>122</v>
      </c>
      <c r="D27" s="170"/>
      <c r="E27" s="178">
        <f>Assumptions!F166</f>
        <v>3</v>
      </c>
      <c r="F27" s="178">
        <f>Assumptions!G166</f>
        <v>3</v>
      </c>
      <c r="G27" s="178">
        <f>Assumptions!H166</f>
        <v>3</v>
      </c>
      <c r="H27" s="178">
        <f>Assumptions!I166</f>
        <v>3</v>
      </c>
      <c r="I27" s="178">
        <f>Assumptions!J166</f>
        <v>3</v>
      </c>
      <c r="J27" s="178">
        <f>Assumptions!K166</f>
        <v>3</v>
      </c>
      <c r="K27" s="178">
        <f>Assumptions!L166</f>
        <v>3</v>
      </c>
      <c r="L27" s="178">
        <f>Assumptions!M166</f>
        <v>3</v>
      </c>
      <c r="M27" s="178">
        <f>Assumptions!N166</f>
        <v>3</v>
      </c>
      <c r="N27" s="178">
        <f>Assumptions!O166</f>
        <v>3</v>
      </c>
      <c r="O27" s="178">
        <f>Assumptions!P166</f>
        <v>3</v>
      </c>
      <c r="P27" s="178">
        <f>Assumptions!Q166</f>
        <v>3</v>
      </c>
      <c r="Q27" s="178">
        <f>Assumptions!R166</f>
        <v>3</v>
      </c>
      <c r="R27" s="178">
        <f>Assumptions!S166</f>
        <v>3</v>
      </c>
      <c r="S27" s="178">
        <f>Assumptions!T166</f>
        <v>3</v>
      </c>
      <c r="T27" s="178">
        <f>Assumptions!U166</f>
        <v>3</v>
      </c>
      <c r="U27" s="178">
        <f>Assumptions!V166</f>
        <v>3</v>
      </c>
      <c r="V27" s="178">
        <f>Assumptions!W166</f>
        <v>3</v>
      </c>
      <c r="W27" s="178">
        <f>Assumptions!X166</f>
        <v>3</v>
      </c>
      <c r="X27" s="178">
        <f>Assumptions!Y166</f>
        <v>3</v>
      </c>
      <c r="Y27" s="178"/>
      <c r="Z27" s="17"/>
      <c r="AA27" s="463"/>
    </row>
    <row r="28" spans="1:27" s="146" customFormat="1" ht="12.75" customHeight="1" x14ac:dyDescent="0.25">
      <c r="A28" s="478"/>
      <c r="B28" s="479"/>
      <c r="C28" s="480" t="s">
        <v>1107</v>
      </c>
      <c r="D28" s="481"/>
      <c r="E28" s="563">
        <f>E25*E27</f>
        <v>3</v>
      </c>
      <c r="F28" s="563">
        <f t="shared" ref="F28:X28" si="9">F25*F27</f>
        <v>0</v>
      </c>
      <c r="G28" s="563">
        <f t="shared" si="9"/>
        <v>0</v>
      </c>
      <c r="H28" s="563">
        <f t="shared" si="9"/>
        <v>0</v>
      </c>
      <c r="I28" s="563">
        <f t="shared" si="9"/>
        <v>0</v>
      </c>
      <c r="J28" s="563">
        <f t="shared" si="9"/>
        <v>3</v>
      </c>
      <c r="K28" s="563">
        <f t="shared" si="9"/>
        <v>0</v>
      </c>
      <c r="L28" s="563">
        <f t="shared" si="9"/>
        <v>0</v>
      </c>
      <c r="M28" s="563">
        <f t="shared" si="9"/>
        <v>0</v>
      </c>
      <c r="N28" s="563">
        <f t="shared" si="9"/>
        <v>0</v>
      </c>
      <c r="O28" s="563">
        <f t="shared" si="9"/>
        <v>3</v>
      </c>
      <c r="P28" s="563">
        <f t="shared" si="9"/>
        <v>0</v>
      </c>
      <c r="Q28" s="563">
        <f t="shared" si="9"/>
        <v>0</v>
      </c>
      <c r="R28" s="563">
        <f t="shared" si="9"/>
        <v>0</v>
      </c>
      <c r="S28" s="563">
        <f t="shared" si="9"/>
        <v>0</v>
      </c>
      <c r="T28" s="563">
        <f t="shared" si="9"/>
        <v>3</v>
      </c>
      <c r="U28" s="563">
        <f t="shared" si="9"/>
        <v>0</v>
      </c>
      <c r="V28" s="563">
        <f t="shared" si="9"/>
        <v>0</v>
      </c>
      <c r="W28" s="563">
        <f t="shared" si="9"/>
        <v>0</v>
      </c>
      <c r="X28" s="563">
        <f t="shared" si="9"/>
        <v>0</v>
      </c>
      <c r="Y28" s="482"/>
      <c r="Z28" s="479"/>
      <c r="AA28" s="483"/>
    </row>
    <row r="29" spans="1:27" s="38" customFormat="1" ht="12.75" customHeight="1" x14ac:dyDescent="0.25">
      <c r="A29" s="14"/>
      <c r="B29" s="15"/>
      <c r="C29" s="170" t="s">
        <v>124</v>
      </c>
      <c r="D29" s="170"/>
      <c r="E29" s="178">
        <f>Assumptions!F177/1000</f>
        <v>56.714765624999991</v>
      </c>
      <c r="F29" s="178">
        <f>Assumptions!G177/1000</f>
        <v>42.536074218749995</v>
      </c>
      <c r="G29" s="178">
        <f>Assumptions!H177/1000</f>
        <v>31.902055664062491</v>
      </c>
      <c r="H29" s="178">
        <f>Assumptions!I177/1000</f>
        <v>23.926541748046869</v>
      </c>
      <c r="I29" s="178">
        <f>Assumptions!J177/1000</f>
        <v>17.944906311035147</v>
      </c>
      <c r="J29" s="178">
        <f>Assumptions!K177/1000</f>
        <v>13.458679733276362</v>
      </c>
      <c r="K29" s="178">
        <f>Assumptions!L177/1000</f>
        <v>10.094009799957272</v>
      </c>
      <c r="L29" s="178">
        <f>Assumptions!M177/1000</f>
        <v>7.5705073499679534</v>
      </c>
      <c r="M29" s="178">
        <f>Assumptions!N177/1000</f>
        <v>5.6778805124759657</v>
      </c>
      <c r="N29" s="178">
        <f>Assumptions!O177/1000</f>
        <v>4.2584103843569734</v>
      </c>
      <c r="O29" s="178">
        <f>Assumptions!P177/1000</f>
        <v>3.1938077882677303</v>
      </c>
      <c r="P29" s="178">
        <f>Assumptions!Q177/1000</f>
        <v>2.3953558412007978</v>
      </c>
      <c r="Q29" s="178">
        <f>Assumptions!R177/1000</f>
        <v>1.7965168809005985</v>
      </c>
      <c r="R29" s="178">
        <f>Assumptions!S177/1000</f>
        <v>1.3473876606754489</v>
      </c>
      <c r="S29" s="178">
        <f>Assumptions!T177/1000</f>
        <v>1.0105407455065867</v>
      </c>
      <c r="T29" s="178">
        <f>Assumptions!U177/1000</f>
        <v>0.75790555912993995</v>
      </c>
      <c r="U29" s="178">
        <f>Assumptions!V177/1000</f>
        <v>0.56842916934745491</v>
      </c>
      <c r="V29" s="178">
        <f>Assumptions!W177/1000</f>
        <v>0.42632187701059121</v>
      </c>
      <c r="W29" s="178">
        <f>Assumptions!X177/1000</f>
        <v>0.31974140775794341</v>
      </c>
      <c r="X29" s="178">
        <f>Assumptions!Y177/1000</f>
        <v>0.23980605581845757</v>
      </c>
      <c r="Y29" s="473"/>
      <c r="Z29" s="15"/>
      <c r="AA29" s="172"/>
    </row>
    <row r="30" spans="1:27" s="38" customFormat="1" ht="12.75" customHeight="1" x14ac:dyDescent="0.25">
      <c r="A30" s="14"/>
      <c r="B30" s="15"/>
      <c r="C30" s="170" t="s">
        <v>123</v>
      </c>
      <c r="D30" s="170"/>
      <c r="E30" s="178">
        <f>E25*E27*E29</f>
        <v>170.14429687499998</v>
      </c>
      <c r="F30" s="178">
        <f t="shared" ref="F30:N30" si="10">F25*F27*F29</f>
        <v>0</v>
      </c>
      <c r="G30" s="178">
        <f t="shared" si="10"/>
        <v>0</v>
      </c>
      <c r="H30" s="178">
        <f t="shared" si="10"/>
        <v>0</v>
      </c>
      <c r="I30" s="178">
        <f t="shared" si="10"/>
        <v>0</v>
      </c>
      <c r="J30" s="178">
        <f t="shared" si="10"/>
        <v>40.376039199829087</v>
      </c>
      <c r="K30" s="178">
        <f t="shared" si="10"/>
        <v>0</v>
      </c>
      <c r="L30" s="178">
        <f t="shared" si="10"/>
        <v>0</v>
      </c>
      <c r="M30" s="178">
        <f t="shared" si="10"/>
        <v>0</v>
      </c>
      <c r="N30" s="178">
        <f t="shared" si="10"/>
        <v>0</v>
      </c>
      <c r="O30" s="178">
        <f t="shared" ref="O30:X30" si="11">O25*O27*O29</f>
        <v>9.5814233648031912</v>
      </c>
      <c r="P30" s="178">
        <f t="shared" si="11"/>
        <v>0</v>
      </c>
      <c r="Q30" s="178">
        <f t="shared" si="11"/>
        <v>0</v>
      </c>
      <c r="R30" s="178">
        <f t="shared" si="11"/>
        <v>0</v>
      </c>
      <c r="S30" s="178">
        <f t="shared" si="11"/>
        <v>0</v>
      </c>
      <c r="T30" s="178">
        <f t="shared" si="11"/>
        <v>2.2737166773898201</v>
      </c>
      <c r="U30" s="178">
        <f t="shared" si="11"/>
        <v>0</v>
      </c>
      <c r="V30" s="178">
        <f t="shared" si="11"/>
        <v>0</v>
      </c>
      <c r="W30" s="178">
        <f t="shared" si="11"/>
        <v>0</v>
      </c>
      <c r="X30" s="178">
        <f t="shared" si="11"/>
        <v>0</v>
      </c>
      <c r="Y30" s="178"/>
      <c r="Z30" s="15"/>
      <c r="AA30" s="172"/>
    </row>
    <row r="31" spans="1:27" s="146" customFormat="1" ht="12.75" customHeight="1" x14ac:dyDescent="0.25">
      <c r="A31" s="436"/>
      <c r="B31" s="17"/>
      <c r="C31" s="177"/>
      <c r="D31" s="177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17"/>
      <c r="AA31" s="463"/>
    </row>
    <row r="32" spans="1:27" s="38" customFormat="1" ht="12.75" customHeight="1" x14ac:dyDescent="0.25">
      <c r="A32" s="14"/>
      <c r="B32" s="15"/>
      <c r="C32" s="170" t="s">
        <v>129</v>
      </c>
      <c r="D32" s="170"/>
      <c r="E32" s="178">
        <f>E29*Assumptions!F181</f>
        <v>0</v>
      </c>
      <c r="F32" s="178">
        <f>F29*Assumptions!G181</f>
        <v>0</v>
      </c>
      <c r="G32" s="178">
        <f>G29*Assumptions!H181</f>
        <v>0</v>
      </c>
      <c r="H32" s="178">
        <f>H29*Assumptions!I181</f>
        <v>0</v>
      </c>
      <c r="I32" s="178">
        <f>I29*Assumptions!J181</f>
        <v>0</v>
      </c>
      <c r="J32" s="178">
        <f>J29*Assumptions!K181</f>
        <v>0</v>
      </c>
      <c r="K32" s="178">
        <f>K29*Assumptions!L181</f>
        <v>0</v>
      </c>
      <c r="L32" s="178">
        <f>L29*Assumptions!M181</f>
        <v>0</v>
      </c>
      <c r="M32" s="178">
        <f>M29*Assumptions!N181</f>
        <v>0</v>
      </c>
      <c r="N32" s="178">
        <f>N29*Assumptions!O181</f>
        <v>0</v>
      </c>
      <c r="O32" s="178">
        <f>O29*Assumptions!P181</f>
        <v>0</v>
      </c>
      <c r="P32" s="178">
        <f>P29*Assumptions!Q181</f>
        <v>0</v>
      </c>
      <c r="Q32" s="178">
        <f>Q29*Assumptions!R181</f>
        <v>0</v>
      </c>
      <c r="R32" s="178">
        <f>R29*Assumptions!S181</f>
        <v>0</v>
      </c>
      <c r="S32" s="178">
        <f>S29*Assumptions!T181</f>
        <v>0</v>
      </c>
      <c r="T32" s="178">
        <f>T29*Assumptions!U181</f>
        <v>0</v>
      </c>
      <c r="U32" s="178">
        <f>U29*Assumptions!V181</f>
        <v>0</v>
      </c>
      <c r="V32" s="178">
        <f>V29*Assumptions!W181</f>
        <v>0</v>
      </c>
      <c r="W32" s="178">
        <f>W29*Assumptions!X181</f>
        <v>0</v>
      </c>
      <c r="X32" s="178">
        <f>X29*Assumptions!Y181</f>
        <v>0</v>
      </c>
      <c r="Y32" s="178"/>
      <c r="Z32" s="15"/>
      <c r="AA32" s="172"/>
    </row>
    <row r="33" spans="1:27" s="38" customFormat="1" ht="12.75" customHeight="1" x14ac:dyDescent="0.25">
      <c r="A33" s="14"/>
      <c r="B33" s="15"/>
      <c r="C33" s="170" t="s">
        <v>181</v>
      </c>
      <c r="D33" s="170"/>
      <c r="E33" s="274">
        <f>E32*E24*E27</f>
        <v>0</v>
      </c>
      <c r="F33" s="274">
        <f t="shared" ref="F33:N33" si="12">F32*F24*F27</f>
        <v>0</v>
      </c>
      <c r="G33" s="274">
        <f t="shared" si="12"/>
        <v>0</v>
      </c>
      <c r="H33" s="274">
        <f t="shared" si="12"/>
        <v>0</v>
      </c>
      <c r="I33" s="274">
        <f t="shared" si="12"/>
        <v>0</v>
      </c>
      <c r="J33" s="274">
        <f t="shared" si="12"/>
        <v>0</v>
      </c>
      <c r="K33" s="274">
        <f t="shared" si="12"/>
        <v>0</v>
      </c>
      <c r="L33" s="274">
        <f t="shared" si="12"/>
        <v>0</v>
      </c>
      <c r="M33" s="274">
        <f t="shared" si="12"/>
        <v>0</v>
      </c>
      <c r="N33" s="274">
        <f t="shared" si="12"/>
        <v>0</v>
      </c>
      <c r="O33" s="274">
        <f t="shared" ref="O33:X33" si="13">O32*O24*O27</f>
        <v>0</v>
      </c>
      <c r="P33" s="274">
        <f t="shared" si="13"/>
        <v>0</v>
      </c>
      <c r="Q33" s="274">
        <f t="shared" si="13"/>
        <v>0</v>
      </c>
      <c r="R33" s="274">
        <f t="shared" si="13"/>
        <v>0</v>
      </c>
      <c r="S33" s="274">
        <f t="shared" si="13"/>
        <v>0</v>
      </c>
      <c r="T33" s="274">
        <f t="shared" si="13"/>
        <v>0</v>
      </c>
      <c r="U33" s="274">
        <f t="shared" si="13"/>
        <v>0</v>
      </c>
      <c r="V33" s="274">
        <f t="shared" si="13"/>
        <v>0</v>
      </c>
      <c r="W33" s="274">
        <f t="shared" si="13"/>
        <v>0</v>
      </c>
      <c r="X33" s="274">
        <f t="shared" si="13"/>
        <v>0</v>
      </c>
      <c r="Y33" s="274"/>
      <c r="Z33" s="15"/>
      <c r="AA33" s="172"/>
    </row>
    <row r="34" spans="1:27" s="38" customFormat="1" ht="12.75" customHeight="1" x14ac:dyDescent="0.25">
      <c r="A34" s="14"/>
      <c r="B34" s="15"/>
      <c r="C34" s="170"/>
      <c r="D34" s="170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15"/>
      <c r="AA34" s="172"/>
    </row>
    <row r="35" spans="1:27" s="38" customFormat="1" ht="12.75" customHeight="1" x14ac:dyDescent="0.25">
      <c r="A35" s="14"/>
      <c r="B35" s="15"/>
      <c r="C35" s="170" t="s">
        <v>182</v>
      </c>
      <c r="D35" s="170"/>
      <c r="E35" s="274">
        <f>E25*E27*Assumptions!F182/1000</f>
        <v>0</v>
      </c>
      <c r="F35" s="274">
        <f>F25*F27*Assumptions!G182/1000</f>
        <v>0</v>
      </c>
      <c r="G35" s="274">
        <f>G25*G27*Assumptions!H182/1000</f>
        <v>0</v>
      </c>
      <c r="H35" s="274">
        <f>H25*H27*Assumptions!I182/1000</f>
        <v>0</v>
      </c>
      <c r="I35" s="274">
        <f>I25*I27*Assumptions!J182/1000</f>
        <v>0</v>
      </c>
      <c r="J35" s="274">
        <f>J25*J27*Assumptions!K182/1000</f>
        <v>0</v>
      </c>
      <c r="K35" s="274">
        <f>K25*K27*Assumptions!L182/1000</f>
        <v>0</v>
      </c>
      <c r="L35" s="274">
        <f>L25*L27*Assumptions!M182/1000</f>
        <v>0</v>
      </c>
      <c r="M35" s="274">
        <f>M25*M27*Assumptions!N182/1000</f>
        <v>0</v>
      </c>
      <c r="N35" s="274">
        <f>N25*N27*Assumptions!O182/1000</f>
        <v>0</v>
      </c>
      <c r="O35" s="274">
        <f>O25*O27*Assumptions!P182/1000</f>
        <v>0</v>
      </c>
      <c r="P35" s="274">
        <f>P25*P27*Assumptions!Q182/1000</f>
        <v>0</v>
      </c>
      <c r="Q35" s="274">
        <f>Q25*Q27*Assumptions!R182/1000</f>
        <v>0</v>
      </c>
      <c r="R35" s="274">
        <f>R25*R27*Assumptions!S182/1000</f>
        <v>0</v>
      </c>
      <c r="S35" s="274">
        <f>S25*S27*Assumptions!T182/1000</f>
        <v>0</v>
      </c>
      <c r="T35" s="274">
        <f>T25*T27*Assumptions!U182/1000</f>
        <v>0</v>
      </c>
      <c r="U35" s="274">
        <f>U25*U27*Assumptions!V182/1000</f>
        <v>0</v>
      </c>
      <c r="V35" s="274">
        <f>V25*V27*Assumptions!W182/1000</f>
        <v>0</v>
      </c>
      <c r="W35" s="274">
        <f>W25*W27*Assumptions!X182/1000</f>
        <v>0</v>
      </c>
      <c r="X35" s="274">
        <f>X25*X27*Assumptions!Y182/1000</f>
        <v>0</v>
      </c>
      <c r="Y35" s="274"/>
      <c r="Z35" s="15"/>
      <c r="AA35" s="172"/>
    </row>
    <row r="36" spans="1:27" s="38" customFormat="1" ht="12.75" customHeight="1" x14ac:dyDescent="0.25">
      <c r="A36" s="14"/>
      <c r="B36" s="15"/>
      <c r="C36" s="170"/>
      <c r="D36" s="170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15"/>
      <c r="AA36" s="172"/>
    </row>
    <row r="37" spans="1:27" s="146" customFormat="1" ht="12.75" customHeight="1" x14ac:dyDescent="0.25">
      <c r="A37" s="436"/>
      <c r="B37" s="17"/>
      <c r="C37" s="177" t="s">
        <v>176</v>
      </c>
      <c r="D37" s="177"/>
      <c r="E37" s="470">
        <f>E30+E33+E35</f>
        <v>170.14429687499998</v>
      </c>
      <c r="F37" s="470">
        <f t="shared" ref="F37:N37" si="14">F30+F33+F35</f>
        <v>0</v>
      </c>
      <c r="G37" s="470">
        <f t="shared" si="14"/>
        <v>0</v>
      </c>
      <c r="H37" s="470">
        <f t="shared" si="14"/>
        <v>0</v>
      </c>
      <c r="I37" s="470">
        <f t="shared" si="14"/>
        <v>0</v>
      </c>
      <c r="J37" s="470">
        <f t="shared" si="14"/>
        <v>40.376039199829087</v>
      </c>
      <c r="K37" s="470">
        <f t="shared" si="14"/>
        <v>0</v>
      </c>
      <c r="L37" s="470">
        <f t="shared" si="14"/>
        <v>0</v>
      </c>
      <c r="M37" s="470">
        <f t="shared" si="14"/>
        <v>0</v>
      </c>
      <c r="N37" s="470">
        <f t="shared" si="14"/>
        <v>0</v>
      </c>
      <c r="O37" s="470">
        <f t="shared" ref="O37:X37" si="15">O30+O33+O35</f>
        <v>9.5814233648031912</v>
      </c>
      <c r="P37" s="470">
        <f t="shared" si="15"/>
        <v>0</v>
      </c>
      <c r="Q37" s="470">
        <f t="shared" si="15"/>
        <v>0</v>
      </c>
      <c r="R37" s="470">
        <f t="shared" si="15"/>
        <v>0</v>
      </c>
      <c r="S37" s="470">
        <f t="shared" si="15"/>
        <v>0</v>
      </c>
      <c r="T37" s="470">
        <f t="shared" si="15"/>
        <v>2.2737166773898201</v>
      </c>
      <c r="U37" s="470">
        <f t="shared" si="15"/>
        <v>0</v>
      </c>
      <c r="V37" s="470">
        <f t="shared" si="15"/>
        <v>0</v>
      </c>
      <c r="W37" s="470">
        <f t="shared" si="15"/>
        <v>0</v>
      </c>
      <c r="X37" s="470">
        <f t="shared" si="15"/>
        <v>0</v>
      </c>
      <c r="Y37" s="470"/>
      <c r="Z37" s="17"/>
      <c r="AA37" s="463"/>
    </row>
    <row r="38" spans="1:27" s="38" customFormat="1" ht="12.75" customHeight="1" thickBot="1" x14ac:dyDescent="0.3">
      <c r="A38" s="31"/>
      <c r="B38" s="18"/>
      <c r="C38" s="223"/>
      <c r="D38" s="223"/>
      <c r="E38" s="484"/>
      <c r="F38" s="484"/>
      <c r="G38" s="484"/>
      <c r="H38" s="484"/>
      <c r="I38" s="484"/>
      <c r="J38" s="484"/>
      <c r="K38" s="484"/>
      <c r="L38" s="484"/>
      <c r="M38" s="484"/>
      <c r="N38" s="484"/>
      <c r="O38" s="484"/>
      <c r="P38" s="484"/>
      <c r="Q38" s="484"/>
      <c r="R38" s="484"/>
      <c r="S38" s="484"/>
      <c r="T38" s="484"/>
      <c r="U38" s="484"/>
      <c r="V38" s="484"/>
      <c r="W38" s="484"/>
      <c r="X38" s="484"/>
      <c r="Y38" s="484"/>
      <c r="Z38" s="18"/>
      <c r="AA38" s="212"/>
    </row>
    <row r="39" spans="1:27" s="38" customFormat="1" ht="12.75" customHeight="1" x14ac:dyDescent="0.25">
      <c r="A39" s="213"/>
      <c r="B39" s="165"/>
      <c r="C39" s="164"/>
      <c r="D39" s="164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7"/>
    </row>
    <row r="40" spans="1:27" s="38" customFormat="1" ht="12.75" customHeight="1" x14ac:dyDescent="0.25">
      <c r="A40" s="14"/>
      <c r="B40" s="343" t="s">
        <v>131</v>
      </c>
      <c r="C40" s="170"/>
      <c r="D40" s="170"/>
      <c r="E40" s="27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2"/>
    </row>
    <row r="41" spans="1:27" s="38" customFormat="1" ht="12.75" customHeight="1" x14ac:dyDescent="0.25">
      <c r="A41" s="14"/>
      <c r="B41" s="15"/>
      <c r="C41" s="170"/>
      <c r="D41" s="170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2"/>
    </row>
    <row r="42" spans="1:27" s="38" customFormat="1" ht="12.75" customHeight="1" x14ac:dyDescent="0.25">
      <c r="A42" s="14"/>
      <c r="B42" s="15"/>
      <c r="C42" s="170" t="s">
        <v>37</v>
      </c>
      <c r="D42" s="177"/>
      <c r="E42" s="20">
        <f>Network!E19</f>
        <v>322.66306115405354</v>
      </c>
      <c r="F42" s="20">
        <f>Network!F19</f>
        <v>830.42438980491079</v>
      </c>
      <c r="G42" s="20">
        <f>Network!G19</f>
        <v>2086.5773805004796</v>
      </c>
      <c r="H42" s="20">
        <f>Network!H19</f>
        <v>5168.2103459951732</v>
      </c>
      <c r="I42" s="20">
        <f>Network!I19</f>
        <v>8188.9712894387421</v>
      </c>
      <c r="J42" s="20">
        <f>Network!J19</f>
        <v>10940.492567993389</v>
      </c>
      <c r="K42" s="20">
        <f>Network!K19</f>
        <v>13798.839405633769</v>
      </c>
      <c r="L42" s="20">
        <f>Network!L19</f>
        <v>16114.257196614877</v>
      </c>
      <c r="M42" s="20">
        <f>Network!M19</f>
        <v>18022.57595062476</v>
      </c>
      <c r="N42" s="20">
        <f>Network!N19</f>
        <v>19639.394953189068</v>
      </c>
      <c r="O42" s="20">
        <f>Network!O19</f>
        <v>19870.257451007954</v>
      </c>
      <c r="P42" s="20">
        <f>Network!P19</f>
        <v>20402.115638862586</v>
      </c>
      <c r="Q42" s="20">
        <f>Network!Q19</f>
        <v>20762.727131062795</v>
      </c>
      <c r="R42" s="20">
        <f>Network!R19</f>
        <v>21191.347839691563</v>
      </c>
      <c r="S42" s="20">
        <f>Network!S19</f>
        <v>21427.863567558295</v>
      </c>
      <c r="T42" s="20">
        <f>Network!T19</f>
        <v>21475.574344696546</v>
      </c>
      <c r="U42" s="20">
        <f>Network!U19</f>
        <v>21575.098954618752</v>
      </c>
      <c r="V42" s="20">
        <f>Network!V19</f>
        <v>22181.297845524554</v>
      </c>
      <c r="W42" s="20">
        <f>Network!W19</f>
        <v>22815.872073864375</v>
      </c>
      <c r="X42" s="20">
        <f>Network!X19</f>
        <v>23478.873295515925</v>
      </c>
      <c r="Y42" s="20"/>
      <c r="Z42" s="15"/>
      <c r="AA42" s="172"/>
    </row>
    <row r="43" spans="1:27" s="38" customFormat="1" ht="12.75" customHeight="1" x14ac:dyDescent="0.25">
      <c r="A43" s="14"/>
      <c r="B43" s="15"/>
      <c r="C43" s="15" t="s">
        <v>38</v>
      </c>
      <c r="D43" s="177"/>
      <c r="E43" s="20">
        <f>Network!E21</f>
        <v>161.33153057702677</v>
      </c>
      <c r="F43" s="20">
        <f>Network!F21</f>
        <v>207.6060974512277</v>
      </c>
      <c r="G43" s="20">
        <f>Network!G21</f>
        <v>208.65773805004798</v>
      </c>
      <c r="H43" s="20">
        <f>Network!H21</f>
        <v>516.82103459951736</v>
      </c>
      <c r="I43" s="20">
        <f>Network!I21</f>
        <v>818.89712894387424</v>
      </c>
      <c r="J43" s="20">
        <f>Network!J21</f>
        <v>1094.049256799339</v>
      </c>
      <c r="K43" s="20">
        <f>Network!K21</f>
        <v>1379.8839405633771</v>
      </c>
      <c r="L43" s="20">
        <f>Network!L21</f>
        <v>1611.4257196614878</v>
      </c>
      <c r="M43" s="20">
        <f>Network!M21</f>
        <v>1802.257595062476</v>
      </c>
      <c r="N43" s="20">
        <f>Network!N21</f>
        <v>1963.9394953189069</v>
      </c>
      <c r="O43" s="20">
        <f>Network!O21</f>
        <v>1987.0257451007956</v>
      </c>
      <c r="P43" s="20">
        <f>Network!P21</f>
        <v>2040.2115638862588</v>
      </c>
      <c r="Q43" s="20">
        <f>Network!Q21</f>
        <v>2076.2727131062798</v>
      </c>
      <c r="R43" s="20">
        <f>Network!R21</f>
        <v>2119.1347839691566</v>
      </c>
      <c r="S43" s="20">
        <f>Network!S21</f>
        <v>2142.7863567558297</v>
      </c>
      <c r="T43" s="20">
        <f>Network!T21</f>
        <v>2147.5574344696547</v>
      </c>
      <c r="U43" s="20">
        <f>Network!U21</f>
        <v>2157.5098954618752</v>
      </c>
      <c r="V43" s="20">
        <f>Network!V21</f>
        <v>2218.1297845524555</v>
      </c>
      <c r="W43" s="20">
        <f>Network!W21</f>
        <v>2281.5872073864375</v>
      </c>
      <c r="X43" s="20">
        <f>Network!X21</f>
        <v>2347.8873295515928</v>
      </c>
      <c r="Y43" s="20"/>
      <c r="Z43" s="15"/>
      <c r="AA43" s="172"/>
    </row>
    <row r="44" spans="1:27" s="38" customFormat="1" ht="12.75" customHeight="1" x14ac:dyDescent="0.25">
      <c r="A44" s="14"/>
      <c r="B44" s="15"/>
      <c r="C44" s="15" t="s">
        <v>132</v>
      </c>
      <c r="D44" s="15"/>
      <c r="E44" s="15">
        <f>Assumptions!F17</f>
        <v>1.5</v>
      </c>
      <c r="F44" s="15">
        <f>Assumptions!G17</f>
        <v>1.1000000000000001</v>
      </c>
      <c r="G44" s="15">
        <f>Assumptions!H17</f>
        <v>1.1000000000000001</v>
      </c>
      <c r="H44" s="15">
        <f>Assumptions!I17</f>
        <v>1.1000000000000001</v>
      </c>
      <c r="I44" s="15">
        <f>Assumptions!J17</f>
        <v>1.1000000000000001</v>
      </c>
      <c r="J44" s="15">
        <f>Assumptions!K17</f>
        <v>1.1000000000000001</v>
      </c>
      <c r="K44" s="15">
        <f>Assumptions!L17</f>
        <v>1.1000000000000001</v>
      </c>
      <c r="L44" s="15">
        <f>Assumptions!M17</f>
        <v>1.1000000000000001</v>
      </c>
      <c r="M44" s="15">
        <f>Assumptions!N17</f>
        <v>1.1000000000000001</v>
      </c>
      <c r="N44" s="15">
        <f>Assumptions!O17</f>
        <v>1.1000000000000001</v>
      </c>
      <c r="O44" s="15">
        <f>Assumptions!P17</f>
        <v>1.1000000000000001</v>
      </c>
      <c r="P44" s="15">
        <f>Assumptions!Q17</f>
        <v>1.1000000000000001</v>
      </c>
      <c r="Q44" s="15">
        <f>Assumptions!R17</f>
        <v>1.1000000000000001</v>
      </c>
      <c r="R44" s="15">
        <f>Assumptions!S17</f>
        <v>1.1000000000000001</v>
      </c>
      <c r="S44" s="15">
        <f>Assumptions!T17</f>
        <v>1.1000000000000001</v>
      </c>
      <c r="T44" s="15">
        <f>Assumptions!U17</f>
        <v>1.1000000000000001</v>
      </c>
      <c r="U44" s="15">
        <f>Assumptions!V17</f>
        <v>1.1000000000000001</v>
      </c>
      <c r="V44" s="15">
        <f>Assumptions!W17</f>
        <v>1.1000000000000001</v>
      </c>
      <c r="W44" s="15">
        <f>Assumptions!X17</f>
        <v>1.1000000000000001</v>
      </c>
      <c r="X44" s="15">
        <f>Assumptions!Y17</f>
        <v>1.1000000000000001</v>
      </c>
      <c r="Y44" s="15"/>
      <c r="Z44" s="15"/>
      <c r="AA44" s="172"/>
    </row>
    <row r="45" spans="1:27" s="38" customFormat="1" ht="12.75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72"/>
    </row>
    <row r="46" spans="1:27" s="146" customFormat="1" ht="12.75" customHeight="1" x14ac:dyDescent="0.25">
      <c r="A46" s="436"/>
      <c r="B46" s="17"/>
      <c r="C46" s="177" t="s">
        <v>50</v>
      </c>
      <c r="D46" s="177"/>
      <c r="E46" s="22">
        <f>E43*E44</f>
        <v>241.99729586554014</v>
      </c>
      <c r="F46" s="22">
        <f>F43*F44</f>
        <v>228.36670719635049</v>
      </c>
      <c r="G46" s="22">
        <f>G43*G44</f>
        <v>229.52351185505279</v>
      </c>
      <c r="H46" s="22">
        <f>H43*H44</f>
        <v>568.50313805946917</v>
      </c>
      <c r="I46" s="22">
        <f t="shared" ref="I46:N46" si="16">I43*I44</f>
        <v>900.78684183826169</v>
      </c>
      <c r="J46" s="22">
        <f t="shared" si="16"/>
        <v>1203.454182479273</v>
      </c>
      <c r="K46" s="22">
        <f t="shared" si="16"/>
        <v>1517.872334619715</v>
      </c>
      <c r="L46" s="22">
        <f t="shared" si="16"/>
        <v>1772.5682916276369</v>
      </c>
      <c r="M46" s="22">
        <f t="shared" si="16"/>
        <v>1982.4833545687238</v>
      </c>
      <c r="N46" s="22">
        <f t="shared" si="16"/>
        <v>2160.3334448507976</v>
      </c>
      <c r="O46" s="22">
        <f t="shared" ref="O46:X46" si="17">O43*O44</f>
        <v>2185.7283196108751</v>
      </c>
      <c r="P46" s="22">
        <f t="shared" si="17"/>
        <v>2244.2327202748847</v>
      </c>
      <c r="Q46" s="22">
        <f t="shared" si="17"/>
        <v>2283.899984416908</v>
      </c>
      <c r="R46" s="22">
        <f t="shared" si="17"/>
        <v>2331.0482623660723</v>
      </c>
      <c r="S46" s="22">
        <f t="shared" si="17"/>
        <v>2357.064992431413</v>
      </c>
      <c r="T46" s="22">
        <f t="shared" si="17"/>
        <v>2362.3131779166206</v>
      </c>
      <c r="U46" s="22">
        <f t="shared" si="17"/>
        <v>2373.2608850080628</v>
      </c>
      <c r="V46" s="22">
        <f t="shared" si="17"/>
        <v>2439.9427630077012</v>
      </c>
      <c r="W46" s="22">
        <f t="shared" si="17"/>
        <v>2509.7459281250813</v>
      </c>
      <c r="X46" s="22">
        <f t="shared" si="17"/>
        <v>2582.6760625067523</v>
      </c>
      <c r="Y46" s="22"/>
      <c r="Z46" s="17"/>
      <c r="AA46" s="463"/>
    </row>
    <row r="47" spans="1:27" s="38" customFormat="1" ht="12.75" customHeight="1" x14ac:dyDescent="0.25">
      <c r="A47" s="14"/>
      <c r="B47" s="15"/>
      <c r="C47" s="170" t="str">
        <f>Assumptions!D192</f>
        <v>Streaming rate of ISP POP servers (Mbps)</v>
      </c>
      <c r="D47" s="170"/>
      <c r="E47" s="20">
        <f>Assumptions!F192</f>
        <v>400.00000000000006</v>
      </c>
      <c r="F47" s="20">
        <f>Assumptions!G192</f>
        <v>400.00000000000006</v>
      </c>
      <c r="G47" s="20">
        <f>Assumptions!H192</f>
        <v>400.00000000000006</v>
      </c>
      <c r="H47" s="20">
        <f>Assumptions!I192</f>
        <v>400.00000000000006</v>
      </c>
      <c r="I47" s="20">
        <f>Assumptions!J192</f>
        <v>400.00000000000006</v>
      </c>
      <c r="J47" s="20">
        <f>Assumptions!K192</f>
        <v>400.00000000000006</v>
      </c>
      <c r="K47" s="20">
        <f>Assumptions!L192</f>
        <v>400.00000000000006</v>
      </c>
      <c r="L47" s="20">
        <f>Assumptions!M192</f>
        <v>400.00000000000006</v>
      </c>
      <c r="M47" s="20">
        <f>Assumptions!N192</f>
        <v>400.00000000000006</v>
      </c>
      <c r="N47" s="20">
        <f>Assumptions!O192</f>
        <v>400.00000000000006</v>
      </c>
      <c r="O47" s="20">
        <f>Assumptions!P192</f>
        <v>400.00000000000006</v>
      </c>
      <c r="P47" s="20">
        <f>Assumptions!Q192</f>
        <v>400.00000000000006</v>
      </c>
      <c r="Q47" s="20">
        <f>Assumptions!R192</f>
        <v>400.00000000000006</v>
      </c>
      <c r="R47" s="20">
        <f>Assumptions!S192</f>
        <v>400.00000000000006</v>
      </c>
      <c r="S47" s="20">
        <f>Assumptions!T192</f>
        <v>400.00000000000006</v>
      </c>
      <c r="T47" s="20">
        <f>Assumptions!U192</f>
        <v>400.00000000000006</v>
      </c>
      <c r="U47" s="20">
        <f>Assumptions!V192</f>
        <v>400.00000000000006</v>
      </c>
      <c r="V47" s="20">
        <f>Assumptions!W192</f>
        <v>400.00000000000006</v>
      </c>
      <c r="W47" s="20">
        <f>Assumptions!X192</f>
        <v>400.00000000000006</v>
      </c>
      <c r="X47" s="20">
        <f>Assumptions!Y192</f>
        <v>400.00000000000006</v>
      </c>
      <c r="Y47" s="20"/>
      <c r="Z47" s="15"/>
      <c r="AA47" s="172"/>
    </row>
    <row r="48" spans="1:27" s="146" customFormat="1" ht="12.75" customHeight="1" x14ac:dyDescent="0.25">
      <c r="A48" s="436"/>
      <c r="B48" s="17"/>
      <c r="C48" s="177" t="s">
        <v>45</v>
      </c>
      <c r="D48" s="177"/>
      <c r="E48" s="20">
        <f>ROUNDUP(E46/E47,0)*Assumptions!$F$158</f>
        <v>1</v>
      </c>
      <c r="F48" s="20">
        <f>ROUNDUP(F46/F47,0)*Assumptions!$F$158</f>
        <v>1</v>
      </c>
      <c r="G48" s="20">
        <f>ROUNDUP(G46/G47,0)*Assumptions!$F$158</f>
        <v>1</v>
      </c>
      <c r="H48" s="20">
        <f>ROUNDUP(H46/H47,0)*Assumptions!$F$158</f>
        <v>2</v>
      </c>
      <c r="I48" s="20">
        <f>ROUNDUP(I46/I47,0)*Assumptions!$F$158</f>
        <v>3</v>
      </c>
      <c r="J48" s="20">
        <f>ROUNDUP(J46/J47,0)*Assumptions!$F$158</f>
        <v>4</v>
      </c>
      <c r="K48" s="20">
        <f>ROUNDUP(K46/K47,0)*Assumptions!$F$158</f>
        <v>4</v>
      </c>
      <c r="L48" s="20">
        <f>ROUNDUP(L46/L47,0)*Assumptions!$F$158</f>
        <v>5</v>
      </c>
      <c r="M48" s="20">
        <f>ROUNDUP(M46/M47,0)*Assumptions!$F$158</f>
        <v>5</v>
      </c>
      <c r="N48" s="20">
        <f>ROUNDUP(N46/N47,0)*Assumptions!$F$158</f>
        <v>6</v>
      </c>
      <c r="O48" s="20">
        <f>ROUNDUP(O46/O47,0)*Assumptions!$F$158</f>
        <v>6</v>
      </c>
      <c r="P48" s="20">
        <f>ROUNDUP(P46/P47,0)*Assumptions!$F$158</f>
        <v>6</v>
      </c>
      <c r="Q48" s="20">
        <f>ROUNDUP(Q46/Q47,0)*Assumptions!$F$158</f>
        <v>6</v>
      </c>
      <c r="R48" s="20">
        <f>ROUNDUP(R46/R47,0)*Assumptions!$F$158</f>
        <v>6</v>
      </c>
      <c r="S48" s="20">
        <f>ROUNDUP(S46/S47,0)*Assumptions!$F$158</f>
        <v>6</v>
      </c>
      <c r="T48" s="20">
        <f>ROUNDUP(T46/T47,0)*Assumptions!$F$158</f>
        <v>6</v>
      </c>
      <c r="U48" s="20">
        <f>ROUNDUP(U46/U47,0)*Assumptions!$F$158</f>
        <v>6</v>
      </c>
      <c r="V48" s="20">
        <f>ROUNDUP(V46/V47,0)*Assumptions!$F$158</f>
        <v>7</v>
      </c>
      <c r="W48" s="20">
        <f>ROUNDUP(W46/W47,0)*Assumptions!$F$158</f>
        <v>7</v>
      </c>
      <c r="X48" s="20">
        <f>ROUNDUP(X46/X47,0)*Assumptions!$F$158</f>
        <v>7</v>
      </c>
      <c r="Y48" s="20"/>
      <c r="Z48" s="17"/>
      <c r="AA48" s="463"/>
    </row>
    <row r="49" spans="1:27" s="146" customFormat="1" ht="12.75" customHeight="1" x14ac:dyDescent="0.25">
      <c r="A49" s="436"/>
      <c r="B49" s="17"/>
      <c r="C49" s="177"/>
      <c r="D49" s="17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7"/>
      <c r="AA49" s="463"/>
    </row>
    <row r="50" spans="1:27" s="38" customFormat="1" ht="12.75" customHeight="1" x14ac:dyDescent="0.25">
      <c r="A50" s="14"/>
      <c r="B50" s="15"/>
      <c r="C50" s="170" t="str">
        <f>Network!C17</f>
        <v>Total number of ISP POP</v>
      </c>
      <c r="D50" s="170"/>
      <c r="E50" s="20">
        <f>Network!E17</f>
        <v>30</v>
      </c>
      <c r="F50" s="20">
        <f>Network!F17</f>
        <v>54</v>
      </c>
      <c r="G50" s="20">
        <f>Network!G17</f>
        <v>78</v>
      </c>
      <c r="H50" s="20">
        <f>Network!H17</f>
        <v>102</v>
      </c>
      <c r="I50" s="20">
        <f>Network!I17</f>
        <v>126</v>
      </c>
      <c r="J50" s="20">
        <f>Network!J17</f>
        <v>150</v>
      </c>
      <c r="K50" s="20">
        <f>Network!K17</f>
        <v>174</v>
      </c>
      <c r="L50" s="20">
        <f>Network!L17</f>
        <v>198</v>
      </c>
      <c r="M50" s="20">
        <f>Network!M17</f>
        <v>222</v>
      </c>
      <c r="N50" s="20">
        <f>Network!N17</f>
        <v>246</v>
      </c>
      <c r="O50" s="20">
        <f>Network!O17</f>
        <v>270</v>
      </c>
      <c r="P50" s="20">
        <f>Network!P17</f>
        <v>294</v>
      </c>
      <c r="Q50" s="20">
        <f>Network!Q17</f>
        <v>318</v>
      </c>
      <c r="R50" s="20">
        <f>Network!R17</f>
        <v>342</v>
      </c>
      <c r="S50" s="20">
        <f>Network!S17</f>
        <v>366</v>
      </c>
      <c r="T50" s="20">
        <f>Network!T17</f>
        <v>390</v>
      </c>
      <c r="U50" s="20">
        <f>Network!U17</f>
        <v>414</v>
      </c>
      <c r="V50" s="20">
        <f>Network!V17</f>
        <v>438</v>
      </c>
      <c r="W50" s="20">
        <f>Network!W17</f>
        <v>462</v>
      </c>
      <c r="X50" s="20">
        <f>Network!X17</f>
        <v>486</v>
      </c>
      <c r="Y50" s="20"/>
      <c r="Z50" s="15"/>
      <c r="AA50" s="172"/>
    </row>
    <row r="51" spans="1:27" s="146" customFormat="1" ht="12.75" customHeight="1" x14ac:dyDescent="0.25">
      <c r="A51" s="485"/>
      <c r="B51" s="174"/>
      <c r="C51" s="215" t="s">
        <v>184</v>
      </c>
      <c r="D51" s="215"/>
      <c r="E51" s="205">
        <f>E48*E50</f>
        <v>30</v>
      </c>
      <c r="F51" s="205">
        <f t="shared" ref="F51:K51" si="18">F48*F50</f>
        <v>54</v>
      </c>
      <c r="G51" s="205">
        <f t="shared" si="18"/>
        <v>78</v>
      </c>
      <c r="H51" s="205">
        <f t="shared" si="18"/>
        <v>204</v>
      </c>
      <c r="I51" s="205">
        <f t="shared" si="18"/>
        <v>378</v>
      </c>
      <c r="J51" s="205">
        <f t="shared" si="18"/>
        <v>600</v>
      </c>
      <c r="K51" s="205">
        <f t="shared" si="18"/>
        <v>696</v>
      </c>
      <c r="L51" s="205">
        <f>L48*L50</f>
        <v>990</v>
      </c>
      <c r="M51" s="205">
        <f>M48*M50</f>
        <v>1110</v>
      </c>
      <c r="N51" s="205">
        <f>N48*N50</f>
        <v>1476</v>
      </c>
      <c r="O51" s="205">
        <f t="shared" ref="O51:X51" si="19">O48*O50</f>
        <v>1620</v>
      </c>
      <c r="P51" s="205">
        <f t="shared" si="19"/>
        <v>1764</v>
      </c>
      <c r="Q51" s="205">
        <f t="shared" si="19"/>
        <v>1908</v>
      </c>
      <c r="R51" s="205">
        <f t="shared" si="19"/>
        <v>2052</v>
      </c>
      <c r="S51" s="205">
        <f t="shared" si="19"/>
        <v>2196</v>
      </c>
      <c r="T51" s="205">
        <f t="shared" si="19"/>
        <v>2340</v>
      </c>
      <c r="U51" s="205">
        <f t="shared" si="19"/>
        <v>2484</v>
      </c>
      <c r="V51" s="205">
        <f t="shared" si="19"/>
        <v>3066</v>
      </c>
      <c r="W51" s="205">
        <f t="shared" si="19"/>
        <v>3234</v>
      </c>
      <c r="X51" s="205">
        <f t="shared" si="19"/>
        <v>3402</v>
      </c>
      <c r="Y51" s="205"/>
      <c r="Z51" s="174"/>
      <c r="AA51" s="486"/>
    </row>
    <row r="52" spans="1:27" s="146" customFormat="1" ht="12.75" customHeight="1" x14ac:dyDescent="0.25">
      <c r="A52" s="478"/>
      <c r="B52" s="479"/>
      <c r="C52" s="480" t="s">
        <v>1106</v>
      </c>
      <c r="D52" s="480"/>
      <c r="E52" s="487">
        <f>E51</f>
        <v>30</v>
      </c>
      <c r="F52" s="487">
        <f>F51-E52</f>
        <v>24</v>
      </c>
      <c r="G52" s="487">
        <f>G51-SUM(E52:F52)</f>
        <v>24</v>
      </c>
      <c r="H52" s="487">
        <f>H51-SUM(E52:G52)</f>
        <v>126</v>
      </c>
      <c r="I52" s="487">
        <f>I51-SUM(E52:H52)</f>
        <v>174</v>
      </c>
      <c r="J52" s="487">
        <f>J51-SUM(F52:I52)</f>
        <v>252</v>
      </c>
      <c r="K52" s="487">
        <f t="shared" ref="K52:X52" si="20">K51-SUM(G52:J52)</f>
        <v>120</v>
      </c>
      <c r="L52" s="487">
        <f t="shared" si="20"/>
        <v>318</v>
      </c>
      <c r="M52" s="487">
        <f t="shared" si="20"/>
        <v>246</v>
      </c>
      <c r="N52" s="487">
        <f t="shared" si="20"/>
        <v>540</v>
      </c>
      <c r="O52" s="487">
        <f t="shared" si="20"/>
        <v>396</v>
      </c>
      <c r="P52" s="487">
        <f t="shared" si="20"/>
        <v>264</v>
      </c>
      <c r="Q52" s="487">
        <f t="shared" si="20"/>
        <v>462</v>
      </c>
      <c r="R52" s="487">
        <f t="shared" si="20"/>
        <v>390</v>
      </c>
      <c r="S52" s="487">
        <f t="shared" si="20"/>
        <v>684</v>
      </c>
      <c r="T52" s="487">
        <f t="shared" si="20"/>
        <v>540</v>
      </c>
      <c r="U52" s="487">
        <f t="shared" si="20"/>
        <v>408</v>
      </c>
      <c r="V52" s="487">
        <f t="shared" si="20"/>
        <v>1044</v>
      </c>
      <c r="W52" s="487">
        <f t="shared" si="20"/>
        <v>558</v>
      </c>
      <c r="X52" s="487">
        <f t="shared" si="20"/>
        <v>852</v>
      </c>
      <c r="Y52" s="488"/>
      <c r="Z52" s="479"/>
      <c r="AA52" s="483"/>
    </row>
    <row r="53" spans="1:27" ht="12.75" customHeight="1" x14ac:dyDescent="0.25">
      <c r="A53" s="14"/>
      <c r="B53" s="15"/>
      <c r="C53" s="170"/>
      <c r="D53" s="170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5"/>
      <c r="AA53" s="172"/>
    </row>
    <row r="54" spans="1:27" ht="12.75" customHeight="1" x14ac:dyDescent="0.25">
      <c r="A54" s="14"/>
      <c r="B54" s="15"/>
      <c r="C54" s="170" t="s">
        <v>133</v>
      </c>
      <c r="D54" s="170"/>
      <c r="E54" s="473">
        <f>Assumptions!F194/1000</f>
        <v>56.714765624999991</v>
      </c>
      <c r="F54" s="473">
        <f>Assumptions!G194/1000</f>
        <v>42.536074218749995</v>
      </c>
      <c r="G54" s="473">
        <f>Assumptions!H194/1000</f>
        <v>31.902055664062491</v>
      </c>
      <c r="H54" s="473">
        <f>Assumptions!I194/1000</f>
        <v>23.926541748046869</v>
      </c>
      <c r="I54" s="473">
        <f>Assumptions!J194/1000</f>
        <v>17.944906311035147</v>
      </c>
      <c r="J54" s="473">
        <f>Assumptions!K194/1000</f>
        <v>13.458679733276362</v>
      </c>
      <c r="K54" s="473">
        <f>Assumptions!L194/1000</f>
        <v>10.094009799957272</v>
      </c>
      <c r="L54" s="473">
        <f>Assumptions!M194/1000</f>
        <v>7.5705073499679534</v>
      </c>
      <c r="M54" s="473">
        <f>Assumptions!N194/1000</f>
        <v>5.6778805124759657</v>
      </c>
      <c r="N54" s="473">
        <f>Assumptions!O194/1000</f>
        <v>4.2584103843569734</v>
      </c>
      <c r="O54" s="473">
        <f>Assumptions!P194/1000</f>
        <v>3.1938077882677303</v>
      </c>
      <c r="P54" s="473">
        <f>Assumptions!Q194/1000</f>
        <v>2.3953558412007978</v>
      </c>
      <c r="Q54" s="473">
        <f>Assumptions!R194/1000</f>
        <v>1.7965168809005985</v>
      </c>
      <c r="R54" s="473">
        <f>Assumptions!S194/1000</f>
        <v>1.3473876606754489</v>
      </c>
      <c r="S54" s="473">
        <f>Assumptions!T194/1000</f>
        <v>1.0105407455065867</v>
      </c>
      <c r="T54" s="473">
        <f>Assumptions!U194/1000</f>
        <v>0.75790555912993995</v>
      </c>
      <c r="U54" s="473">
        <f>Assumptions!V194/1000</f>
        <v>0.56842916934745491</v>
      </c>
      <c r="V54" s="473">
        <f>Assumptions!W194/1000</f>
        <v>0.42632187701059121</v>
      </c>
      <c r="W54" s="473">
        <f>Assumptions!X194/1000</f>
        <v>0.31974140775794341</v>
      </c>
      <c r="X54" s="473">
        <f>Assumptions!Y194/1000</f>
        <v>0.23980605581845757</v>
      </c>
      <c r="Y54" s="473"/>
      <c r="Z54" s="15"/>
      <c r="AA54" s="172"/>
    </row>
    <row r="55" spans="1:27" ht="12.75" customHeight="1" x14ac:dyDescent="0.25">
      <c r="A55" s="14"/>
      <c r="B55" s="15"/>
      <c r="C55" s="170" t="s">
        <v>185</v>
      </c>
      <c r="D55" s="170"/>
      <c r="E55" s="178">
        <f t="shared" ref="E55:N55" si="21">E54*E52</f>
        <v>1701.4429687499996</v>
      </c>
      <c r="F55" s="178">
        <f t="shared" si="21"/>
        <v>1020.8657812499998</v>
      </c>
      <c r="G55" s="178">
        <f t="shared" si="21"/>
        <v>765.64933593749981</v>
      </c>
      <c r="H55" s="178">
        <f t="shared" si="21"/>
        <v>3014.7442602539054</v>
      </c>
      <c r="I55" s="178">
        <f t="shared" si="21"/>
        <v>3122.4136981201154</v>
      </c>
      <c r="J55" s="178">
        <f t="shared" si="21"/>
        <v>3391.5872927856435</v>
      </c>
      <c r="K55" s="178">
        <f t="shared" si="21"/>
        <v>1211.2811759948727</v>
      </c>
      <c r="L55" s="178">
        <f t="shared" si="21"/>
        <v>2407.4213372898093</v>
      </c>
      <c r="M55" s="178">
        <f t="shared" si="21"/>
        <v>1396.7586060690876</v>
      </c>
      <c r="N55" s="178">
        <f t="shared" si="21"/>
        <v>2299.5416075527655</v>
      </c>
      <c r="O55" s="178">
        <f t="shared" ref="O55:X55" si="22">O54*O52</f>
        <v>1264.7478841540212</v>
      </c>
      <c r="P55" s="178">
        <f t="shared" si="22"/>
        <v>632.37394207701061</v>
      </c>
      <c r="Q55" s="178">
        <f t="shared" si="22"/>
        <v>829.99079897607646</v>
      </c>
      <c r="R55" s="178">
        <f t="shared" si="22"/>
        <v>525.48118766342509</v>
      </c>
      <c r="S55" s="178">
        <f t="shared" si="22"/>
        <v>691.20986992650523</v>
      </c>
      <c r="T55" s="178">
        <f t="shared" si="22"/>
        <v>409.26900193016758</v>
      </c>
      <c r="U55" s="178">
        <f t="shared" si="22"/>
        <v>231.91910109376161</v>
      </c>
      <c r="V55" s="178">
        <f t="shared" si="22"/>
        <v>445.08003959905722</v>
      </c>
      <c r="W55" s="178">
        <f t="shared" si="22"/>
        <v>178.41570552893242</v>
      </c>
      <c r="X55" s="178">
        <f t="shared" si="22"/>
        <v>204.31475955732586</v>
      </c>
      <c r="Y55" s="178"/>
      <c r="Z55" s="15"/>
      <c r="AA55" s="172"/>
    </row>
    <row r="56" spans="1:27" ht="12.75" customHeight="1" x14ac:dyDescent="0.2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5"/>
      <c r="AA56" s="172"/>
    </row>
    <row r="57" spans="1:27" s="328" customFormat="1" ht="12.75" customHeight="1" x14ac:dyDescent="0.25">
      <c r="A57" s="489"/>
      <c r="B57" s="178"/>
      <c r="C57" s="170" t="s">
        <v>129</v>
      </c>
      <c r="D57" s="434"/>
      <c r="E57" s="178">
        <f>E54*Assumptions!F198</f>
        <v>0</v>
      </c>
      <c r="F57" s="178">
        <f>F54*Assumptions!G198</f>
        <v>0</v>
      </c>
      <c r="G57" s="178">
        <f>G54*Assumptions!H198</f>
        <v>0</v>
      </c>
      <c r="H57" s="178">
        <f>H54*Assumptions!I198</f>
        <v>0</v>
      </c>
      <c r="I57" s="178">
        <f>I54*Assumptions!J198</f>
        <v>0</v>
      </c>
      <c r="J57" s="178">
        <f>J54*Assumptions!K198</f>
        <v>0</v>
      </c>
      <c r="K57" s="178">
        <f>K54*Assumptions!L198</f>
        <v>0</v>
      </c>
      <c r="L57" s="178">
        <f>L54*Assumptions!M198</f>
        <v>0</v>
      </c>
      <c r="M57" s="178">
        <f>M54*Assumptions!N198</f>
        <v>0</v>
      </c>
      <c r="N57" s="178">
        <f>N54*Assumptions!O198</f>
        <v>0</v>
      </c>
      <c r="O57" s="178">
        <f>O54*Assumptions!P198</f>
        <v>0</v>
      </c>
      <c r="P57" s="178">
        <f>P54*Assumptions!Q198</f>
        <v>0</v>
      </c>
      <c r="Q57" s="178">
        <f>Q54*Assumptions!R198</f>
        <v>0</v>
      </c>
      <c r="R57" s="178">
        <f>R54*Assumptions!S198</f>
        <v>0</v>
      </c>
      <c r="S57" s="178">
        <f>S54*Assumptions!T198</f>
        <v>0</v>
      </c>
      <c r="T57" s="178">
        <f>T54*Assumptions!U198</f>
        <v>0</v>
      </c>
      <c r="U57" s="178">
        <f>U54*Assumptions!V198</f>
        <v>0</v>
      </c>
      <c r="V57" s="178">
        <f>V54*Assumptions!W198</f>
        <v>0</v>
      </c>
      <c r="W57" s="178">
        <f>W54*Assumptions!X198</f>
        <v>0</v>
      </c>
      <c r="X57" s="178">
        <f>X54*Assumptions!Y198</f>
        <v>0</v>
      </c>
      <c r="Y57" s="178"/>
      <c r="Z57" s="178"/>
      <c r="AA57" s="490"/>
    </row>
    <row r="58" spans="1:27" s="494" customFormat="1" ht="12.75" customHeight="1" x14ac:dyDescent="0.25">
      <c r="A58" s="491"/>
      <c r="B58" s="465"/>
      <c r="C58" s="170" t="s">
        <v>134</v>
      </c>
      <c r="D58" s="492"/>
      <c r="E58" s="476">
        <f>E57*E51</f>
        <v>0</v>
      </c>
      <c r="F58" s="476">
        <f t="shared" ref="F58:N58" si="23">F57*F51</f>
        <v>0</v>
      </c>
      <c r="G58" s="476">
        <f t="shared" si="23"/>
        <v>0</v>
      </c>
      <c r="H58" s="476">
        <f t="shared" si="23"/>
        <v>0</v>
      </c>
      <c r="I58" s="476">
        <f t="shared" si="23"/>
        <v>0</v>
      </c>
      <c r="J58" s="476">
        <f t="shared" si="23"/>
        <v>0</v>
      </c>
      <c r="K58" s="476">
        <f t="shared" si="23"/>
        <v>0</v>
      </c>
      <c r="L58" s="476">
        <f t="shared" si="23"/>
        <v>0</v>
      </c>
      <c r="M58" s="476">
        <f t="shared" si="23"/>
        <v>0</v>
      </c>
      <c r="N58" s="476">
        <f t="shared" si="23"/>
        <v>0</v>
      </c>
      <c r="O58" s="476">
        <f t="shared" ref="O58:X58" si="24">O57*O51</f>
        <v>0</v>
      </c>
      <c r="P58" s="476">
        <f t="shared" si="24"/>
        <v>0</v>
      </c>
      <c r="Q58" s="476">
        <f t="shared" si="24"/>
        <v>0</v>
      </c>
      <c r="R58" s="476">
        <f t="shared" si="24"/>
        <v>0</v>
      </c>
      <c r="S58" s="476">
        <f t="shared" si="24"/>
        <v>0</v>
      </c>
      <c r="T58" s="476">
        <f t="shared" si="24"/>
        <v>0</v>
      </c>
      <c r="U58" s="476">
        <f t="shared" si="24"/>
        <v>0</v>
      </c>
      <c r="V58" s="476">
        <f t="shared" si="24"/>
        <v>0</v>
      </c>
      <c r="W58" s="476">
        <f t="shared" si="24"/>
        <v>0</v>
      </c>
      <c r="X58" s="476">
        <f t="shared" si="24"/>
        <v>0</v>
      </c>
      <c r="Y58" s="476"/>
      <c r="Z58" s="465"/>
      <c r="AA58" s="493"/>
    </row>
    <row r="59" spans="1:27" ht="12.75" customHeight="1" x14ac:dyDescent="0.25">
      <c r="A59" s="14"/>
      <c r="B59" s="15"/>
      <c r="C59" s="170"/>
      <c r="D59" s="170"/>
      <c r="E59" s="178"/>
      <c r="F59" s="178"/>
      <c r="G59" s="178"/>
      <c r="H59" s="178"/>
      <c r="I59" s="178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72"/>
    </row>
    <row r="60" spans="1:27" ht="12.75" customHeight="1" x14ac:dyDescent="0.25">
      <c r="A60" s="14"/>
      <c r="B60" s="15"/>
      <c r="C60" s="170" t="s">
        <v>183</v>
      </c>
      <c r="D60" s="170"/>
      <c r="E60" s="178">
        <f>E52*Assumptions!F199/1000</f>
        <v>0</v>
      </c>
      <c r="F60" s="178">
        <f>F52*Assumptions!G199/1000</f>
        <v>0</v>
      </c>
      <c r="G60" s="178">
        <f>G52*Assumptions!H199/1000</f>
        <v>0</v>
      </c>
      <c r="H60" s="178">
        <f>H52*Assumptions!I199/1000</f>
        <v>0</v>
      </c>
      <c r="I60" s="178">
        <f>I52*Assumptions!J199/1000</f>
        <v>0</v>
      </c>
      <c r="J60" s="178">
        <f>J52*Assumptions!K199/1000</f>
        <v>0</v>
      </c>
      <c r="K60" s="178">
        <f>K52*Assumptions!L199/1000</f>
        <v>0</v>
      </c>
      <c r="L60" s="178">
        <f>L52*Assumptions!M199/1000</f>
        <v>0</v>
      </c>
      <c r="M60" s="178">
        <f>M52*Assumptions!N199/1000</f>
        <v>0</v>
      </c>
      <c r="N60" s="178">
        <f>N52*Assumptions!O199/1000</f>
        <v>0</v>
      </c>
      <c r="O60" s="178">
        <f>O52*Assumptions!P199/1000</f>
        <v>0</v>
      </c>
      <c r="P60" s="178">
        <f>P52*Assumptions!Q199/1000</f>
        <v>0</v>
      </c>
      <c r="Q60" s="178">
        <f>Q52*Assumptions!R199/1000</f>
        <v>0</v>
      </c>
      <c r="R60" s="178">
        <f>R52*Assumptions!S199/1000</f>
        <v>0</v>
      </c>
      <c r="S60" s="178">
        <f>S52*Assumptions!T199/1000</f>
        <v>0</v>
      </c>
      <c r="T60" s="178">
        <f>T52*Assumptions!U199/1000</f>
        <v>0</v>
      </c>
      <c r="U60" s="178">
        <f>U52*Assumptions!V199/1000</f>
        <v>0</v>
      </c>
      <c r="V60" s="178">
        <f>V52*Assumptions!W199/1000</f>
        <v>0</v>
      </c>
      <c r="W60" s="178">
        <f>W52*Assumptions!X199/1000</f>
        <v>0</v>
      </c>
      <c r="X60" s="178">
        <f>X52*Assumptions!Y199/1000</f>
        <v>0</v>
      </c>
      <c r="Y60" s="178"/>
      <c r="Z60" s="15"/>
      <c r="AA60" s="172"/>
    </row>
    <row r="61" spans="1:27" ht="12.75" customHeight="1" x14ac:dyDescent="0.25">
      <c r="A61" s="14"/>
      <c r="B61" s="15"/>
      <c r="C61" s="170"/>
      <c r="D61" s="170"/>
      <c r="E61" s="178"/>
      <c r="F61" s="178"/>
      <c r="G61" s="178"/>
      <c r="H61" s="178"/>
      <c r="I61" s="17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72"/>
    </row>
    <row r="62" spans="1:27" s="1" customFormat="1" ht="12.75" customHeight="1" x14ac:dyDescent="0.25">
      <c r="A62" s="436"/>
      <c r="B62" s="17"/>
      <c r="C62" s="177" t="s">
        <v>177</v>
      </c>
      <c r="D62" s="177"/>
      <c r="E62" s="465">
        <f>E55+E58+E60</f>
        <v>1701.4429687499996</v>
      </c>
      <c r="F62" s="465">
        <f t="shared" ref="F62:N62" si="25">F55+F58+F60</f>
        <v>1020.8657812499998</v>
      </c>
      <c r="G62" s="465">
        <f t="shared" si="25"/>
        <v>765.64933593749981</v>
      </c>
      <c r="H62" s="465">
        <f t="shared" si="25"/>
        <v>3014.7442602539054</v>
      </c>
      <c r="I62" s="465">
        <f t="shared" si="25"/>
        <v>3122.4136981201154</v>
      </c>
      <c r="J62" s="465">
        <f t="shared" si="25"/>
        <v>3391.5872927856435</v>
      </c>
      <c r="K62" s="465">
        <f t="shared" si="25"/>
        <v>1211.2811759948727</v>
      </c>
      <c r="L62" s="465">
        <f t="shared" si="25"/>
        <v>2407.4213372898093</v>
      </c>
      <c r="M62" s="465">
        <f t="shared" si="25"/>
        <v>1396.7586060690876</v>
      </c>
      <c r="N62" s="465">
        <f t="shared" si="25"/>
        <v>2299.5416075527655</v>
      </c>
      <c r="O62" s="465">
        <f t="shared" ref="O62:X62" si="26">O55+O58+O60</f>
        <v>1264.7478841540212</v>
      </c>
      <c r="P62" s="465">
        <f t="shared" si="26"/>
        <v>632.37394207701061</v>
      </c>
      <c r="Q62" s="465">
        <f t="shared" si="26"/>
        <v>829.99079897607646</v>
      </c>
      <c r="R62" s="465">
        <f t="shared" si="26"/>
        <v>525.48118766342509</v>
      </c>
      <c r="S62" s="465">
        <f t="shared" si="26"/>
        <v>691.20986992650523</v>
      </c>
      <c r="T62" s="465">
        <f t="shared" si="26"/>
        <v>409.26900193016758</v>
      </c>
      <c r="U62" s="465">
        <f t="shared" si="26"/>
        <v>231.91910109376161</v>
      </c>
      <c r="V62" s="465">
        <f t="shared" si="26"/>
        <v>445.08003959905722</v>
      </c>
      <c r="W62" s="465">
        <f t="shared" si="26"/>
        <v>178.41570552893242</v>
      </c>
      <c r="X62" s="465">
        <f t="shared" si="26"/>
        <v>204.31475955732586</v>
      </c>
      <c r="Y62" s="465"/>
      <c r="Z62" s="17"/>
      <c r="AA62" s="463"/>
    </row>
    <row r="63" spans="1:27" ht="12.75" customHeight="1" thickBot="1" x14ac:dyDescent="0.3">
      <c r="A63" s="31"/>
      <c r="B63" s="18"/>
      <c r="C63" s="223"/>
      <c r="D63" s="223"/>
      <c r="E63" s="495"/>
      <c r="F63" s="495"/>
      <c r="G63" s="495"/>
      <c r="H63" s="495"/>
      <c r="I63" s="495"/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  <c r="U63" s="495"/>
      <c r="V63" s="495"/>
      <c r="W63" s="495"/>
      <c r="X63" s="495"/>
      <c r="Y63" s="495"/>
      <c r="Z63" s="18"/>
      <c r="AA63" s="212"/>
    </row>
    <row r="64" spans="1:27" ht="12.75" customHeight="1" x14ac:dyDescent="0.25">
      <c r="A64" s="14"/>
      <c r="B64" s="15"/>
      <c r="C64" s="170"/>
      <c r="D64" s="170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15"/>
      <c r="AA64" s="172"/>
    </row>
    <row r="65" spans="1:35" ht="12.75" customHeight="1" x14ac:dyDescent="0.25">
      <c r="A65" s="14"/>
      <c r="B65" s="15"/>
      <c r="C65" s="177" t="s">
        <v>1096</v>
      </c>
      <c r="D65" s="170"/>
      <c r="E65" s="465">
        <f>(E37+E62)*Assumptions!$F$160</f>
        <v>374.31745312499993</v>
      </c>
      <c r="F65" s="465">
        <f>(F37+F62)*Assumptions!$F$160</f>
        <v>204.17315624999998</v>
      </c>
      <c r="G65" s="465">
        <f>(G37+G62)*Assumptions!$F$160</f>
        <v>153.12986718749997</v>
      </c>
      <c r="H65" s="465">
        <f>(H37+H62)*Assumptions!$F$160</f>
        <v>602.94885205078106</v>
      </c>
      <c r="I65" s="465">
        <f>(I37+I62)*Assumptions!$F$160</f>
        <v>624.48273962402311</v>
      </c>
      <c r="J65" s="465">
        <f>(J37+J62)*Assumptions!$F$160</f>
        <v>686.39266639709456</v>
      </c>
      <c r="K65" s="465">
        <f>(K37+K62)*Assumptions!$F$160</f>
        <v>242.25623519897454</v>
      </c>
      <c r="L65" s="465">
        <f>(L37+L62)*Assumptions!$F$160</f>
        <v>481.48426745796189</v>
      </c>
      <c r="M65" s="465">
        <f>(M37+M62)*Assumptions!$F$160</f>
        <v>279.35172121381754</v>
      </c>
      <c r="N65" s="465">
        <f>(N37+N62)*Assumptions!$F$160</f>
        <v>459.90832151055315</v>
      </c>
      <c r="O65" s="465">
        <f>(O37+O62)*Assumptions!$F$160</f>
        <v>254.8658615037649</v>
      </c>
      <c r="P65" s="465">
        <f>(P37+P62)*Assumptions!$F$160</f>
        <v>126.47478841540213</v>
      </c>
      <c r="Q65" s="465">
        <f>(Q37+Q62)*Assumptions!$F$160</f>
        <v>165.99815979521532</v>
      </c>
      <c r="R65" s="465">
        <f>(R37+R62)*Assumptions!$F$160</f>
        <v>105.09623753268502</v>
      </c>
      <c r="S65" s="465">
        <f>(S37+S62)*Assumptions!$F$160</f>
        <v>138.24197398530106</v>
      </c>
      <c r="T65" s="465">
        <f>(T37+T62)*Assumptions!$F$160</f>
        <v>82.308543721511484</v>
      </c>
      <c r="U65" s="465">
        <f>(U37+U62)*Assumptions!$F$160</f>
        <v>46.383820218752327</v>
      </c>
      <c r="V65" s="465">
        <f>(V37+V62)*Assumptions!$F$160</f>
        <v>89.016007919811443</v>
      </c>
      <c r="W65" s="465">
        <f>(W37+W62)*Assumptions!$F$160</f>
        <v>35.683141105786483</v>
      </c>
      <c r="X65" s="465">
        <f>(X37+X62)*Assumptions!$F$160</f>
        <v>40.862951911465174</v>
      </c>
      <c r="Y65" s="253"/>
      <c r="Z65" s="15"/>
      <c r="AA65" s="172"/>
    </row>
    <row r="66" spans="1:35" ht="12.75" customHeight="1" thickBot="1" x14ac:dyDescent="0.3">
      <c r="A66" s="14"/>
      <c r="B66" s="15"/>
      <c r="C66" s="170"/>
      <c r="D66" s="170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15"/>
      <c r="AA66" s="172"/>
    </row>
    <row r="67" spans="1:35" ht="12.75" customHeight="1" x14ac:dyDescent="0.25">
      <c r="A67" s="213"/>
      <c r="B67" s="165"/>
      <c r="C67" s="164"/>
      <c r="D67" s="164"/>
      <c r="E67" s="474"/>
      <c r="F67" s="474"/>
      <c r="G67" s="474"/>
      <c r="H67" s="474"/>
      <c r="I67" s="474"/>
      <c r="J67" s="474"/>
      <c r="K67" s="474"/>
      <c r="L67" s="474"/>
      <c r="M67" s="474"/>
      <c r="N67" s="474"/>
      <c r="O67" s="474"/>
      <c r="P67" s="474"/>
      <c r="Q67" s="474"/>
      <c r="R67" s="474"/>
      <c r="S67" s="474"/>
      <c r="T67" s="474"/>
      <c r="U67" s="474"/>
      <c r="V67" s="474"/>
      <c r="W67" s="474"/>
      <c r="X67" s="474"/>
      <c r="Y67" s="474"/>
      <c r="Z67" s="165"/>
      <c r="AA67" s="167"/>
    </row>
    <row r="68" spans="1:35" s="1" customFormat="1" ht="12.75" customHeight="1" thickBot="1" x14ac:dyDescent="0.3">
      <c r="A68" s="610"/>
      <c r="B68" s="611" t="s">
        <v>186</v>
      </c>
      <c r="C68" s="612"/>
      <c r="D68" s="612"/>
      <c r="E68" s="613">
        <f>E37+E62+E65</f>
        <v>2245.9047187499996</v>
      </c>
      <c r="F68" s="613">
        <f t="shared" ref="F68:X68" si="27">F37+F62+F65</f>
        <v>1225.0389374999997</v>
      </c>
      <c r="G68" s="613">
        <f t="shared" si="27"/>
        <v>918.77920312499975</v>
      </c>
      <c r="H68" s="613">
        <f t="shared" si="27"/>
        <v>3617.6931123046866</v>
      </c>
      <c r="I68" s="613">
        <f t="shared" si="27"/>
        <v>3746.8964377441384</v>
      </c>
      <c r="J68" s="613">
        <f t="shared" si="27"/>
        <v>4118.3559983825671</v>
      </c>
      <c r="K68" s="613">
        <f t="shared" si="27"/>
        <v>1453.5374111938472</v>
      </c>
      <c r="L68" s="613">
        <f t="shared" si="27"/>
        <v>2888.9056047477711</v>
      </c>
      <c r="M68" s="613">
        <f t="shared" si="27"/>
        <v>1676.110327282905</v>
      </c>
      <c r="N68" s="613">
        <f t="shared" si="27"/>
        <v>2759.4499290633185</v>
      </c>
      <c r="O68" s="613">
        <f t="shared" si="27"/>
        <v>1529.1951690225892</v>
      </c>
      <c r="P68" s="613">
        <f t="shared" si="27"/>
        <v>758.84873049241276</v>
      </c>
      <c r="Q68" s="613">
        <f t="shared" si="27"/>
        <v>995.98895877129178</v>
      </c>
      <c r="R68" s="613">
        <f t="shared" si="27"/>
        <v>630.57742519611008</v>
      </c>
      <c r="S68" s="613">
        <f t="shared" si="27"/>
        <v>829.45184391180624</v>
      </c>
      <c r="T68" s="613">
        <f t="shared" si="27"/>
        <v>493.85126232906885</v>
      </c>
      <c r="U68" s="613">
        <f t="shared" si="27"/>
        <v>278.30292131251394</v>
      </c>
      <c r="V68" s="613">
        <f t="shared" si="27"/>
        <v>534.09604751886866</v>
      </c>
      <c r="W68" s="613">
        <f t="shared" si="27"/>
        <v>214.09884663471891</v>
      </c>
      <c r="X68" s="613">
        <f t="shared" si="27"/>
        <v>245.17771146879102</v>
      </c>
      <c r="Y68" s="465"/>
      <c r="Z68" s="17"/>
      <c r="AA68" s="463"/>
    </row>
    <row r="69" spans="1:35" ht="12.75" customHeight="1" thickTop="1" x14ac:dyDescent="0.25">
      <c r="A69" s="14"/>
      <c r="B69" s="17"/>
      <c r="C69" s="170"/>
      <c r="D69" s="170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5"/>
      <c r="AA69" s="172"/>
    </row>
    <row r="70" spans="1:35" ht="12.75" customHeight="1" x14ac:dyDescent="0.25">
      <c r="A70" s="14"/>
      <c r="B70" s="17"/>
      <c r="C70" s="170" t="s">
        <v>241</v>
      </c>
      <c r="D70" s="170"/>
      <c r="E70" s="178">
        <f>Assumptions!F28</f>
        <v>9679.8918346216069</v>
      </c>
      <c r="F70" s="178">
        <f>Assumptions!G28</f>
        <v>44842.917049465184</v>
      </c>
      <c r="G70" s="178">
        <f>Assumptions!H28</f>
        <v>162753.03567903742</v>
      </c>
      <c r="H70" s="178">
        <f>Assumptions!I28</f>
        <v>527157.45529150765</v>
      </c>
      <c r="I70" s="178">
        <f>Assumptions!J28</f>
        <v>1031810.3824692816</v>
      </c>
      <c r="J70" s="178">
        <f>Assumptions!K28</f>
        <v>1641073.8851990085</v>
      </c>
      <c r="K70" s="178">
        <f>Assumptions!L28</f>
        <v>2400998.0565802758</v>
      </c>
      <c r="L70" s="178">
        <f>Assumptions!M28</f>
        <v>3190622.9249297455</v>
      </c>
      <c r="M70" s="178">
        <f>Assumptions!N28</f>
        <v>4001011.861038697</v>
      </c>
      <c r="N70" s="178">
        <f>Assumptions!O28</f>
        <v>4831291.1584845111</v>
      </c>
      <c r="O70" s="178">
        <f>Assumptions!P28</f>
        <v>5364969.5117721474</v>
      </c>
      <c r="P70" s="178">
        <f>Assumptions!Q28</f>
        <v>5998221.9978256002</v>
      </c>
      <c r="Q70" s="178">
        <f>Assumptions!R28</f>
        <v>6602547.2276779683</v>
      </c>
      <c r="R70" s="178">
        <f>Assumptions!S28</f>
        <v>7247440.9611745151</v>
      </c>
      <c r="S70" s="178">
        <f>Assumptions!T28</f>
        <v>7842598.0657263361</v>
      </c>
      <c r="T70" s="178">
        <f>Assumptions!U28</f>
        <v>8375473.9944316531</v>
      </c>
      <c r="U70" s="178">
        <f>Assumptions!V28</f>
        <v>8932090.9672121629</v>
      </c>
      <c r="V70" s="178">
        <f>Assumptions!W28</f>
        <v>9715408.4563397542</v>
      </c>
      <c r="W70" s="178">
        <f>Assumptions!X28</f>
        <v>10540932.898125341</v>
      </c>
      <c r="X70" s="178">
        <f>Assumptions!Y28</f>
        <v>11410732.42162074</v>
      </c>
      <c r="Y70" s="178"/>
      <c r="Z70" s="15"/>
      <c r="AA70" s="172"/>
    </row>
    <row r="71" spans="1:35" ht="12.75" customHeight="1" x14ac:dyDescent="0.25">
      <c r="A71" s="14"/>
      <c r="B71" s="17"/>
      <c r="C71" s="170" t="s">
        <v>242</v>
      </c>
      <c r="D71" s="170"/>
      <c r="E71" s="253">
        <f>(E68*1000)/E70/12</f>
        <v>19.334795239456941</v>
      </c>
      <c r="F71" s="253">
        <f>(F68*1000)/F70/12</f>
        <v>2.2765374075105469</v>
      </c>
      <c r="G71" s="253">
        <f>(G68*1000)/G70/12</f>
        <v>0.47043628571538548</v>
      </c>
      <c r="H71" s="496">
        <f>(H68*1000)/H70/12</f>
        <v>0.57188686795424559</v>
      </c>
      <c r="I71" s="496">
        <f t="shared" ref="I71:N71" si="28">(I68*1000)/I70/12</f>
        <v>0.30261506873459609</v>
      </c>
      <c r="J71" s="496">
        <f t="shared" si="28"/>
        <v>0.20912911739920156</v>
      </c>
      <c r="K71" s="496">
        <f t="shared" si="28"/>
        <v>5.0449069405749197E-2</v>
      </c>
      <c r="L71" s="496">
        <f t="shared" si="28"/>
        <v>7.5453019486557429E-2</v>
      </c>
      <c r="M71" s="496">
        <f t="shared" si="28"/>
        <v>3.4910134100589171E-2</v>
      </c>
      <c r="N71" s="496">
        <f t="shared" si="28"/>
        <v>4.7596833478239176E-2</v>
      </c>
      <c r="O71" s="496">
        <f t="shared" ref="O71:X71" si="29">(O68*1000)/O70/12</f>
        <v>2.3752778179309542E-2</v>
      </c>
      <c r="P71" s="496">
        <f t="shared" si="29"/>
        <v>1.0542689855531371E-2</v>
      </c>
      <c r="Q71" s="496">
        <f t="shared" si="29"/>
        <v>1.2570766559559675E-2</v>
      </c>
      <c r="R71" s="496">
        <f t="shared" si="29"/>
        <v>7.2505756235683215E-3</v>
      </c>
      <c r="S71" s="496">
        <f t="shared" si="29"/>
        <v>8.8135317420795205E-3</v>
      </c>
      <c r="T71" s="496">
        <f t="shared" si="29"/>
        <v>4.9136648132531635E-3</v>
      </c>
      <c r="U71" s="496">
        <f t="shared" si="29"/>
        <v>2.5964704339117022E-3</v>
      </c>
      <c r="V71" s="496">
        <f t="shared" si="29"/>
        <v>4.5811768141217147E-3</v>
      </c>
      <c r="W71" s="496">
        <f t="shared" si="29"/>
        <v>1.6925988169478139E-3</v>
      </c>
      <c r="X71" s="496">
        <f t="shared" si="29"/>
        <v>1.7905490375902241E-3</v>
      </c>
      <c r="Y71" s="496"/>
      <c r="Z71" s="15"/>
      <c r="AA71" s="172"/>
    </row>
    <row r="72" spans="1:35" ht="12.75" customHeight="1" x14ac:dyDescent="0.25">
      <c r="A72" s="14"/>
      <c r="B72" s="17"/>
      <c r="C72" s="170"/>
      <c r="D72" s="170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5"/>
      <c r="AA72" s="172"/>
    </row>
    <row r="73" spans="1:35" ht="12.75" customHeight="1" thickBot="1" x14ac:dyDescent="0.3">
      <c r="A73" s="31"/>
      <c r="B73" s="18"/>
      <c r="C73" s="223"/>
      <c r="D73" s="223"/>
      <c r="E73" s="459"/>
      <c r="F73" s="459"/>
      <c r="G73" s="459"/>
      <c r="H73" s="459"/>
      <c r="I73" s="459"/>
      <c r="J73" s="459"/>
      <c r="K73" s="459"/>
      <c r="L73" s="459"/>
      <c r="M73" s="459"/>
      <c r="N73" s="459"/>
      <c r="O73" s="459"/>
      <c r="P73" s="459"/>
      <c r="Q73" s="459"/>
      <c r="R73" s="459"/>
      <c r="S73" s="459"/>
      <c r="T73" s="459"/>
      <c r="U73" s="459"/>
      <c r="V73" s="459"/>
      <c r="W73" s="459"/>
      <c r="X73" s="459"/>
      <c r="Y73" s="459"/>
      <c r="Z73" s="18"/>
      <c r="AA73" s="212"/>
    </row>
    <row r="74" spans="1:35" ht="12.75" customHeight="1" x14ac:dyDescent="0.25">
      <c r="A74" s="213"/>
      <c r="B74" s="165"/>
      <c r="C74" s="164"/>
      <c r="D74" s="164"/>
      <c r="E74" s="474"/>
      <c r="F74" s="474"/>
      <c r="G74" s="474"/>
      <c r="H74" s="474"/>
      <c r="I74" s="474"/>
      <c r="J74" s="474"/>
      <c r="K74" s="474"/>
      <c r="L74" s="474"/>
      <c r="M74" s="474"/>
      <c r="N74" s="474"/>
      <c r="O74" s="474"/>
      <c r="P74" s="474"/>
      <c r="Q74" s="474"/>
      <c r="R74" s="474"/>
      <c r="S74" s="474"/>
      <c r="T74" s="474"/>
      <c r="U74" s="474"/>
      <c r="V74" s="474"/>
      <c r="W74" s="474"/>
      <c r="X74" s="474"/>
      <c r="Y74" s="474"/>
      <c r="Z74" s="165"/>
      <c r="AA74" s="167"/>
    </row>
    <row r="75" spans="1:35" ht="12.75" customHeight="1" x14ac:dyDescent="0.25">
      <c r="A75" s="14"/>
      <c r="B75" s="343" t="s">
        <v>178</v>
      </c>
      <c r="C75" s="170"/>
      <c r="D75" s="170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5"/>
      <c r="AA75" s="172"/>
    </row>
    <row r="76" spans="1:35" ht="12.75" customHeight="1" x14ac:dyDescent="0.25">
      <c r="A76" s="14"/>
      <c r="B76" s="15"/>
      <c r="C76" s="170" t="s">
        <v>187</v>
      </c>
      <c r="D76" s="170"/>
      <c r="E76" s="178">
        <f>E68</f>
        <v>2245.9047187499996</v>
      </c>
      <c r="F76" s="178">
        <f t="shared" ref="F76:N76" si="30">F68</f>
        <v>1225.0389374999997</v>
      </c>
      <c r="G76" s="178">
        <f t="shared" si="30"/>
        <v>918.77920312499975</v>
      </c>
      <c r="H76" s="178">
        <f t="shared" si="30"/>
        <v>3617.6931123046866</v>
      </c>
      <c r="I76" s="178">
        <f t="shared" si="30"/>
        <v>3746.8964377441384</v>
      </c>
      <c r="J76" s="178">
        <f t="shared" si="30"/>
        <v>4118.3559983825671</v>
      </c>
      <c r="K76" s="178">
        <f t="shared" si="30"/>
        <v>1453.5374111938472</v>
      </c>
      <c r="L76" s="178">
        <f t="shared" si="30"/>
        <v>2888.9056047477711</v>
      </c>
      <c r="M76" s="178">
        <f t="shared" si="30"/>
        <v>1676.110327282905</v>
      </c>
      <c r="N76" s="178">
        <f t="shared" si="30"/>
        <v>2759.4499290633185</v>
      </c>
      <c r="O76" s="178">
        <f t="shared" ref="O76:X76" si="31">O68</f>
        <v>1529.1951690225892</v>
      </c>
      <c r="P76" s="178">
        <f t="shared" si="31"/>
        <v>758.84873049241276</v>
      </c>
      <c r="Q76" s="178">
        <f t="shared" si="31"/>
        <v>995.98895877129178</v>
      </c>
      <c r="R76" s="178">
        <f t="shared" si="31"/>
        <v>630.57742519611008</v>
      </c>
      <c r="S76" s="178">
        <f t="shared" si="31"/>
        <v>829.45184391180624</v>
      </c>
      <c r="T76" s="178">
        <f t="shared" si="31"/>
        <v>493.85126232906885</v>
      </c>
      <c r="U76" s="178">
        <f t="shared" si="31"/>
        <v>278.30292131251394</v>
      </c>
      <c r="V76" s="178">
        <f t="shared" si="31"/>
        <v>534.09604751886866</v>
      </c>
      <c r="W76" s="178">
        <f t="shared" si="31"/>
        <v>214.09884663471891</v>
      </c>
      <c r="X76" s="178">
        <f t="shared" si="31"/>
        <v>245.17771146879102</v>
      </c>
      <c r="Y76" s="178"/>
      <c r="Z76" s="15"/>
      <c r="AA76" s="172"/>
    </row>
    <row r="77" spans="1:35" ht="12.75" customHeight="1" x14ac:dyDescent="0.25">
      <c r="A77" s="14"/>
      <c r="B77" s="15"/>
      <c r="C77" s="170" t="s">
        <v>188</v>
      </c>
      <c r="D77" s="170"/>
      <c r="E77" s="178">
        <f>SUM($E$76:E76)</f>
        <v>2245.9047187499996</v>
      </c>
      <c r="F77" s="178">
        <f>SUM($E$76:F76)</f>
        <v>3470.9436562499995</v>
      </c>
      <c r="G77" s="178">
        <f>SUM($E$76:G76)</f>
        <v>4389.7228593749996</v>
      </c>
      <c r="H77" s="178">
        <f>SUM($E$76:H76)</f>
        <v>8007.4159716796858</v>
      </c>
      <c r="I77" s="178">
        <f>SUM($E$76:I76)</f>
        <v>11754.312409423825</v>
      </c>
      <c r="J77" s="178">
        <f>SUM($E$76:J76)</f>
        <v>15872.668407806392</v>
      </c>
      <c r="K77" s="178">
        <f>SUM($E$76:K76)</f>
        <v>17326.205819000239</v>
      </c>
      <c r="L77" s="178">
        <f>SUM($E$76:L76)</f>
        <v>20215.111423748011</v>
      </c>
      <c r="M77" s="178">
        <f>SUM($E$76:M76)</f>
        <v>21891.221751030916</v>
      </c>
      <c r="N77" s="178">
        <f>SUM($E$76:N76)</f>
        <v>24650.671680094234</v>
      </c>
      <c r="O77" s="178">
        <f>SUM($E$76:O76)</f>
        <v>26179.866849116825</v>
      </c>
      <c r="P77" s="178">
        <f>SUM($E$76:P76)</f>
        <v>26938.715579609237</v>
      </c>
      <c r="Q77" s="178">
        <f>SUM($E$76:Q76)</f>
        <v>27934.704538380531</v>
      </c>
      <c r="R77" s="178">
        <f>SUM($E$76:R76)</f>
        <v>28565.281963576639</v>
      </c>
      <c r="S77" s="178">
        <f>SUM($E$76:S76)</f>
        <v>29394.733807488446</v>
      </c>
      <c r="T77" s="178">
        <f>SUM($E$76:T76)</f>
        <v>29888.585069817516</v>
      </c>
      <c r="U77" s="178">
        <f>SUM($E$76:U76)</f>
        <v>30166.887991130032</v>
      </c>
      <c r="V77" s="178">
        <f>SUM($E$76:V76)</f>
        <v>30700.984038648901</v>
      </c>
      <c r="W77" s="178">
        <f>SUM($E$76:W76)</f>
        <v>30915.08288528362</v>
      </c>
      <c r="X77" s="178">
        <f>SUM($E$76:X76)</f>
        <v>31160.26059675241</v>
      </c>
      <c r="Y77" s="178"/>
      <c r="Z77" s="15"/>
      <c r="AA77" s="172"/>
    </row>
    <row r="78" spans="1:35" ht="12.75" customHeight="1" x14ac:dyDescent="0.25">
      <c r="A78" s="14"/>
      <c r="B78" s="15"/>
      <c r="C78" s="170"/>
      <c r="D78" s="170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5"/>
      <c r="AA78" s="172"/>
    </row>
    <row r="79" spans="1:35" ht="12.75" customHeight="1" x14ac:dyDescent="0.25">
      <c r="A79" s="14"/>
      <c r="B79" s="15"/>
      <c r="C79" s="170" t="s">
        <v>189</v>
      </c>
      <c r="D79" s="170"/>
      <c r="E79" s="178">
        <f>Assumptions!F34/1000</f>
        <v>464.63480806183708</v>
      </c>
      <c r="F79" s="178">
        <f>Assumptions!G34/1000</f>
        <v>2354.2531450969223</v>
      </c>
      <c r="G79" s="178">
        <f>Assumptions!H34/1000</f>
        <v>9276.9230337051322</v>
      </c>
      <c r="H79" s="178">
        <f>Assumptions!I34/1000</f>
        <v>32420.18350042772</v>
      </c>
      <c r="I79" s="178">
        <f>Assumptions!J34/1000</f>
        <v>68099.485242972587</v>
      </c>
      <c r="J79" s="178">
        <f>Assumptions!K34/1000</f>
        <v>108310.87642313456</v>
      </c>
      <c r="K79" s="178">
        <f>Assumptions!L34/1000</f>
        <v>158465.87173429821</v>
      </c>
      <c r="L79" s="178">
        <f>Assumptions!M34/1000</f>
        <v>210581.11304536319</v>
      </c>
      <c r="M79" s="178">
        <f>Assumptions!N34/1000</f>
        <v>264066.78282855399</v>
      </c>
      <c r="N79" s="178">
        <f>Assumptions!O34/1000</f>
        <v>318865.21645997773</v>
      </c>
      <c r="O79" s="178">
        <f>Assumptions!P34/1000</f>
        <v>354087.98777696176</v>
      </c>
      <c r="P79" s="178">
        <f>Assumptions!Q34/1000</f>
        <v>395882.6518564896</v>
      </c>
      <c r="Q79" s="178">
        <f>Assumptions!R34/1000</f>
        <v>435768.11702674592</v>
      </c>
      <c r="R79" s="178">
        <f>Assumptions!S34/1000</f>
        <v>478331.103437518</v>
      </c>
      <c r="S79" s="178">
        <f>Assumptions!T34/1000</f>
        <v>517611.4723379382</v>
      </c>
      <c r="T79" s="178">
        <f>Assumptions!U34/1000</f>
        <v>552781.28363248904</v>
      </c>
      <c r="U79" s="178">
        <f>Assumptions!V34/1000</f>
        <v>589518.00383600267</v>
      </c>
      <c r="V79" s="178">
        <f>Assumptions!W34/1000</f>
        <v>641216.95811842382</v>
      </c>
      <c r="W79" s="178">
        <f>Assumptions!X34/1000</f>
        <v>695701.57127627253</v>
      </c>
      <c r="X79" s="178">
        <f>Assumptions!Y34/1000</f>
        <v>753108.33982696896</v>
      </c>
      <c r="Y79" s="178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 x14ac:dyDescent="0.25">
      <c r="A80" s="14"/>
      <c r="B80" s="15"/>
      <c r="C80" s="15" t="s">
        <v>235</v>
      </c>
      <c r="D80" s="15"/>
      <c r="E80" s="178">
        <f>SUM($E$79:E79)</f>
        <v>464.63480806183708</v>
      </c>
      <c r="F80" s="178">
        <f>SUM($E$79:F79)</f>
        <v>2818.8879531587595</v>
      </c>
      <c r="G80" s="178">
        <f>SUM($E$79:G79)</f>
        <v>12095.810986863891</v>
      </c>
      <c r="H80" s="178">
        <f>SUM($E$79:H79)</f>
        <v>44515.994487291609</v>
      </c>
      <c r="I80" s="178">
        <f>SUM($E$79:I79)</f>
        <v>112615.4797302642</v>
      </c>
      <c r="J80" s="178">
        <f>SUM($E$79:J79)</f>
        <v>220926.35615339875</v>
      </c>
      <c r="K80" s="178">
        <f>SUM($E$79:K79)</f>
        <v>379392.22788769694</v>
      </c>
      <c r="L80" s="178">
        <f>SUM($E$79:L79)</f>
        <v>589973.34093306016</v>
      </c>
      <c r="M80" s="178">
        <f>SUM($E$79:M79)</f>
        <v>854040.12376161409</v>
      </c>
      <c r="N80" s="178">
        <f>SUM($E$79:N79)</f>
        <v>1172905.3402215918</v>
      </c>
      <c r="O80" s="178">
        <f>SUM($E$79:O79)</f>
        <v>1526993.3279985534</v>
      </c>
      <c r="P80" s="178">
        <f>SUM($E$79:P79)</f>
        <v>1922875.9798550429</v>
      </c>
      <c r="Q80" s="178">
        <f>SUM($E$79:Q79)</f>
        <v>2358644.0968817887</v>
      </c>
      <c r="R80" s="178">
        <f>SUM($E$79:R79)</f>
        <v>2836975.2003193069</v>
      </c>
      <c r="S80" s="178">
        <f>SUM($E$79:S79)</f>
        <v>3354586.6726572453</v>
      </c>
      <c r="T80" s="178">
        <f>SUM($E$79:T79)</f>
        <v>3907367.9562897342</v>
      </c>
      <c r="U80" s="178">
        <f>SUM($E$79:U79)</f>
        <v>4496885.9601257369</v>
      </c>
      <c r="V80" s="178">
        <f>SUM($E$79:V79)</f>
        <v>5138102.9182441607</v>
      </c>
      <c r="W80" s="178">
        <f>SUM($E$79:W79)</f>
        <v>5833804.4895204334</v>
      </c>
      <c r="X80" s="178">
        <f>SUM($E$79:X79)</f>
        <v>6586912.8293474019</v>
      </c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</row>
    <row r="81" spans="1:35" x14ac:dyDescent="0.25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72"/>
    </row>
    <row r="82" spans="1:35" x14ac:dyDescent="0.25">
      <c r="A82" s="14"/>
      <c r="B82" s="17" t="s">
        <v>190</v>
      </c>
      <c r="C82" s="17"/>
      <c r="D82" s="17"/>
      <c r="E82" s="497">
        <f>E77/E80</f>
        <v>4.8336988098642362</v>
      </c>
      <c r="F82" s="497">
        <f t="shared" ref="F82:N82" si="32">F77/F80</f>
        <v>1.2313166446933679</v>
      </c>
      <c r="G82" s="497">
        <f t="shared" si="32"/>
        <v>0.36291265332620193</v>
      </c>
      <c r="H82" s="497">
        <f t="shared" si="32"/>
        <v>0.17987727925444047</v>
      </c>
      <c r="I82" s="497">
        <f t="shared" si="32"/>
        <v>0.10437563679147548</v>
      </c>
      <c r="J82" s="497">
        <f t="shared" si="32"/>
        <v>7.1845970232656667E-2</v>
      </c>
      <c r="K82" s="497">
        <f t="shared" si="32"/>
        <v>4.5668320396191488E-2</v>
      </c>
      <c r="L82" s="497">
        <f t="shared" si="32"/>
        <v>3.4264448952519143E-2</v>
      </c>
      <c r="M82" s="497">
        <f t="shared" si="32"/>
        <v>2.563254482074118E-2</v>
      </c>
      <c r="N82" s="497">
        <f t="shared" si="32"/>
        <v>2.1016761399890203E-2</v>
      </c>
      <c r="O82" s="497">
        <f t="shared" ref="O82:X82" si="33">O77/O80</f>
        <v>1.7144715938890876E-2</v>
      </c>
      <c r="P82" s="497">
        <f t="shared" si="33"/>
        <v>1.4009595970739636E-2</v>
      </c>
      <c r="Q82" s="497">
        <f t="shared" si="33"/>
        <v>1.1843543744183874E-2</v>
      </c>
      <c r="R82" s="497">
        <f t="shared" si="33"/>
        <v>1.0068921984359103E-2</v>
      </c>
      <c r="S82" s="497">
        <f t="shared" si="33"/>
        <v>8.7625501070163741E-3</v>
      </c>
      <c r="T82" s="497">
        <f t="shared" si="33"/>
        <v>7.6492885758827813E-3</v>
      </c>
      <c r="U82" s="497">
        <f t="shared" si="33"/>
        <v>6.7083951558083409E-3</v>
      </c>
      <c r="V82" s="497">
        <f t="shared" si="33"/>
        <v>5.975159417231043E-3</v>
      </c>
      <c r="W82" s="497">
        <f t="shared" si="33"/>
        <v>5.2993004720706689E-3</v>
      </c>
      <c r="X82" s="497">
        <f t="shared" si="33"/>
        <v>4.7306319977274717E-3</v>
      </c>
      <c r="Y82" s="497"/>
      <c r="Z82" s="15"/>
      <c r="AA82" s="172"/>
    </row>
    <row r="83" spans="1:35" ht="13.8" thickBot="1" x14ac:dyDescent="0.3">
      <c r="A83" s="3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212"/>
    </row>
    <row r="84" spans="1:35" ht="11.25" customHeight="1" x14ac:dyDescent="0.25">
      <c r="AI84" s="338"/>
    </row>
    <row r="85" spans="1:35" hidden="1" x14ac:dyDescent="0.25"/>
    <row r="86" spans="1:35" hidden="1" x14ac:dyDescent="0.25"/>
    <row r="87" spans="1:35" hidden="1" x14ac:dyDescent="0.25"/>
    <row r="88" spans="1:35" hidden="1" x14ac:dyDescent="0.25">
      <c r="C88" s="13" t="s">
        <v>841</v>
      </c>
      <c r="E88" s="328">
        <f>E28+E51</f>
        <v>33</v>
      </c>
      <c r="F88" s="328">
        <f t="shared" ref="F88:X88" si="34">F28+F51</f>
        <v>54</v>
      </c>
      <c r="G88" s="328">
        <f t="shared" si="34"/>
        <v>78</v>
      </c>
      <c r="H88" s="328">
        <f t="shared" si="34"/>
        <v>204</v>
      </c>
      <c r="I88" s="328">
        <f t="shared" si="34"/>
        <v>378</v>
      </c>
      <c r="J88" s="328">
        <f t="shared" si="34"/>
        <v>603</v>
      </c>
      <c r="K88" s="328">
        <f t="shared" si="34"/>
        <v>696</v>
      </c>
      <c r="L88" s="328">
        <f t="shared" si="34"/>
        <v>990</v>
      </c>
      <c r="M88" s="328">
        <f t="shared" si="34"/>
        <v>1110</v>
      </c>
      <c r="N88" s="328">
        <f t="shared" si="34"/>
        <v>1476</v>
      </c>
      <c r="O88" s="328">
        <f t="shared" si="34"/>
        <v>1623</v>
      </c>
      <c r="P88" s="328">
        <f t="shared" si="34"/>
        <v>1764</v>
      </c>
      <c r="Q88" s="328">
        <f t="shared" si="34"/>
        <v>1908</v>
      </c>
      <c r="R88" s="328">
        <f t="shared" si="34"/>
        <v>2052</v>
      </c>
      <c r="S88" s="328">
        <f t="shared" si="34"/>
        <v>2196</v>
      </c>
      <c r="T88" s="328">
        <f t="shared" si="34"/>
        <v>2343</v>
      </c>
      <c r="U88" s="328">
        <f t="shared" si="34"/>
        <v>2484</v>
      </c>
      <c r="V88" s="328">
        <f t="shared" si="34"/>
        <v>3066</v>
      </c>
      <c r="W88" s="328">
        <f t="shared" si="34"/>
        <v>3234</v>
      </c>
      <c r="X88" s="328">
        <f t="shared" si="34"/>
        <v>3402</v>
      </c>
    </row>
    <row r="89" spans="1:35" hidden="1" x14ac:dyDescent="0.25">
      <c r="C89" s="13" t="s">
        <v>842</v>
      </c>
      <c r="E89" s="338">
        <f>E54</f>
        <v>56.714765624999991</v>
      </c>
      <c r="F89" s="338">
        <f t="shared" ref="F89:X89" si="35">F54</f>
        <v>42.536074218749995</v>
      </c>
      <c r="G89" s="338">
        <f t="shared" si="35"/>
        <v>31.902055664062491</v>
      </c>
      <c r="H89" s="338">
        <f t="shared" si="35"/>
        <v>23.926541748046869</v>
      </c>
      <c r="I89" s="338">
        <f t="shared" si="35"/>
        <v>17.944906311035147</v>
      </c>
      <c r="J89" s="338">
        <f t="shared" si="35"/>
        <v>13.458679733276362</v>
      </c>
      <c r="K89" s="338">
        <f t="shared" si="35"/>
        <v>10.094009799957272</v>
      </c>
      <c r="L89" s="338">
        <f t="shared" si="35"/>
        <v>7.5705073499679534</v>
      </c>
      <c r="M89" s="338">
        <f t="shared" si="35"/>
        <v>5.6778805124759657</v>
      </c>
      <c r="N89" s="338">
        <f t="shared" si="35"/>
        <v>4.2584103843569734</v>
      </c>
      <c r="O89" s="338">
        <f t="shared" si="35"/>
        <v>3.1938077882677303</v>
      </c>
      <c r="P89" s="338">
        <f t="shared" si="35"/>
        <v>2.3953558412007978</v>
      </c>
      <c r="Q89" s="338">
        <f t="shared" si="35"/>
        <v>1.7965168809005985</v>
      </c>
      <c r="R89" s="338">
        <f t="shared" si="35"/>
        <v>1.3473876606754489</v>
      </c>
      <c r="S89" s="338">
        <f t="shared" si="35"/>
        <v>1.0105407455065867</v>
      </c>
      <c r="T89" s="338">
        <f t="shared" si="35"/>
        <v>0.75790555912993995</v>
      </c>
      <c r="U89" s="338">
        <f t="shared" si="35"/>
        <v>0.56842916934745491</v>
      </c>
      <c r="V89" s="338">
        <f t="shared" si="35"/>
        <v>0.42632187701059121</v>
      </c>
      <c r="W89" s="338">
        <f t="shared" si="35"/>
        <v>0.31974140775794341</v>
      </c>
      <c r="X89" s="338">
        <f t="shared" si="35"/>
        <v>0.23980605581845757</v>
      </c>
    </row>
    <row r="90" spans="1:35" ht="13.8" hidden="1" thickBot="1" x14ac:dyDescent="0.3">
      <c r="C90" s="13" t="s">
        <v>843</v>
      </c>
      <c r="E90" s="498">
        <f>E88*E89</f>
        <v>1871.5872656249996</v>
      </c>
      <c r="F90" s="498">
        <f t="shared" ref="F90:X90" si="36">F88*F89</f>
        <v>2296.9480078124998</v>
      </c>
      <c r="G90" s="498">
        <f t="shared" si="36"/>
        <v>2488.3603417968743</v>
      </c>
      <c r="H90" s="498">
        <f t="shared" si="36"/>
        <v>4881.0145166015609</v>
      </c>
      <c r="I90" s="498">
        <f t="shared" si="36"/>
        <v>6783.1745855712861</v>
      </c>
      <c r="J90" s="498">
        <f t="shared" si="36"/>
        <v>8115.5838791656461</v>
      </c>
      <c r="K90" s="498">
        <f t="shared" si="36"/>
        <v>7025.4308207702616</v>
      </c>
      <c r="L90" s="498">
        <f t="shared" si="36"/>
        <v>7494.8022764682737</v>
      </c>
      <c r="M90" s="498">
        <f t="shared" si="36"/>
        <v>6302.4473688483222</v>
      </c>
      <c r="N90" s="498">
        <f t="shared" si="36"/>
        <v>6285.4137273108927</v>
      </c>
      <c r="O90" s="498">
        <f t="shared" si="36"/>
        <v>5183.5500403585265</v>
      </c>
      <c r="P90" s="498">
        <f t="shared" si="36"/>
        <v>4225.407703878207</v>
      </c>
      <c r="Q90" s="498">
        <f t="shared" si="36"/>
        <v>3427.754208758342</v>
      </c>
      <c r="R90" s="498">
        <f t="shared" si="36"/>
        <v>2764.8394797060209</v>
      </c>
      <c r="S90" s="498">
        <f t="shared" si="36"/>
        <v>2219.1474771324642</v>
      </c>
      <c r="T90" s="498">
        <f t="shared" si="36"/>
        <v>1775.7727250414493</v>
      </c>
      <c r="U90" s="498">
        <f t="shared" si="36"/>
        <v>1411.978056659078</v>
      </c>
      <c r="V90" s="498">
        <f t="shared" si="36"/>
        <v>1307.1028749144727</v>
      </c>
      <c r="W90" s="498">
        <f t="shared" si="36"/>
        <v>1034.0437126891891</v>
      </c>
      <c r="X90" s="498">
        <f t="shared" si="36"/>
        <v>815.82020189439265</v>
      </c>
    </row>
    <row r="96" spans="1:35" x14ac:dyDescent="0.25">
      <c r="G96" s="13" t="s">
        <v>1114</v>
      </c>
    </row>
  </sheetData>
  <customSheetViews>
    <customSheetView guid="{00A591F2-C6CE-11D4-B3FE-00409628F381}" scale="75" showPageBreaks="1" fitToPage="1" hiddenRows="1" showRuler="0">
      <pane xSplit="3" ySplit="5" topLeftCell="D21" activePane="bottomRight" state="frozen"/>
      <selection pane="bottomRight" activeCell="E68" sqref="E68"/>
      <rowBreaks count="2" manualBreakCount="2">
        <brk id="38" max="16383" man="1"/>
        <brk id="98" max="16383" man="1"/>
      </rowBreaks>
      <pageMargins left="0.75" right="0.75" top="1" bottom="1" header="0.5" footer="0.5"/>
      <pageSetup paperSize="5" scale="41" orientation="landscape" r:id="rId1"/>
      <headerFooter alignWithMargins="0"/>
    </customSheetView>
    <customSheetView guid="{39AEF1F3-C6CC-11D4-B3CC-0080C71F7D28}" scale="75" fitToPage="1" hiddenRows="1" showRuler="0">
      <pane xSplit="3" ySplit="5" topLeftCell="D21" activePane="bottomRight" state="frozen"/>
      <selection pane="bottomRight" activeCell="E68" sqref="E68"/>
      <rowBreaks count="1" manualBreakCount="1">
        <brk id="38" max="16383" man="1"/>
      </rowBreaks>
      <pageMargins left="0.75" right="0.75" top="1" bottom="1" header="0.5" footer="0.5"/>
      <pageSetup paperSize="5" scale="39" orientation="landscape" r:id="rId2"/>
      <headerFooter alignWithMargins="0"/>
    </customSheetView>
  </customSheetViews>
  <pageMargins left="0.75" right="0.75" top="1" bottom="1" header="0.5" footer="0.5"/>
  <pageSetup paperSize="5" scale="41" orientation="landscape" r:id="rId3"/>
  <headerFooter alignWithMargins="0"/>
  <rowBreaks count="2" manualBreakCount="2">
    <brk id="38" max="16383" man="1"/>
    <brk id="9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66"/>
  <sheetViews>
    <sheetView zoomScale="75" zoomScaleNormal="75" workbookViewId="0">
      <pane xSplit="3" ySplit="5" topLeftCell="D45" activePane="bottomRight" state="frozen"/>
      <selection pane="topRight" activeCell="D1" sqref="D1"/>
      <selection pane="bottomLeft" activeCell="A6" sqref="A6"/>
      <selection pane="bottomRight" activeCell="C69" sqref="C69"/>
    </sheetView>
  </sheetViews>
  <sheetFormatPr defaultColWidth="9.109375" defaultRowHeight="13.2" x14ac:dyDescent="0.25"/>
  <cols>
    <col min="1" max="2" width="2.6640625" style="144" customWidth="1"/>
    <col min="3" max="3" width="50.5546875" style="13" customWidth="1"/>
    <col min="4" max="4" width="2.33203125" style="13" customWidth="1"/>
    <col min="5" max="5" width="9.109375" style="13" hidden="1" customWidth="1"/>
    <col min="6" max="25" width="10.6640625" style="13" customWidth="1"/>
    <col min="26" max="26" width="2.6640625" style="13" customWidth="1"/>
    <col min="27" max="27" width="38.33203125" style="13" customWidth="1"/>
    <col min="28" max="16384" width="9.109375" style="13"/>
  </cols>
  <sheetData>
    <row r="1" spans="1:27" x14ac:dyDescent="0.25">
      <c r="A1" s="143" t="s">
        <v>135</v>
      </c>
      <c r="B1" s="380"/>
      <c r="C1" s="6"/>
    </row>
    <row r="2" spans="1:27" ht="13.8" thickBot="1" x14ac:dyDescent="0.3">
      <c r="C2" s="160"/>
    </row>
    <row r="3" spans="1:27" x14ac:dyDescent="0.25">
      <c r="A3" s="381"/>
      <c r="B3" s="382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</row>
    <row r="4" spans="1:27" x14ac:dyDescent="0.25">
      <c r="A4" s="383"/>
      <c r="B4" s="33"/>
      <c r="C4" s="170"/>
      <c r="D4" s="15"/>
      <c r="E4" s="15"/>
      <c r="F4" s="37">
        <f>Assumptions!F6</f>
        <v>2001</v>
      </c>
      <c r="G4" s="37">
        <f>Assumptions!G6</f>
        <v>2002</v>
      </c>
      <c r="H4" s="37">
        <f>Assumptions!H6</f>
        <v>2003</v>
      </c>
      <c r="I4" s="37">
        <f>Assumptions!I6</f>
        <v>2004</v>
      </c>
      <c r="J4" s="37">
        <f>Assumptions!J6</f>
        <v>2005</v>
      </c>
      <c r="K4" s="37">
        <f>Assumptions!K6</f>
        <v>2006</v>
      </c>
      <c r="L4" s="37">
        <f>Assumptions!L6</f>
        <v>2007</v>
      </c>
      <c r="M4" s="37">
        <f>Assumptions!M6</f>
        <v>2008</v>
      </c>
      <c r="N4" s="37">
        <f>Assumptions!N6</f>
        <v>2009</v>
      </c>
      <c r="O4" s="37">
        <f>Assumptions!O6</f>
        <v>2010</v>
      </c>
      <c r="P4" s="37">
        <f>Assumptions!P6</f>
        <v>2011</v>
      </c>
      <c r="Q4" s="37">
        <f>Assumptions!Q6</f>
        <v>2012</v>
      </c>
      <c r="R4" s="37">
        <f>Assumptions!R6</f>
        <v>2013</v>
      </c>
      <c r="S4" s="37">
        <f>Assumptions!S6</f>
        <v>2014</v>
      </c>
      <c r="T4" s="37">
        <f>Assumptions!T6</f>
        <v>2015</v>
      </c>
      <c r="U4" s="37">
        <f>Assumptions!U6</f>
        <v>2016</v>
      </c>
      <c r="V4" s="37">
        <f>Assumptions!V6</f>
        <v>2017</v>
      </c>
      <c r="W4" s="37">
        <f>Assumptions!W6</f>
        <v>2018</v>
      </c>
      <c r="X4" s="37">
        <f>Assumptions!X6</f>
        <v>2019</v>
      </c>
      <c r="Y4" s="37">
        <f>Assumptions!Y6</f>
        <v>2020</v>
      </c>
      <c r="Z4" s="15"/>
      <c r="AA4" s="172"/>
    </row>
    <row r="5" spans="1:27" x14ac:dyDescent="0.25">
      <c r="A5" s="383"/>
      <c r="B5" s="384"/>
      <c r="C5" s="170"/>
      <c r="D5" s="15"/>
      <c r="E5" s="15"/>
      <c r="Z5" s="15"/>
      <c r="AA5" s="172"/>
    </row>
    <row r="6" spans="1:27" x14ac:dyDescent="0.25">
      <c r="A6" s="383"/>
      <c r="B6" s="33"/>
      <c r="C6" s="170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72"/>
    </row>
    <row r="7" spans="1:27" x14ac:dyDescent="0.25">
      <c r="A7" s="383"/>
      <c r="B7" s="33"/>
      <c r="C7" s="170" t="s">
        <v>29</v>
      </c>
      <c r="D7" s="15"/>
      <c r="E7" s="15"/>
      <c r="F7" s="178">
        <f>Assumptions!F132</f>
        <v>3</v>
      </c>
      <c r="G7" s="178">
        <f>Assumptions!G132</f>
        <v>3</v>
      </c>
      <c r="H7" s="178">
        <f>Assumptions!H132</f>
        <v>3</v>
      </c>
      <c r="I7" s="178">
        <f>Assumptions!I132</f>
        <v>3</v>
      </c>
      <c r="J7" s="178">
        <f>Assumptions!J132</f>
        <v>3</v>
      </c>
      <c r="K7" s="178">
        <f>Assumptions!K132</f>
        <v>3</v>
      </c>
      <c r="L7" s="178">
        <f>Assumptions!L132</f>
        <v>3</v>
      </c>
      <c r="M7" s="178">
        <f>Assumptions!M132</f>
        <v>3</v>
      </c>
      <c r="N7" s="178">
        <f>Assumptions!N132</f>
        <v>3</v>
      </c>
      <c r="O7" s="178">
        <f>Assumptions!O132</f>
        <v>3</v>
      </c>
      <c r="P7" s="178">
        <f>Assumptions!P132</f>
        <v>3</v>
      </c>
      <c r="Q7" s="178">
        <f>Assumptions!Q132</f>
        <v>3</v>
      </c>
      <c r="R7" s="178">
        <f>Assumptions!R132</f>
        <v>3</v>
      </c>
      <c r="S7" s="178">
        <f>Assumptions!S132</f>
        <v>3</v>
      </c>
      <c r="T7" s="178">
        <f>Assumptions!T132</f>
        <v>3</v>
      </c>
      <c r="U7" s="178">
        <f>Assumptions!U132</f>
        <v>3</v>
      </c>
      <c r="V7" s="178">
        <f>Assumptions!V132</f>
        <v>3</v>
      </c>
      <c r="W7" s="178">
        <f>Assumptions!W132</f>
        <v>3</v>
      </c>
      <c r="X7" s="178">
        <f>Assumptions!X132</f>
        <v>3</v>
      </c>
      <c r="Y7" s="178">
        <f>Assumptions!Y132</f>
        <v>3</v>
      </c>
      <c r="Z7" s="15"/>
      <c r="AA7" s="172"/>
    </row>
    <row r="8" spans="1:27" x14ac:dyDescent="0.25">
      <c r="A8" s="383"/>
      <c r="B8" s="33"/>
      <c r="C8" s="170" t="s">
        <v>32</v>
      </c>
      <c r="D8" s="15"/>
      <c r="E8" s="15"/>
      <c r="F8" s="178">
        <f>Network!E17</f>
        <v>30</v>
      </c>
      <c r="G8" s="178">
        <f>Network!F17</f>
        <v>54</v>
      </c>
      <c r="H8" s="178">
        <f>Network!G17</f>
        <v>78</v>
      </c>
      <c r="I8" s="178">
        <f>Network!H17</f>
        <v>102</v>
      </c>
      <c r="J8" s="178">
        <f>Network!I17</f>
        <v>126</v>
      </c>
      <c r="K8" s="178">
        <f>Network!J17</f>
        <v>150</v>
      </c>
      <c r="L8" s="178">
        <f>Network!K17</f>
        <v>174</v>
      </c>
      <c r="M8" s="178">
        <f>Network!L17</f>
        <v>198</v>
      </c>
      <c r="N8" s="178">
        <f>Network!M17</f>
        <v>222</v>
      </c>
      <c r="O8" s="178">
        <f>Network!N17</f>
        <v>246</v>
      </c>
      <c r="P8" s="178">
        <f>Network!O17</f>
        <v>270</v>
      </c>
      <c r="Q8" s="178">
        <f>Network!P17</f>
        <v>294</v>
      </c>
      <c r="R8" s="178">
        <f>Network!Q17</f>
        <v>318</v>
      </c>
      <c r="S8" s="178">
        <f>Network!R17</f>
        <v>342</v>
      </c>
      <c r="T8" s="178">
        <f>Network!S17</f>
        <v>366</v>
      </c>
      <c r="U8" s="178">
        <f>Network!T17</f>
        <v>390</v>
      </c>
      <c r="V8" s="178">
        <f>Network!U17</f>
        <v>414</v>
      </c>
      <c r="W8" s="178">
        <f>Network!V17</f>
        <v>438</v>
      </c>
      <c r="X8" s="178">
        <f>Network!W17</f>
        <v>462</v>
      </c>
      <c r="Y8" s="178">
        <f>Network!X17</f>
        <v>486</v>
      </c>
      <c r="Z8" s="15"/>
      <c r="AA8" s="172"/>
    </row>
    <row r="9" spans="1:27" x14ac:dyDescent="0.25">
      <c r="A9" s="383"/>
      <c r="B9" s="33"/>
      <c r="C9" s="170" t="e">
        <f>#REF!</f>
        <v>#REF!</v>
      </c>
      <c r="D9" s="170"/>
      <c r="E9" s="170"/>
      <c r="F9" s="458">
        <f>Assumptions!F50</f>
        <v>1.318359375</v>
      </c>
      <c r="G9" s="458">
        <f>Assumptions!G50</f>
        <v>0.966796875</v>
      </c>
      <c r="H9" s="458">
        <f>Assumptions!H50</f>
        <v>0.966796875</v>
      </c>
      <c r="I9" s="458">
        <f>Assumptions!I50</f>
        <v>0.966796875</v>
      </c>
      <c r="J9" s="458">
        <f>Assumptions!J50</f>
        <v>0.966796875</v>
      </c>
      <c r="K9" s="458">
        <f>Assumptions!K50</f>
        <v>0.966796875</v>
      </c>
      <c r="L9" s="458">
        <f>Assumptions!L50</f>
        <v>0.966796875</v>
      </c>
      <c r="M9" s="458">
        <f>Assumptions!M50</f>
        <v>0.966796875</v>
      </c>
      <c r="N9" s="458">
        <f>Assumptions!N50</f>
        <v>0.966796875</v>
      </c>
      <c r="O9" s="458">
        <f>Assumptions!O50</f>
        <v>0.966796875</v>
      </c>
      <c r="P9" s="458">
        <f>Assumptions!P50</f>
        <v>0.966796875</v>
      </c>
      <c r="Q9" s="458">
        <f>Assumptions!Q50</f>
        <v>0.966796875</v>
      </c>
      <c r="R9" s="458">
        <f>Assumptions!R50</f>
        <v>0.966796875</v>
      </c>
      <c r="S9" s="458">
        <f>Assumptions!S50</f>
        <v>0.966796875</v>
      </c>
      <c r="T9" s="458">
        <f>Assumptions!T50</f>
        <v>0.966796875</v>
      </c>
      <c r="U9" s="458">
        <f>Assumptions!U50</f>
        <v>0.966796875</v>
      </c>
      <c r="V9" s="458">
        <f>Assumptions!V50</f>
        <v>0.966796875</v>
      </c>
      <c r="W9" s="458">
        <f>Assumptions!W50</f>
        <v>0.966796875</v>
      </c>
      <c r="X9" s="458">
        <f>Assumptions!X50</f>
        <v>0.966796875</v>
      </c>
      <c r="Y9" s="458">
        <f>Assumptions!Y50</f>
        <v>0.966796875</v>
      </c>
      <c r="Z9" s="15"/>
      <c r="AA9" s="172"/>
    </row>
    <row r="10" spans="1:27" ht="13.8" thickBot="1" x14ac:dyDescent="0.3">
      <c r="A10" s="386"/>
      <c r="B10" s="34"/>
      <c r="C10" s="223"/>
      <c r="D10" s="18"/>
      <c r="E10" s="18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18"/>
      <c r="AA10" s="212"/>
    </row>
    <row r="11" spans="1:27" s="38" customFormat="1" x14ac:dyDescent="0.25">
      <c r="A11" s="460"/>
      <c r="B11" s="461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290"/>
    </row>
    <row r="12" spans="1:27" x14ac:dyDescent="0.25">
      <c r="A12" s="383"/>
      <c r="B12" s="384" t="s">
        <v>137</v>
      </c>
      <c r="C12" s="2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2"/>
    </row>
    <row r="13" spans="1:27" x14ac:dyDescent="0.25">
      <c r="A13" s="383"/>
      <c r="B13" s="33"/>
      <c r="C13" s="170" t="str">
        <f>Assumptions!D168</f>
        <v>Total number of movies available at Master POP</v>
      </c>
      <c r="D13" s="15"/>
      <c r="E13" s="15"/>
      <c r="F13" s="15">
        <f>Assumptions!F168</f>
        <v>500</v>
      </c>
      <c r="G13" s="15">
        <f>Assumptions!G168</f>
        <v>1100</v>
      </c>
      <c r="H13" s="15">
        <f>Assumptions!H168</f>
        <v>1700</v>
      </c>
      <c r="I13" s="15">
        <f>Assumptions!I168</f>
        <v>2300</v>
      </c>
      <c r="J13" s="15">
        <f>Assumptions!J168</f>
        <v>2900</v>
      </c>
      <c r="K13" s="15">
        <f>Assumptions!K168</f>
        <v>3500</v>
      </c>
      <c r="L13" s="15">
        <f>Assumptions!L168</f>
        <v>4100</v>
      </c>
      <c r="M13" s="15">
        <f>Assumptions!M168</f>
        <v>4700</v>
      </c>
      <c r="N13" s="15">
        <f>Assumptions!N168</f>
        <v>5300</v>
      </c>
      <c r="O13" s="15">
        <f>Assumptions!O168</f>
        <v>5900</v>
      </c>
      <c r="P13" s="15">
        <f>Assumptions!P168</f>
        <v>6500</v>
      </c>
      <c r="Q13" s="15">
        <f>Assumptions!Q168</f>
        <v>7100</v>
      </c>
      <c r="R13" s="15">
        <f>Assumptions!R168</f>
        <v>7700</v>
      </c>
      <c r="S13" s="15">
        <f>Assumptions!S168</f>
        <v>8300</v>
      </c>
      <c r="T13" s="15">
        <f>Assumptions!T168</f>
        <v>8900</v>
      </c>
      <c r="U13" s="15">
        <f>Assumptions!U168</f>
        <v>9500</v>
      </c>
      <c r="V13" s="15">
        <f>Assumptions!V168</f>
        <v>10100</v>
      </c>
      <c r="W13" s="15">
        <f>Assumptions!W168</f>
        <v>10700</v>
      </c>
      <c r="X13" s="15">
        <f>Assumptions!X168</f>
        <v>11300</v>
      </c>
      <c r="Y13" s="15">
        <f>Assumptions!Y168</f>
        <v>11900</v>
      </c>
      <c r="Z13" s="15"/>
      <c r="AA13" s="172"/>
    </row>
    <row r="14" spans="1:27" x14ac:dyDescent="0.25">
      <c r="A14" s="383"/>
      <c r="B14" s="33"/>
      <c r="C14" s="170" t="s">
        <v>30</v>
      </c>
      <c r="D14" s="15"/>
      <c r="E14" s="15"/>
      <c r="F14" s="20">
        <f t="shared" ref="F14:O14" si="0">F13*F9</f>
        <v>659.1796875</v>
      </c>
      <c r="G14" s="20">
        <f t="shared" si="0"/>
        <v>1063.4765625</v>
      </c>
      <c r="H14" s="20">
        <f t="shared" si="0"/>
        <v>1643.5546875</v>
      </c>
      <c r="I14" s="20">
        <f t="shared" si="0"/>
        <v>2223.6328125</v>
      </c>
      <c r="J14" s="20">
        <f t="shared" si="0"/>
        <v>2803.7109375</v>
      </c>
      <c r="K14" s="20">
        <f t="shared" si="0"/>
        <v>3383.7890625</v>
      </c>
      <c r="L14" s="20">
        <f t="shared" si="0"/>
        <v>3963.8671875</v>
      </c>
      <c r="M14" s="20">
        <f t="shared" si="0"/>
        <v>4543.9453125</v>
      </c>
      <c r="N14" s="20">
        <f t="shared" si="0"/>
        <v>5124.0234375</v>
      </c>
      <c r="O14" s="20">
        <f t="shared" si="0"/>
        <v>5704.1015625</v>
      </c>
      <c r="P14" s="20">
        <f t="shared" ref="P14:Y14" si="1">P13*P9</f>
        <v>6284.1796875</v>
      </c>
      <c r="Q14" s="20">
        <f t="shared" si="1"/>
        <v>6864.2578125</v>
      </c>
      <c r="R14" s="20">
        <f t="shared" si="1"/>
        <v>7444.3359375</v>
      </c>
      <c r="S14" s="20">
        <f t="shared" si="1"/>
        <v>8024.4140625</v>
      </c>
      <c r="T14" s="20">
        <f t="shared" si="1"/>
        <v>8604.4921875</v>
      </c>
      <c r="U14" s="20">
        <f t="shared" si="1"/>
        <v>9184.5703125</v>
      </c>
      <c r="V14" s="20">
        <f t="shared" si="1"/>
        <v>9764.6484375</v>
      </c>
      <c r="W14" s="20">
        <f t="shared" si="1"/>
        <v>10344.7265625</v>
      </c>
      <c r="X14" s="20">
        <f t="shared" si="1"/>
        <v>10924.8046875</v>
      </c>
      <c r="Y14" s="20">
        <f t="shared" si="1"/>
        <v>11504.8828125</v>
      </c>
      <c r="Z14" s="15"/>
      <c r="AA14" s="172"/>
    </row>
    <row r="15" spans="1:27" x14ac:dyDescent="0.25">
      <c r="A15" s="383"/>
      <c r="B15" s="33"/>
      <c r="C15" s="170"/>
      <c r="D15" s="15"/>
      <c r="E15" s="15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15"/>
      <c r="AA15" s="172"/>
    </row>
    <row r="16" spans="1:27" x14ac:dyDescent="0.25">
      <c r="A16" s="383"/>
      <c r="B16" s="33"/>
      <c r="C16" s="170" t="s">
        <v>391</v>
      </c>
      <c r="D16" s="15"/>
      <c r="E16" s="15"/>
      <c r="F16" s="274">
        <f>Assumptions!F169</f>
        <v>800</v>
      </c>
      <c r="G16" s="274">
        <f>Assumptions!G169</f>
        <v>800</v>
      </c>
      <c r="H16" s="274">
        <f>Assumptions!H169</f>
        <v>800</v>
      </c>
      <c r="I16" s="274">
        <f>Assumptions!I169</f>
        <v>800</v>
      </c>
      <c r="J16" s="274">
        <f>Assumptions!J169</f>
        <v>800</v>
      </c>
      <c r="K16" s="274">
        <f>Assumptions!K169</f>
        <v>800</v>
      </c>
      <c r="L16" s="274">
        <f>Assumptions!L169</f>
        <v>800</v>
      </c>
      <c r="M16" s="274">
        <f>Assumptions!M169</f>
        <v>800</v>
      </c>
      <c r="N16" s="274">
        <f>Assumptions!N169</f>
        <v>800</v>
      </c>
      <c r="O16" s="274">
        <f>Assumptions!O169</f>
        <v>800</v>
      </c>
      <c r="P16" s="274">
        <f>Assumptions!P169</f>
        <v>800</v>
      </c>
      <c r="Q16" s="274">
        <f>Assumptions!Q169</f>
        <v>800</v>
      </c>
      <c r="R16" s="274">
        <f>Assumptions!R169</f>
        <v>800</v>
      </c>
      <c r="S16" s="274">
        <f>Assumptions!S169</f>
        <v>800</v>
      </c>
      <c r="T16" s="274">
        <f>Assumptions!T169</f>
        <v>800</v>
      </c>
      <c r="U16" s="274">
        <f>Assumptions!U169</f>
        <v>800</v>
      </c>
      <c r="V16" s="274">
        <f>Assumptions!V169</f>
        <v>800</v>
      </c>
      <c r="W16" s="274">
        <f>Assumptions!W169</f>
        <v>800</v>
      </c>
      <c r="X16" s="274">
        <f>Assumptions!X169</f>
        <v>800</v>
      </c>
      <c r="Y16" s="274">
        <f>Assumptions!Y169</f>
        <v>800</v>
      </c>
      <c r="Z16" s="15"/>
      <c r="AA16" s="172"/>
    </row>
    <row r="17" spans="1:27" x14ac:dyDescent="0.25">
      <c r="A17" s="383"/>
      <c r="B17" s="33"/>
      <c r="C17" s="170" t="s">
        <v>392</v>
      </c>
      <c r="D17" s="15"/>
      <c r="E17" s="15"/>
      <c r="F17" s="274">
        <f>Streaming!E24</f>
        <v>1</v>
      </c>
      <c r="G17" s="274">
        <f>Streaming!F24</f>
        <v>1</v>
      </c>
      <c r="H17" s="274">
        <f>Streaming!G24</f>
        <v>1</v>
      </c>
      <c r="I17" s="274">
        <f>Streaming!H24</f>
        <v>1</v>
      </c>
      <c r="J17" s="274">
        <f>Streaming!I24</f>
        <v>1</v>
      </c>
      <c r="K17" s="274">
        <f>Streaming!J24</f>
        <v>1</v>
      </c>
      <c r="L17" s="274">
        <f>Streaming!K24</f>
        <v>1</v>
      </c>
      <c r="M17" s="274">
        <f>Streaming!L24</f>
        <v>1</v>
      </c>
      <c r="N17" s="274">
        <f>Streaming!M24</f>
        <v>1</v>
      </c>
      <c r="O17" s="274">
        <f>Streaming!N24</f>
        <v>1</v>
      </c>
      <c r="P17" s="274">
        <f>Streaming!O24</f>
        <v>1</v>
      </c>
      <c r="Q17" s="274">
        <f>Streaming!P24</f>
        <v>1</v>
      </c>
      <c r="R17" s="274">
        <f>Streaming!Q24</f>
        <v>1</v>
      </c>
      <c r="S17" s="274">
        <f>Streaming!R24</f>
        <v>1</v>
      </c>
      <c r="T17" s="274">
        <f>Streaming!S24</f>
        <v>1</v>
      </c>
      <c r="U17" s="274">
        <f>Streaming!T24</f>
        <v>1</v>
      </c>
      <c r="V17" s="274">
        <f>Streaming!U24</f>
        <v>1</v>
      </c>
      <c r="W17" s="274">
        <f>Streaming!V24</f>
        <v>1</v>
      </c>
      <c r="X17" s="274">
        <f>Streaming!W24</f>
        <v>1</v>
      </c>
      <c r="Y17" s="274">
        <f>Streaming!X24</f>
        <v>1</v>
      </c>
      <c r="Z17" s="15"/>
      <c r="AA17" s="172"/>
    </row>
    <row r="18" spans="1:27" x14ac:dyDescent="0.25">
      <c r="A18" s="383"/>
      <c r="B18" s="33"/>
      <c r="C18" s="170" t="s">
        <v>381</v>
      </c>
      <c r="D18" s="15"/>
      <c r="E18" s="15"/>
      <c r="F18" s="462">
        <f>MAX(F14-(F16*F17),0)</f>
        <v>0</v>
      </c>
      <c r="G18" s="462">
        <f t="shared" ref="G18:O18" si="2">MAX(G14-(G16*G17),0)</f>
        <v>263.4765625</v>
      </c>
      <c r="H18" s="462">
        <f t="shared" si="2"/>
        <v>843.5546875</v>
      </c>
      <c r="I18" s="462">
        <f t="shared" si="2"/>
        <v>1423.6328125</v>
      </c>
      <c r="J18" s="462">
        <f t="shared" si="2"/>
        <v>2003.7109375</v>
      </c>
      <c r="K18" s="462">
        <f t="shared" si="2"/>
        <v>2583.7890625</v>
      </c>
      <c r="L18" s="462">
        <f t="shared" si="2"/>
        <v>3163.8671875</v>
      </c>
      <c r="M18" s="462">
        <f t="shared" si="2"/>
        <v>3743.9453125</v>
      </c>
      <c r="N18" s="462">
        <f t="shared" si="2"/>
        <v>4324.0234375</v>
      </c>
      <c r="O18" s="462">
        <f t="shared" si="2"/>
        <v>4904.1015625</v>
      </c>
      <c r="P18" s="462">
        <f t="shared" ref="P18:Y18" si="3">MAX(P14-(P16*P17),0)</f>
        <v>5484.1796875</v>
      </c>
      <c r="Q18" s="462">
        <f t="shared" si="3"/>
        <v>6064.2578125</v>
      </c>
      <c r="R18" s="462">
        <f t="shared" si="3"/>
        <v>6644.3359375</v>
      </c>
      <c r="S18" s="462">
        <f t="shared" si="3"/>
        <v>7224.4140625</v>
      </c>
      <c r="T18" s="462">
        <f t="shared" si="3"/>
        <v>7804.4921875</v>
      </c>
      <c r="U18" s="462">
        <f t="shared" si="3"/>
        <v>8384.5703125</v>
      </c>
      <c r="V18" s="462">
        <f t="shared" si="3"/>
        <v>8964.6484375</v>
      </c>
      <c r="W18" s="462">
        <f t="shared" si="3"/>
        <v>9544.7265625</v>
      </c>
      <c r="X18" s="462">
        <f t="shared" si="3"/>
        <v>10124.8046875</v>
      </c>
      <c r="Y18" s="462">
        <f t="shared" si="3"/>
        <v>10704.8828125</v>
      </c>
      <c r="Z18" s="15"/>
      <c r="AA18" s="172"/>
    </row>
    <row r="19" spans="1:27" x14ac:dyDescent="0.25">
      <c r="A19" s="383"/>
      <c r="B19" s="33"/>
      <c r="C19" s="170"/>
      <c r="D19" s="15"/>
      <c r="E19" s="15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15"/>
      <c r="AA19" s="172"/>
    </row>
    <row r="20" spans="1:27" x14ac:dyDescent="0.25">
      <c r="A20" s="383"/>
      <c r="B20" s="33"/>
      <c r="C20" s="170" t="str">
        <f>Assumptions!D171</f>
        <v>Storage cost at the Master POP ($/GB)</v>
      </c>
      <c r="D20" s="15"/>
      <c r="E20" s="15"/>
      <c r="F20" s="178">
        <f>Assumptions!F171</f>
        <v>50</v>
      </c>
      <c r="G20" s="178">
        <f>Assumptions!G171</f>
        <v>42.5</v>
      </c>
      <c r="H20" s="178">
        <f>Assumptions!H171</f>
        <v>36.125</v>
      </c>
      <c r="I20" s="178">
        <f>Assumptions!I171</f>
        <v>30.706250000000001</v>
      </c>
      <c r="J20" s="178">
        <f>Assumptions!J171</f>
        <v>26.100312500000001</v>
      </c>
      <c r="K20" s="178">
        <f>Assumptions!K171</f>
        <v>22.185265625</v>
      </c>
      <c r="L20" s="178">
        <f>Assumptions!L171</f>
        <v>18.857475781249999</v>
      </c>
      <c r="M20" s="178">
        <f>Assumptions!M171</f>
        <v>16.028854414062497</v>
      </c>
      <c r="N20" s="178">
        <f>Assumptions!N171</f>
        <v>13.624526251953123</v>
      </c>
      <c r="O20" s="178">
        <f>Assumptions!O171</f>
        <v>11.580847314160154</v>
      </c>
      <c r="P20" s="178">
        <f>Assumptions!P171</f>
        <v>9.8437202170361306</v>
      </c>
      <c r="Q20" s="178">
        <f>Assumptions!Q171</f>
        <v>8.3671621844807103</v>
      </c>
      <c r="R20" s="178">
        <f>Assumptions!R171</f>
        <v>7.1120878568086034</v>
      </c>
      <c r="S20" s="178">
        <f>Assumptions!S171</f>
        <v>6.0452746782873126</v>
      </c>
      <c r="T20" s="178">
        <f>Assumptions!T171</f>
        <v>5.1384834765442156</v>
      </c>
      <c r="U20" s="178">
        <f>Assumptions!U171</f>
        <v>4.3677109550625834</v>
      </c>
      <c r="V20" s="178">
        <f>Assumptions!V171</f>
        <v>3.7125543118031956</v>
      </c>
      <c r="W20" s="178">
        <f>Assumptions!W171</f>
        <v>3.1556711650327163</v>
      </c>
      <c r="X20" s="178">
        <f>Assumptions!X171</f>
        <v>2.6823204902778088</v>
      </c>
      <c r="Y20" s="178">
        <f>Assumptions!Y171</f>
        <v>2.2799724167361375</v>
      </c>
      <c r="Z20" s="15"/>
      <c r="AA20" s="172"/>
    </row>
    <row r="21" spans="1:27" x14ac:dyDescent="0.25">
      <c r="A21" s="383"/>
      <c r="B21" s="33"/>
      <c r="C21" s="170" t="s">
        <v>193</v>
      </c>
      <c r="D21" s="15"/>
      <c r="E21" s="15"/>
      <c r="F21" s="178">
        <f>Assumptions!F173</f>
        <v>50</v>
      </c>
      <c r="G21" s="178">
        <f>Assumptions!G173</f>
        <v>50</v>
      </c>
      <c r="H21" s="178">
        <f>Assumptions!H173</f>
        <v>50</v>
      </c>
      <c r="I21" s="178">
        <f>Assumptions!I173</f>
        <v>50</v>
      </c>
      <c r="J21" s="178">
        <f>Assumptions!J173</f>
        <v>50</v>
      </c>
      <c r="K21" s="178">
        <f>Assumptions!K173</f>
        <v>50</v>
      </c>
      <c r="L21" s="178">
        <f>Assumptions!L173</f>
        <v>50</v>
      </c>
      <c r="M21" s="178">
        <f>Assumptions!M173</f>
        <v>50</v>
      </c>
      <c r="N21" s="178">
        <f>Assumptions!N173</f>
        <v>50</v>
      </c>
      <c r="O21" s="178">
        <f>Assumptions!O173</f>
        <v>50</v>
      </c>
      <c r="P21" s="178">
        <f>Assumptions!P173</f>
        <v>50</v>
      </c>
      <c r="Q21" s="178">
        <f>Assumptions!Q173</f>
        <v>50</v>
      </c>
      <c r="R21" s="178">
        <f>Assumptions!R173</f>
        <v>50</v>
      </c>
      <c r="S21" s="178">
        <f>Assumptions!S173</f>
        <v>50</v>
      </c>
      <c r="T21" s="178">
        <f>Assumptions!T173</f>
        <v>50</v>
      </c>
      <c r="U21" s="178">
        <f>Assumptions!U173</f>
        <v>50</v>
      </c>
      <c r="V21" s="178">
        <f>Assumptions!V173</f>
        <v>50</v>
      </c>
      <c r="W21" s="178">
        <f>Assumptions!W173</f>
        <v>50</v>
      </c>
      <c r="X21" s="178">
        <f>Assumptions!X173</f>
        <v>50</v>
      </c>
      <c r="Y21" s="178">
        <f>Assumptions!Y173</f>
        <v>50</v>
      </c>
      <c r="Z21" s="15"/>
      <c r="AA21" s="172"/>
    </row>
    <row r="22" spans="1:27" x14ac:dyDescent="0.25">
      <c r="A22" s="383"/>
      <c r="B22" s="33"/>
      <c r="C22" s="170"/>
      <c r="D22" s="15"/>
      <c r="E22" s="15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5"/>
      <c r="AA22" s="172"/>
    </row>
    <row r="23" spans="1:27" s="1" customFormat="1" x14ac:dyDescent="0.25">
      <c r="A23" s="405"/>
      <c r="B23" s="145"/>
      <c r="C23" s="170" t="s">
        <v>138</v>
      </c>
      <c r="D23" s="15"/>
      <c r="E23" s="15"/>
      <c r="F23" s="462">
        <f t="shared" ref="F23:O23" si="4">F18*F20/1000</f>
        <v>0</v>
      </c>
      <c r="G23" s="462">
        <f t="shared" si="4"/>
        <v>11.19775390625</v>
      </c>
      <c r="H23" s="462">
        <f t="shared" si="4"/>
        <v>30.473413085937501</v>
      </c>
      <c r="I23" s="462">
        <f t="shared" si="4"/>
        <v>43.714425048828126</v>
      </c>
      <c r="J23" s="462">
        <f t="shared" si="4"/>
        <v>52.29748162841797</v>
      </c>
      <c r="K23" s="462">
        <f t="shared" si="4"/>
        <v>57.322046670532224</v>
      </c>
      <c r="L23" s="462">
        <f t="shared" si="4"/>
        <v>59.662548863372805</v>
      </c>
      <c r="M23" s="462">
        <f t="shared" si="4"/>
        <v>60.011154348274218</v>
      </c>
      <c r="N23" s="462">
        <f t="shared" si="4"/>
        <v>58.912770838279336</v>
      </c>
      <c r="O23" s="462">
        <f t="shared" si="4"/>
        <v>56.793651408446742</v>
      </c>
      <c r="P23" s="462">
        <f t="shared" ref="P23:Y23" si="5">P18*P20/1000</f>
        <v>53.98473046370264</v>
      </c>
      <c r="Q23" s="462">
        <f t="shared" si="5"/>
        <v>50.740628645691714</v>
      </c>
      <c r="R23" s="462">
        <f t="shared" si="5"/>
        <v>47.255100937650759</v>
      </c>
      <c r="S23" s="462">
        <f t="shared" si="5"/>
        <v>43.673567397494018</v>
      </c>
      <c r="T23" s="462">
        <f t="shared" si="5"/>
        <v>40.103254148287171</v>
      </c>
      <c r="U23" s="462">
        <f t="shared" si="5"/>
        <v>36.621379607398758</v>
      </c>
      <c r="V23" s="462">
        <f t="shared" si="5"/>
        <v>33.281744210440401</v>
      </c>
      <c r="W23" s="462">
        <f t="shared" si="5"/>
        <v>30.120018391403089</v>
      </c>
      <c r="X23" s="462">
        <f t="shared" si="5"/>
        <v>27.157971073342058</v>
      </c>
      <c r="Y23" s="462">
        <f t="shared" si="5"/>
        <v>24.406837536892766</v>
      </c>
      <c r="Z23" s="17"/>
      <c r="AA23" s="463"/>
    </row>
    <row r="24" spans="1:27" s="1" customFormat="1" x14ac:dyDescent="0.25">
      <c r="A24" s="405"/>
      <c r="B24" s="145"/>
      <c r="C24" s="170" t="s">
        <v>192</v>
      </c>
      <c r="D24" s="15"/>
      <c r="E24" s="15"/>
      <c r="F24" s="464">
        <f t="shared" ref="F24:O24" si="6">F18*F21/1000</f>
        <v>0</v>
      </c>
      <c r="G24" s="464">
        <f t="shared" si="6"/>
        <v>13.173828125</v>
      </c>
      <c r="H24" s="464">
        <f t="shared" si="6"/>
        <v>42.177734375</v>
      </c>
      <c r="I24" s="464">
        <f t="shared" si="6"/>
        <v>71.181640625</v>
      </c>
      <c r="J24" s="464">
        <f t="shared" si="6"/>
        <v>100.185546875</v>
      </c>
      <c r="K24" s="464">
        <f t="shared" si="6"/>
        <v>129.189453125</v>
      </c>
      <c r="L24" s="464">
        <f t="shared" si="6"/>
        <v>158.193359375</v>
      </c>
      <c r="M24" s="464">
        <f t="shared" si="6"/>
        <v>187.197265625</v>
      </c>
      <c r="N24" s="464">
        <f t="shared" si="6"/>
        <v>216.201171875</v>
      </c>
      <c r="O24" s="464">
        <f t="shared" si="6"/>
        <v>245.205078125</v>
      </c>
      <c r="P24" s="464">
        <f t="shared" ref="P24:Y24" si="7">P18*P21/1000</f>
        <v>274.208984375</v>
      </c>
      <c r="Q24" s="464">
        <f t="shared" si="7"/>
        <v>303.212890625</v>
      </c>
      <c r="R24" s="464">
        <f t="shared" si="7"/>
        <v>332.216796875</v>
      </c>
      <c r="S24" s="464">
        <f t="shared" si="7"/>
        <v>361.220703125</v>
      </c>
      <c r="T24" s="464">
        <f t="shared" si="7"/>
        <v>390.224609375</v>
      </c>
      <c r="U24" s="464">
        <f t="shared" si="7"/>
        <v>419.228515625</v>
      </c>
      <c r="V24" s="464">
        <f t="shared" si="7"/>
        <v>448.232421875</v>
      </c>
      <c r="W24" s="464">
        <f t="shared" si="7"/>
        <v>477.236328125</v>
      </c>
      <c r="X24" s="464">
        <f t="shared" si="7"/>
        <v>506.240234375</v>
      </c>
      <c r="Y24" s="464">
        <f t="shared" si="7"/>
        <v>535.244140625</v>
      </c>
      <c r="Z24" s="17"/>
      <c r="AA24" s="463"/>
    </row>
    <row r="25" spans="1:27" s="1" customFormat="1" x14ac:dyDescent="0.25">
      <c r="A25" s="405"/>
      <c r="B25" s="145" t="s">
        <v>194</v>
      </c>
      <c r="C25" s="177"/>
      <c r="D25" s="17"/>
      <c r="E25" s="17"/>
      <c r="F25" s="465">
        <f>SUM(F23:F24)</f>
        <v>0</v>
      </c>
      <c r="G25" s="465">
        <f t="shared" ref="G25:O25" si="8">SUM(G23:G24)</f>
        <v>24.37158203125</v>
      </c>
      <c r="H25" s="465">
        <f t="shared" si="8"/>
        <v>72.651147460937494</v>
      </c>
      <c r="I25" s="465">
        <f t="shared" si="8"/>
        <v>114.89606567382813</v>
      </c>
      <c r="J25" s="465">
        <f t="shared" si="8"/>
        <v>152.48302850341798</v>
      </c>
      <c r="K25" s="465">
        <f t="shared" si="8"/>
        <v>186.51149979553222</v>
      </c>
      <c r="L25" s="465">
        <f t="shared" si="8"/>
        <v>217.85590823837282</v>
      </c>
      <c r="M25" s="465">
        <f t="shared" si="8"/>
        <v>247.2084199732742</v>
      </c>
      <c r="N25" s="465">
        <f t="shared" si="8"/>
        <v>275.11394271327936</v>
      </c>
      <c r="O25" s="465">
        <f t="shared" si="8"/>
        <v>301.99872953344675</v>
      </c>
      <c r="P25" s="465">
        <f t="shared" ref="P25:Y25" si="9">SUM(P23:P24)</f>
        <v>328.19371483870265</v>
      </c>
      <c r="Q25" s="465">
        <f t="shared" si="9"/>
        <v>353.95351927069169</v>
      </c>
      <c r="R25" s="465">
        <f t="shared" si="9"/>
        <v>379.47189781265075</v>
      </c>
      <c r="S25" s="465">
        <f t="shared" si="9"/>
        <v>404.89427052249403</v>
      </c>
      <c r="T25" s="465">
        <f t="shared" si="9"/>
        <v>430.32786352328719</v>
      </c>
      <c r="U25" s="465">
        <f t="shared" si="9"/>
        <v>455.84989523239875</v>
      </c>
      <c r="V25" s="465">
        <f t="shared" si="9"/>
        <v>481.51416608544042</v>
      </c>
      <c r="W25" s="465">
        <f t="shared" si="9"/>
        <v>507.35634651640311</v>
      </c>
      <c r="X25" s="465">
        <f t="shared" si="9"/>
        <v>533.39820544834208</v>
      </c>
      <c r="Y25" s="465">
        <f t="shared" si="9"/>
        <v>559.65097816189279</v>
      </c>
      <c r="Z25" s="17"/>
      <c r="AA25" s="463"/>
    </row>
    <row r="26" spans="1:27" s="1" customFormat="1" ht="13.8" thickBot="1" x14ac:dyDescent="0.3">
      <c r="A26" s="466"/>
      <c r="B26" s="388"/>
      <c r="C26" s="210"/>
      <c r="D26" s="4"/>
      <c r="E26" s="4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"/>
      <c r="AA26" s="468"/>
    </row>
    <row r="27" spans="1:27" x14ac:dyDescent="0.25">
      <c r="A27" s="381"/>
      <c r="B27" s="382"/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7"/>
    </row>
    <row r="28" spans="1:27" x14ac:dyDescent="0.25">
      <c r="A28" s="383"/>
      <c r="B28" s="384" t="s">
        <v>139</v>
      </c>
      <c r="C28" s="2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2"/>
    </row>
    <row r="29" spans="1:27" x14ac:dyDescent="0.25">
      <c r="A29" s="383"/>
      <c r="B29" s="33"/>
      <c r="C29" s="170" t="str">
        <f>Assumptions!D185</f>
        <v>Total number of movies available at each ISP POP</v>
      </c>
      <c r="D29" s="15"/>
      <c r="E29" s="15"/>
      <c r="F29" s="15">
        <f>Assumptions!F185</f>
        <v>500</v>
      </c>
      <c r="G29" s="15">
        <f>Assumptions!G185</f>
        <v>500</v>
      </c>
      <c r="H29" s="15">
        <f>Assumptions!H185</f>
        <v>500</v>
      </c>
      <c r="I29" s="15">
        <f>Assumptions!I185</f>
        <v>500</v>
      </c>
      <c r="J29" s="15">
        <f>Assumptions!J185</f>
        <v>500</v>
      </c>
      <c r="K29" s="15">
        <f>Assumptions!K185</f>
        <v>500</v>
      </c>
      <c r="L29" s="15">
        <f>Assumptions!L185</f>
        <v>500</v>
      </c>
      <c r="M29" s="15">
        <f>Assumptions!M185</f>
        <v>500</v>
      </c>
      <c r="N29" s="15">
        <f>Assumptions!N185</f>
        <v>500</v>
      </c>
      <c r="O29" s="15">
        <f>Assumptions!O185</f>
        <v>500</v>
      </c>
      <c r="P29" s="15">
        <f>Assumptions!P185</f>
        <v>500</v>
      </c>
      <c r="Q29" s="15">
        <f>Assumptions!Q185</f>
        <v>500</v>
      </c>
      <c r="R29" s="15">
        <f>Assumptions!R185</f>
        <v>500</v>
      </c>
      <c r="S29" s="15">
        <f>Assumptions!S185</f>
        <v>500</v>
      </c>
      <c r="T29" s="15">
        <f>Assumptions!T185</f>
        <v>500</v>
      </c>
      <c r="U29" s="15">
        <f>Assumptions!U185</f>
        <v>500</v>
      </c>
      <c r="V29" s="15">
        <f>Assumptions!V185</f>
        <v>500</v>
      </c>
      <c r="W29" s="15">
        <f>Assumptions!W185</f>
        <v>500</v>
      </c>
      <c r="X29" s="15">
        <f>Assumptions!X185</f>
        <v>500</v>
      </c>
      <c r="Y29" s="15">
        <f>Assumptions!Y185</f>
        <v>500</v>
      </c>
      <c r="Z29" s="15"/>
      <c r="AA29" s="172"/>
    </row>
    <row r="30" spans="1:27" x14ac:dyDescent="0.25">
      <c r="A30" s="383"/>
      <c r="B30" s="33"/>
      <c r="C30" s="170" t="s">
        <v>31</v>
      </c>
      <c r="D30" s="15"/>
      <c r="E30" s="15"/>
      <c r="F30" s="469">
        <f t="shared" ref="F30:O30" si="10">F29*F9</f>
        <v>659.1796875</v>
      </c>
      <c r="G30" s="469">
        <f t="shared" si="10"/>
        <v>483.3984375</v>
      </c>
      <c r="H30" s="469">
        <f t="shared" si="10"/>
        <v>483.3984375</v>
      </c>
      <c r="I30" s="469">
        <f t="shared" si="10"/>
        <v>483.3984375</v>
      </c>
      <c r="J30" s="469">
        <f t="shared" si="10"/>
        <v>483.3984375</v>
      </c>
      <c r="K30" s="469">
        <f t="shared" si="10"/>
        <v>483.3984375</v>
      </c>
      <c r="L30" s="469">
        <f t="shared" si="10"/>
        <v>483.3984375</v>
      </c>
      <c r="M30" s="469">
        <f t="shared" si="10"/>
        <v>483.3984375</v>
      </c>
      <c r="N30" s="469">
        <f t="shared" si="10"/>
        <v>483.3984375</v>
      </c>
      <c r="O30" s="469">
        <f t="shared" si="10"/>
        <v>483.3984375</v>
      </c>
      <c r="P30" s="469">
        <f t="shared" ref="P30:Y30" si="11">P29*P9</f>
        <v>483.3984375</v>
      </c>
      <c r="Q30" s="469">
        <f t="shared" si="11"/>
        <v>483.3984375</v>
      </c>
      <c r="R30" s="469">
        <f t="shared" si="11"/>
        <v>483.3984375</v>
      </c>
      <c r="S30" s="469">
        <f t="shared" si="11"/>
        <v>483.3984375</v>
      </c>
      <c r="T30" s="469">
        <f t="shared" si="11"/>
        <v>483.3984375</v>
      </c>
      <c r="U30" s="469">
        <f t="shared" si="11"/>
        <v>483.3984375</v>
      </c>
      <c r="V30" s="469">
        <f t="shared" si="11"/>
        <v>483.3984375</v>
      </c>
      <c r="W30" s="469">
        <f t="shared" si="11"/>
        <v>483.3984375</v>
      </c>
      <c r="X30" s="469">
        <f t="shared" si="11"/>
        <v>483.3984375</v>
      </c>
      <c r="Y30" s="469">
        <f t="shared" si="11"/>
        <v>483.3984375</v>
      </c>
      <c r="Z30" s="15"/>
      <c r="AA30" s="172"/>
    </row>
    <row r="31" spans="1:27" x14ac:dyDescent="0.25">
      <c r="A31" s="383"/>
      <c r="B31" s="33"/>
      <c r="C31" s="170"/>
      <c r="D31" s="15"/>
      <c r="E31" s="15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15"/>
      <c r="AA31" s="172"/>
    </row>
    <row r="32" spans="1:27" x14ac:dyDescent="0.25">
      <c r="A32" s="383"/>
      <c r="B32" s="33"/>
      <c r="C32" s="170" t="s">
        <v>140</v>
      </c>
      <c r="D32" s="15"/>
      <c r="E32" s="15"/>
      <c r="F32" s="178">
        <f>Assumptions!F186</f>
        <v>800</v>
      </c>
      <c r="G32" s="178">
        <f>Assumptions!G186</f>
        <v>800</v>
      </c>
      <c r="H32" s="178">
        <f>Assumptions!H186</f>
        <v>800</v>
      </c>
      <c r="I32" s="178">
        <f>Assumptions!I186</f>
        <v>800</v>
      </c>
      <c r="J32" s="178">
        <f>Assumptions!J186</f>
        <v>800</v>
      </c>
      <c r="K32" s="178">
        <f>Assumptions!K186</f>
        <v>800</v>
      </c>
      <c r="L32" s="178">
        <f>Assumptions!L186</f>
        <v>800</v>
      </c>
      <c r="M32" s="178">
        <f>Assumptions!M186</f>
        <v>800</v>
      </c>
      <c r="N32" s="178">
        <f>Assumptions!N186</f>
        <v>800</v>
      </c>
      <c r="O32" s="178">
        <f>Assumptions!O186</f>
        <v>800</v>
      </c>
      <c r="P32" s="178">
        <f>Assumptions!P186</f>
        <v>800</v>
      </c>
      <c r="Q32" s="178">
        <f>Assumptions!Q186</f>
        <v>800</v>
      </c>
      <c r="R32" s="178">
        <f>Assumptions!R186</f>
        <v>800</v>
      </c>
      <c r="S32" s="178">
        <f>Assumptions!S186</f>
        <v>800</v>
      </c>
      <c r="T32" s="178">
        <f>Assumptions!T186</f>
        <v>800</v>
      </c>
      <c r="U32" s="178">
        <f>Assumptions!U186</f>
        <v>800</v>
      </c>
      <c r="V32" s="178">
        <f>Assumptions!V186</f>
        <v>800</v>
      </c>
      <c r="W32" s="178">
        <f>Assumptions!W186</f>
        <v>800</v>
      </c>
      <c r="X32" s="178">
        <f>Assumptions!X186</f>
        <v>800</v>
      </c>
      <c r="Y32" s="178">
        <f>Assumptions!Y186</f>
        <v>800</v>
      </c>
      <c r="Z32" s="15"/>
      <c r="AA32" s="172"/>
    </row>
    <row r="33" spans="1:27" x14ac:dyDescent="0.25">
      <c r="A33" s="383"/>
      <c r="B33" s="33"/>
      <c r="C33" s="170"/>
      <c r="D33" s="15"/>
      <c r="E33" s="15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5"/>
      <c r="AA33" s="172"/>
    </row>
    <row r="34" spans="1:27" x14ac:dyDescent="0.25">
      <c r="A34" s="383"/>
      <c r="B34" s="33"/>
      <c r="C34" s="170" t="s">
        <v>36</v>
      </c>
      <c r="D34" s="15"/>
      <c r="E34" s="15"/>
      <c r="F34" s="178">
        <f>MAX(F30-F32,0)</f>
        <v>0</v>
      </c>
      <c r="G34" s="178">
        <f t="shared" ref="G34:O34" si="12">MAX(G30-G32,0)</f>
        <v>0</v>
      </c>
      <c r="H34" s="178">
        <f t="shared" si="12"/>
        <v>0</v>
      </c>
      <c r="I34" s="178">
        <f t="shared" si="12"/>
        <v>0</v>
      </c>
      <c r="J34" s="178">
        <f t="shared" si="12"/>
        <v>0</v>
      </c>
      <c r="K34" s="178">
        <f t="shared" si="12"/>
        <v>0</v>
      </c>
      <c r="L34" s="178">
        <f t="shared" si="12"/>
        <v>0</v>
      </c>
      <c r="M34" s="178">
        <f t="shared" si="12"/>
        <v>0</v>
      </c>
      <c r="N34" s="178">
        <f t="shared" si="12"/>
        <v>0</v>
      </c>
      <c r="O34" s="178">
        <f t="shared" si="12"/>
        <v>0</v>
      </c>
      <c r="P34" s="178">
        <f t="shared" ref="P34:Y34" si="13">MAX(P30-P32,0)</f>
        <v>0</v>
      </c>
      <c r="Q34" s="178">
        <f t="shared" si="13"/>
        <v>0</v>
      </c>
      <c r="R34" s="178">
        <f t="shared" si="13"/>
        <v>0</v>
      </c>
      <c r="S34" s="178">
        <f t="shared" si="13"/>
        <v>0</v>
      </c>
      <c r="T34" s="178">
        <f t="shared" si="13"/>
        <v>0</v>
      </c>
      <c r="U34" s="178">
        <f t="shared" si="13"/>
        <v>0</v>
      </c>
      <c r="V34" s="178">
        <f t="shared" si="13"/>
        <v>0</v>
      </c>
      <c r="W34" s="178">
        <f t="shared" si="13"/>
        <v>0</v>
      </c>
      <c r="X34" s="178">
        <f t="shared" si="13"/>
        <v>0</v>
      </c>
      <c r="Y34" s="178">
        <f t="shared" si="13"/>
        <v>0</v>
      </c>
      <c r="Z34" s="15"/>
      <c r="AA34" s="172"/>
    </row>
    <row r="35" spans="1:27" x14ac:dyDescent="0.25">
      <c r="A35" s="383"/>
      <c r="B35" s="33"/>
      <c r="C35" s="170" t="s">
        <v>392</v>
      </c>
      <c r="D35" s="15"/>
      <c r="E35" s="15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5"/>
      <c r="AA35" s="172"/>
    </row>
    <row r="36" spans="1:27" x14ac:dyDescent="0.25">
      <c r="A36" s="383"/>
      <c r="B36" s="33"/>
      <c r="C36" s="185" t="str">
        <f>Assumptions!D188</f>
        <v>Storage cost at the ISP POP ($/GB)</v>
      </c>
      <c r="D36" s="15"/>
      <c r="E36" s="15"/>
      <c r="F36" s="178">
        <f>Assumptions!F188</f>
        <v>50</v>
      </c>
      <c r="G36" s="178">
        <f>Assumptions!G188</f>
        <v>42.5</v>
      </c>
      <c r="H36" s="178">
        <f>Assumptions!H188</f>
        <v>36.125</v>
      </c>
      <c r="I36" s="178">
        <f>Assumptions!I188</f>
        <v>30.706250000000001</v>
      </c>
      <c r="J36" s="178">
        <f>Assumptions!J188</f>
        <v>26.100312500000001</v>
      </c>
      <c r="K36" s="178">
        <f>Assumptions!K188</f>
        <v>22.185265625</v>
      </c>
      <c r="L36" s="178">
        <f>Assumptions!L188</f>
        <v>18.857475781249999</v>
      </c>
      <c r="M36" s="178">
        <f>Assumptions!M188</f>
        <v>16.028854414062497</v>
      </c>
      <c r="N36" s="178">
        <f>Assumptions!N188</f>
        <v>13.624526251953123</v>
      </c>
      <c r="O36" s="178">
        <f>Assumptions!O188</f>
        <v>11.580847314160154</v>
      </c>
      <c r="P36" s="178">
        <f>Assumptions!P188</f>
        <v>9.8437202170361306</v>
      </c>
      <c r="Q36" s="178">
        <f>Assumptions!Q188</f>
        <v>8.3671621844807103</v>
      </c>
      <c r="R36" s="178">
        <f>Assumptions!R188</f>
        <v>7.1120878568086034</v>
      </c>
      <c r="S36" s="178">
        <f>Assumptions!S188</f>
        <v>6.0452746782873126</v>
      </c>
      <c r="T36" s="178">
        <f>Assumptions!T188</f>
        <v>5.1384834765442156</v>
      </c>
      <c r="U36" s="178">
        <f>Assumptions!U188</f>
        <v>4.3677109550625834</v>
      </c>
      <c r="V36" s="178">
        <f>Assumptions!V188</f>
        <v>3.7125543118031956</v>
      </c>
      <c r="W36" s="178">
        <f>Assumptions!W188</f>
        <v>3.1556711650327163</v>
      </c>
      <c r="X36" s="178">
        <f>Assumptions!X188</f>
        <v>2.6823204902778088</v>
      </c>
      <c r="Y36" s="178">
        <f>Assumptions!Y188</f>
        <v>2.2799724167361375</v>
      </c>
      <c r="Z36" s="15"/>
      <c r="AA36" s="172"/>
    </row>
    <row r="37" spans="1:27" x14ac:dyDescent="0.25">
      <c r="A37" s="383"/>
      <c r="B37" s="33"/>
      <c r="C37" s="170" t="s">
        <v>196</v>
      </c>
      <c r="D37" s="15"/>
      <c r="E37" s="15"/>
      <c r="F37" s="178">
        <f>Assumptions!F190</f>
        <v>50</v>
      </c>
      <c r="G37" s="178">
        <f>Assumptions!G190</f>
        <v>50</v>
      </c>
      <c r="H37" s="178">
        <f>Assumptions!H190</f>
        <v>50</v>
      </c>
      <c r="I37" s="178">
        <f>Assumptions!I190</f>
        <v>50</v>
      </c>
      <c r="J37" s="178">
        <f>Assumptions!J190</f>
        <v>50</v>
      </c>
      <c r="K37" s="178">
        <f>Assumptions!K190</f>
        <v>50</v>
      </c>
      <c r="L37" s="178">
        <f>Assumptions!L190</f>
        <v>50</v>
      </c>
      <c r="M37" s="178">
        <f>Assumptions!M190</f>
        <v>50</v>
      </c>
      <c r="N37" s="178">
        <f>Assumptions!N190</f>
        <v>50</v>
      </c>
      <c r="O37" s="178">
        <f>Assumptions!O190</f>
        <v>50</v>
      </c>
      <c r="P37" s="178">
        <f>Assumptions!P190</f>
        <v>50</v>
      </c>
      <c r="Q37" s="178">
        <f>Assumptions!Q190</f>
        <v>50</v>
      </c>
      <c r="R37" s="178">
        <f>Assumptions!R190</f>
        <v>50</v>
      </c>
      <c r="S37" s="178">
        <f>Assumptions!S190</f>
        <v>50</v>
      </c>
      <c r="T37" s="178">
        <f>Assumptions!T190</f>
        <v>50</v>
      </c>
      <c r="U37" s="178">
        <f>Assumptions!U190</f>
        <v>50</v>
      </c>
      <c r="V37" s="178">
        <f>Assumptions!V190</f>
        <v>50</v>
      </c>
      <c r="W37" s="178">
        <f>Assumptions!W190</f>
        <v>50</v>
      </c>
      <c r="X37" s="178">
        <f>Assumptions!X190</f>
        <v>50</v>
      </c>
      <c r="Y37" s="178">
        <f>Assumptions!Y190</f>
        <v>50</v>
      </c>
      <c r="Z37" s="15"/>
      <c r="AA37" s="172"/>
    </row>
    <row r="38" spans="1:27" x14ac:dyDescent="0.25">
      <c r="A38" s="383"/>
      <c r="B38" s="33"/>
      <c r="C38" s="170"/>
      <c r="D38" s="15"/>
      <c r="E38" s="15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5"/>
      <c r="AA38" s="172"/>
    </row>
    <row r="39" spans="1:27" x14ac:dyDescent="0.25">
      <c r="A39" s="383"/>
      <c r="B39" s="33"/>
      <c r="C39" s="170" t="s">
        <v>200</v>
      </c>
      <c r="D39" s="15"/>
      <c r="E39" s="15"/>
      <c r="F39" s="178">
        <f t="shared" ref="F39:O39" si="14">F34*F8</f>
        <v>0</v>
      </c>
      <c r="G39" s="178">
        <f t="shared" si="14"/>
        <v>0</v>
      </c>
      <c r="H39" s="178">
        <f t="shared" si="14"/>
        <v>0</v>
      </c>
      <c r="I39" s="178">
        <f t="shared" si="14"/>
        <v>0</v>
      </c>
      <c r="J39" s="178">
        <f t="shared" si="14"/>
        <v>0</v>
      </c>
      <c r="K39" s="178">
        <f t="shared" si="14"/>
        <v>0</v>
      </c>
      <c r="L39" s="178">
        <f t="shared" si="14"/>
        <v>0</v>
      </c>
      <c r="M39" s="178">
        <f t="shared" si="14"/>
        <v>0</v>
      </c>
      <c r="N39" s="178">
        <f t="shared" si="14"/>
        <v>0</v>
      </c>
      <c r="O39" s="178">
        <f t="shared" si="14"/>
        <v>0</v>
      </c>
      <c r="P39" s="178">
        <f t="shared" ref="P39:Y39" si="15">P34*P8</f>
        <v>0</v>
      </c>
      <c r="Q39" s="178">
        <f t="shared" si="15"/>
        <v>0</v>
      </c>
      <c r="R39" s="178">
        <f t="shared" si="15"/>
        <v>0</v>
      </c>
      <c r="S39" s="178">
        <f t="shared" si="15"/>
        <v>0</v>
      </c>
      <c r="T39" s="178">
        <f t="shared" si="15"/>
        <v>0</v>
      </c>
      <c r="U39" s="178">
        <f t="shared" si="15"/>
        <v>0</v>
      </c>
      <c r="V39" s="178">
        <f t="shared" si="15"/>
        <v>0</v>
      </c>
      <c r="W39" s="178">
        <f t="shared" si="15"/>
        <v>0</v>
      </c>
      <c r="X39" s="178">
        <f t="shared" si="15"/>
        <v>0</v>
      </c>
      <c r="Y39" s="178">
        <f t="shared" si="15"/>
        <v>0</v>
      </c>
      <c r="Z39" s="15"/>
      <c r="AA39" s="172"/>
    </row>
    <row r="40" spans="1:27" x14ac:dyDescent="0.25">
      <c r="A40" s="383"/>
      <c r="B40" s="33"/>
      <c r="C40" s="185"/>
      <c r="D40" s="15"/>
      <c r="E40" s="15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5"/>
      <c r="AA40" s="172"/>
    </row>
    <row r="41" spans="1:27" s="1" customFormat="1" x14ac:dyDescent="0.25">
      <c r="A41" s="405"/>
      <c r="B41" s="145"/>
      <c r="C41" s="170" t="s">
        <v>142</v>
      </c>
      <c r="D41" s="17"/>
      <c r="E41" s="17"/>
      <c r="F41" s="462">
        <f>F39*F36/1000</f>
        <v>0</v>
      </c>
      <c r="G41" s="462">
        <f t="shared" ref="G41:O41" si="16">G39*G36/1000</f>
        <v>0</v>
      </c>
      <c r="H41" s="462">
        <f t="shared" si="16"/>
        <v>0</v>
      </c>
      <c r="I41" s="462">
        <f t="shared" si="16"/>
        <v>0</v>
      </c>
      <c r="J41" s="462">
        <f t="shared" si="16"/>
        <v>0</v>
      </c>
      <c r="K41" s="462">
        <f t="shared" si="16"/>
        <v>0</v>
      </c>
      <c r="L41" s="462">
        <f t="shared" si="16"/>
        <v>0</v>
      </c>
      <c r="M41" s="462">
        <f t="shared" si="16"/>
        <v>0</v>
      </c>
      <c r="N41" s="462">
        <f t="shared" si="16"/>
        <v>0</v>
      </c>
      <c r="O41" s="462">
        <f t="shared" si="16"/>
        <v>0</v>
      </c>
      <c r="P41" s="462">
        <f t="shared" ref="P41:Y41" si="17">P39*P36/1000</f>
        <v>0</v>
      </c>
      <c r="Q41" s="462">
        <f t="shared" si="17"/>
        <v>0</v>
      </c>
      <c r="R41" s="462">
        <f t="shared" si="17"/>
        <v>0</v>
      </c>
      <c r="S41" s="462">
        <f t="shared" si="17"/>
        <v>0</v>
      </c>
      <c r="T41" s="462">
        <f t="shared" si="17"/>
        <v>0</v>
      </c>
      <c r="U41" s="462">
        <f t="shared" si="17"/>
        <v>0</v>
      </c>
      <c r="V41" s="462">
        <f t="shared" si="17"/>
        <v>0</v>
      </c>
      <c r="W41" s="462">
        <f t="shared" si="17"/>
        <v>0</v>
      </c>
      <c r="X41" s="462">
        <f t="shared" si="17"/>
        <v>0</v>
      </c>
      <c r="Y41" s="462">
        <f t="shared" si="17"/>
        <v>0</v>
      </c>
      <c r="Z41" s="17"/>
      <c r="AA41" s="463"/>
    </row>
    <row r="42" spans="1:27" x14ac:dyDescent="0.25">
      <c r="A42" s="383"/>
      <c r="B42" s="33"/>
      <c r="C42" s="170" t="s">
        <v>195</v>
      </c>
      <c r="D42" s="15"/>
      <c r="E42" s="15"/>
      <c r="F42" s="32">
        <f>F37*F39/1000</f>
        <v>0</v>
      </c>
      <c r="G42" s="32">
        <f t="shared" ref="G42:O42" si="18">G37*G39/1000</f>
        <v>0</v>
      </c>
      <c r="H42" s="32">
        <f t="shared" si="18"/>
        <v>0</v>
      </c>
      <c r="I42" s="32">
        <f t="shared" si="18"/>
        <v>0</v>
      </c>
      <c r="J42" s="32">
        <f t="shared" si="18"/>
        <v>0</v>
      </c>
      <c r="K42" s="32">
        <f t="shared" si="18"/>
        <v>0</v>
      </c>
      <c r="L42" s="32">
        <f t="shared" si="18"/>
        <v>0</v>
      </c>
      <c r="M42" s="32">
        <f t="shared" si="18"/>
        <v>0</v>
      </c>
      <c r="N42" s="32">
        <f t="shared" si="18"/>
        <v>0</v>
      </c>
      <c r="O42" s="32">
        <f t="shared" si="18"/>
        <v>0</v>
      </c>
      <c r="P42" s="32">
        <f t="shared" ref="P42:Y42" si="19">P37*P39/1000</f>
        <v>0</v>
      </c>
      <c r="Q42" s="32">
        <f t="shared" si="19"/>
        <v>0</v>
      </c>
      <c r="R42" s="32">
        <f t="shared" si="19"/>
        <v>0</v>
      </c>
      <c r="S42" s="32">
        <f t="shared" si="19"/>
        <v>0</v>
      </c>
      <c r="T42" s="32">
        <f t="shared" si="19"/>
        <v>0</v>
      </c>
      <c r="U42" s="32">
        <f t="shared" si="19"/>
        <v>0</v>
      </c>
      <c r="V42" s="32">
        <f t="shared" si="19"/>
        <v>0</v>
      </c>
      <c r="W42" s="32">
        <f t="shared" si="19"/>
        <v>0</v>
      </c>
      <c r="X42" s="32">
        <f t="shared" si="19"/>
        <v>0</v>
      </c>
      <c r="Y42" s="32">
        <f t="shared" si="19"/>
        <v>0</v>
      </c>
      <c r="Z42" s="15"/>
      <c r="AA42" s="172"/>
    </row>
    <row r="43" spans="1:27" x14ac:dyDescent="0.25">
      <c r="A43" s="383"/>
      <c r="B43" s="145" t="s">
        <v>197</v>
      </c>
      <c r="C43" s="177"/>
      <c r="D43" s="15"/>
      <c r="E43" s="15"/>
      <c r="F43" s="27">
        <f>SUM(F41:F42)</f>
        <v>0</v>
      </c>
      <c r="G43" s="27">
        <f t="shared" ref="G43:O43" si="20">SUM(G41:G42)</f>
        <v>0</v>
      </c>
      <c r="H43" s="27">
        <f t="shared" si="20"/>
        <v>0</v>
      </c>
      <c r="I43" s="27">
        <f t="shared" si="20"/>
        <v>0</v>
      </c>
      <c r="J43" s="27">
        <f t="shared" si="20"/>
        <v>0</v>
      </c>
      <c r="K43" s="27">
        <f t="shared" si="20"/>
        <v>0</v>
      </c>
      <c r="L43" s="27">
        <f t="shared" si="20"/>
        <v>0</v>
      </c>
      <c r="M43" s="27">
        <f t="shared" si="20"/>
        <v>0</v>
      </c>
      <c r="N43" s="27">
        <f t="shared" si="20"/>
        <v>0</v>
      </c>
      <c r="O43" s="27">
        <f t="shared" si="20"/>
        <v>0</v>
      </c>
      <c r="P43" s="27">
        <f t="shared" ref="P43:Y43" si="21">SUM(P41:P42)</f>
        <v>0</v>
      </c>
      <c r="Q43" s="27">
        <f t="shared" si="21"/>
        <v>0</v>
      </c>
      <c r="R43" s="27">
        <f t="shared" si="21"/>
        <v>0</v>
      </c>
      <c r="S43" s="27">
        <f t="shared" si="21"/>
        <v>0</v>
      </c>
      <c r="T43" s="27">
        <f t="shared" si="21"/>
        <v>0</v>
      </c>
      <c r="U43" s="27">
        <f t="shared" si="21"/>
        <v>0</v>
      </c>
      <c r="V43" s="27">
        <f t="shared" si="21"/>
        <v>0</v>
      </c>
      <c r="W43" s="27">
        <f t="shared" si="21"/>
        <v>0</v>
      </c>
      <c r="X43" s="27">
        <f t="shared" si="21"/>
        <v>0</v>
      </c>
      <c r="Y43" s="27">
        <f t="shared" si="21"/>
        <v>0</v>
      </c>
      <c r="Z43" s="15"/>
      <c r="AA43" s="172"/>
    </row>
    <row r="44" spans="1:27" ht="13.8" thickBot="1" x14ac:dyDescent="0.3">
      <c r="A44" s="386"/>
      <c r="B44" s="34"/>
      <c r="C44" s="210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212"/>
    </row>
    <row r="45" spans="1:27" x14ac:dyDescent="0.25">
      <c r="A45" s="381"/>
      <c r="B45" s="382"/>
      <c r="C45" s="21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7"/>
    </row>
    <row r="46" spans="1:27" x14ac:dyDescent="0.25">
      <c r="A46" s="383"/>
      <c r="B46" s="17" t="s">
        <v>198</v>
      </c>
      <c r="C46" s="177"/>
      <c r="D46" s="15"/>
      <c r="E46" s="15"/>
      <c r="F46" s="470">
        <f>F25+F43</f>
        <v>0</v>
      </c>
      <c r="G46" s="470">
        <f t="shared" ref="G46:O46" si="22">G25+G43</f>
        <v>24.37158203125</v>
      </c>
      <c r="H46" s="470">
        <f t="shared" si="22"/>
        <v>72.651147460937494</v>
      </c>
      <c r="I46" s="470">
        <f t="shared" si="22"/>
        <v>114.89606567382813</v>
      </c>
      <c r="J46" s="470">
        <f t="shared" si="22"/>
        <v>152.48302850341798</v>
      </c>
      <c r="K46" s="470">
        <f t="shared" si="22"/>
        <v>186.51149979553222</v>
      </c>
      <c r="L46" s="470">
        <f t="shared" si="22"/>
        <v>217.85590823837282</v>
      </c>
      <c r="M46" s="470">
        <f t="shared" si="22"/>
        <v>247.2084199732742</v>
      </c>
      <c r="N46" s="470">
        <f t="shared" si="22"/>
        <v>275.11394271327936</v>
      </c>
      <c r="O46" s="470">
        <f t="shared" si="22"/>
        <v>301.99872953344675</v>
      </c>
      <c r="P46" s="470">
        <f t="shared" ref="P46:Y46" si="23">P25+P43</f>
        <v>328.19371483870265</v>
      </c>
      <c r="Q46" s="470">
        <f t="shared" si="23"/>
        <v>353.95351927069169</v>
      </c>
      <c r="R46" s="470">
        <f t="shared" si="23"/>
        <v>379.47189781265075</v>
      </c>
      <c r="S46" s="470">
        <f t="shared" si="23"/>
        <v>404.89427052249403</v>
      </c>
      <c r="T46" s="470">
        <f t="shared" si="23"/>
        <v>430.32786352328719</v>
      </c>
      <c r="U46" s="470">
        <f t="shared" si="23"/>
        <v>455.84989523239875</v>
      </c>
      <c r="V46" s="470">
        <f t="shared" si="23"/>
        <v>481.51416608544042</v>
      </c>
      <c r="W46" s="470">
        <f t="shared" si="23"/>
        <v>507.35634651640311</v>
      </c>
      <c r="X46" s="470">
        <f t="shared" si="23"/>
        <v>533.39820544834208</v>
      </c>
      <c r="Y46" s="470">
        <f t="shared" si="23"/>
        <v>559.65097816189279</v>
      </c>
      <c r="Z46" s="15"/>
      <c r="AA46" s="172"/>
    </row>
    <row r="47" spans="1:27" x14ac:dyDescent="0.25">
      <c r="A47" s="383"/>
      <c r="B47" s="17"/>
      <c r="C47" s="177"/>
      <c r="D47" s="15"/>
      <c r="E47" s="15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15"/>
      <c r="AA47" s="172"/>
    </row>
    <row r="48" spans="1:27" x14ac:dyDescent="0.25">
      <c r="A48" s="383"/>
      <c r="B48" s="17"/>
      <c r="C48" s="170" t="s">
        <v>241</v>
      </c>
      <c r="D48" s="15"/>
      <c r="E48" s="15"/>
      <c r="F48" s="274">
        <f>Streaming!E70</f>
        <v>9679.8918346216069</v>
      </c>
      <c r="G48" s="274">
        <f>Streaming!F70</f>
        <v>44842.917049465184</v>
      </c>
      <c r="H48" s="274">
        <f>Streaming!G70</f>
        <v>162753.03567903742</v>
      </c>
      <c r="I48" s="274">
        <f>Streaming!H70</f>
        <v>527157.45529150765</v>
      </c>
      <c r="J48" s="274">
        <f>Streaming!I70</f>
        <v>1031810.3824692816</v>
      </c>
      <c r="K48" s="274">
        <f>Streaming!J70</f>
        <v>1641073.8851990085</v>
      </c>
      <c r="L48" s="274">
        <f>Streaming!K70</f>
        <v>2400998.0565802758</v>
      </c>
      <c r="M48" s="274">
        <f>Streaming!L70</f>
        <v>3190622.9249297455</v>
      </c>
      <c r="N48" s="274">
        <f>Streaming!M70</f>
        <v>4001011.861038697</v>
      </c>
      <c r="O48" s="274">
        <f>Streaming!N70</f>
        <v>4831291.1584845111</v>
      </c>
      <c r="P48" s="274">
        <f>Streaming!O70</f>
        <v>5364969.5117721474</v>
      </c>
      <c r="Q48" s="274">
        <f>Streaming!P70</f>
        <v>5998221.9978256002</v>
      </c>
      <c r="R48" s="274">
        <f>Streaming!Q70</f>
        <v>6602547.2276779683</v>
      </c>
      <c r="S48" s="274">
        <f>Streaming!R70</f>
        <v>7247440.9611745151</v>
      </c>
      <c r="T48" s="274">
        <f>Streaming!S70</f>
        <v>7842598.0657263361</v>
      </c>
      <c r="U48" s="274">
        <f>Streaming!T70</f>
        <v>8375473.9944316531</v>
      </c>
      <c r="V48" s="274">
        <f>Streaming!U70</f>
        <v>8932090.9672121629</v>
      </c>
      <c r="W48" s="274">
        <f>Streaming!V70</f>
        <v>9715408.4563397542</v>
      </c>
      <c r="X48" s="274">
        <f>Streaming!W70</f>
        <v>10540932.898125341</v>
      </c>
      <c r="Y48" s="274">
        <f>Streaming!X70</f>
        <v>11410732.42162074</v>
      </c>
      <c r="Z48" s="15"/>
      <c r="AA48" s="172"/>
    </row>
    <row r="49" spans="1:27" x14ac:dyDescent="0.25">
      <c r="A49" s="383"/>
      <c r="B49" s="17"/>
      <c r="C49" s="170" t="s">
        <v>242</v>
      </c>
      <c r="D49" s="15"/>
      <c r="E49" s="15"/>
      <c r="F49" s="470">
        <f>F46/F48/12</f>
        <v>0</v>
      </c>
      <c r="G49" s="470">
        <f t="shared" ref="G49:O49" si="24">G46/G48/12</f>
        <v>4.5290656872980022E-5</v>
      </c>
      <c r="H49" s="470">
        <f t="shared" si="24"/>
        <v>3.7199074432940037E-5</v>
      </c>
      <c r="I49" s="470">
        <f t="shared" si="24"/>
        <v>1.8162831699290062E-5</v>
      </c>
      <c r="J49" s="470">
        <f t="shared" si="24"/>
        <v>1.231516881187208E-5</v>
      </c>
      <c r="K49" s="470">
        <f t="shared" si="24"/>
        <v>9.471008662767311E-6</v>
      </c>
      <c r="L49" s="470">
        <f t="shared" si="24"/>
        <v>7.5612968407487808E-6</v>
      </c>
      <c r="M49" s="470">
        <f t="shared" si="24"/>
        <v>6.4566393927270879E-6</v>
      </c>
      <c r="N49" s="470">
        <f t="shared" si="24"/>
        <v>5.7300909592458576E-6</v>
      </c>
      <c r="O49" s="470">
        <f t="shared" si="24"/>
        <v>5.2090755801909057E-6</v>
      </c>
      <c r="P49" s="470">
        <f t="shared" ref="P49:Y49" si="25">P46/P48/12</f>
        <v>5.0977878208900622E-6</v>
      </c>
      <c r="Q49" s="470">
        <f t="shared" si="25"/>
        <v>4.9174783155047505E-6</v>
      </c>
      <c r="R49" s="470">
        <f t="shared" si="25"/>
        <v>4.7894633783900269E-6</v>
      </c>
      <c r="S49" s="470">
        <f t="shared" si="25"/>
        <v>4.6556004237859647E-6</v>
      </c>
      <c r="T49" s="470">
        <f t="shared" si="25"/>
        <v>4.5725478971471502E-6</v>
      </c>
      <c r="U49" s="470">
        <f t="shared" si="25"/>
        <v>4.5355631567386093E-6</v>
      </c>
      <c r="V49" s="470">
        <f t="shared" si="25"/>
        <v>4.4923613803772097E-6</v>
      </c>
      <c r="W49" s="470">
        <f t="shared" si="25"/>
        <v>4.35181863253975E-6</v>
      </c>
      <c r="X49" s="470">
        <f t="shared" si="25"/>
        <v>4.2168801266094499E-6</v>
      </c>
      <c r="Y49" s="470">
        <f t="shared" si="25"/>
        <v>4.0871680966879457E-6</v>
      </c>
      <c r="Z49" s="15"/>
      <c r="AA49" s="172"/>
    </row>
    <row r="50" spans="1:27" ht="13.8" thickBot="1" x14ac:dyDescent="0.3">
      <c r="A50" s="386"/>
      <c r="B50" s="34"/>
      <c r="C50" s="210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12"/>
    </row>
    <row r="51" spans="1:27" x14ac:dyDescent="0.25">
      <c r="A51" s="381"/>
      <c r="B51" s="382"/>
      <c r="C51" s="214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7"/>
    </row>
    <row r="52" spans="1:27" x14ac:dyDescent="0.25">
      <c r="A52" s="383"/>
      <c r="B52" s="343" t="s">
        <v>178</v>
      </c>
      <c r="C52" s="17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72"/>
    </row>
    <row r="53" spans="1:27" x14ac:dyDescent="0.25">
      <c r="A53" s="383"/>
      <c r="B53" s="15"/>
      <c r="C53" s="170" t="s">
        <v>202</v>
      </c>
      <c r="D53" s="15"/>
      <c r="E53" s="15"/>
      <c r="F53" s="274">
        <f>F46</f>
        <v>0</v>
      </c>
      <c r="G53" s="274">
        <f t="shared" ref="G53:O53" si="26">G46</f>
        <v>24.37158203125</v>
      </c>
      <c r="H53" s="274">
        <f t="shared" si="26"/>
        <v>72.651147460937494</v>
      </c>
      <c r="I53" s="274">
        <f t="shared" si="26"/>
        <v>114.89606567382813</v>
      </c>
      <c r="J53" s="274">
        <f t="shared" si="26"/>
        <v>152.48302850341798</v>
      </c>
      <c r="K53" s="274">
        <f t="shared" si="26"/>
        <v>186.51149979553222</v>
      </c>
      <c r="L53" s="274">
        <f t="shared" si="26"/>
        <v>217.85590823837282</v>
      </c>
      <c r="M53" s="274">
        <f t="shared" si="26"/>
        <v>247.2084199732742</v>
      </c>
      <c r="N53" s="274">
        <f t="shared" si="26"/>
        <v>275.11394271327936</v>
      </c>
      <c r="O53" s="274">
        <f t="shared" si="26"/>
        <v>301.99872953344675</v>
      </c>
      <c r="P53" s="274">
        <f t="shared" ref="P53:Y53" si="27">P46</f>
        <v>328.19371483870265</v>
      </c>
      <c r="Q53" s="274">
        <f t="shared" si="27"/>
        <v>353.95351927069169</v>
      </c>
      <c r="R53" s="274">
        <f t="shared" si="27"/>
        <v>379.47189781265075</v>
      </c>
      <c r="S53" s="274">
        <f t="shared" si="27"/>
        <v>404.89427052249403</v>
      </c>
      <c r="T53" s="274">
        <f t="shared" si="27"/>
        <v>430.32786352328719</v>
      </c>
      <c r="U53" s="274">
        <f t="shared" si="27"/>
        <v>455.84989523239875</v>
      </c>
      <c r="V53" s="274">
        <f t="shared" si="27"/>
        <v>481.51416608544042</v>
      </c>
      <c r="W53" s="274">
        <f t="shared" si="27"/>
        <v>507.35634651640311</v>
      </c>
      <c r="X53" s="274">
        <f t="shared" si="27"/>
        <v>533.39820544834208</v>
      </c>
      <c r="Y53" s="274">
        <f t="shared" si="27"/>
        <v>559.65097816189279</v>
      </c>
      <c r="Z53" s="15"/>
      <c r="AA53" s="172"/>
    </row>
    <row r="54" spans="1:27" x14ac:dyDescent="0.25">
      <c r="A54" s="383"/>
      <c r="B54" s="15"/>
      <c r="C54" s="170" t="s">
        <v>201</v>
      </c>
      <c r="D54" s="15"/>
      <c r="E54" s="15"/>
      <c r="F54" s="274">
        <f>SUM($F$53:F53)</f>
        <v>0</v>
      </c>
      <c r="G54" s="274">
        <f>SUM($F$53:G53)</f>
        <v>24.37158203125</v>
      </c>
      <c r="H54" s="274">
        <f>SUM($F$53:H53)</f>
        <v>97.022729492187494</v>
      </c>
      <c r="I54" s="274">
        <f>SUM($F$53:I53)</f>
        <v>211.91879516601563</v>
      </c>
      <c r="J54" s="274">
        <f>SUM($F$53:J53)</f>
        <v>364.40182366943361</v>
      </c>
      <c r="K54" s="274">
        <f>SUM($F$53:K53)</f>
        <v>550.91332346496586</v>
      </c>
      <c r="L54" s="274">
        <f>SUM($F$53:L53)</f>
        <v>768.76923170333862</v>
      </c>
      <c r="M54" s="274">
        <f>SUM($F$53:M53)</f>
        <v>1015.9776516766128</v>
      </c>
      <c r="N54" s="274">
        <f>SUM($F$53:N53)</f>
        <v>1291.0915943898922</v>
      </c>
      <c r="O54" s="274">
        <f>SUM($F$53:O53)</f>
        <v>1593.0903239233389</v>
      </c>
      <c r="P54" s="274">
        <f>SUM($F$53:P53)</f>
        <v>1921.2840387620415</v>
      </c>
      <c r="Q54" s="274">
        <f>SUM($F$53:Q53)</f>
        <v>2275.2375580327334</v>
      </c>
      <c r="R54" s="274">
        <f>SUM($F$53:R53)</f>
        <v>2654.7094558453841</v>
      </c>
      <c r="S54" s="274">
        <f>SUM($F$53:S53)</f>
        <v>3059.6037263678782</v>
      </c>
      <c r="T54" s="274">
        <f>SUM($F$53:T53)</f>
        <v>3489.9315898911655</v>
      </c>
      <c r="U54" s="274">
        <f>SUM($F$53:U53)</f>
        <v>3945.7814851235644</v>
      </c>
      <c r="V54" s="274">
        <f>SUM($F$53:V53)</f>
        <v>4427.295651209005</v>
      </c>
      <c r="W54" s="274">
        <f>SUM($F$53:W53)</f>
        <v>4934.6519977254084</v>
      </c>
      <c r="X54" s="274">
        <f>SUM($F$53:X53)</f>
        <v>5468.0502031737506</v>
      </c>
      <c r="Y54" s="274">
        <f>SUM($F$53:Y53)</f>
        <v>6027.701181335643</v>
      </c>
      <c r="Z54" s="15"/>
      <c r="AA54" s="172"/>
    </row>
    <row r="55" spans="1:27" x14ac:dyDescent="0.25">
      <c r="A55" s="383"/>
      <c r="B55" s="33"/>
      <c r="C55" s="17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72"/>
    </row>
    <row r="56" spans="1:27" x14ac:dyDescent="0.25">
      <c r="A56" s="383"/>
      <c r="B56" s="33"/>
      <c r="C56" s="170" t="s">
        <v>199</v>
      </c>
      <c r="D56" s="15"/>
      <c r="E56" s="15"/>
      <c r="F56" s="23">
        <f>IF(ISERROR(F54*1000/(SUM($F$18:F18)+SUM($F$39:F39))),0,(F54*1000/(SUM($F$18:F18)+SUM($F$39:F39))))</f>
        <v>0</v>
      </c>
      <c r="G56" s="23">
        <f>IF(ISERROR(G54*1000/(SUM($F$18:G18)+SUM($F$39:G39))),0,(G54*1000/(SUM($F$18:G18)+SUM($F$39:G39))))</f>
        <v>92.5</v>
      </c>
      <c r="H56" s="23">
        <f>IF(ISERROR(H54*1000/(SUM($F$18:H18)+SUM($F$39:H39))),0,(H54*1000/(SUM($F$18:H18)+SUM($F$39:H39))))</f>
        <v>87.642267995765707</v>
      </c>
      <c r="I56" s="23">
        <f>IF(ISERROR(I54*1000/(SUM($F$18:I18)+SUM($F$39:I39))),0,(I54*1000/(SUM($F$18:I18)+SUM($F$39:I39))))</f>
        <v>83.740389847186847</v>
      </c>
      <c r="J56" s="23">
        <f>IF(ISERROR(J54*1000/(SUM($F$18:J18)+SUM($F$39:J39))),0,(J54*1000/(SUM($F$18:J18)+SUM($F$39:J39))))</f>
        <v>80.364289162108022</v>
      </c>
      <c r="K56" s="23">
        <f>IF(ISERROR(K54*1000/(SUM($F$18:K18)+SUM($F$39:K39))),0,(K54*1000/(SUM($F$18:K18)+SUM($F$39:K39))))</f>
        <v>77.395423683375654</v>
      </c>
      <c r="L56" s="23">
        <f>IF(ISERROR(L54*1000/(SUM($F$18:L18)+SUM($F$39:L39))),0,(L54*1000/(SUM($F$18:L18)+SUM($F$39:L39))))</f>
        <v>74.768225558868878</v>
      </c>
      <c r="M56" s="23">
        <f>IF(ISERROR(M54*1000/(SUM($F$18:M18)+SUM($F$39:M39))),0,(M54*1000/(SUM($F$18:M18)+SUM($F$39:M39))))</f>
        <v>72.435430584772362</v>
      </c>
      <c r="N56" s="23">
        <f>IF(ISERROR(N54*1000/(SUM($F$18:N18)+SUM($F$39:N39))),0,(N54*1000/(SUM($F$18:N18)+SUM($F$39:N39))))</f>
        <v>70.359214953127633</v>
      </c>
      <c r="O56" s="23">
        <f>IF(ISERROR(O54*1000/(SUM($F$18:O18)+SUM($F$39:O39))),0,(O54*1000/(SUM($F$18:O18)+SUM($F$39:O39))))</f>
        <v>68.507928360147275</v>
      </c>
      <c r="P56" s="23">
        <f>IF(ISERROR(P54*1000/(SUM($F$18:P18)+SUM($F$39:P39))),0,(P54*1000/(SUM($F$18:P18)+SUM($F$39:P39))))</f>
        <v>66.854521397727694</v>
      </c>
      <c r="Q56" s="23">
        <f>IF(ISERROR(Q54*1000/(SUM($F$18:Q18)+SUM($F$39:Q39))),0,(Q54*1000/(SUM($F$18:Q18)+SUM($F$39:Q39))))</f>
        <v>65.375619691044875</v>
      </c>
      <c r="R56" s="23">
        <f>IF(ISERROR(R54*1000/(SUM($F$18:R18)+SUM($F$39:R39))),0,(R54*1000/(SUM($F$18:R18)+SUM($F$39:R39))))</f>
        <v>64.050895413595939</v>
      </c>
      <c r="S56" s="23">
        <f>IF(ISERROR(S54*1000/(SUM($F$18:S18)+SUM($F$39:S39))),0,(S54*1000/(SUM($F$18:S18)+SUM($F$39:S39))))</f>
        <v>62.862598983950598</v>
      </c>
      <c r="T56" s="23">
        <f>IF(ISERROR(T54*1000/(SUM($F$18:T18)+SUM($F$39:T39))),0,(T54*1000/(SUM($F$18:T18)+SUM($F$39:T39))))</f>
        <v>61.795189241249595</v>
      </c>
      <c r="U56" s="23">
        <f>IF(ISERROR(U54*1000/(SUM($F$18:U18)+SUM($F$39:U39))),0,(U54*1000/(SUM($F$18:U18)+SUM($F$39:U39))))</f>
        <v>60.835030801850884</v>
      </c>
      <c r="V56" s="23">
        <f>IF(ISERROR(V54*1000/(SUM($F$18:V18)+SUM($F$39:V39))),0,(V54*1000/(SUM($F$18:V18)+SUM($F$39:V39))))</f>
        <v>59.970140890064414</v>
      </c>
      <c r="W56" s="23">
        <f>IF(ISERROR(W54*1000/(SUM($F$18:W18)+SUM($F$39:W39))),0,(W54*1000/(SUM($F$18:W18)+SUM($F$39:W39))))</f>
        <v>59.189974600984627</v>
      </c>
      <c r="X56" s="23">
        <f>IF(ISERROR(X54*1000/(SUM($F$18:X18)+SUM($F$39:X39))),0,(X54*1000/(SUM($F$18:X18)+SUM($F$39:X39))))</f>
        <v>58.485241115894155</v>
      </c>
      <c r="Y56" s="23">
        <f>IF(ISERROR(Y54*1000/(SUM($F$18:Y18)+SUM($F$39:Y39))),0,(Y54*1000/(SUM($F$18:Y18)+SUM($F$39:Y39))))</f>
        <v>57.847745455844489</v>
      </c>
      <c r="Z56" s="15"/>
      <c r="AA56" s="172"/>
    </row>
    <row r="57" spans="1:27" x14ac:dyDescent="0.25">
      <c r="A57" s="383"/>
      <c r="B57" s="33"/>
      <c r="C57" s="17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72"/>
    </row>
    <row r="58" spans="1:27" x14ac:dyDescent="0.25">
      <c r="A58" s="383"/>
      <c r="B58" s="33"/>
      <c r="C58" s="15" t="s">
        <v>204</v>
      </c>
      <c r="D58" s="15"/>
      <c r="E58" s="15"/>
      <c r="F58" s="454">
        <f>F56*Assumptions!F50</f>
        <v>0</v>
      </c>
      <c r="G58" s="454">
        <f>G56*Assumptions!G50</f>
        <v>89.4287109375</v>
      </c>
      <c r="H58" s="454">
        <f>H56*Assumptions!H50</f>
        <v>84.732270816218801</v>
      </c>
      <c r="I58" s="454">
        <f>I56*Assumptions!I50</f>
        <v>80.959947215541973</v>
      </c>
      <c r="J58" s="454">
        <f>J56*Assumptions!J50</f>
        <v>77.69594362352241</v>
      </c>
      <c r="K58" s="454">
        <f>K56*Assumptions!K50</f>
        <v>74.825653756388576</v>
      </c>
      <c r="L58" s="454">
        <f>L56*Assumptions!L50</f>
        <v>72.285686819609566</v>
      </c>
      <c r="M58" s="454">
        <f>M56*Assumptions!M50</f>
        <v>70.03034792863734</v>
      </c>
      <c r="N58" s="454">
        <f>N56*Assumptions!N50</f>
        <v>68.023069144137068</v>
      </c>
      <c r="O58" s="454">
        <f>O56*Assumptions!O50</f>
        <v>66.233251051314255</v>
      </c>
      <c r="P58" s="454">
        <f>P56*Assumptions!P50</f>
        <v>64.634742366943769</v>
      </c>
      <c r="Q58" s="454">
        <f>Q56*Assumptions!Q50</f>
        <v>63.204944818490652</v>
      </c>
      <c r="R58" s="454">
        <f>R56*Assumptions!R50</f>
        <v>61.924205526816387</v>
      </c>
      <c r="S58" s="454">
        <f>S56*Assumptions!S50</f>
        <v>60.775364252061614</v>
      </c>
      <c r="T58" s="454">
        <f>T56*Assumptions!T50</f>
        <v>59.743395848473732</v>
      </c>
      <c r="U58" s="454">
        <f>U56*Assumptions!U50</f>
        <v>58.81511766975818</v>
      </c>
      <c r="V58" s="454">
        <f>V56*Assumptions!V50</f>
        <v>57.978944805823993</v>
      </c>
      <c r="W58" s="454">
        <f>W56*Assumptions!W50</f>
        <v>57.224682475561309</v>
      </c>
      <c r="X58" s="454">
        <f>X56*Assumptions!X50</f>
        <v>56.543348344467979</v>
      </c>
      <c r="Y58" s="454">
        <f>Y56*Assumptions!Y50</f>
        <v>55.927019532505902</v>
      </c>
      <c r="Z58" s="15"/>
      <c r="AA58" s="172"/>
    </row>
    <row r="59" spans="1:27" x14ac:dyDescent="0.25">
      <c r="A59" s="383"/>
      <c r="B59" s="33"/>
      <c r="C59" s="15" t="s">
        <v>149</v>
      </c>
      <c r="D59" s="15"/>
      <c r="E59" s="15"/>
      <c r="F59" s="20">
        <f>Assumptions!F28</f>
        <v>9679.8918346216069</v>
      </c>
      <c r="G59" s="20">
        <f>Assumptions!G28</f>
        <v>44842.917049465184</v>
      </c>
      <c r="H59" s="20">
        <f>Assumptions!H28</f>
        <v>162753.03567903742</v>
      </c>
      <c r="I59" s="20">
        <f>Assumptions!I28</f>
        <v>527157.45529150765</v>
      </c>
      <c r="J59" s="20">
        <f>Assumptions!J28</f>
        <v>1031810.3824692816</v>
      </c>
      <c r="K59" s="20">
        <f>Assumptions!K28</f>
        <v>1641073.8851990085</v>
      </c>
      <c r="L59" s="20">
        <f>Assumptions!L28</f>
        <v>2400998.0565802758</v>
      </c>
      <c r="M59" s="20">
        <f>Assumptions!M28</f>
        <v>3190622.9249297455</v>
      </c>
      <c r="N59" s="20">
        <f>Assumptions!N28</f>
        <v>4001011.861038697</v>
      </c>
      <c r="O59" s="20">
        <f>Assumptions!O28</f>
        <v>4831291.1584845111</v>
      </c>
      <c r="P59" s="20">
        <f>Assumptions!P28</f>
        <v>5364969.5117721474</v>
      </c>
      <c r="Q59" s="20">
        <f>Assumptions!Q28</f>
        <v>5998221.9978256002</v>
      </c>
      <c r="R59" s="20">
        <f>Assumptions!R28</f>
        <v>6602547.2276779683</v>
      </c>
      <c r="S59" s="20">
        <f>Assumptions!S28</f>
        <v>7247440.9611745151</v>
      </c>
      <c r="T59" s="20">
        <f>Assumptions!T28</f>
        <v>7842598.0657263361</v>
      </c>
      <c r="U59" s="20">
        <f>Assumptions!U28</f>
        <v>8375473.9944316531</v>
      </c>
      <c r="V59" s="20">
        <f>Assumptions!V28</f>
        <v>8932090.9672121629</v>
      </c>
      <c r="W59" s="20">
        <f>Assumptions!W28</f>
        <v>9715408.4563397542</v>
      </c>
      <c r="X59" s="20">
        <f>Assumptions!X28</f>
        <v>10540932.898125341</v>
      </c>
      <c r="Y59" s="20">
        <f>Assumptions!Y28</f>
        <v>11410732.42162074</v>
      </c>
      <c r="Z59" s="15"/>
      <c r="AA59" s="172"/>
    </row>
    <row r="60" spans="1:27" x14ac:dyDescent="0.25">
      <c r="A60" s="383"/>
      <c r="B60" s="33"/>
      <c r="C60" s="15" t="s">
        <v>150</v>
      </c>
      <c r="D60" s="15"/>
      <c r="E60" s="15"/>
      <c r="F60" s="20">
        <f>Assumptions!F33*12</f>
        <v>48</v>
      </c>
      <c r="G60" s="20">
        <f>Assumptions!G33*12</f>
        <v>52.5</v>
      </c>
      <c r="H60" s="20">
        <f>Assumptions!H33*12</f>
        <v>57</v>
      </c>
      <c r="I60" s="20">
        <f>Assumptions!I33*12</f>
        <v>61.5</v>
      </c>
      <c r="J60" s="20">
        <f>Assumptions!J33*12</f>
        <v>66</v>
      </c>
      <c r="K60" s="20">
        <f>Assumptions!K33*12</f>
        <v>66</v>
      </c>
      <c r="L60" s="20">
        <f>Assumptions!L33*12</f>
        <v>66</v>
      </c>
      <c r="M60" s="20">
        <f>Assumptions!M33*12</f>
        <v>66</v>
      </c>
      <c r="N60" s="20">
        <f>Assumptions!N33*12</f>
        <v>66</v>
      </c>
      <c r="O60" s="20">
        <f>Assumptions!O33*12</f>
        <v>66</v>
      </c>
      <c r="P60" s="20">
        <f>Assumptions!P33*12</f>
        <v>66</v>
      </c>
      <c r="Q60" s="20">
        <f>Assumptions!Q33*12</f>
        <v>66</v>
      </c>
      <c r="R60" s="20">
        <f>Assumptions!R33*12</f>
        <v>66</v>
      </c>
      <c r="S60" s="20">
        <f>Assumptions!S33*12</f>
        <v>66</v>
      </c>
      <c r="T60" s="20">
        <f>Assumptions!T33*12</f>
        <v>66</v>
      </c>
      <c r="U60" s="20">
        <f>Assumptions!U33*12</f>
        <v>66</v>
      </c>
      <c r="V60" s="20">
        <f>Assumptions!V33*12</f>
        <v>66</v>
      </c>
      <c r="W60" s="20">
        <f>Assumptions!W33*12</f>
        <v>66</v>
      </c>
      <c r="X60" s="20">
        <f>Assumptions!X33*12</f>
        <v>66</v>
      </c>
      <c r="Y60" s="20">
        <f>Assumptions!Y33*12</f>
        <v>66</v>
      </c>
      <c r="Z60" s="15"/>
      <c r="AA60" s="172"/>
    </row>
    <row r="61" spans="1:27" x14ac:dyDescent="0.25">
      <c r="A61" s="383"/>
      <c r="B61" s="33"/>
      <c r="C61" s="15" t="s">
        <v>151</v>
      </c>
      <c r="D61" s="15"/>
      <c r="E61" s="15"/>
      <c r="F61" s="20">
        <f>Assumptions!F34</f>
        <v>464634.8080618371</v>
      </c>
      <c r="G61" s="20">
        <f>Assumptions!G34</f>
        <v>2354253.1450969223</v>
      </c>
      <c r="H61" s="20">
        <f>Assumptions!H34</f>
        <v>9276923.0337051321</v>
      </c>
      <c r="I61" s="20">
        <f>Assumptions!I34</f>
        <v>32420183.500427719</v>
      </c>
      <c r="J61" s="20">
        <f>Assumptions!J34</f>
        <v>68099485.242972583</v>
      </c>
      <c r="K61" s="20">
        <f>Assumptions!K34</f>
        <v>108310876.42313455</v>
      </c>
      <c r="L61" s="20">
        <f>Assumptions!L34</f>
        <v>158465871.7342982</v>
      </c>
      <c r="M61" s="20">
        <f>Assumptions!M34</f>
        <v>210581113.04536319</v>
      </c>
      <c r="N61" s="20">
        <f>Assumptions!N34</f>
        <v>264066782.828554</v>
      </c>
      <c r="O61" s="20">
        <f>Assumptions!O34</f>
        <v>318865216.45997775</v>
      </c>
      <c r="P61" s="20">
        <f>Assumptions!P34</f>
        <v>354087987.77696174</v>
      </c>
      <c r="Q61" s="20">
        <f>Assumptions!Q34</f>
        <v>395882651.8564896</v>
      </c>
      <c r="R61" s="20">
        <f>Assumptions!R34</f>
        <v>435768117.02674592</v>
      </c>
      <c r="S61" s="20">
        <f>Assumptions!S34</f>
        <v>478331103.437518</v>
      </c>
      <c r="T61" s="20">
        <f>Assumptions!T34</f>
        <v>517611472.33793819</v>
      </c>
      <c r="U61" s="20">
        <f>Assumptions!U34</f>
        <v>552781283.63248909</v>
      </c>
      <c r="V61" s="20">
        <f>Assumptions!V34</f>
        <v>589518003.83600271</v>
      </c>
      <c r="W61" s="20">
        <f>Assumptions!W34</f>
        <v>641216958.11842382</v>
      </c>
      <c r="X61" s="20">
        <f>Assumptions!X34</f>
        <v>695701571.27627254</v>
      </c>
      <c r="Y61" s="20">
        <f>Assumptions!Y34</f>
        <v>753108339.82696891</v>
      </c>
      <c r="Z61" s="15"/>
      <c r="AA61" s="172"/>
    </row>
    <row r="62" spans="1:27" x14ac:dyDescent="0.25">
      <c r="A62" s="383"/>
      <c r="B62" s="33"/>
      <c r="C62" s="15" t="s">
        <v>152</v>
      </c>
      <c r="D62" s="15"/>
      <c r="E62" s="15"/>
      <c r="F62" s="15">
        <f>Assumptions!F168</f>
        <v>500</v>
      </c>
      <c r="G62" s="15">
        <f>Assumptions!G168</f>
        <v>1100</v>
      </c>
      <c r="H62" s="15">
        <f>Assumptions!H168</f>
        <v>1700</v>
      </c>
      <c r="I62" s="15">
        <f>Assumptions!I168</f>
        <v>2300</v>
      </c>
      <c r="J62" s="15">
        <f>Assumptions!J168</f>
        <v>2900</v>
      </c>
      <c r="K62" s="15">
        <f>Assumptions!K168</f>
        <v>3500</v>
      </c>
      <c r="L62" s="15">
        <f>Assumptions!L168</f>
        <v>4100</v>
      </c>
      <c r="M62" s="15">
        <f>Assumptions!M168</f>
        <v>4700</v>
      </c>
      <c r="N62" s="15">
        <f>Assumptions!N168</f>
        <v>5300</v>
      </c>
      <c r="O62" s="15">
        <f>Assumptions!O168</f>
        <v>5900</v>
      </c>
      <c r="P62" s="15">
        <f>Assumptions!P168</f>
        <v>6500</v>
      </c>
      <c r="Q62" s="15">
        <f>Assumptions!Q168</f>
        <v>7100</v>
      </c>
      <c r="R62" s="15">
        <f>Assumptions!R168</f>
        <v>7700</v>
      </c>
      <c r="S62" s="15">
        <f>Assumptions!S168</f>
        <v>8300</v>
      </c>
      <c r="T62" s="15">
        <f>Assumptions!T168</f>
        <v>8900</v>
      </c>
      <c r="U62" s="15">
        <f>Assumptions!U168</f>
        <v>9500</v>
      </c>
      <c r="V62" s="15">
        <f>Assumptions!V168</f>
        <v>10100</v>
      </c>
      <c r="W62" s="15">
        <f>Assumptions!W168</f>
        <v>10700</v>
      </c>
      <c r="X62" s="15">
        <f>Assumptions!X168</f>
        <v>11300</v>
      </c>
      <c r="Y62" s="15">
        <f>Assumptions!Y168</f>
        <v>11900</v>
      </c>
      <c r="Z62" s="15"/>
      <c r="AA62" s="172"/>
    </row>
    <row r="63" spans="1:27" x14ac:dyDescent="0.25">
      <c r="A63" s="383"/>
      <c r="B63" s="33"/>
      <c r="C63" s="15" t="s">
        <v>153</v>
      </c>
      <c r="D63" s="15"/>
      <c r="E63" s="15"/>
      <c r="F63" s="205">
        <f>F61/F62</f>
        <v>929.26961612367415</v>
      </c>
      <c r="G63" s="205">
        <f t="shared" ref="G63:O63" si="28">G61/G62</f>
        <v>2140.2301319062931</v>
      </c>
      <c r="H63" s="205">
        <f t="shared" si="28"/>
        <v>5457.0135492383133</v>
      </c>
      <c r="I63" s="205">
        <f t="shared" si="28"/>
        <v>14095.731956707705</v>
      </c>
      <c r="J63" s="205">
        <f t="shared" si="28"/>
        <v>23482.581118266407</v>
      </c>
      <c r="K63" s="205">
        <f t="shared" si="28"/>
        <v>30945.964692324156</v>
      </c>
      <c r="L63" s="205">
        <f t="shared" si="28"/>
        <v>38650.212618121514</v>
      </c>
      <c r="M63" s="205">
        <f t="shared" si="28"/>
        <v>44804.492137311317</v>
      </c>
      <c r="N63" s="205">
        <f t="shared" si="28"/>
        <v>49823.921288406418</v>
      </c>
      <c r="O63" s="205">
        <f t="shared" si="28"/>
        <v>54044.951942369109</v>
      </c>
      <c r="P63" s="205">
        <f t="shared" ref="P63:Y63" si="29">P61/P62</f>
        <v>54475.075042609496</v>
      </c>
      <c r="Q63" s="205">
        <f t="shared" si="29"/>
        <v>55758.119979787269</v>
      </c>
      <c r="R63" s="205">
        <f t="shared" si="29"/>
        <v>56593.261951525441</v>
      </c>
      <c r="S63" s="205">
        <f t="shared" si="29"/>
        <v>57630.253426206989</v>
      </c>
      <c r="T63" s="205">
        <f t="shared" si="29"/>
        <v>58158.592397521148</v>
      </c>
      <c r="U63" s="205">
        <f t="shared" si="29"/>
        <v>58187.503540262012</v>
      </c>
      <c r="V63" s="205">
        <f t="shared" si="29"/>
        <v>58368.119191683436</v>
      </c>
      <c r="W63" s="205">
        <f t="shared" si="29"/>
        <v>59926.818515740546</v>
      </c>
      <c r="X63" s="205">
        <f t="shared" si="29"/>
        <v>61566.510732413495</v>
      </c>
      <c r="Y63" s="205">
        <f t="shared" si="29"/>
        <v>63286.415111509996</v>
      </c>
      <c r="Z63" s="15"/>
      <c r="AA63" s="172"/>
    </row>
    <row r="64" spans="1:27" x14ac:dyDescent="0.25">
      <c r="A64" s="383"/>
      <c r="B64" s="33"/>
      <c r="C64" s="17" t="s">
        <v>205</v>
      </c>
      <c r="D64" s="17"/>
      <c r="E64" s="17"/>
      <c r="F64" s="471">
        <f>F58/F63</f>
        <v>0</v>
      </c>
      <c r="G64" s="471">
        <f t="shared" ref="G64:O64" si="30">G58/G63</f>
        <v>4.1784623814190611E-2</v>
      </c>
      <c r="H64" s="471">
        <f t="shared" si="30"/>
        <v>1.552722382887352E-2</v>
      </c>
      <c r="I64" s="471">
        <f t="shared" si="30"/>
        <v>5.7435787984756433E-3</v>
      </c>
      <c r="J64" s="471">
        <f t="shared" si="30"/>
        <v>3.3086628438423675E-3</v>
      </c>
      <c r="K64" s="471">
        <f t="shared" si="30"/>
        <v>2.4179454252059025E-3</v>
      </c>
      <c r="L64" s="471">
        <f t="shared" si="30"/>
        <v>1.8702532773575932E-3</v>
      </c>
      <c r="M64" s="471">
        <f t="shared" si="30"/>
        <v>1.5630206835961205E-3</v>
      </c>
      <c r="N64" s="471">
        <f t="shared" si="30"/>
        <v>1.3652692799987509E-3</v>
      </c>
      <c r="O64" s="471">
        <f t="shared" si="30"/>
        <v>1.2255215088717657E-3</v>
      </c>
      <c r="P64" s="471">
        <f t="shared" ref="P64:Y64" si="31">P58/P63</f>
        <v>1.1865012084221554E-3</v>
      </c>
      <c r="Q64" s="471">
        <f t="shared" si="31"/>
        <v>1.1335558810340613E-3</v>
      </c>
      <c r="R64" s="471">
        <f t="shared" si="31"/>
        <v>1.0941974961587676E-3</v>
      </c>
      <c r="S64" s="471">
        <f t="shared" si="31"/>
        <v>1.054573954457476E-3</v>
      </c>
      <c r="T64" s="471">
        <f t="shared" si="31"/>
        <v>1.027249687202198E-3</v>
      </c>
      <c r="U64" s="471">
        <f t="shared" si="31"/>
        <v>1.0107860638678527E-3</v>
      </c>
      <c r="V64" s="471">
        <f t="shared" si="31"/>
        <v>9.9333241517374628E-4</v>
      </c>
      <c r="W64" s="471">
        <f t="shared" si="31"/>
        <v>9.5490940271642346E-4</v>
      </c>
      <c r="X64" s="471">
        <f t="shared" si="31"/>
        <v>9.1841079950465794E-4</v>
      </c>
      <c r="Y64" s="471">
        <f t="shared" si="31"/>
        <v>8.837128700363748E-4</v>
      </c>
      <c r="Z64" s="15"/>
      <c r="AA64" s="172"/>
    </row>
    <row r="65" spans="1:27" ht="13.8" thickBot="1" x14ac:dyDescent="0.3">
      <c r="A65" s="386"/>
      <c r="B65" s="34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212"/>
    </row>
    <row r="66" spans="1:27" x14ac:dyDescent="0.25">
      <c r="C66" s="154"/>
    </row>
  </sheetData>
  <customSheetViews>
    <customSheetView guid="{00A591F2-C6CE-11D4-B3FE-00409628F381}" scale="75" showPageBreaks="1" fitToPage="1" printArea="1" hiddenColumns="1" showRuler="0">
      <pane xSplit="3" ySplit="5" topLeftCell="D20" activePane="bottomRight" state="frozen"/>
      <selection pane="bottomRight" activeCell="A58" sqref="A58"/>
      <rowBreaks count="1" manualBreakCount="1">
        <brk id="26" max="16383" man="1"/>
      </rowBreaks>
      <pageMargins left="0.75" right="0.75" top="1" bottom="1" header="0.5" footer="0.5"/>
      <pageSetup paperSize="5" scale="51" orientation="landscape" r:id="rId1"/>
      <headerFooter alignWithMargins="0"/>
    </customSheetView>
    <customSheetView guid="{39AEF1F3-C6CC-11D4-B3CC-0080C71F7D28}" scale="75" showPageBreaks="1" fitToPage="1" printArea="1" hiddenColumns="1" showRuler="0">
      <pane xSplit="3" ySplit="5" topLeftCell="D20" activePane="bottomRight" state="frozen"/>
      <selection pane="bottomRight" activeCell="A58" sqref="A58"/>
      <rowBreaks count="1" manualBreakCount="1">
        <brk id="26" max="16383" man="1"/>
      </rowBreaks>
      <pageMargins left="0.75" right="0.75" top="1" bottom="1" header="0.5" footer="0.5"/>
      <pageSetup paperSize="5" scale="50" orientation="landscape" r:id="rId2"/>
      <headerFooter alignWithMargins="0"/>
    </customSheetView>
  </customSheetViews>
  <pageMargins left="0.75" right="0.75" top="1" bottom="1" header="0.5" footer="0.5"/>
  <pageSetup paperSize="5" scale="51" orientation="landscape" r:id="rId3"/>
  <headerFooter alignWithMargins="0"/>
  <rowBreaks count="1" manualBreakCount="1">
    <brk id="2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N78"/>
  <sheetViews>
    <sheetView zoomScale="75" workbookViewId="0">
      <pane xSplit="3" ySplit="5" topLeftCell="D32" activePane="bottomRight" state="frozen"/>
      <selection pane="topRight" activeCell="D1" sqref="D1"/>
      <selection pane="bottomLeft" activeCell="A6" sqref="A6"/>
      <selection pane="bottomRight" activeCell="F66" sqref="F66"/>
    </sheetView>
  </sheetViews>
  <sheetFormatPr defaultColWidth="9.109375" defaultRowHeight="13.2" x14ac:dyDescent="0.25"/>
  <cols>
    <col min="1" max="2" width="3.6640625" style="13" customWidth="1"/>
    <col min="3" max="3" width="35.109375" style="13" customWidth="1"/>
    <col min="4" max="4" width="1.6640625" style="13" customWidth="1"/>
    <col min="5" max="8" width="10.109375" style="13" bestFit="1" customWidth="1"/>
    <col min="9" max="13" width="11.109375" style="13" bestFit="1" customWidth="1"/>
    <col min="14" max="24" width="12.6640625" style="13" bestFit="1" customWidth="1"/>
    <col min="25" max="25" width="7.44140625" style="13" bestFit="1" customWidth="1"/>
    <col min="26" max="26" width="8.109375" style="13" bestFit="1" customWidth="1"/>
    <col min="27" max="27" width="7.6640625" style="13" bestFit="1" customWidth="1"/>
    <col min="28" max="28" width="8.109375" style="13" bestFit="1" customWidth="1"/>
    <col min="29" max="29" width="7" style="13" bestFit="1" customWidth="1"/>
    <col min="30" max="37" width="7.44140625" style="13" bestFit="1" customWidth="1"/>
    <col min="38" max="38" width="8.109375" style="13" bestFit="1" customWidth="1"/>
    <col min="39" max="39" width="7.6640625" style="13" bestFit="1" customWidth="1"/>
    <col min="40" max="40" width="8.109375" style="13" bestFit="1" customWidth="1"/>
    <col min="41" max="58" width="9.6640625" style="13" customWidth="1"/>
    <col min="59" max="16384" width="9.109375" style="13"/>
  </cols>
  <sheetData>
    <row r="1" spans="1:24" x14ac:dyDescent="0.25">
      <c r="A1" s="356" t="s">
        <v>374</v>
      </c>
      <c r="B1" s="357"/>
      <c r="C1" s="357"/>
      <c r="D1" s="15"/>
      <c r="E1" s="452"/>
      <c r="F1" s="452"/>
      <c r="G1" s="452"/>
      <c r="H1" s="452"/>
      <c r="I1" s="452"/>
      <c r="J1" s="15"/>
      <c r="K1" s="15"/>
      <c r="L1" s="15"/>
    </row>
    <row r="2" spans="1:24" ht="8.85" customHeight="1" thickBo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5">
      <c r="A4" s="15"/>
      <c r="B4" s="343"/>
      <c r="C4" s="15"/>
      <c r="D4" s="15"/>
      <c r="E4" s="37">
        <v>2001</v>
      </c>
      <c r="F4" s="37">
        <v>2002</v>
      </c>
      <c r="G4" s="37">
        <v>2003</v>
      </c>
      <c r="H4" s="37">
        <v>2004</v>
      </c>
      <c r="I4" s="37">
        <v>2005</v>
      </c>
      <c r="J4" s="37">
        <v>2006</v>
      </c>
      <c r="K4" s="37">
        <v>2007</v>
      </c>
      <c r="L4" s="37">
        <v>2008</v>
      </c>
      <c r="M4" s="37">
        <v>2009</v>
      </c>
      <c r="N4" s="37">
        <v>2010</v>
      </c>
      <c r="O4" s="37">
        <v>2011</v>
      </c>
      <c r="P4" s="37">
        <v>2012</v>
      </c>
      <c r="Q4" s="37">
        <v>2013</v>
      </c>
      <c r="R4" s="37">
        <v>2014</v>
      </c>
      <c r="S4" s="37">
        <v>2015</v>
      </c>
      <c r="T4" s="37">
        <v>2016</v>
      </c>
      <c r="U4" s="37">
        <v>2017</v>
      </c>
      <c r="V4" s="37">
        <v>2018</v>
      </c>
      <c r="W4" s="37">
        <v>2019</v>
      </c>
      <c r="X4" s="37">
        <v>2020</v>
      </c>
    </row>
    <row r="5" spans="1:24" x14ac:dyDescent="0.25">
      <c r="A5" s="15"/>
      <c r="B5" s="343"/>
      <c r="C5" s="15"/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15"/>
      <c r="B6" s="343"/>
      <c r="C6" s="15" t="s">
        <v>382</v>
      </c>
      <c r="D6" s="15"/>
      <c r="E6" s="20">
        <f>Assumptions!F49*Assumptions!F168</f>
        <v>60000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</row>
    <row r="7" spans="1:24" x14ac:dyDescent="0.25">
      <c r="A7" s="15"/>
      <c r="B7" s="15"/>
      <c r="C7" s="15" t="s">
        <v>145</v>
      </c>
      <c r="D7" s="15"/>
      <c r="E7" s="20">
        <f>Assumptions!$F$241*12</f>
        <v>72000</v>
      </c>
      <c r="F7" s="20">
        <f>Assumptions!$F$241*12</f>
        <v>72000</v>
      </c>
      <c r="G7" s="20">
        <f>Assumptions!$F$241*12</f>
        <v>72000</v>
      </c>
      <c r="H7" s="20">
        <f>Assumptions!$F$241*12</f>
        <v>72000</v>
      </c>
      <c r="I7" s="20">
        <f>Assumptions!$F$241*12</f>
        <v>72000</v>
      </c>
      <c r="J7" s="20">
        <f>Assumptions!$F$241*12</f>
        <v>72000</v>
      </c>
      <c r="K7" s="20">
        <f>Assumptions!$F$241*12</f>
        <v>72000</v>
      </c>
      <c r="L7" s="20">
        <f>Assumptions!$F$241*12</f>
        <v>72000</v>
      </c>
      <c r="M7" s="20">
        <f>Assumptions!$F$241*12</f>
        <v>72000</v>
      </c>
      <c r="N7" s="20">
        <f>Assumptions!$F$241*12</f>
        <v>72000</v>
      </c>
      <c r="O7" s="20">
        <f>Assumptions!$F$241*12</f>
        <v>72000</v>
      </c>
      <c r="P7" s="20">
        <f>Assumptions!$F$241*12</f>
        <v>72000</v>
      </c>
      <c r="Q7" s="20">
        <f>Assumptions!$F$241*12</f>
        <v>72000</v>
      </c>
      <c r="R7" s="20">
        <f>Assumptions!$F$241*12</f>
        <v>72000</v>
      </c>
      <c r="S7" s="20">
        <f>Assumptions!$F$241*12</f>
        <v>72000</v>
      </c>
      <c r="T7" s="20">
        <f>Assumptions!$F$241*12</f>
        <v>72000</v>
      </c>
      <c r="U7" s="20">
        <f>Assumptions!$F$241*12</f>
        <v>72000</v>
      </c>
      <c r="V7" s="20">
        <f>Assumptions!$F$241*12</f>
        <v>72000</v>
      </c>
      <c r="W7" s="20">
        <f>Assumptions!$F$241*12</f>
        <v>72000</v>
      </c>
      <c r="X7" s="20">
        <f>Assumptions!$F$241*12</f>
        <v>72000</v>
      </c>
    </row>
    <row r="8" spans="1:24" x14ac:dyDescent="0.25">
      <c r="A8" s="15"/>
      <c r="B8" s="15"/>
      <c r="C8" s="15" t="s">
        <v>146</v>
      </c>
      <c r="D8" s="15"/>
      <c r="E8" s="453">
        <f>Assumptions!$F$243</f>
        <v>16.350000000000001</v>
      </c>
      <c r="F8" s="453">
        <f>Assumptions!$F$243</f>
        <v>16.350000000000001</v>
      </c>
      <c r="G8" s="453">
        <f>Assumptions!$F$243</f>
        <v>16.350000000000001</v>
      </c>
      <c r="H8" s="453">
        <f>Assumptions!$F$243</f>
        <v>16.350000000000001</v>
      </c>
      <c r="I8" s="453">
        <f>Assumptions!$F$243</f>
        <v>16.350000000000001</v>
      </c>
      <c r="J8" s="453">
        <f>Assumptions!$F$243</f>
        <v>16.350000000000001</v>
      </c>
      <c r="K8" s="453">
        <f>Assumptions!$F$243</f>
        <v>16.350000000000001</v>
      </c>
      <c r="L8" s="453">
        <f>Assumptions!$F$243</f>
        <v>16.350000000000001</v>
      </c>
      <c r="M8" s="453">
        <f>Assumptions!$F$243</f>
        <v>16.350000000000001</v>
      </c>
      <c r="N8" s="453">
        <f>Assumptions!$F$243</f>
        <v>16.350000000000001</v>
      </c>
      <c r="O8" s="453">
        <f>Assumptions!$F$243</f>
        <v>16.350000000000001</v>
      </c>
      <c r="P8" s="453">
        <f>Assumptions!$F$243</f>
        <v>16.350000000000001</v>
      </c>
      <c r="Q8" s="453">
        <f>Assumptions!$F$243</f>
        <v>16.350000000000001</v>
      </c>
      <c r="R8" s="453">
        <f>Assumptions!$F$243</f>
        <v>16.350000000000001</v>
      </c>
      <c r="S8" s="453">
        <f>Assumptions!$F$243</f>
        <v>16.350000000000001</v>
      </c>
      <c r="T8" s="453">
        <f>Assumptions!$F$243</f>
        <v>16.350000000000001</v>
      </c>
      <c r="U8" s="453">
        <f>Assumptions!$F$243</f>
        <v>16.350000000000001</v>
      </c>
      <c r="V8" s="453">
        <f>Assumptions!$F$243</f>
        <v>16.350000000000001</v>
      </c>
      <c r="W8" s="453">
        <f>Assumptions!$F$243</f>
        <v>16.350000000000001</v>
      </c>
      <c r="X8" s="453">
        <f>Assumptions!$F$243</f>
        <v>16.350000000000001</v>
      </c>
    </row>
    <row r="9" spans="1:24" x14ac:dyDescent="0.25">
      <c r="A9" s="15"/>
      <c r="B9" s="15"/>
      <c r="C9" s="15" t="s">
        <v>981</v>
      </c>
      <c r="D9" s="15"/>
      <c r="E9" s="454">
        <f>(E6+E7)*E8</f>
        <v>2158200</v>
      </c>
      <c r="F9" s="454">
        <f t="shared" ref="F9:N9" si="0">(F6+F7)*F8</f>
        <v>1177200</v>
      </c>
      <c r="G9" s="454">
        <f t="shared" si="0"/>
        <v>1177200</v>
      </c>
      <c r="H9" s="454">
        <f t="shared" si="0"/>
        <v>1177200</v>
      </c>
      <c r="I9" s="454">
        <f t="shared" si="0"/>
        <v>1177200</v>
      </c>
      <c r="J9" s="454">
        <f t="shared" si="0"/>
        <v>1177200</v>
      </c>
      <c r="K9" s="454">
        <f t="shared" si="0"/>
        <v>1177200</v>
      </c>
      <c r="L9" s="454">
        <f t="shared" si="0"/>
        <v>1177200</v>
      </c>
      <c r="M9" s="454">
        <f t="shared" si="0"/>
        <v>1177200</v>
      </c>
      <c r="N9" s="454">
        <f t="shared" si="0"/>
        <v>1177200</v>
      </c>
      <c r="O9" s="454">
        <f t="shared" ref="O9:X9" si="1">(O6+O7)*O8</f>
        <v>1177200</v>
      </c>
      <c r="P9" s="454">
        <f t="shared" si="1"/>
        <v>1177200</v>
      </c>
      <c r="Q9" s="454">
        <f t="shared" si="1"/>
        <v>1177200</v>
      </c>
      <c r="R9" s="454">
        <f t="shared" si="1"/>
        <v>1177200</v>
      </c>
      <c r="S9" s="454">
        <f t="shared" si="1"/>
        <v>1177200</v>
      </c>
      <c r="T9" s="454">
        <f t="shared" si="1"/>
        <v>1177200</v>
      </c>
      <c r="U9" s="454">
        <f t="shared" si="1"/>
        <v>1177200</v>
      </c>
      <c r="V9" s="454">
        <f t="shared" si="1"/>
        <v>1177200</v>
      </c>
      <c r="W9" s="454">
        <f t="shared" si="1"/>
        <v>1177200</v>
      </c>
      <c r="X9" s="454">
        <f t="shared" si="1"/>
        <v>1177200</v>
      </c>
    </row>
    <row r="10" spans="1:24" x14ac:dyDescent="0.25">
      <c r="A10" s="15"/>
      <c r="B10" s="15"/>
      <c r="C10" s="15" t="s">
        <v>980</v>
      </c>
      <c r="D10" s="15"/>
      <c r="E10" s="453">
        <f>(Assumptions!$F$244+Assumptions!$F$245)*Assumptions!F41*12</f>
        <v>16002</v>
      </c>
      <c r="F10" s="453">
        <f>(Assumptions!$F$244+Assumptions!$F$245)*Assumptions!G41*12</f>
        <v>16002</v>
      </c>
      <c r="G10" s="453">
        <f>(Assumptions!$F$244+Assumptions!$F$245)*Assumptions!H41*12</f>
        <v>16002</v>
      </c>
      <c r="H10" s="453">
        <f>(Assumptions!$F$244+Assumptions!$F$245)*Assumptions!I41*12</f>
        <v>16002</v>
      </c>
      <c r="I10" s="453">
        <f>(Assumptions!$F$244+Assumptions!$F$245)*Assumptions!J41*12</f>
        <v>16002</v>
      </c>
      <c r="J10" s="453">
        <f>(Assumptions!$F$244+Assumptions!$F$245)*Assumptions!K41*12</f>
        <v>16002</v>
      </c>
      <c r="K10" s="453">
        <f>(Assumptions!$F$244+Assumptions!$F$245)*Assumptions!L41*12</f>
        <v>16002</v>
      </c>
      <c r="L10" s="453">
        <f>(Assumptions!$F$244+Assumptions!$F$245)*Assumptions!M41*12</f>
        <v>16002</v>
      </c>
      <c r="M10" s="453">
        <f>(Assumptions!$F$244+Assumptions!$F$245)*Assumptions!N41*12</f>
        <v>16002</v>
      </c>
      <c r="N10" s="453">
        <f>(Assumptions!$F$244+Assumptions!$F$245)*Assumptions!O41*12</f>
        <v>16002</v>
      </c>
      <c r="O10" s="453">
        <f>(Assumptions!$F$244+Assumptions!$F$245)*Assumptions!P41*12</f>
        <v>16002</v>
      </c>
      <c r="P10" s="453">
        <f>(Assumptions!$F$244+Assumptions!$F$245)*Assumptions!Q41*12</f>
        <v>16002</v>
      </c>
      <c r="Q10" s="453">
        <f>(Assumptions!$F$244+Assumptions!$F$245)*Assumptions!R41*12</f>
        <v>16002</v>
      </c>
      <c r="R10" s="453">
        <f>(Assumptions!$F$244+Assumptions!$F$245)*Assumptions!S41*12</f>
        <v>16002</v>
      </c>
      <c r="S10" s="453">
        <f>(Assumptions!$F$244+Assumptions!$F$245)*Assumptions!T41*12</f>
        <v>16002</v>
      </c>
      <c r="T10" s="453">
        <f>(Assumptions!$F$244+Assumptions!$F$245)*Assumptions!U41*12</f>
        <v>16002</v>
      </c>
      <c r="U10" s="453">
        <f>(Assumptions!$F$244+Assumptions!$F$245)*Assumptions!V41*12</f>
        <v>16002</v>
      </c>
      <c r="V10" s="453">
        <f>(Assumptions!$F$244+Assumptions!$F$245)*Assumptions!W41*12</f>
        <v>16002</v>
      </c>
      <c r="W10" s="453">
        <f>(Assumptions!$F$244+Assumptions!$F$245)*Assumptions!X41*12</f>
        <v>16002</v>
      </c>
      <c r="X10" s="453">
        <f>(Assumptions!$F$244+Assumptions!$F$245)*Assumptions!Y41*12</f>
        <v>16002</v>
      </c>
    </row>
    <row r="11" spans="1:24" x14ac:dyDescent="0.25">
      <c r="A11" s="15"/>
      <c r="B11" s="15"/>
      <c r="C11" s="17" t="s">
        <v>147</v>
      </c>
      <c r="D11" s="17"/>
      <c r="E11" s="455">
        <f>SUM(E9:E10)/1000</f>
        <v>2174.2020000000002</v>
      </c>
      <c r="F11" s="455">
        <f t="shared" ref="F11:X11" si="2">SUM(F9:F10)/1000</f>
        <v>1193.202</v>
      </c>
      <c r="G11" s="455">
        <f t="shared" si="2"/>
        <v>1193.202</v>
      </c>
      <c r="H11" s="455">
        <f t="shared" si="2"/>
        <v>1193.202</v>
      </c>
      <c r="I11" s="455">
        <f t="shared" si="2"/>
        <v>1193.202</v>
      </c>
      <c r="J11" s="455">
        <f t="shared" si="2"/>
        <v>1193.202</v>
      </c>
      <c r="K11" s="455">
        <f t="shared" si="2"/>
        <v>1193.202</v>
      </c>
      <c r="L11" s="455">
        <f t="shared" si="2"/>
        <v>1193.202</v>
      </c>
      <c r="M11" s="455">
        <f t="shared" si="2"/>
        <v>1193.202</v>
      </c>
      <c r="N11" s="455">
        <f t="shared" si="2"/>
        <v>1193.202</v>
      </c>
      <c r="O11" s="455">
        <f t="shared" si="2"/>
        <v>1193.202</v>
      </c>
      <c r="P11" s="455">
        <f t="shared" si="2"/>
        <v>1193.202</v>
      </c>
      <c r="Q11" s="455">
        <f t="shared" si="2"/>
        <v>1193.202</v>
      </c>
      <c r="R11" s="455">
        <f t="shared" si="2"/>
        <v>1193.202</v>
      </c>
      <c r="S11" s="455">
        <f t="shared" si="2"/>
        <v>1193.202</v>
      </c>
      <c r="T11" s="455">
        <f t="shared" si="2"/>
        <v>1193.202</v>
      </c>
      <c r="U11" s="455">
        <f t="shared" si="2"/>
        <v>1193.202</v>
      </c>
      <c r="V11" s="455">
        <f t="shared" si="2"/>
        <v>1193.202</v>
      </c>
      <c r="W11" s="455">
        <f t="shared" si="2"/>
        <v>1193.202</v>
      </c>
      <c r="X11" s="455">
        <f t="shared" si="2"/>
        <v>1193.202</v>
      </c>
    </row>
    <row r="12" spans="1:24" x14ac:dyDescent="0.25">
      <c r="A12" s="15"/>
      <c r="B12" s="15"/>
      <c r="C12" s="17"/>
      <c r="D12" s="17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</row>
    <row r="13" spans="1:24" x14ac:dyDescent="0.25">
      <c r="A13" s="15"/>
      <c r="B13" s="15"/>
      <c r="C13" s="17"/>
      <c r="D13" s="17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</row>
    <row r="14" spans="1:24" ht="13.8" thickBot="1" x14ac:dyDescent="0.3">
      <c r="A14" s="18"/>
      <c r="B14" s="18"/>
      <c r="C14" s="4"/>
      <c r="D14" s="4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</row>
    <row r="15" spans="1:24" x14ac:dyDescent="0.25">
      <c r="A15" s="15"/>
      <c r="B15" s="15"/>
      <c r="C15" s="15" t="s">
        <v>148</v>
      </c>
      <c r="D15" s="15"/>
      <c r="E15" s="454">
        <f>SUM($E$11:E11)</f>
        <v>2174.2020000000002</v>
      </c>
      <c r="F15" s="454">
        <f>SUM($E$11:F11)</f>
        <v>3367.4040000000005</v>
      </c>
      <c r="G15" s="454">
        <f>SUM($E$11:G11)</f>
        <v>4560.6060000000007</v>
      </c>
      <c r="H15" s="454">
        <f>SUM($E$11:H11)</f>
        <v>5753.8080000000009</v>
      </c>
      <c r="I15" s="454">
        <f>SUM($E$11:I11)</f>
        <v>6947.0100000000011</v>
      </c>
      <c r="J15" s="454">
        <f>SUM($E$11:J11)</f>
        <v>8140.2120000000014</v>
      </c>
      <c r="K15" s="454">
        <f>SUM($E$11:K11)</f>
        <v>9333.4140000000007</v>
      </c>
      <c r="L15" s="454">
        <f>SUM($E$11:L11)</f>
        <v>10526.616</v>
      </c>
      <c r="M15" s="454">
        <f>SUM($E$11:M11)</f>
        <v>11719.817999999999</v>
      </c>
      <c r="N15" s="454">
        <f>SUM($E$11:N11)</f>
        <v>12913.019999999999</v>
      </c>
      <c r="O15" s="454">
        <f>SUM($E$11:O11)</f>
        <v>14106.221999999998</v>
      </c>
      <c r="P15" s="454">
        <f>SUM($E$11:P11)</f>
        <v>15299.423999999997</v>
      </c>
      <c r="Q15" s="454">
        <f>SUM($E$11:Q11)</f>
        <v>16492.625999999997</v>
      </c>
      <c r="R15" s="454">
        <f>SUM($E$11:R11)</f>
        <v>17685.827999999998</v>
      </c>
      <c r="S15" s="454">
        <f>SUM($E$11:S11)</f>
        <v>18879.03</v>
      </c>
      <c r="T15" s="454">
        <f>SUM($E$11:T11)</f>
        <v>20072.232</v>
      </c>
      <c r="U15" s="454">
        <f>SUM($E$11:U11)</f>
        <v>21265.434000000001</v>
      </c>
      <c r="V15" s="454">
        <f>SUM($E$11:V11)</f>
        <v>22458.636000000002</v>
      </c>
      <c r="W15" s="454">
        <f>SUM($E$11:W11)</f>
        <v>23651.838000000003</v>
      </c>
      <c r="X15" s="454">
        <f>SUM($E$11:X11)</f>
        <v>24845.040000000005</v>
      </c>
    </row>
    <row r="16" spans="1:24" x14ac:dyDescent="0.25">
      <c r="A16" s="15"/>
      <c r="C16" s="15" t="s">
        <v>151</v>
      </c>
      <c r="D16" s="15"/>
      <c r="E16" s="20">
        <f>Royalties!E7</f>
        <v>464634.8080618371</v>
      </c>
      <c r="F16" s="20">
        <f>Royalties!F7</f>
        <v>2354253.1450969223</v>
      </c>
      <c r="G16" s="20">
        <f>Royalties!G7</f>
        <v>9276923.0337051321</v>
      </c>
      <c r="H16" s="20">
        <f>Royalties!H7</f>
        <v>32420183.500427719</v>
      </c>
      <c r="I16" s="20">
        <f>Royalties!I7</f>
        <v>68099485.242972583</v>
      </c>
      <c r="J16" s="20">
        <f>Royalties!J7</f>
        <v>108310876.42313455</v>
      </c>
      <c r="K16" s="20">
        <f>Royalties!K7</f>
        <v>158465871.7342982</v>
      </c>
      <c r="L16" s="20">
        <f>Royalties!L7</f>
        <v>210581113.04536319</v>
      </c>
      <c r="M16" s="20">
        <f>Royalties!M7</f>
        <v>264066782.828554</v>
      </c>
      <c r="N16" s="20">
        <f>Royalties!N7</f>
        <v>318865216.45997775</v>
      </c>
      <c r="O16" s="20">
        <f>Royalties!O7</f>
        <v>354087987.77696174</v>
      </c>
      <c r="P16" s="20">
        <f>Royalties!P7</f>
        <v>395882651.8564896</v>
      </c>
      <c r="Q16" s="20">
        <f>Royalties!Q7</f>
        <v>435768117.02674592</v>
      </c>
      <c r="R16" s="20">
        <f>Royalties!R7</f>
        <v>478331103.437518</v>
      </c>
      <c r="S16" s="20">
        <f>Royalties!S7</f>
        <v>517611472.33793819</v>
      </c>
      <c r="T16" s="20">
        <f>Royalties!T7</f>
        <v>552781283.63248909</v>
      </c>
      <c r="U16" s="20">
        <f>Royalties!U7</f>
        <v>589518003.83600271</v>
      </c>
      <c r="V16" s="20">
        <f>Royalties!V7</f>
        <v>641216958.11842382</v>
      </c>
      <c r="W16" s="20">
        <f>Royalties!W7</f>
        <v>695701571.27627254</v>
      </c>
      <c r="X16" s="20">
        <f>Royalties!X7</f>
        <v>753108339.82696891</v>
      </c>
    </row>
    <row r="17" spans="1:40" x14ac:dyDescent="0.25">
      <c r="A17" s="15"/>
      <c r="C17" s="15" t="s">
        <v>179</v>
      </c>
      <c r="D17" s="15"/>
      <c r="E17" s="20">
        <f>SUM($E$16:E16)</f>
        <v>464634.8080618371</v>
      </c>
      <c r="F17" s="20">
        <f>SUM($E$16:F16)</f>
        <v>2818887.9531587595</v>
      </c>
      <c r="G17" s="20">
        <f>SUM($E$16:G16)</f>
        <v>12095810.986863893</v>
      </c>
      <c r="H17" s="20">
        <f>SUM($E$16:H16)</f>
        <v>44515994.487291612</v>
      </c>
      <c r="I17" s="20">
        <f>SUM($E$16:I16)</f>
        <v>112615479.73026419</v>
      </c>
      <c r="J17" s="20">
        <f>SUM($E$16:J16)</f>
        <v>220926356.15339875</v>
      </c>
      <c r="K17" s="20">
        <f>SUM($E$16:K16)</f>
        <v>379392227.88769698</v>
      </c>
      <c r="L17" s="20">
        <f>SUM($E$16:L16)</f>
        <v>589973340.93306017</v>
      </c>
      <c r="M17" s="20">
        <f>SUM($E$16:M16)</f>
        <v>854040123.7616142</v>
      </c>
      <c r="N17" s="20">
        <f>SUM($E$16:N16)</f>
        <v>1172905340.2215919</v>
      </c>
      <c r="O17" s="20">
        <f>SUM($E$16:O16)</f>
        <v>1526993327.9985538</v>
      </c>
      <c r="P17" s="20">
        <f>SUM($E$16:P16)</f>
        <v>1922875979.8550434</v>
      </c>
      <c r="Q17" s="20">
        <f>SUM($E$16:Q16)</f>
        <v>2358644096.8817892</v>
      </c>
      <c r="R17" s="20">
        <f>SUM($E$16:R16)</f>
        <v>2836975200.3193073</v>
      </c>
      <c r="S17" s="20">
        <f>SUM($E$16:S16)</f>
        <v>3354586672.6572456</v>
      </c>
      <c r="T17" s="20">
        <f>SUM($E$16:T16)</f>
        <v>3907367956.2897348</v>
      </c>
      <c r="U17" s="20">
        <f>SUM($E$16:U16)</f>
        <v>4496885960.1257372</v>
      </c>
      <c r="V17" s="20">
        <f>SUM($E$16:V16)</f>
        <v>5138102918.2441607</v>
      </c>
      <c r="W17" s="20">
        <f>SUM($E$16:W16)</f>
        <v>5833804489.5204334</v>
      </c>
      <c r="X17" s="20">
        <f>SUM($E$16:X16)</f>
        <v>6586912829.3474026</v>
      </c>
    </row>
    <row r="18" spans="1:40" x14ac:dyDescent="0.25">
      <c r="A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40" x14ac:dyDescent="0.25">
      <c r="A19" s="15"/>
      <c r="C19" s="17" t="s">
        <v>312</v>
      </c>
      <c r="D19" s="17"/>
      <c r="E19" s="457">
        <f>E15/E17*1000</f>
        <v>4.6793782176359056</v>
      </c>
      <c r="F19" s="457">
        <f t="shared" ref="F19:X19" si="3">F15/F17*1000</f>
        <v>1.1945859700548191</v>
      </c>
      <c r="G19" s="457">
        <f t="shared" si="3"/>
        <v>0.3770401178517786</v>
      </c>
      <c r="H19" s="457">
        <f t="shared" si="3"/>
        <v>0.12925259934701883</v>
      </c>
      <c r="I19" s="457">
        <f t="shared" si="3"/>
        <v>6.168787822632759E-2</v>
      </c>
      <c r="J19" s="457">
        <f t="shared" si="3"/>
        <v>3.6845816595770485E-2</v>
      </c>
      <c r="K19" s="457">
        <f t="shared" si="3"/>
        <v>2.4600962576288628E-2</v>
      </c>
      <c r="L19" s="457">
        <f t="shared" si="3"/>
        <v>1.7842528246025235E-2</v>
      </c>
      <c r="M19" s="457">
        <f t="shared" si="3"/>
        <v>1.3722795538434583E-2</v>
      </c>
      <c r="N19" s="457">
        <f t="shared" si="3"/>
        <v>1.1009430648137725E-2</v>
      </c>
      <c r="O19" s="457">
        <f t="shared" si="3"/>
        <v>9.2379067683872398E-3</v>
      </c>
      <c r="P19" s="457">
        <f t="shared" si="3"/>
        <v>7.9565318617965935E-3</v>
      </c>
      <c r="Q19" s="457">
        <f t="shared" si="3"/>
        <v>6.9924182380053995E-3</v>
      </c>
      <c r="R19" s="457">
        <f t="shared" si="3"/>
        <v>6.2340439204436543E-3</v>
      </c>
      <c r="S19" s="457">
        <f t="shared" si="3"/>
        <v>5.6278259714915881E-3</v>
      </c>
      <c r="T19" s="457">
        <f t="shared" si="3"/>
        <v>5.1370211929207994E-3</v>
      </c>
      <c r="U19" s="457">
        <f t="shared" si="3"/>
        <v>4.7289244576274288E-3</v>
      </c>
      <c r="V19" s="457">
        <f t="shared" si="3"/>
        <v>4.3709976926026182E-3</v>
      </c>
      <c r="W19" s="457">
        <f t="shared" si="3"/>
        <v>4.0542733378341753E-3</v>
      </c>
      <c r="X19" s="457">
        <f t="shared" si="3"/>
        <v>3.7718792769361005E-3</v>
      </c>
    </row>
    <row r="20" spans="1:40" ht="13.8" thickBo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4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4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40" x14ac:dyDescent="0.25">
      <c r="A23" s="15"/>
      <c r="B23" s="15"/>
      <c r="C23" s="17" t="s">
        <v>1078</v>
      </c>
      <c r="D23" s="15"/>
      <c r="E23" s="37">
        <v>2001</v>
      </c>
      <c r="F23" s="37">
        <f>E23+1</f>
        <v>2002</v>
      </c>
      <c r="G23" s="37">
        <f t="shared" ref="G23:X23" si="4">F23+1</f>
        <v>2003</v>
      </c>
      <c r="H23" s="37">
        <f t="shared" si="4"/>
        <v>2004</v>
      </c>
      <c r="I23" s="37">
        <f t="shared" si="4"/>
        <v>2005</v>
      </c>
      <c r="J23" s="37">
        <f t="shared" si="4"/>
        <v>2006</v>
      </c>
      <c r="K23" s="37">
        <f t="shared" si="4"/>
        <v>2007</v>
      </c>
      <c r="L23" s="37">
        <f t="shared" si="4"/>
        <v>2008</v>
      </c>
      <c r="M23" s="37">
        <f t="shared" si="4"/>
        <v>2009</v>
      </c>
      <c r="N23" s="37">
        <f t="shared" si="4"/>
        <v>2010</v>
      </c>
      <c r="O23" s="37">
        <f t="shared" si="4"/>
        <v>2011</v>
      </c>
      <c r="P23" s="37">
        <f t="shared" si="4"/>
        <v>2012</v>
      </c>
      <c r="Q23" s="37">
        <f t="shared" si="4"/>
        <v>2013</v>
      </c>
      <c r="R23" s="37">
        <f t="shared" si="4"/>
        <v>2014</v>
      </c>
      <c r="S23" s="37">
        <f t="shared" si="4"/>
        <v>2015</v>
      </c>
      <c r="T23" s="37">
        <f t="shared" si="4"/>
        <v>2016</v>
      </c>
      <c r="U23" s="37">
        <f t="shared" si="4"/>
        <v>2017</v>
      </c>
      <c r="V23" s="37">
        <f t="shared" si="4"/>
        <v>2018</v>
      </c>
      <c r="W23" s="37">
        <f t="shared" si="4"/>
        <v>2019</v>
      </c>
      <c r="X23" s="37">
        <f t="shared" si="4"/>
        <v>2020</v>
      </c>
    </row>
    <row r="24" spans="1:40" x14ac:dyDescent="0.25">
      <c r="A24" s="15"/>
      <c r="B24" s="15"/>
      <c r="C24" s="15"/>
      <c r="D24" s="1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40" x14ac:dyDescent="0.25">
      <c r="A25" s="15"/>
      <c r="B25" s="15"/>
      <c r="C25" s="15" t="s">
        <v>1065</v>
      </c>
      <c r="D25" s="15"/>
      <c r="E25" s="454">
        <f>E6*E8/1000</f>
        <v>981.00000000000011</v>
      </c>
      <c r="F25" s="454">
        <f t="shared" ref="F25:X25" si="5">F6*F8/1000</f>
        <v>0</v>
      </c>
      <c r="G25" s="454">
        <f t="shared" si="5"/>
        <v>0</v>
      </c>
      <c r="H25" s="454">
        <f t="shared" si="5"/>
        <v>0</v>
      </c>
      <c r="I25" s="454">
        <f t="shared" si="5"/>
        <v>0</v>
      </c>
      <c r="J25" s="454">
        <f t="shared" si="5"/>
        <v>0</v>
      </c>
      <c r="K25" s="454">
        <f t="shared" si="5"/>
        <v>0</v>
      </c>
      <c r="L25" s="454">
        <f t="shared" si="5"/>
        <v>0</v>
      </c>
      <c r="M25" s="454">
        <f t="shared" si="5"/>
        <v>0</v>
      </c>
      <c r="N25" s="454">
        <f t="shared" si="5"/>
        <v>0</v>
      </c>
      <c r="O25" s="454">
        <f t="shared" si="5"/>
        <v>0</v>
      </c>
      <c r="P25" s="454">
        <f t="shared" si="5"/>
        <v>0</v>
      </c>
      <c r="Q25" s="454">
        <f t="shared" si="5"/>
        <v>0</v>
      </c>
      <c r="R25" s="454">
        <f t="shared" si="5"/>
        <v>0</v>
      </c>
      <c r="S25" s="454">
        <f t="shared" si="5"/>
        <v>0</v>
      </c>
      <c r="T25" s="454">
        <f t="shared" si="5"/>
        <v>0</v>
      </c>
      <c r="U25" s="454">
        <f t="shared" si="5"/>
        <v>0</v>
      </c>
      <c r="V25" s="454">
        <f t="shared" si="5"/>
        <v>0</v>
      </c>
      <c r="W25" s="454">
        <f t="shared" si="5"/>
        <v>0</v>
      </c>
      <c r="X25" s="454">
        <f t="shared" si="5"/>
        <v>0</v>
      </c>
      <c r="Y25" s="594"/>
    </row>
    <row r="26" spans="1:40" x14ac:dyDescent="0.25">
      <c r="C26" s="15" t="s">
        <v>1055</v>
      </c>
      <c r="D26" s="17"/>
      <c r="E26" s="454">
        <f>((E7*E8)+E10)/1000</f>
        <v>1193.202</v>
      </c>
      <c r="F26" s="454">
        <f t="shared" ref="F26:X26" si="6">((F7*F8)+F10)/1000</f>
        <v>1193.202</v>
      </c>
      <c r="G26" s="454">
        <f t="shared" si="6"/>
        <v>1193.202</v>
      </c>
      <c r="H26" s="454">
        <f t="shared" si="6"/>
        <v>1193.202</v>
      </c>
      <c r="I26" s="454">
        <f t="shared" si="6"/>
        <v>1193.202</v>
      </c>
      <c r="J26" s="454">
        <f t="shared" si="6"/>
        <v>1193.202</v>
      </c>
      <c r="K26" s="454">
        <f t="shared" si="6"/>
        <v>1193.202</v>
      </c>
      <c r="L26" s="454">
        <f t="shared" si="6"/>
        <v>1193.202</v>
      </c>
      <c r="M26" s="454">
        <f t="shared" si="6"/>
        <v>1193.202</v>
      </c>
      <c r="N26" s="454">
        <f t="shared" si="6"/>
        <v>1193.202</v>
      </c>
      <c r="O26" s="454">
        <f t="shared" si="6"/>
        <v>1193.202</v>
      </c>
      <c r="P26" s="454">
        <f t="shared" si="6"/>
        <v>1193.202</v>
      </c>
      <c r="Q26" s="454">
        <f t="shared" si="6"/>
        <v>1193.202</v>
      </c>
      <c r="R26" s="454">
        <f t="shared" si="6"/>
        <v>1193.202</v>
      </c>
      <c r="S26" s="454">
        <f t="shared" si="6"/>
        <v>1193.202</v>
      </c>
      <c r="T26" s="454">
        <f t="shared" si="6"/>
        <v>1193.202</v>
      </c>
      <c r="U26" s="454">
        <f t="shared" si="6"/>
        <v>1193.202</v>
      </c>
      <c r="V26" s="454">
        <f t="shared" si="6"/>
        <v>1193.202</v>
      </c>
      <c r="W26" s="454">
        <f t="shared" si="6"/>
        <v>1193.202</v>
      </c>
      <c r="X26" s="454">
        <f t="shared" si="6"/>
        <v>1193.202</v>
      </c>
    </row>
    <row r="27" spans="1:40" x14ac:dyDescent="0.25">
      <c r="C27" s="17"/>
      <c r="D27" s="17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</row>
    <row r="28" spans="1:40" x14ac:dyDescent="0.25">
      <c r="C28" s="17" t="s">
        <v>147</v>
      </c>
      <c r="D28" s="17"/>
      <c r="E28" s="455">
        <f t="shared" ref="E28:X28" si="7">E26+E25</f>
        <v>2174.2020000000002</v>
      </c>
      <c r="F28" s="455">
        <f>F26+F25+E28</f>
        <v>3367.4040000000005</v>
      </c>
      <c r="G28" s="455">
        <f t="shared" si="7"/>
        <v>1193.202</v>
      </c>
      <c r="H28" s="455">
        <f t="shared" si="7"/>
        <v>1193.202</v>
      </c>
      <c r="I28" s="455">
        <f t="shared" si="7"/>
        <v>1193.202</v>
      </c>
      <c r="J28" s="455">
        <f t="shared" si="7"/>
        <v>1193.202</v>
      </c>
      <c r="K28" s="455">
        <f t="shared" si="7"/>
        <v>1193.202</v>
      </c>
      <c r="L28" s="455">
        <f t="shared" si="7"/>
        <v>1193.202</v>
      </c>
      <c r="M28" s="455">
        <f t="shared" si="7"/>
        <v>1193.202</v>
      </c>
      <c r="N28" s="455">
        <f t="shared" si="7"/>
        <v>1193.202</v>
      </c>
      <c r="O28" s="455">
        <f t="shared" si="7"/>
        <v>1193.202</v>
      </c>
      <c r="P28" s="455">
        <f t="shared" si="7"/>
        <v>1193.202</v>
      </c>
      <c r="Q28" s="455">
        <f t="shared" si="7"/>
        <v>1193.202</v>
      </c>
      <c r="R28" s="455">
        <f t="shared" si="7"/>
        <v>1193.202</v>
      </c>
      <c r="S28" s="455">
        <f t="shared" si="7"/>
        <v>1193.202</v>
      </c>
      <c r="T28" s="455">
        <f t="shared" si="7"/>
        <v>1193.202</v>
      </c>
      <c r="U28" s="455">
        <f t="shared" si="7"/>
        <v>1193.202</v>
      </c>
      <c r="V28" s="455">
        <f t="shared" si="7"/>
        <v>1193.202</v>
      </c>
      <c r="W28" s="455">
        <f t="shared" si="7"/>
        <v>1193.202</v>
      </c>
      <c r="X28" s="455">
        <f t="shared" si="7"/>
        <v>1193.202</v>
      </c>
    </row>
    <row r="29" spans="1:40" customFormat="1" x14ac:dyDescent="0.25"/>
    <row r="30" spans="1:40" customFormat="1" x14ac:dyDescent="0.25"/>
    <row r="31" spans="1:40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5">
      <c r="C32"/>
      <c r="D32"/>
      <c r="E32" t="s">
        <v>1056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2:40" x14ac:dyDescent="0.25">
      <c r="C33" s="17" t="s">
        <v>1057</v>
      </c>
      <c r="D33"/>
      <c r="E33" s="595">
        <v>36892</v>
      </c>
      <c r="F33" s="595">
        <v>36923</v>
      </c>
      <c r="G33" s="595">
        <v>36951</v>
      </c>
      <c r="H33" s="595">
        <v>36982</v>
      </c>
      <c r="I33" s="595">
        <v>37012</v>
      </c>
      <c r="J33" s="595">
        <v>37043</v>
      </c>
      <c r="K33" s="595">
        <v>37073</v>
      </c>
      <c r="L33" s="595">
        <v>37104</v>
      </c>
      <c r="M33" s="595">
        <v>37135</v>
      </c>
      <c r="N33" s="595">
        <v>37165</v>
      </c>
      <c r="O33" s="595">
        <v>37196</v>
      </c>
      <c r="P33" s="595">
        <v>37226</v>
      </c>
      <c r="Q33" s="595">
        <v>37257</v>
      </c>
      <c r="R33" s="595">
        <v>37288</v>
      </c>
      <c r="S33" s="595">
        <v>37316</v>
      </c>
      <c r="T33" s="595">
        <v>37347</v>
      </c>
      <c r="U33" s="595">
        <v>37377</v>
      </c>
      <c r="V33" s="595">
        <v>37408</v>
      </c>
      <c r="W33" s="595">
        <v>37438</v>
      </c>
      <c r="X33" s="595">
        <v>37469</v>
      </c>
      <c r="Y33" s="595">
        <v>37500</v>
      </c>
      <c r="Z33" s="595">
        <v>37530</v>
      </c>
      <c r="AA33" s="595">
        <v>37561</v>
      </c>
      <c r="AB33" s="595">
        <v>37591</v>
      </c>
      <c r="AC33" s="595">
        <v>37622</v>
      </c>
      <c r="AD33" s="595">
        <v>37653</v>
      </c>
      <c r="AE33" s="595">
        <v>37681</v>
      </c>
      <c r="AF33" s="595">
        <v>37712</v>
      </c>
      <c r="AG33" s="595">
        <v>37742</v>
      </c>
      <c r="AH33" s="595">
        <v>37773</v>
      </c>
      <c r="AI33" s="595">
        <v>37803</v>
      </c>
      <c r="AJ33" s="595">
        <v>37834</v>
      </c>
      <c r="AK33" s="595">
        <v>37865</v>
      </c>
      <c r="AL33" s="595">
        <v>37895</v>
      </c>
      <c r="AM33" s="595">
        <v>37926</v>
      </c>
      <c r="AN33" s="595">
        <v>37956</v>
      </c>
    </row>
    <row r="34" spans="2:40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2:40" x14ac:dyDescent="0.25">
      <c r="C35" s="15" t="s">
        <v>382</v>
      </c>
      <c r="D35"/>
      <c r="E35" s="20">
        <f>($E$25*0.5)/3</f>
        <v>163.50000000000003</v>
      </c>
      <c r="F35" s="20">
        <f>E35</f>
        <v>163.50000000000003</v>
      </c>
      <c r="G35" s="20">
        <f>F35</f>
        <v>163.50000000000003</v>
      </c>
      <c r="H35" s="20">
        <f>SUM(E35:G35)/33</f>
        <v>14.863636363636367</v>
      </c>
      <c r="I35" s="596">
        <f t="shared" ref="I35:AN35" si="8">H35</f>
        <v>14.863636363636367</v>
      </c>
      <c r="J35" s="596">
        <f t="shared" si="8"/>
        <v>14.863636363636367</v>
      </c>
      <c r="K35" s="596">
        <f t="shared" si="8"/>
        <v>14.863636363636367</v>
      </c>
      <c r="L35" s="596">
        <f t="shared" si="8"/>
        <v>14.863636363636367</v>
      </c>
      <c r="M35" s="596">
        <f t="shared" si="8"/>
        <v>14.863636363636367</v>
      </c>
      <c r="N35" s="596">
        <f t="shared" si="8"/>
        <v>14.863636363636367</v>
      </c>
      <c r="O35" s="596">
        <f t="shared" si="8"/>
        <v>14.863636363636367</v>
      </c>
      <c r="P35" s="596">
        <f t="shared" si="8"/>
        <v>14.863636363636367</v>
      </c>
      <c r="Q35" s="596">
        <f t="shared" si="8"/>
        <v>14.863636363636367</v>
      </c>
      <c r="R35" s="596">
        <f t="shared" si="8"/>
        <v>14.863636363636367</v>
      </c>
      <c r="S35" s="596">
        <f t="shared" si="8"/>
        <v>14.863636363636367</v>
      </c>
      <c r="T35" s="596">
        <f t="shared" si="8"/>
        <v>14.863636363636367</v>
      </c>
      <c r="U35" s="596">
        <f t="shared" si="8"/>
        <v>14.863636363636367</v>
      </c>
      <c r="V35" s="596">
        <f t="shared" si="8"/>
        <v>14.863636363636367</v>
      </c>
      <c r="W35" s="596">
        <f t="shared" si="8"/>
        <v>14.863636363636367</v>
      </c>
      <c r="X35" s="596">
        <f t="shared" si="8"/>
        <v>14.863636363636367</v>
      </c>
      <c r="Y35" s="596">
        <f t="shared" si="8"/>
        <v>14.863636363636367</v>
      </c>
      <c r="Z35" s="596">
        <f t="shared" si="8"/>
        <v>14.863636363636367</v>
      </c>
      <c r="AA35" s="596">
        <f t="shared" si="8"/>
        <v>14.863636363636367</v>
      </c>
      <c r="AB35" s="596">
        <f t="shared" si="8"/>
        <v>14.863636363636367</v>
      </c>
      <c r="AC35" s="596">
        <f t="shared" si="8"/>
        <v>14.863636363636367</v>
      </c>
      <c r="AD35" s="596">
        <f t="shared" si="8"/>
        <v>14.863636363636367</v>
      </c>
      <c r="AE35" s="596">
        <f t="shared" si="8"/>
        <v>14.863636363636367</v>
      </c>
      <c r="AF35" s="596">
        <f t="shared" si="8"/>
        <v>14.863636363636367</v>
      </c>
      <c r="AG35" s="596">
        <f t="shared" si="8"/>
        <v>14.863636363636367</v>
      </c>
      <c r="AH35" s="596">
        <f t="shared" si="8"/>
        <v>14.863636363636367</v>
      </c>
      <c r="AI35" s="596">
        <f t="shared" si="8"/>
        <v>14.863636363636367</v>
      </c>
      <c r="AJ35" s="596">
        <f t="shared" si="8"/>
        <v>14.863636363636367</v>
      </c>
      <c r="AK35" s="596">
        <f t="shared" si="8"/>
        <v>14.863636363636367</v>
      </c>
      <c r="AL35" s="596">
        <f t="shared" si="8"/>
        <v>14.863636363636367</v>
      </c>
      <c r="AM35" s="596">
        <f t="shared" si="8"/>
        <v>14.863636363636367</v>
      </c>
      <c r="AN35" s="596">
        <f t="shared" si="8"/>
        <v>14.863636363636367</v>
      </c>
    </row>
    <row r="36" spans="2:40" x14ac:dyDescent="0.25">
      <c r="B36" s="604" t="s">
        <v>1066</v>
      </c>
      <c r="C36" s="15"/>
      <c r="D36"/>
      <c r="E36" s="20"/>
      <c r="F36" s="20"/>
      <c r="G36" s="20"/>
      <c r="H36" s="596"/>
      <c r="I36" s="596"/>
      <c r="J36" s="596"/>
      <c r="K36" s="596"/>
      <c r="L36" s="596"/>
      <c r="M36" s="596"/>
      <c r="N36" s="596"/>
      <c r="O36" s="596"/>
      <c r="P36" s="596"/>
      <c r="Q36" s="596"/>
      <c r="R36" s="596"/>
      <c r="S36" s="596"/>
      <c r="T36" s="596"/>
      <c r="U36" s="596"/>
      <c r="V36" s="596"/>
      <c r="W36" s="596"/>
      <c r="X36" s="596"/>
      <c r="Y36" s="596"/>
      <c r="Z36" s="596"/>
      <c r="AA36" s="596"/>
      <c r="AB36" s="596"/>
      <c r="AC36"/>
      <c r="AD36"/>
      <c r="AE36"/>
      <c r="AF36"/>
      <c r="AG36"/>
      <c r="AH36"/>
      <c r="AI36"/>
      <c r="AJ36"/>
      <c r="AK36"/>
      <c r="AL36"/>
      <c r="AM36"/>
      <c r="AN36"/>
    </row>
    <row r="37" spans="2:40" x14ac:dyDescent="0.25">
      <c r="B37" s="13">
        <v>1</v>
      </c>
      <c r="C37" s="15" t="s">
        <v>1058</v>
      </c>
      <c r="D37"/>
      <c r="E37" s="20">
        <f>$E$26/12/2/3</f>
        <v>16.57225</v>
      </c>
      <c r="F37" s="596">
        <f>E37</f>
        <v>16.57225</v>
      </c>
      <c r="G37" s="596">
        <f>F37</f>
        <v>16.57225</v>
      </c>
      <c r="H37" s="596">
        <f>SUM(E37:G37)/33</f>
        <v>1.506568181818182</v>
      </c>
      <c r="I37" s="596">
        <f>H37</f>
        <v>1.506568181818182</v>
      </c>
      <c r="J37" s="596">
        <f t="shared" ref="J37:AN37" si="9">I37</f>
        <v>1.506568181818182</v>
      </c>
      <c r="K37" s="596">
        <f t="shared" si="9"/>
        <v>1.506568181818182</v>
      </c>
      <c r="L37" s="596">
        <f t="shared" si="9"/>
        <v>1.506568181818182</v>
      </c>
      <c r="M37" s="596">
        <f t="shared" si="9"/>
        <v>1.506568181818182</v>
      </c>
      <c r="N37" s="596">
        <f t="shared" si="9"/>
        <v>1.506568181818182</v>
      </c>
      <c r="O37" s="596">
        <f t="shared" si="9"/>
        <v>1.506568181818182</v>
      </c>
      <c r="P37" s="596">
        <f t="shared" si="9"/>
        <v>1.506568181818182</v>
      </c>
      <c r="Q37" s="596">
        <f t="shared" si="9"/>
        <v>1.506568181818182</v>
      </c>
      <c r="R37" s="596">
        <f t="shared" si="9"/>
        <v>1.506568181818182</v>
      </c>
      <c r="S37" s="596">
        <f t="shared" si="9"/>
        <v>1.506568181818182</v>
      </c>
      <c r="T37" s="596">
        <f t="shared" si="9"/>
        <v>1.506568181818182</v>
      </c>
      <c r="U37" s="596">
        <f t="shared" si="9"/>
        <v>1.506568181818182</v>
      </c>
      <c r="V37" s="596">
        <f t="shared" si="9"/>
        <v>1.506568181818182</v>
      </c>
      <c r="W37" s="596">
        <f t="shared" si="9"/>
        <v>1.506568181818182</v>
      </c>
      <c r="X37" s="596">
        <f t="shared" si="9"/>
        <v>1.506568181818182</v>
      </c>
      <c r="Y37" s="596">
        <f t="shared" si="9"/>
        <v>1.506568181818182</v>
      </c>
      <c r="Z37" s="596">
        <f t="shared" si="9"/>
        <v>1.506568181818182</v>
      </c>
      <c r="AA37" s="596">
        <f t="shared" si="9"/>
        <v>1.506568181818182</v>
      </c>
      <c r="AB37" s="596">
        <f t="shared" si="9"/>
        <v>1.506568181818182</v>
      </c>
      <c r="AC37" s="596">
        <f t="shared" si="9"/>
        <v>1.506568181818182</v>
      </c>
      <c r="AD37" s="596">
        <f t="shared" si="9"/>
        <v>1.506568181818182</v>
      </c>
      <c r="AE37" s="596">
        <f t="shared" si="9"/>
        <v>1.506568181818182</v>
      </c>
      <c r="AF37" s="596">
        <f t="shared" si="9"/>
        <v>1.506568181818182</v>
      </c>
      <c r="AG37" s="596">
        <f t="shared" si="9"/>
        <v>1.506568181818182</v>
      </c>
      <c r="AH37" s="596">
        <f t="shared" si="9"/>
        <v>1.506568181818182</v>
      </c>
      <c r="AI37" s="596">
        <f t="shared" si="9"/>
        <v>1.506568181818182</v>
      </c>
      <c r="AJ37" s="596">
        <f t="shared" si="9"/>
        <v>1.506568181818182</v>
      </c>
      <c r="AK37" s="596">
        <f t="shared" si="9"/>
        <v>1.506568181818182</v>
      </c>
      <c r="AL37" s="596">
        <f t="shared" si="9"/>
        <v>1.506568181818182</v>
      </c>
      <c r="AM37" s="596">
        <f t="shared" si="9"/>
        <v>1.506568181818182</v>
      </c>
      <c r="AN37" s="596">
        <f t="shared" si="9"/>
        <v>1.506568181818182</v>
      </c>
    </row>
    <row r="38" spans="2:40" x14ac:dyDescent="0.25">
      <c r="B38" s="13">
        <f>B37+1</f>
        <v>2</v>
      </c>
      <c r="C38" s="15" t="s">
        <v>1058</v>
      </c>
      <c r="D38"/>
      <c r="E38" s="20"/>
      <c r="F38" s="596">
        <f>E37</f>
        <v>16.57225</v>
      </c>
      <c r="G38" s="596">
        <f t="shared" ref="G38:V48" si="10">F37</f>
        <v>16.57225</v>
      </c>
      <c r="H38" s="596">
        <f t="shared" si="10"/>
        <v>16.57225</v>
      </c>
      <c r="I38" s="596">
        <f t="shared" si="10"/>
        <v>1.506568181818182</v>
      </c>
      <c r="J38" s="596">
        <f t="shared" si="10"/>
        <v>1.506568181818182</v>
      </c>
      <c r="K38" s="596">
        <f t="shared" si="10"/>
        <v>1.506568181818182</v>
      </c>
      <c r="L38" s="596">
        <f t="shared" si="10"/>
        <v>1.506568181818182</v>
      </c>
      <c r="M38" s="596">
        <f t="shared" si="10"/>
        <v>1.506568181818182</v>
      </c>
      <c r="N38" s="596">
        <f t="shared" si="10"/>
        <v>1.506568181818182</v>
      </c>
      <c r="O38" s="596">
        <f t="shared" si="10"/>
        <v>1.506568181818182</v>
      </c>
      <c r="P38" s="596">
        <f t="shared" si="10"/>
        <v>1.506568181818182</v>
      </c>
      <c r="Q38" s="596">
        <f t="shared" si="10"/>
        <v>1.506568181818182</v>
      </c>
      <c r="R38" s="596">
        <f t="shared" si="10"/>
        <v>1.506568181818182</v>
      </c>
      <c r="S38" s="596">
        <f t="shared" si="10"/>
        <v>1.506568181818182</v>
      </c>
      <c r="T38" s="596">
        <f t="shared" si="10"/>
        <v>1.506568181818182</v>
      </c>
      <c r="U38" s="596">
        <f t="shared" si="10"/>
        <v>1.506568181818182</v>
      </c>
      <c r="V38" s="596">
        <f t="shared" si="10"/>
        <v>1.506568181818182</v>
      </c>
      <c r="W38" s="596">
        <f t="shared" ref="W38:AL48" si="11">V37</f>
        <v>1.506568181818182</v>
      </c>
      <c r="X38" s="596">
        <f t="shared" si="11"/>
        <v>1.506568181818182</v>
      </c>
      <c r="Y38" s="596">
        <f t="shared" si="11"/>
        <v>1.506568181818182</v>
      </c>
      <c r="Z38" s="596">
        <f t="shared" si="11"/>
        <v>1.506568181818182</v>
      </c>
      <c r="AA38" s="596">
        <f t="shared" si="11"/>
        <v>1.506568181818182</v>
      </c>
      <c r="AB38" s="596">
        <f t="shared" si="11"/>
        <v>1.506568181818182</v>
      </c>
      <c r="AC38" s="596">
        <f t="shared" si="11"/>
        <v>1.506568181818182</v>
      </c>
      <c r="AD38" s="596">
        <f t="shared" si="11"/>
        <v>1.506568181818182</v>
      </c>
      <c r="AE38" s="596">
        <f t="shared" si="11"/>
        <v>1.506568181818182</v>
      </c>
      <c r="AF38" s="596">
        <f t="shared" si="11"/>
        <v>1.506568181818182</v>
      </c>
      <c r="AG38" s="596">
        <f t="shared" si="11"/>
        <v>1.506568181818182</v>
      </c>
      <c r="AH38" s="596">
        <f t="shared" si="11"/>
        <v>1.506568181818182</v>
      </c>
      <c r="AI38" s="596">
        <f t="shared" si="11"/>
        <v>1.506568181818182</v>
      </c>
      <c r="AJ38" s="596">
        <f t="shared" si="11"/>
        <v>1.506568181818182</v>
      </c>
      <c r="AK38" s="596">
        <f t="shared" si="11"/>
        <v>1.506568181818182</v>
      </c>
      <c r="AL38" s="596">
        <f t="shared" si="11"/>
        <v>1.506568181818182</v>
      </c>
      <c r="AM38" s="596">
        <f t="shared" ref="AM38:AN48" si="12">AL37</f>
        <v>1.506568181818182</v>
      </c>
      <c r="AN38" s="596">
        <f t="shared" si="12"/>
        <v>1.506568181818182</v>
      </c>
    </row>
    <row r="39" spans="2:40" x14ac:dyDescent="0.25">
      <c r="B39" s="13">
        <f t="shared" ref="B39:B48" si="13">B38+1</f>
        <v>3</v>
      </c>
      <c r="C39" s="15" t="s">
        <v>1058</v>
      </c>
      <c r="D39"/>
      <c r="E39" s="20"/>
      <c r="F39" s="596"/>
      <c r="G39" s="596">
        <f>F38</f>
        <v>16.57225</v>
      </c>
      <c r="H39" s="596">
        <f t="shared" si="10"/>
        <v>16.57225</v>
      </c>
      <c r="I39" s="596">
        <f t="shared" si="10"/>
        <v>16.57225</v>
      </c>
      <c r="J39" s="596">
        <f t="shared" si="10"/>
        <v>1.506568181818182</v>
      </c>
      <c r="K39" s="596">
        <f t="shared" si="10"/>
        <v>1.506568181818182</v>
      </c>
      <c r="L39" s="596">
        <f t="shared" si="10"/>
        <v>1.506568181818182</v>
      </c>
      <c r="M39" s="596">
        <f t="shared" si="10"/>
        <v>1.506568181818182</v>
      </c>
      <c r="N39" s="596">
        <f t="shared" si="10"/>
        <v>1.506568181818182</v>
      </c>
      <c r="O39" s="596">
        <f t="shared" si="10"/>
        <v>1.506568181818182</v>
      </c>
      <c r="P39" s="596">
        <f t="shared" si="10"/>
        <v>1.506568181818182</v>
      </c>
      <c r="Q39" s="596">
        <f t="shared" si="10"/>
        <v>1.506568181818182</v>
      </c>
      <c r="R39" s="596">
        <f t="shared" si="10"/>
        <v>1.506568181818182</v>
      </c>
      <c r="S39" s="596">
        <f t="shared" si="10"/>
        <v>1.506568181818182</v>
      </c>
      <c r="T39" s="596">
        <f t="shared" si="10"/>
        <v>1.506568181818182</v>
      </c>
      <c r="U39" s="596">
        <f t="shared" si="10"/>
        <v>1.506568181818182</v>
      </c>
      <c r="V39" s="596">
        <f t="shared" si="10"/>
        <v>1.506568181818182</v>
      </c>
      <c r="W39" s="596">
        <f t="shared" si="11"/>
        <v>1.506568181818182</v>
      </c>
      <c r="X39" s="596">
        <f t="shared" si="11"/>
        <v>1.506568181818182</v>
      </c>
      <c r="Y39" s="596">
        <f t="shared" si="11"/>
        <v>1.506568181818182</v>
      </c>
      <c r="Z39" s="596">
        <f t="shared" si="11"/>
        <v>1.506568181818182</v>
      </c>
      <c r="AA39" s="596">
        <f t="shared" si="11"/>
        <v>1.506568181818182</v>
      </c>
      <c r="AB39" s="596">
        <f t="shared" si="11"/>
        <v>1.506568181818182</v>
      </c>
      <c r="AC39" s="596">
        <f t="shared" si="11"/>
        <v>1.506568181818182</v>
      </c>
      <c r="AD39" s="596">
        <f t="shared" si="11"/>
        <v>1.506568181818182</v>
      </c>
      <c r="AE39" s="596">
        <f t="shared" si="11"/>
        <v>1.506568181818182</v>
      </c>
      <c r="AF39" s="596">
        <f t="shared" si="11"/>
        <v>1.506568181818182</v>
      </c>
      <c r="AG39" s="596">
        <f t="shared" si="11"/>
        <v>1.506568181818182</v>
      </c>
      <c r="AH39" s="596">
        <f t="shared" si="11"/>
        <v>1.506568181818182</v>
      </c>
      <c r="AI39" s="596">
        <f t="shared" si="11"/>
        <v>1.506568181818182</v>
      </c>
      <c r="AJ39" s="596">
        <f t="shared" si="11"/>
        <v>1.506568181818182</v>
      </c>
      <c r="AK39" s="596">
        <f t="shared" si="11"/>
        <v>1.506568181818182</v>
      </c>
      <c r="AL39" s="596">
        <f t="shared" si="11"/>
        <v>1.506568181818182</v>
      </c>
      <c r="AM39" s="596">
        <f t="shared" si="12"/>
        <v>1.506568181818182</v>
      </c>
      <c r="AN39" s="596">
        <f t="shared" si="12"/>
        <v>1.506568181818182</v>
      </c>
    </row>
    <row r="40" spans="2:40" x14ac:dyDescent="0.25">
      <c r="B40" s="13">
        <f t="shared" si="13"/>
        <v>4</v>
      </c>
      <c r="C40" s="15" t="s">
        <v>1058</v>
      </c>
      <c r="D40"/>
      <c r="E40" s="20"/>
      <c r="F40" s="596"/>
      <c r="G40" s="596"/>
      <c r="H40" s="596">
        <f>G39</f>
        <v>16.57225</v>
      </c>
      <c r="I40" s="596">
        <f t="shared" si="10"/>
        <v>16.57225</v>
      </c>
      <c r="J40" s="596">
        <f t="shared" si="10"/>
        <v>16.57225</v>
      </c>
      <c r="K40" s="596">
        <f t="shared" si="10"/>
        <v>1.506568181818182</v>
      </c>
      <c r="L40" s="596">
        <f t="shared" si="10"/>
        <v>1.506568181818182</v>
      </c>
      <c r="M40" s="596">
        <f t="shared" si="10"/>
        <v>1.506568181818182</v>
      </c>
      <c r="N40" s="596">
        <f t="shared" si="10"/>
        <v>1.506568181818182</v>
      </c>
      <c r="O40" s="596">
        <f t="shared" si="10"/>
        <v>1.506568181818182</v>
      </c>
      <c r="P40" s="596">
        <f t="shared" si="10"/>
        <v>1.506568181818182</v>
      </c>
      <c r="Q40" s="596">
        <f t="shared" si="10"/>
        <v>1.506568181818182</v>
      </c>
      <c r="R40" s="596">
        <f t="shared" si="10"/>
        <v>1.506568181818182</v>
      </c>
      <c r="S40" s="596">
        <f t="shared" si="10"/>
        <v>1.506568181818182</v>
      </c>
      <c r="T40" s="596">
        <f t="shared" si="10"/>
        <v>1.506568181818182</v>
      </c>
      <c r="U40" s="596">
        <f t="shared" si="10"/>
        <v>1.506568181818182</v>
      </c>
      <c r="V40" s="596">
        <f t="shared" si="10"/>
        <v>1.506568181818182</v>
      </c>
      <c r="W40" s="596">
        <f t="shared" si="11"/>
        <v>1.506568181818182</v>
      </c>
      <c r="X40" s="596">
        <f t="shared" si="11"/>
        <v>1.506568181818182</v>
      </c>
      <c r="Y40" s="596">
        <f t="shared" si="11"/>
        <v>1.506568181818182</v>
      </c>
      <c r="Z40" s="596">
        <f t="shared" si="11"/>
        <v>1.506568181818182</v>
      </c>
      <c r="AA40" s="596">
        <f t="shared" si="11"/>
        <v>1.506568181818182</v>
      </c>
      <c r="AB40" s="596">
        <f t="shared" si="11"/>
        <v>1.506568181818182</v>
      </c>
      <c r="AC40" s="596">
        <f t="shared" si="11"/>
        <v>1.506568181818182</v>
      </c>
      <c r="AD40" s="596">
        <f t="shared" si="11"/>
        <v>1.506568181818182</v>
      </c>
      <c r="AE40" s="596">
        <f t="shared" si="11"/>
        <v>1.506568181818182</v>
      </c>
      <c r="AF40" s="596">
        <f t="shared" si="11"/>
        <v>1.506568181818182</v>
      </c>
      <c r="AG40" s="596">
        <f t="shared" si="11"/>
        <v>1.506568181818182</v>
      </c>
      <c r="AH40" s="596">
        <f t="shared" si="11"/>
        <v>1.506568181818182</v>
      </c>
      <c r="AI40" s="596">
        <f t="shared" si="11"/>
        <v>1.506568181818182</v>
      </c>
      <c r="AJ40" s="596">
        <f t="shared" si="11"/>
        <v>1.506568181818182</v>
      </c>
      <c r="AK40" s="596">
        <f t="shared" si="11"/>
        <v>1.506568181818182</v>
      </c>
      <c r="AL40" s="596">
        <f t="shared" si="11"/>
        <v>1.506568181818182</v>
      </c>
      <c r="AM40" s="596">
        <f t="shared" si="12"/>
        <v>1.506568181818182</v>
      </c>
      <c r="AN40" s="596">
        <f t="shared" si="12"/>
        <v>1.506568181818182</v>
      </c>
    </row>
    <row r="41" spans="2:40" x14ac:dyDescent="0.25">
      <c r="B41" s="13">
        <f t="shared" si="13"/>
        <v>5</v>
      </c>
      <c r="C41" s="15" t="s">
        <v>1058</v>
      </c>
      <c r="D41"/>
      <c r="E41" s="20"/>
      <c r="F41" s="596"/>
      <c r="G41" s="596"/>
      <c r="H41"/>
      <c r="I41" s="596">
        <f>H40</f>
        <v>16.57225</v>
      </c>
      <c r="J41" s="596">
        <f t="shared" si="10"/>
        <v>16.57225</v>
      </c>
      <c r="K41" s="596">
        <f t="shared" si="10"/>
        <v>16.57225</v>
      </c>
      <c r="L41" s="596">
        <f t="shared" si="10"/>
        <v>1.506568181818182</v>
      </c>
      <c r="M41" s="596">
        <f t="shared" si="10"/>
        <v>1.506568181818182</v>
      </c>
      <c r="N41" s="596">
        <f t="shared" si="10"/>
        <v>1.506568181818182</v>
      </c>
      <c r="O41" s="596">
        <f t="shared" si="10"/>
        <v>1.506568181818182</v>
      </c>
      <c r="P41" s="596">
        <f t="shared" si="10"/>
        <v>1.506568181818182</v>
      </c>
      <c r="Q41" s="596">
        <f t="shared" si="10"/>
        <v>1.506568181818182</v>
      </c>
      <c r="R41" s="596">
        <f t="shared" si="10"/>
        <v>1.506568181818182</v>
      </c>
      <c r="S41" s="596">
        <f t="shared" si="10"/>
        <v>1.506568181818182</v>
      </c>
      <c r="T41" s="596">
        <f t="shared" si="10"/>
        <v>1.506568181818182</v>
      </c>
      <c r="U41" s="596">
        <f t="shared" si="10"/>
        <v>1.506568181818182</v>
      </c>
      <c r="V41" s="596">
        <f t="shared" si="10"/>
        <v>1.506568181818182</v>
      </c>
      <c r="W41" s="596">
        <f t="shared" si="11"/>
        <v>1.506568181818182</v>
      </c>
      <c r="X41" s="596">
        <f t="shared" si="11"/>
        <v>1.506568181818182</v>
      </c>
      <c r="Y41" s="596">
        <f t="shared" si="11"/>
        <v>1.506568181818182</v>
      </c>
      <c r="Z41" s="596">
        <f t="shared" si="11"/>
        <v>1.506568181818182</v>
      </c>
      <c r="AA41" s="596">
        <f t="shared" si="11"/>
        <v>1.506568181818182</v>
      </c>
      <c r="AB41" s="596">
        <f t="shared" si="11"/>
        <v>1.506568181818182</v>
      </c>
      <c r="AC41" s="596">
        <f t="shared" si="11"/>
        <v>1.506568181818182</v>
      </c>
      <c r="AD41" s="596">
        <f t="shared" si="11"/>
        <v>1.506568181818182</v>
      </c>
      <c r="AE41" s="596">
        <f t="shared" si="11"/>
        <v>1.506568181818182</v>
      </c>
      <c r="AF41" s="596">
        <f t="shared" si="11"/>
        <v>1.506568181818182</v>
      </c>
      <c r="AG41" s="596">
        <f t="shared" si="11"/>
        <v>1.506568181818182</v>
      </c>
      <c r="AH41" s="596">
        <f t="shared" si="11"/>
        <v>1.506568181818182</v>
      </c>
      <c r="AI41" s="596">
        <f t="shared" si="11"/>
        <v>1.506568181818182</v>
      </c>
      <c r="AJ41" s="596">
        <f t="shared" si="11"/>
        <v>1.506568181818182</v>
      </c>
      <c r="AK41" s="596">
        <f t="shared" si="11"/>
        <v>1.506568181818182</v>
      </c>
      <c r="AL41" s="596">
        <f t="shared" si="11"/>
        <v>1.506568181818182</v>
      </c>
      <c r="AM41" s="596">
        <f t="shared" si="12"/>
        <v>1.506568181818182</v>
      </c>
      <c r="AN41" s="596">
        <f t="shared" si="12"/>
        <v>1.506568181818182</v>
      </c>
    </row>
    <row r="42" spans="2:40" x14ac:dyDescent="0.25">
      <c r="B42" s="13">
        <f t="shared" si="13"/>
        <v>6</v>
      </c>
      <c r="C42" s="15" t="s">
        <v>1058</v>
      </c>
      <c r="D42"/>
      <c r="E42" s="20"/>
      <c r="F42" s="596"/>
      <c r="G42" s="596"/>
      <c r="H42"/>
      <c r="I42"/>
      <c r="J42" s="596">
        <f>I41</f>
        <v>16.57225</v>
      </c>
      <c r="K42" s="596">
        <f t="shared" si="10"/>
        <v>16.57225</v>
      </c>
      <c r="L42" s="596">
        <f t="shared" si="10"/>
        <v>16.57225</v>
      </c>
      <c r="M42" s="596">
        <f t="shared" si="10"/>
        <v>1.506568181818182</v>
      </c>
      <c r="N42" s="596">
        <f t="shared" si="10"/>
        <v>1.506568181818182</v>
      </c>
      <c r="O42" s="596">
        <f t="shared" si="10"/>
        <v>1.506568181818182</v>
      </c>
      <c r="P42" s="596">
        <f t="shared" si="10"/>
        <v>1.506568181818182</v>
      </c>
      <c r="Q42" s="596">
        <f t="shared" si="10"/>
        <v>1.506568181818182</v>
      </c>
      <c r="R42" s="596">
        <f t="shared" si="10"/>
        <v>1.506568181818182</v>
      </c>
      <c r="S42" s="596">
        <f t="shared" si="10"/>
        <v>1.506568181818182</v>
      </c>
      <c r="T42" s="596">
        <f t="shared" si="10"/>
        <v>1.506568181818182</v>
      </c>
      <c r="U42" s="596">
        <f t="shared" si="10"/>
        <v>1.506568181818182</v>
      </c>
      <c r="V42" s="596">
        <f t="shared" si="10"/>
        <v>1.506568181818182</v>
      </c>
      <c r="W42" s="596">
        <f t="shared" si="11"/>
        <v>1.506568181818182</v>
      </c>
      <c r="X42" s="596">
        <f t="shared" si="11"/>
        <v>1.506568181818182</v>
      </c>
      <c r="Y42" s="596">
        <f t="shared" si="11"/>
        <v>1.506568181818182</v>
      </c>
      <c r="Z42" s="596">
        <f t="shared" si="11"/>
        <v>1.506568181818182</v>
      </c>
      <c r="AA42" s="596">
        <f t="shared" si="11"/>
        <v>1.506568181818182</v>
      </c>
      <c r="AB42" s="596">
        <f t="shared" si="11"/>
        <v>1.506568181818182</v>
      </c>
      <c r="AC42" s="596">
        <f t="shared" si="11"/>
        <v>1.506568181818182</v>
      </c>
      <c r="AD42" s="596">
        <f t="shared" si="11"/>
        <v>1.506568181818182</v>
      </c>
      <c r="AE42" s="596">
        <f t="shared" si="11"/>
        <v>1.506568181818182</v>
      </c>
      <c r="AF42" s="596">
        <f t="shared" si="11"/>
        <v>1.506568181818182</v>
      </c>
      <c r="AG42" s="596">
        <f t="shared" si="11"/>
        <v>1.506568181818182</v>
      </c>
      <c r="AH42" s="596">
        <f t="shared" si="11"/>
        <v>1.506568181818182</v>
      </c>
      <c r="AI42" s="596">
        <f t="shared" si="11"/>
        <v>1.506568181818182</v>
      </c>
      <c r="AJ42" s="596">
        <f t="shared" si="11"/>
        <v>1.506568181818182</v>
      </c>
      <c r="AK42" s="596">
        <f t="shared" si="11"/>
        <v>1.506568181818182</v>
      </c>
      <c r="AL42" s="596">
        <f t="shared" si="11"/>
        <v>1.506568181818182</v>
      </c>
      <c r="AM42" s="596">
        <f t="shared" si="12"/>
        <v>1.506568181818182</v>
      </c>
      <c r="AN42" s="596">
        <f t="shared" si="12"/>
        <v>1.506568181818182</v>
      </c>
    </row>
    <row r="43" spans="2:40" x14ac:dyDescent="0.25">
      <c r="B43" s="13">
        <f t="shared" si="13"/>
        <v>7</v>
      </c>
      <c r="C43" s="15" t="s">
        <v>1058</v>
      </c>
      <c r="D43"/>
      <c r="E43" s="20"/>
      <c r="F43" s="596"/>
      <c r="G43" s="596"/>
      <c r="H43"/>
      <c r="I43"/>
      <c r="J43"/>
      <c r="K43" s="596">
        <f>J42</f>
        <v>16.57225</v>
      </c>
      <c r="L43" s="596">
        <f t="shared" si="10"/>
        <v>16.57225</v>
      </c>
      <c r="M43" s="596">
        <f t="shared" si="10"/>
        <v>16.57225</v>
      </c>
      <c r="N43" s="596">
        <f t="shared" si="10"/>
        <v>1.506568181818182</v>
      </c>
      <c r="O43" s="596">
        <f t="shared" si="10"/>
        <v>1.506568181818182</v>
      </c>
      <c r="P43" s="596">
        <f t="shared" si="10"/>
        <v>1.506568181818182</v>
      </c>
      <c r="Q43" s="596">
        <f t="shared" si="10"/>
        <v>1.506568181818182</v>
      </c>
      <c r="R43" s="596">
        <f t="shared" si="10"/>
        <v>1.506568181818182</v>
      </c>
      <c r="S43" s="596">
        <f t="shared" si="10"/>
        <v>1.506568181818182</v>
      </c>
      <c r="T43" s="596">
        <f t="shared" si="10"/>
        <v>1.506568181818182</v>
      </c>
      <c r="U43" s="596">
        <f t="shared" si="10"/>
        <v>1.506568181818182</v>
      </c>
      <c r="V43" s="596">
        <f t="shared" si="10"/>
        <v>1.506568181818182</v>
      </c>
      <c r="W43" s="596">
        <f t="shared" si="11"/>
        <v>1.506568181818182</v>
      </c>
      <c r="X43" s="596">
        <f t="shared" si="11"/>
        <v>1.506568181818182</v>
      </c>
      <c r="Y43" s="596">
        <f t="shared" si="11"/>
        <v>1.506568181818182</v>
      </c>
      <c r="Z43" s="596">
        <f t="shared" si="11"/>
        <v>1.506568181818182</v>
      </c>
      <c r="AA43" s="596">
        <f t="shared" si="11"/>
        <v>1.506568181818182</v>
      </c>
      <c r="AB43" s="596">
        <f t="shared" si="11"/>
        <v>1.506568181818182</v>
      </c>
      <c r="AC43" s="596">
        <f t="shared" si="11"/>
        <v>1.506568181818182</v>
      </c>
      <c r="AD43" s="596">
        <f t="shared" si="11"/>
        <v>1.506568181818182</v>
      </c>
      <c r="AE43" s="596">
        <f t="shared" si="11"/>
        <v>1.506568181818182</v>
      </c>
      <c r="AF43" s="596">
        <f t="shared" si="11"/>
        <v>1.506568181818182</v>
      </c>
      <c r="AG43" s="596">
        <f t="shared" si="11"/>
        <v>1.506568181818182</v>
      </c>
      <c r="AH43" s="596">
        <f t="shared" si="11"/>
        <v>1.506568181818182</v>
      </c>
      <c r="AI43" s="596">
        <f t="shared" si="11"/>
        <v>1.506568181818182</v>
      </c>
      <c r="AJ43" s="596">
        <f t="shared" si="11"/>
        <v>1.506568181818182</v>
      </c>
      <c r="AK43" s="596">
        <f t="shared" si="11"/>
        <v>1.506568181818182</v>
      </c>
      <c r="AL43" s="596">
        <f t="shared" si="11"/>
        <v>1.506568181818182</v>
      </c>
      <c r="AM43" s="596">
        <f t="shared" si="12"/>
        <v>1.506568181818182</v>
      </c>
      <c r="AN43" s="596">
        <f t="shared" si="12"/>
        <v>1.506568181818182</v>
      </c>
    </row>
    <row r="44" spans="2:40" x14ac:dyDescent="0.25">
      <c r="B44" s="13">
        <f t="shared" si="13"/>
        <v>8</v>
      </c>
      <c r="C44" s="15" t="s">
        <v>1058</v>
      </c>
      <c r="D44"/>
      <c r="E44" s="20"/>
      <c r="F44" s="596"/>
      <c r="G44" s="596"/>
      <c r="H44"/>
      <c r="I44"/>
      <c r="J44"/>
      <c r="K44"/>
      <c r="L44" s="596">
        <f>K43</f>
        <v>16.57225</v>
      </c>
      <c r="M44" s="596">
        <f t="shared" si="10"/>
        <v>16.57225</v>
      </c>
      <c r="N44" s="596">
        <f t="shared" si="10"/>
        <v>16.57225</v>
      </c>
      <c r="O44" s="596">
        <f t="shared" si="10"/>
        <v>1.506568181818182</v>
      </c>
      <c r="P44" s="596">
        <f t="shared" si="10"/>
        <v>1.506568181818182</v>
      </c>
      <c r="Q44" s="596">
        <f t="shared" si="10"/>
        <v>1.506568181818182</v>
      </c>
      <c r="R44" s="596">
        <f t="shared" si="10"/>
        <v>1.506568181818182</v>
      </c>
      <c r="S44" s="596">
        <f t="shared" si="10"/>
        <v>1.506568181818182</v>
      </c>
      <c r="T44" s="596">
        <f t="shared" si="10"/>
        <v>1.506568181818182</v>
      </c>
      <c r="U44" s="596">
        <f t="shared" si="10"/>
        <v>1.506568181818182</v>
      </c>
      <c r="V44" s="596">
        <f t="shared" si="10"/>
        <v>1.506568181818182</v>
      </c>
      <c r="W44" s="596">
        <f t="shared" si="11"/>
        <v>1.506568181818182</v>
      </c>
      <c r="X44" s="596">
        <f t="shared" si="11"/>
        <v>1.506568181818182</v>
      </c>
      <c r="Y44" s="596">
        <f t="shared" si="11"/>
        <v>1.506568181818182</v>
      </c>
      <c r="Z44" s="596">
        <f t="shared" si="11"/>
        <v>1.506568181818182</v>
      </c>
      <c r="AA44" s="596">
        <f t="shared" si="11"/>
        <v>1.506568181818182</v>
      </c>
      <c r="AB44" s="596">
        <f t="shared" si="11"/>
        <v>1.506568181818182</v>
      </c>
      <c r="AC44" s="596">
        <f t="shared" si="11"/>
        <v>1.506568181818182</v>
      </c>
      <c r="AD44" s="596">
        <f t="shared" si="11"/>
        <v>1.506568181818182</v>
      </c>
      <c r="AE44" s="596">
        <f t="shared" si="11"/>
        <v>1.506568181818182</v>
      </c>
      <c r="AF44" s="596">
        <f t="shared" si="11"/>
        <v>1.506568181818182</v>
      </c>
      <c r="AG44" s="596">
        <f t="shared" si="11"/>
        <v>1.506568181818182</v>
      </c>
      <c r="AH44" s="596">
        <f t="shared" si="11"/>
        <v>1.506568181818182</v>
      </c>
      <c r="AI44" s="596">
        <f t="shared" si="11"/>
        <v>1.506568181818182</v>
      </c>
      <c r="AJ44" s="596">
        <f t="shared" si="11"/>
        <v>1.506568181818182</v>
      </c>
      <c r="AK44" s="596">
        <f t="shared" si="11"/>
        <v>1.506568181818182</v>
      </c>
      <c r="AL44" s="596">
        <f t="shared" si="11"/>
        <v>1.506568181818182</v>
      </c>
      <c r="AM44" s="596">
        <f t="shared" si="12"/>
        <v>1.506568181818182</v>
      </c>
      <c r="AN44" s="596">
        <f t="shared" si="12"/>
        <v>1.506568181818182</v>
      </c>
    </row>
    <row r="45" spans="2:40" x14ac:dyDescent="0.25">
      <c r="B45" s="13">
        <f t="shared" si="13"/>
        <v>9</v>
      </c>
      <c r="C45" s="15" t="s">
        <v>1058</v>
      </c>
      <c r="D45"/>
      <c r="E45" s="20"/>
      <c r="F45" s="596"/>
      <c r="G45" s="596"/>
      <c r="H45"/>
      <c r="I45"/>
      <c r="J45"/>
      <c r="K45"/>
      <c r="L45"/>
      <c r="M45" s="596">
        <f>L44</f>
        <v>16.57225</v>
      </c>
      <c r="N45" s="596">
        <f t="shared" si="10"/>
        <v>16.57225</v>
      </c>
      <c r="O45" s="596">
        <f t="shared" si="10"/>
        <v>16.57225</v>
      </c>
      <c r="P45" s="596">
        <f t="shared" si="10"/>
        <v>1.506568181818182</v>
      </c>
      <c r="Q45" s="596">
        <f t="shared" si="10"/>
        <v>1.506568181818182</v>
      </c>
      <c r="R45" s="596">
        <f t="shared" si="10"/>
        <v>1.506568181818182</v>
      </c>
      <c r="S45" s="596">
        <f t="shared" si="10"/>
        <v>1.506568181818182</v>
      </c>
      <c r="T45" s="596">
        <f t="shared" si="10"/>
        <v>1.506568181818182</v>
      </c>
      <c r="U45" s="596">
        <f t="shared" si="10"/>
        <v>1.506568181818182</v>
      </c>
      <c r="V45" s="596">
        <f t="shared" si="10"/>
        <v>1.506568181818182</v>
      </c>
      <c r="W45" s="596">
        <f t="shared" si="11"/>
        <v>1.506568181818182</v>
      </c>
      <c r="X45" s="596">
        <f t="shared" si="11"/>
        <v>1.506568181818182</v>
      </c>
      <c r="Y45" s="596">
        <f t="shared" si="11"/>
        <v>1.506568181818182</v>
      </c>
      <c r="Z45" s="596">
        <f t="shared" si="11"/>
        <v>1.506568181818182</v>
      </c>
      <c r="AA45" s="596">
        <f t="shared" si="11"/>
        <v>1.506568181818182</v>
      </c>
      <c r="AB45" s="596">
        <f t="shared" si="11"/>
        <v>1.506568181818182</v>
      </c>
      <c r="AC45" s="596">
        <f t="shared" si="11"/>
        <v>1.506568181818182</v>
      </c>
      <c r="AD45" s="596">
        <f t="shared" si="11"/>
        <v>1.506568181818182</v>
      </c>
      <c r="AE45" s="596">
        <f t="shared" si="11"/>
        <v>1.506568181818182</v>
      </c>
      <c r="AF45" s="596">
        <f t="shared" si="11"/>
        <v>1.506568181818182</v>
      </c>
      <c r="AG45" s="596">
        <f t="shared" si="11"/>
        <v>1.506568181818182</v>
      </c>
      <c r="AH45" s="596">
        <f t="shared" si="11"/>
        <v>1.506568181818182</v>
      </c>
      <c r="AI45" s="596">
        <f t="shared" si="11"/>
        <v>1.506568181818182</v>
      </c>
      <c r="AJ45" s="596">
        <f t="shared" si="11"/>
        <v>1.506568181818182</v>
      </c>
      <c r="AK45" s="596">
        <f t="shared" si="11"/>
        <v>1.506568181818182</v>
      </c>
      <c r="AL45" s="596">
        <f t="shared" si="11"/>
        <v>1.506568181818182</v>
      </c>
      <c r="AM45" s="596">
        <f t="shared" si="12"/>
        <v>1.506568181818182</v>
      </c>
      <c r="AN45" s="596">
        <f t="shared" si="12"/>
        <v>1.506568181818182</v>
      </c>
    </row>
    <row r="46" spans="2:40" x14ac:dyDescent="0.25">
      <c r="B46" s="13">
        <f t="shared" si="13"/>
        <v>10</v>
      </c>
      <c r="C46" s="15" t="s">
        <v>1058</v>
      </c>
      <c r="D46"/>
      <c r="E46" s="20"/>
      <c r="F46" s="596"/>
      <c r="G46" s="596"/>
      <c r="H46"/>
      <c r="I46"/>
      <c r="J46"/>
      <c r="K46"/>
      <c r="L46"/>
      <c r="M46"/>
      <c r="N46" s="596">
        <f>M45</f>
        <v>16.57225</v>
      </c>
      <c r="O46" s="596">
        <f t="shared" si="10"/>
        <v>16.57225</v>
      </c>
      <c r="P46" s="596">
        <f t="shared" si="10"/>
        <v>16.57225</v>
      </c>
      <c r="Q46" s="596">
        <f t="shared" si="10"/>
        <v>1.506568181818182</v>
      </c>
      <c r="R46" s="596">
        <f t="shared" si="10"/>
        <v>1.506568181818182</v>
      </c>
      <c r="S46" s="596">
        <f t="shared" si="10"/>
        <v>1.506568181818182</v>
      </c>
      <c r="T46" s="596">
        <f t="shared" si="10"/>
        <v>1.506568181818182</v>
      </c>
      <c r="U46" s="596">
        <f t="shared" si="10"/>
        <v>1.506568181818182</v>
      </c>
      <c r="V46" s="596">
        <f t="shared" si="10"/>
        <v>1.506568181818182</v>
      </c>
      <c r="W46" s="596">
        <f t="shared" si="11"/>
        <v>1.506568181818182</v>
      </c>
      <c r="X46" s="596">
        <f t="shared" si="11"/>
        <v>1.506568181818182</v>
      </c>
      <c r="Y46" s="596">
        <f t="shared" si="11"/>
        <v>1.506568181818182</v>
      </c>
      <c r="Z46" s="596">
        <f t="shared" si="11"/>
        <v>1.506568181818182</v>
      </c>
      <c r="AA46" s="596">
        <f t="shared" si="11"/>
        <v>1.506568181818182</v>
      </c>
      <c r="AB46" s="596">
        <f t="shared" si="11"/>
        <v>1.506568181818182</v>
      </c>
      <c r="AC46" s="596">
        <f t="shared" si="11"/>
        <v>1.506568181818182</v>
      </c>
      <c r="AD46" s="596">
        <f t="shared" si="11"/>
        <v>1.506568181818182</v>
      </c>
      <c r="AE46" s="596">
        <f t="shared" si="11"/>
        <v>1.506568181818182</v>
      </c>
      <c r="AF46" s="596">
        <f t="shared" si="11"/>
        <v>1.506568181818182</v>
      </c>
      <c r="AG46" s="596">
        <f t="shared" si="11"/>
        <v>1.506568181818182</v>
      </c>
      <c r="AH46" s="596">
        <f t="shared" si="11"/>
        <v>1.506568181818182</v>
      </c>
      <c r="AI46" s="596">
        <f t="shared" si="11"/>
        <v>1.506568181818182</v>
      </c>
      <c r="AJ46" s="596">
        <f t="shared" si="11"/>
        <v>1.506568181818182</v>
      </c>
      <c r="AK46" s="596">
        <f t="shared" si="11"/>
        <v>1.506568181818182</v>
      </c>
      <c r="AL46" s="596">
        <f t="shared" si="11"/>
        <v>1.506568181818182</v>
      </c>
      <c r="AM46" s="596">
        <f t="shared" si="12"/>
        <v>1.506568181818182</v>
      </c>
      <c r="AN46" s="596">
        <f t="shared" si="12"/>
        <v>1.506568181818182</v>
      </c>
    </row>
    <row r="47" spans="2:40" x14ac:dyDescent="0.25">
      <c r="B47" s="13">
        <f t="shared" si="13"/>
        <v>11</v>
      </c>
      <c r="C47" s="15" t="s">
        <v>1058</v>
      </c>
      <c r="D47"/>
      <c r="E47" s="20"/>
      <c r="F47" s="596"/>
      <c r="G47" s="596"/>
      <c r="H47"/>
      <c r="I47"/>
      <c r="J47"/>
      <c r="K47"/>
      <c r="L47"/>
      <c r="M47"/>
      <c r="N47"/>
      <c r="O47" s="596">
        <f>N46</f>
        <v>16.57225</v>
      </c>
      <c r="P47" s="596">
        <f t="shared" si="10"/>
        <v>16.57225</v>
      </c>
      <c r="Q47" s="596">
        <f t="shared" si="10"/>
        <v>16.57225</v>
      </c>
      <c r="R47" s="596">
        <f t="shared" si="10"/>
        <v>1.506568181818182</v>
      </c>
      <c r="S47" s="596">
        <f t="shared" si="10"/>
        <v>1.506568181818182</v>
      </c>
      <c r="T47" s="596">
        <f t="shared" si="10"/>
        <v>1.506568181818182</v>
      </c>
      <c r="U47" s="596">
        <f t="shared" si="10"/>
        <v>1.506568181818182</v>
      </c>
      <c r="V47" s="596">
        <f t="shared" si="10"/>
        <v>1.506568181818182</v>
      </c>
      <c r="W47" s="596">
        <f t="shared" si="11"/>
        <v>1.506568181818182</v>
      </c>
      <c r="X47" s="596">
        <f t="shared" si="11"/>
        <v>1.506568181818182</v>
      </c>
      <c r="Y47" s="596">
        <f t="shared" si="11"/>
        <v>1.506568181818182</v>
      </c>
      <c r="Z47" s="596">
        <f t="shared" si="11"/>
        <v>1.506568181818182</v>
      </c>
      <c r="AA47" s="596">
        <f t="shared" si="11"/>
        <v>1.506568181818182</v>
      </c>
      <c r="AB47" s="596">
        <f t="shared" si="11"/>
        <v>1.506568181818182</v>
      </c>
      <c r="AC47" s="596">
        <f t="shared" si="11"/>
        <v>1.506568181818182</v>
      </c>
      <c r="AD47" s="596">
        <f t="shared" si="11"/>
        <v>1.506568181818182</v>
      </c>
      <c r="AE47" s="596">
        <f t="shared" si="11"/>
        <v>1.506568181818182</v>
      </c>
      <c r="AF47" s="596">
        <f t="shared" si="11"/>
        <v>1.506568181818182</v>
      </c>
      <c r="AG47" s="596">
        <f t="shared" si="11"/>
        <v>1.506568181818182</v>
      </c>
      <c r="AH47" s="596">
        <f t="shared" si="11"/>
        <v>1.506568181818182</v>
      </c>
      <c r="AI47" s="596">
        <f t="shared" si="11"/>
        <v>1.506568181818182</v>
      </c>
      <c r="AJ47" s="596">
        <f t="shared" si="11"/>
        <v>1.506568181818182</v>
      </c>
      <c r="AK47" s="596">
        <f t="shared" si="11"/>
        <v>1.506568181818182</v>
      </c>
      <c r="AL47" s="596">
        <f t="shared" si="11"/>
        <v>1.506568181818182</v>
      </c>
      <c r="AM47" s="596">
        <f t="shared" si="12"/>
        <v>1.506568181818182</v>
      </c>
      <c r="AN47" s="596">
        <f t="shared" si="12"/>
        <v>1.506568181818182</v>
      </c>
    </row>
    <row r="48" spans="2:40" x14ac:dyDescent="0.25">
      <c r="B48" s="13">
        <f t="shared" si="13"/>
        <v>12</v>
      </c>
      <c r="C48" s="15" t="s">
        <v>1058</v>
      </c>
      <c r="D48"/>
      <c r="E48" s="597"/>
      <c r="F48" s="597"/>
      <c r="G48" s="597"/>
      <c r="H48" s="598"/>
      <c r="I48" s="598"/>
      <c r="J48" s="598"/>
      <c r="K48" s="598"/>
      <c r="L48" s="598"/>
      <c r="M48" s="598"/>
      <c r="N48" s="598"/>
      <c r="O48" s="598"/>
      <c r="P48" s="599">
        <f>O47</f>
        <v>16.57225</v>
      </c>
      <c r="Q48" s="599">
        <f t="shared" si="10"/>
        <v>16.57225</v>
      </c>
      <c r="R48" s="599">
        <f t="shared" si="10"/>
        <v>16.57225</v>
      </c>
      <c r="S48" s="599">
        <f t="shared" si="10"/>
        <v>1.506568181818182</v>
      </c>
      <c r="T48" s="599">
        <f t="shared" si="10"/>
        <v>1.506568181818182</v>
      </c>
      <c r="U48" s="599">
        <f t="shared" si="10"/>
        <v>1.506568181818182</v>
      </c>
      <c r="V48" s="599">
        <f t="shared" si="10"/>
        <v>1.506568181818182</v>
      </c>
      <c r="W48" s="599">
        <f t="shared" si="11"/>
        <v>1.506568181818182</v>
      </c>
      <c r="X48" s="599">
        <f t="shared" si="11"/>
        <v>1.506568181818182</v>
      </c>
      <c r="Y48" s="599">
        <f t="shared" si="11"/>
        <v>1.506568181818182</v>
      </c>
      <c r="Z48" s="599">
        <f t="shared" si="11"/>
        <v>1.506568181818182</v>
      </c>
      <c r="AA48" s="599">
        <f t="shared" si="11"/>
        <v>1.506568181818182</v>
      </c>
      <c r="AB48" s="599">
        <f t="shared" si="11"/>
        <v>1.506568181818182</v>
      </c>
      <c r="AC48" s="599">
        <f t="shared" si="11"/>
        <v>1.506568181818182</v>
      </c>
      <c r="AD48" s="599">
        <f t="shared" si="11"/>
        <v>1.506568181818182</v>
      </c>
      <c r="AE48" s="599">
        <f t="shared" si="11"/>
        <v>1.506568181818182</v>
      </c>
      <c r="AF48" s="599">
        <f t="shared" si="11"/>
        <v>1.506568181818182</v>
      </c>
      <c r="AG48" s="599">
        <f t="shared" si="11"/>
        <v>1.506568181818182</v>
      </c>
      <c r="AH48" s="599">
        <f t="shared" si="11"/>
        <v>1.506568181818182</v>
      </c>
      <c r="AI48" s="599">
        <f t="shared" si="11"/>
        <v>1.506568181818182</v>
      </c>
      <c r="AJ48" s="599">
        <f t="shared" si="11"/>
        <v>1.506568181818182</v>
      </c>
      <c r="AK48" s="599">
        <f t="shared" si="11"/>
        <v>1.506568181818182</v>
      </c>
      <c r="AL48" s="599">
        <f t="shared" si="11"/>
        <v>1.506568181818182</v>
      </c>
      <c r="AM48" s="599">
        <f t="shared" si="12"/>
        <v>1.506568181818182</v>
      </c>
      <c r="AN48" s="599">
        <f t="shared" si="12"/>
        <v>1.506568181818182</v>
      </c>
    </row>
    <row r="49" spans="1:40" x14ac:dyDescent="0.25">
      <c r="C49" s="15" t="s">
        <v>1067</v>
      </c>
      <c r="D49"/>
      <c r="E49" s="150">
        <f t="shared" ref="E49:AN49" si="14">SUM(E37:E48)</f>
        <v>16.57225</v>
      </c>
      <c r="F49" s="150">
        <f t="shared" si="14"/>
        <v>33.144500000000001</v>
      </c>
      <c r="G49" s="150">
        <f t="shared" si="14"/>
        <v>49.716750000000005</v>
      </c>
      <c r="H49" s="150">
        <f t="shared" si="14"/>
        <v>51.223318181818186</v>
      </c>
      <c r="I49" s="150">
        <f t="shared" si="14"/>
        <v>52.729886363636368</v>
      </c>
      <c r="J49" s="150">
        <f t="shared" si="14"/>
        <v>54.236454545454549</v>
      </c>
      <c r="K49" s="150">
        <f t="shared" si="14"/>
        <v>55.743022727272731</v>
      </c>
      <c r="L49" s="150">
        <f t="shared" si="14"/>
        <v>57.249590909090912</v>
      </c>
      <c r="M49" s="150">
        <f t="shared" si="14"/>
        <v>58.756159090909094</v>
      </c>
      <c r="N49" s="150">
        <f t="shared" si="14"/>
        <v>60.262727272727275</v>
      </c>
      <c r="O49" s="150">
        <f t="shared" si="14"/>
        <v>61.769295454545457</v>
      </c>
      <c r="P49" s="150">
        <f t="shared" si="14"/>
        <v>63.275863636363638</v>
      </c>
      <c r="Q49" s="150">
        <f t="shared" si="14"/>
        <v>48.210181818181823</v>
      </c>
      <c r="R49" s="150">
        <f t="shared" si="14"/>
        <v>33.144500000000001</v>
      </c>
      <c r="S49" s="150">
        <f t="shared" si="14"/>
        <v>18.078818181818182</v>
      </c>
      <c r="T49" s="150">
        <f t="shared" si="14"/>
        <v>18.078818181818182</v>
      </c>
      <c r="U49" s="150">
        <f t="shared" si="14"/>
        <v>18.078818181818182</v>
      </c>
      <c r="V49" s="150">
        <f t="shared" si="14"/>
        <v>18.078818181818182</v>
      </c>
      <c r="W49" s="150">
        <f t="shared" si="14"/>
        <v>18.078818181818182</v>
      </c>
      <c r="X49" s="150">
        <f t="shared" si="14"/>
        <v>18.078818181818182</v>
      </c>
      <c r="Y49" s="150">
        <f t="shared" si="14"/>
        <v>18.078818181818182</v>
      </c>
      <c r="Z49" s="150">
        <f t="shared" si="14"/>
        <v>18.078818181818182</v>
      </c>
      <c r="AA49" s="150">
        <f t="shared" si="14"/>
        <v>18.078818181818182</v>
      </c>
      <c r="AB49" s="150">
        <f t="shared" si="14"/>
        <v>18.078818181818182</v>
      </c>
      <c r="AC49" s="150">
        <f t="shared" si="14"/>
        <v>18.078818181818182</v>
      </c>
      <c r="AD49" s="150">
        <f t="shared" si="14"/>
        <v>18.078818181818182</v>
      </c>
      <c r="AE49" s="150">
        <f t="shared" si="14"/>
        <v>18.078818181818182</v>
      </c>
      <c r="AF49" s="150">
        <f t="shared" si="14"/>
        <v>18.078818181818182</v>
      </c>
      <c r="AG49" s="150">
        <f t="shared" si="14"/>
        <v>18.078818181818182</v>
      </c>
      <c r="AH49" s="150">
        <f t="shared" si="14"/>
        <v>18.078818181818182</v>
      </c>
      <c r="AI49" s="150">
        <f t="shared" si="14"/>
        <v>18.078818181818182</v>
      </c>
      <c r="AJ49" s="150">
        <f t="shared" si="14"/>
        <v>18.078818181818182</v>
      </c>
      <c r="AK49" s="150">
        <f t="shared" si="14"/>
        <v>18.078818181818182</v>
      </c>
      <c r="AL49" s="150">
        <f t="shared" si="14"/>
        <v>18.078818181818182</v>
      </c>
      <c r="AM49" s="150">
        <f t="shared" si="14"/>
        <v>18.078818181818182</v>
      </c>
      <c r="AN49" s="150">
        <f t="shared" si="14"/>
        <v>18.078818181818182</v>
      </c>
    </row>
    <row r="50" spans="1:40" x14ac:dyDescent="0.25">
      <c r="C50" s="15" t="s">
        <v>1068</v>
      </c>
      <c r="D50"/>
      <c r="E50" s="20"/>
      <c r="F50" s="596"/>
      <c r="G50" s="596"/>
      <c r="H50"/>
      <c r="I50"/>
      <c r="J50"/>
      <c r="K50"/>
      <c r="L50"/>
      <c r="M50"/>
      <c r="N50"/>
      <c r="O50"/>
      <c r="P50" s="596"/>
      <c r="Q50" s="150">
        <f>E49</f>
        <v>16.57225</v>
      </c>
      <c r="R50" s="150">
        <f t="shared" ref="R50:AN51" si="15">F49</f>
        <v>33.144500000000001</v>
      </c>
      <c r="S50" s="150">
        <f t="shared" si="15"/>
        <v>49.716750000000005</v>
      </c>
      <c r="T50" s="150">
        <f t="shared" si="15"/>
        <v>51.223318181818186</v>
      </c>
      <c r="U50" s="150">
        <f t="shared" si="15"/>
        <v>52.729886363636368</v>
      </c>
      <c r="V50" s="150">
        <f t="shared" si="15"/>
        <v>54.236454545454549</v>
      </c>
      <c r="W50" s="150">
        <f t="shared" si="15"/>
        <v>55.743022727272731</v>
      </c>
      <c r="X50" s="150">
        <f t="shared" si="15"/>
        <v>57.249590909090912</v>
      </c>
      <c r="Y50" s="150">
        <f t="shared" si="15"/>
        <v>58.756159090909094</v>
      </c>
      <c r="Z50" s="150">
        <f t="shared" si="15"/>
        <v>60.262727272727275</v>
      </c>
      <c r="AA50" s="150">
        <f t="shared" si="15"/>
        <v>61.769295454545457</v>
      </c>
      <c r="AB50" s="150">
        <f t="shared" si="15"/>
        <v>63.275863636363638</v>
      </c>
      <c r="AC50" s="150">
        <f t="shared" si="15"/>
        <v>48.210181818181823</v>
      </c>
      <c r="AD50" s="150">
        <f t="shared" si="15"/>
        <v>33.144500000000001</v>
      </c>
      <c r="AE50" s="150">
        <f t="shared" si="15"/>
        <v>18.078818181818182</v>
      </c>
      <c r="AF50" s="150">
        <f t="shared" si="15"/>
        <v>18.078818181818182</v>
      </c>
      <c r="AG50" s="150">
        <f t="shared" si="15"/>
        <v>18.078818181818182</v>
      </c>
      <c r="AH50" s="150">
        <f t="shared" si="15"/>
        <v>18.078818181818182</v>
      </c>
      <c r="AI50" s="150">
        <f t="shared" si="15"/>
        <v>18.078818181818182</v>
      </c>
      <c r="AJ50" s="150">
        <f t="shared" si="15"/>
        <v>18.078818181818182</v>
      </c>
      <c r="AK50" s="150">
        <f t="shared" si="15"/>
        <v>18.078818181818182</v>
      </c>
      <c r="AL50" s="150">
        <f t="shared" si="15"/>
        <v>18.078818181818182</v>
      </c>
      <c r="AM50" s="150">
        <f t="shared" si="15"/>
        <v>18.078818181818182</v>
      </c>
      <c r="AN50" s="150">
        <f t="shared" si="15"/>
        <v>18.078818181818182</v>
      </c>
    </row>
    <row r="51" spans="1:40" x14ac:dyDescent="0.25">
      <c r="C51" s="15" t="s">
        <v>1069</v>
      </c>
      <c r="D51"/>
      <c r="E51" s="597"/>
      <c r="F51" s="599"/>
      <c r="G51" s="599"/>
      <c r="H51" s="600"/>
      <c r="I51" s="600"/>
      <c r="J51" s="600"/>
      <c r="K51" s="600"/>
      <c r="L51" s="600"/>
      <c r="M51" s="600"/>
      <c r="N51" s="600"/>
      <c r="O51" s="600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99"/>
      <c r="AB51" s="600"/>
      <c r="AC51" s="601">
        <f t="shared" si="15"/>
        <v>16.57225</v>
      </c>
      <c r="AD51" s="601">
        <f t="shared" si="15"/>
        <v>33.144500000000001</v>
      </c>
      <c r="AE51" s="601">
        <f t="shared" si="15"/>
        <v>49.716750000000005</v>
      </c>
      <c r="AF51" s="601">
        <f t="shared" si="15"/>
        <v>51.223318181818186</v>
      </c>
      <c r="AG51" s="601">
        <f t="shared" si="15"/>
        <v>52.729886363636368</v>
      </c>
      <c r="AH51" s="601">
        <f t="shared" si="15"/>
        <v>54.236454545454549</v>
      </c>
      <c r="AI51" s="601">
        <f t="shared" si="15"/>
        <v>55.743022727272731</v>
      </c>
      <c r="AJ51" s="601">
        <f t="shared" si="15"/>
        <v>57.249590909090912</v>
      </c>
      <c r="AK51" s="601">
        <f t="shared" si="15"/>
        <v>58.756159090909094</v>
      </c>
      <c r="AL51" s="601">
        <f t="shared" si="15"/>
        <v>60.262727272727275</v>
      </c>
      <c r="AM51" s="601">
        <f t="shared" si="15"/>
        <v>61.769295454545457</v>
      </c>
      <c r="AN51" s="601">
        <f t="shared" si="15"/>
        <v>63.275863636363638</v>
      </c>
    </row>
    <row r="52" spans="1:40" x14ac:dyDescent="0.25">
      <c r="C52" s="15" t="s">
        <v>1059</v>
      </c>
      <c r="D52"/>
      <c r="E52" s="150">
        <f>SUM(E49:E51)</f>
        <v>16.57225</v>
      </c>
      <c r="F52" s="150">
        <f t="shared" ref="F52:AN52" si="16">SUM(F49:F51)</f>
        <v>33.144500000000001</v>
      </c>
      <c r="G52" s="150">
        <f t="shared" si="16"/>
        <v>49.716750000000005</v>
      </c>
      <c r="H52" s="150">
        <f t="shared" si="16"/>
        <v>51.223318181818186</v>
      </c>
      <c r="I52" s="150">
        <f t="shared" si="16"/>
        <v>52.729886363636368</v>
      </c>
      <c r="J52" s="150">
        <f t="shared" si="16"/>
        <v>54.236454545454549</v>
      </c>
      <c r="K52" s="150">
        <f t="shared" si="16"/>
        <v>55.743022727272731</v>
      </c>
      <c r="L52" s="150">
        <f t="shared" si="16"/>
        <v>57.249590909090912</v>
      </c>
      <c r="M52" s="150">
        <f t="shared" si="16"/>
        <v>58.756159090909094</v>
      </c>
      <c r="N52" s="150">
        <f t="shared" si="16"/>
        <v>60.262727272727275</v>
      </c>
      <c r="O52" s="150">
        <f t="shared" si="16"/>
        <v>61.769295454545457</v>
      </c>
      <c r="P52" s="150">
        <f t="shared" si="16"/>
        <v>63.275863636363638</v>
      </c>
      <c r="Q52" s="150">
        <f t="shared" si="16"/>
        <v>64.78243181818182</v>
      </c>
      <c r="R52" s="150">
        <f t="shared" si="16"/>
        <v>66.289000000000001</v>
      </c>
      <c r="S52" s="150">
        <f t="shared" si="16"/>
        <v>67.795568181818183</v>
      </c>
      <c r="T52" s="150">
        <f t="shared" si="16"/>
        <v>69.302136363636365</v>
      </c>
      <c r="U52" s="150">
        <f t="shared" si="16"/>
        <v>70.808704545454546</v>
      </c>
      <c r="V52" s="150">
        <f t="shared" si="16"/>
        <v>72.315272727272728</v>
      </c>
      <c r="W52" s="150">
        <f t="shared" si="16"/>
        <v>73.821840909090909</v>
      </c>
      <c r="X52" s="150">
        <f t="shared" si="16"/>
        <v>75.328409090909091</v>
      </c>
      <c r="Y52" s="150">
        <f t="shared" si="16"/>
        <v>76.834977272727272</v>
      </c>
      <c r="Z52" s="150">
        <f t="shared" si="16"/>
        <v>78.341545454545454</v>
      </c>
      <c r="AA52" s="150">
        <f t="shared" si="16"/>
        <v>79.848113636363635</v>
      </c>
      <c r="AB52" s="150">
        <f t="shared" si="16"/>
        <v>81.354681818181817</v>
      </c>
      <c r="AC52" s="150">
        <f t="shared" si="16"/>
        <v>82.861249999999998</v>
      </c>
      <c r="AD52" s="150">
        <f t="shared" si="16"/>
        <v>84.367818181818194</v>
      </c>
      <c r="AE52" s="150">
        <f t="shared" si="16"/>
        <v>85.874386363636376</v>
      </c>
      <c r="AF52" s="150">
        <f t="shared" si="16"/>
        <v>87.380954545454557</v>
      </c>
      <c r="AG52" s="150">
        <f t="shared" si="16"/>
        <v>88.887522727272739</v>
      </c>
      <c r="AH52" s="150">
        <f t="shared" si="16"/>
        <v>90.39409090909092</v>
      </c>
      <c r="AI52" s="150">
        <f t="shared" si="16"/>
        <v>91.900659090909102</v>
      </c>
      <c r="AJ52" s="150">
        <f t="shared" si="16"/>
        <v>93.407227272727283</v>
      </c>
      <c r="AK52" s="150">
        <f t="shared" si="16"/>
        <v>94.913795454545465</v>
      </c>
      <c r="AL52" s="150">
        <f t="shared" si="16"/>
        <v>96.420363636363646</v>
      </c>
      <c r="AM52" s="150">
        <f t="shared" si="16"/>
        <v>97.926931818181828</v>
      </c>
      <c r="AN52" s="150">
        <f t="shared" si="16"/>
        <v>99.433500000000009</v>
      </c>
    </row>
    <row r="53" spans="1:40" x14ac:dyDescent="0.25">
      <c r="C53" s="15"/>
      <c r="D53"/>
      <c r="E53" s="20"/>
      <c r="F53" s="596"/>
      <c r="G53" s="596"/>
      <c r="H53"/>
      <c r="I53"/>
      <c r="J53"/>
      <c r="K53"/>
      <c r="L53"/>
      <c r="M53"/>
      <c r="N53"/>
      <c r="O53"/>
      <c r="P53" s="596"/>
      <c r="Q53" s="596"/>
      <c r="R53" s="596"/>
      <c r="S53" s="596"/>
      <c r="T53" s="596"/>
      <c r="U53" s="596"/>
      <c r="V53" s="596"/>
      <c r="W53" s="596"/>
      <c r="X53" s="596"/>
      <c r="Y53" s="596"/>
      <c r="Z53" s="596"/>
      <c r="AA53" s="596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x14ac:dyDescent="0.25">
      <c r="C54"/>
      <c r="D54"/>
      <c r="E54" t="s">
        <v>1060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5">
      <c r="C55" s="17"/>
      <c r="D55"/>
      <c r="E55" s="37">
        <v>2001</v>
      </c>
      <c r="F55" s="37">
        <f>E55+1</f>
        <v>2002</v>
      </c>
      <c r="G55" s="37">
        <f t="shared" ref="G55:X55" si="17">F55+1</f>
        <v>2003</v>
      </c>
      <c r="H55" s="37">
        <f t="shared" si="17"/>
        <v>2004</v>
      </c>
      <c r="I55" s="37">
        <f t="shared" si="17"/>
        <v>2005</v>
      </c>
      <c r="J55" s="37">
        <f t="shared" si="17"/>
        <v>2006</v>
      </c>
      <c r="K55" s="37">
        <f t="shared" si="17"/>
        <v>2007</v>
      </c>
      <c r="L55" s="37">
        <f t="shared" si="17"/>
        <v>2008</v>
      </c>
      <c r="M55" s="37">
        <f t="shared" si="17"/>
        <v>2009</v>
      </c>
      <c r="N55" s="37">
        <f t="shared" si="17"/>
        <v>2010</v>
      </c>
      <c r="O55" s="37">
        <f t="shared" si="17"/>
        <v>2011</v>
      </c>
      <c r="P55" s="37">
        <f t="shared" si="17"/>
        <v>2012</v>
      </c>
      <c r="Q55" s="37">
        <f t="shared" si="17"/>
        <v>2013</v>
      </c>
      <c r="R55" s="37">
        <f t="shared" si="17"/>
        <v>2014</v>
      </c>
      <c r="S55" s="37">
        <f t="shared" si="17"/>
        <v>2015</v>
      </c>
      <c r="T55" s="37">
        <f t="shared" si="17"/>
        <v>2016</v>
      </c>
      <c r="U55" s="37">
        <f t="shared" si="17"/>
        <v>2017</v>
      </c>
      <c r="V55" s="37">
        <f t="shared" si="17"/>
        <v>2018</v>
      </c>
      <c r="W55" s="37">
        <f t="shared" si="17"/>
        <v>2019</v>
      </c>
      <c r="X55" s="37">
        <f t="shared" si="17"/>
        <v>2020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 x14ac:dyDescent="0.25">
      <c r="C57" s="15" t="s">
        <v>382</v>
      </c>
      <c r="D57"/>
      <c r="E57" s="596">
        <f>SUM(E35:P35)</f>
        <v>624.27272727272748</v>
      </c>
      <c r="F57" s="596">
        <f>SUM(Q35:AB35)</f>
        <v>178.36363636363646</v>
      </c>
      <c r="G57" s="596">
        <f>SUM(AC35:AN35)</f>
        <v>178.36363636363646</v>
      </c>
      <c r="H57" s="596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 x14ac:dyDescent="0.25">
      <c r="C58" s="15" t="s">
        <v>1061</v>
      </c>
      <c r="D58"/>
      <c r="E58" s="599">
        <f>SUM(E52:P52)</f>
        <v>614.67981818181818</v>
      </c>
      <c r="F58" s="599">
        <f>SUM(Q52:AB52)</f>
        <v>876.82268181818188</v>
      </c>
      <c r="G58" s="599">
        <f>SUM(AC52:AN52)</f>
        <v>1093.7685000000001</v>
      </c>
      <c r="H58" s="599">
        <f>G58</f>
        <v>1093.7685000000001</v>
      </c>
      <c r="I58" s="599">
        <f t="shared" ref="I58:X58" si="18">H58</f>
        <v>1093.7685000000001</v>
      </c>
      <c r="J58" s="599">
        <f t="shared" si="18"/>
        <v>1093.7685000000001</v>
      </c>
      <c r="K58" s="599">
        <f t="shared" si="18"/>
        <v>1093.7685000000001</v>
      </c>
      <c r="L58" s="599">
        <f t="shared" si="18"/>
        <v>1093.7685000000001</v>
      </c>
      <c r="M58" s="599">
        <f t="shared" si="18"/>
        <v>1093.7685000000001</v>
      </c>
      <c r="N58" s="599">
        <f t="shared" si="18"/>
        <v>1093.7685000000001</v>
      </c>
      <c r="O58" s="599">
        <f t="shared" si="18"/>
        <v>1093.7685000000001</v>
      </c>
      <c r="P58" s="599">
        <f t="shared" si="18"/>
        <v>1093.7685000000001</v>
      </c>
      <c r="Q58" s="599">
        <f t="shared" si="18"/>
        <v>1093.7685000000001</v>
      </c>
      <c r="R58" s="599">
        <f t="shared" si="18"/>
        <v>1093.7685000000001</v>
      </c>
      <c r="S58" s="599">
        <f t="shared" si="18"/>
        <v>1093.7685000000001</v>
      </c>
      <c r="T58" s="599">
        <f t="shared" si="18"/>
        <v>1093.7685000000001</v>
      </c>
      <c r="U58" s="599">
        <f t="shared" si="18"/>
        <v>1093.7685000000001</v>
      </c>
      <c r="V58" s="599">
        <f t="shared" si="18"/>
        <v>1093.7685000000001</v>
      </c>
      <c r="W58" s="599">
        <f t="shared" si="18"/>
        <v>1093.7685000000001</v>
      </c>
      <c r="X58" s="599">
        <f t="shared" si="18"/>
        <v>1093.7685000000001</v>
      </c>
      <c r="Y58" s="596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x14ac:dyDescent="0.25">
      <c r="C59" s="1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x14ac:dyDescent="0.25">
      <c r="C60" s="17" t="s">
        <v>1062</v>
      </c>
      <c r="D60"/>
      <c r="E60" s="596">
        <f>E57+E58</f>
        <v>1238.9525454545455</v>
      </c>
      <c r="F60" s="596">
        <f t="shared" ref="F60:X60" si="19">F57+F58</f>
        <v>1055.1863181818183</v>
      </c>
      <c r="G60" s="596">
        <f t="shared" si="19"/>
        <v>1272.1321363636366</v>
      </c>
      <c r="H60" s="596">
        <f t="shared" si="19"/>
        <v>1093.7685000000001</v>
      </c>
      <c r="I60" s="596">
        <f t="shared" si="19"/>
        <v>1093.7685000000001</v>
      </c>
      <c r="J60" s="596">
        <f t="shared" si="19"/>
        <v>1093.7685000000001</v>
      </c>
      <c r="K60" s="596">
        <f t="shared" si="19"/>
        <v>1093.7685000000001</v>
      </c>
      <c r="L60" s="596">
        <f t="shared" si="19"/>
        <v>1093.7685000000001</v>
      </c>
      <c r="M60" s="596">
        <f t="shared" si="19"/>
        <v>1093.7685000000001</v>
      </c>
      <c r="N60" s="596">
        <f t="shared" si="19"/>
        <v>1093.7685000000001</v>
      </c>
      <c r="O60" s="596">
        <f t="shared" si="19"/>
        <v>1093.7685000000001</v>
      </c>
      <c r="P60" s="596">
        <f t="shared" si="19"/>
        <v>1093.7685000000001</v>
      </c>
      <c r="Q60" s="596">
        <f t="shared" si="19"/>
        <v>1093.7685000000001</v>
      </c>
      <c r="R60" s="596">
        <f t="shared" si="19"/>
        <v>1093.7685000000001</v>
      </c>
      <c r="S60" s="596">
        <f t="shared" si="19"/>
        <v>1093.7685000000001</v>
      </c>
      <c r="T60" s="596">
        <f t="shared" si="19"/>
        <v>1093.7685000000001</v>
      </c>
      <c r="U60" s="596">
        <f t="shared" si="19"/>
        <v>1093.7685000000001</v>
      </c>
      <c r="V60" s="596">
        <f t="shared" si="19"/>
        <v>1093.7685000000001</v>
      </c>
      <c r="W60" s="596">
        <f t="shared" si="19"/>
        <v>1093.7685000000001</v>
      </c>
      <c r="X60" s="596">
        <f t="shared" si="19"/>
        <v>1093.7685000000001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 ht="13.8" thickBot="1" x14ac:dyDescent="0.3">
      <c r="A61" s="18"/>
      <c r="B61" s="18"/>
      <c r="C61" s="4"/>
      <c r="D61" s="557"/>
      <c r="E61" s="606"/>
      <c r="F61" s="606"/>
      <c r="G61" s="606"/>
      <c r="H61" s="606"/>
      <c r="I61" s="606"/>
      <c r="J61" s="606"/>
      <c r="K61" s="606"/>
      <c r="L61" s="606"/>
      <c r="M61" s="606"/>
      <c r="N61" s="606"/>
      <c r="O61" s="606"/>
      <c r="P61" s="606"/>
      <c r="Q61" s="606"/>
      <c r="R61" s="606"/>
      <c r="S61" s="606"/>
      <c r="T61" s="606"/>
      <c r="U61" s="606"/>
      <c r="V61" s="606"/>
      <c r="W61" s="606"/>
      <c r="X61" s="606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 x14ac:dyDescent="0.25">
      <c r="A62" s="15"/>
      <c r="B62" s="15"/>
      <c r="C62" s="17"/>
      <c r="D62" s="607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 x14ac:dyDescent="0.25">
      <c r="B63" s="17" t="s">
        <v>1075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 x14ac:dyDescent="0.25">
      <c r="C64" t="s">
        <v>1063</v>
      </c>
      <c r="D64"/>
      <c r="E64" s="602">
        <v>0</v>
      </c>
      <c r="F64" s="603">
        <f>E67</f>
        <v>935.24945454545468</v>
      </c>
      <c r="G64" s="603">
        <f t="shared" ref="G64:X64" si="20">F67</f>
        <v>3247.4671363636371</v>
      </c>
      <c r="H64" s="603">
        <f t="shared" si="20"/>
        <v>3168.5370000000007</v>
      </c>
      <c r="I64" s="603">
        <f t="shared" si="20"/>
        <v>3267.9705000000004</v>
      </c>
      <c r="J64" s="603">
        <f t="shared" si="20"/>
        <v>3367.4040000000005</v>
      </c>
      <c r="K64" s="603">
        <f t="shared" si="20"/>
        <v>3466.8375000000005</v>
      </c>
      <c r="L64" s="603">
        <f t="shared" si="20"/>
        <v>3566.2710000000006</v>
      </c>
      <c r="M64" s="603">
        <f t="shared" si="20"/>
        <v>3665.7045000000007</v>
      </c>
      <c r="N64" s="603">
        <f t="shared" si="20"/>
        <v>3765.1380000000008</v>
      </c>
      <c r="O64" s="603">
        <f t="shared" si="20"/>
        <v>3864.5715000000009</v>
      </c>
      <c r="P64" s="603">
        <f t="shared" si="20"/>
        <v>3964.005000000001</v>
      </c>
      <c r="Q64" s="603">
        <f t="shared" si="20"/>
        <v>4063.4385000000011</v>
      </c>
      <c r="R64" s="603">
        <f t="shared" si="20"/>
        <v>4162.8720000000012</v>
      </c>
      <c r="S64" s="603">
        <f t="shared" si="20"/>
        <v>4262.3055000000013</v>
      </c>
      <c r="T64" s="603">
        <f t="shared" si="20"/>
        <v>4361.7390000000014</v>
      </c>
      <c r="U64" s="603">
        <f t="shared" si="20"/>
        <v>4461.1725000000015</v>
      </c>
      <c r="V64" s="603">
        <f t="shared" si="20"/>
        <v>4560.6060000000016</v>
      </c>
      <c r="W64" s="603">
        <f t="shared" si="20"/>
        <v>4660.0395000000017</v>
      </c>
      <c r="X64" s="603">
        <f t="shared" si="20"/>
        <v>4759.4730000000018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r="65" spans="3:40" x14ac:dyDescent="0.25">
      <c r="C65" t="s">
        <v>1077</v>
      </c>
      <c r="D65"/>
      <c r="E65" s="494">
        <f>E28</f>
        <v>2174.2020000000002</v>
      </c>
      <c r="F65" s="494">
        <f t="shared" ref="F65:X65" si="21">F28</f>
        <v>3367.4040000000005</v>
      </c>
      <c r="G65" s="494">
        <f t="shared" si="21"/>
        <v>1193.202</v>
      </c>
      <c r="H65" s="494">
        <f t="shared" si="21"/>
        <v>1193.202</v>
      </c>
      <c r="I65" s="494">
        <f t="shared" si="21"/>
        <v>1193.202</v>
      </c>
      <c r="J65" s="494">
        <f t="shared" si="21"/>
        <v>1193.202</v>
      </c>
      <c r="K65" s="494">
        <f t="shared" si="21"/>
        <v>1193.202</v>
      </c>
      <c r="L65" s="494">
        <f t="shared" si="21"/>
        <v>1193.202</v>
      </c>
      <c r="M65" s="494">
        <f t="shared" si="21"/>
        <v>1193.202</v>
      </c>
      <c r="N65" s="494">
        <f t="shared" si="21"/>
        <v>1193.202</v>
      </c>
      <c r="O65" s="494">
        <f t="shared" si="21"/>
        <v>1193.202</v>
      </c>
      <c r="P65" s="494">
        <f t="shared" si="21"/>
        <v>1193.202</v>
      </c>
      <c r="Q65" s="494">
        <f t="shared" si="21"/>
        <v>1193.202</v>
      </c>
      <c r="R65" s="494">
        <f t="shared" si="21"/>
        <v>1193.202</v>
      </c>
      <c r="S65" s="494">
        <f t="shared" si="21"/>
        <v>1193.202</v>
      </c>
      <c r="T65" s="494">
        <f t="shared" si="21"/>
        <v>1193.202</v>
      </c>
      <c r="U65" s="494">
        <f t="shared" si="21"/>
        <v>1193.202</v>
      </c>
      <c r="V65" s="494">
        <f t="shared" si="21"/>
        <v>1193.202</v>
      </c>
      <c r="W65" s="494">
        <f t="shared" si="21"/>
        <v>1193.202</v>
      </c>
      <c r="X65" s="494">
        <f t="shared" si="21"/>
        <v>1193.202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r="66" spans="3:40" x14ac:dyDescent="0.25">
      <c r="C66" t="s">
        <v>1073</v>
      </c>
      <c r="D66"/>
      <c r="E66" s="605">
        <f>E60</f>
        <v>1238.9525454545455</v>
      </c>
      <c r="F66" s="605">
        <f t="shared" ref="F66:X66" si="22">F60</f>
        <v>1055.1863181818183</v>
      </c>
      <c r="G66" s="605">
        <f t="shared" si="22"/>
        <v>1272.1321363636366</v>
      </c>
      <c r="H66" s="605">
        <f t="shared" si="22"/>
        <v>1093.7685000000001</v>
      </c>
      <c r="I66" s="605">
        <f t="shared" si="22"/>
        <v>1093.7685000000001</v>
      </c>
      <c r="J66" s="605">
        <f t="shared" si="22"/>
        <v>1093.7685000000001</v>
      </c>
      <c r="K66" s="605">
        <f t="shared" si="22"/>
        <v>1093.7685000000001</v>
      </c>
      <c r="L66" s="605">
        <f t="shared" si="22"/>
        <v>1093.7685000000001</v>
      </c>
      <c r="M66" s="605">
        <f t="shared" si="22"/>
        <v>1093.7685000000001</v>
      </c>
      <c r="N66" s="605">
        <f t="shared" si="22"/>
        <v>1093.7685000000001</v>
      </c>
      <c r="O66" s="605">
        <f t="shared" si="22"/>
        <v>1093.7685000000001</v>
      </c>
      <c r="P66" s="605">
        <f t="shared" si="22"/>
        <v>1093.7685000000001</v>
      </c>
      <c r="Q66" s="605">
        <f t="shared" si="22"/>
        <v>1093.7685000000001</v>
      </c>
      <c r="R66" s="605">
        <f t="shared" si="22"/>
        <v>1093.7685000000001</v>
      </c>
      <c r="S66" s="605">
        <f t="shared" si="22"/>
        <v>1093.7685000000001</v>
      </c>
      <c r="T66" s="605">
        <f t="shared" si="22"/>
        <v>1093.7685000000001</v>
      </c>
      <c r="U66" s="605">
        <f t="shared" si="22"/>
        <v>1093.7685000000001</v>
      </c>
      <c r="V66" s="605">
        <f t="shared" si="22"/>
        <v>1093.7685000000001</v>
      </c>
      <c r="W66" s="605">
        <f t="shared" si="22"/>
        <v>1093.7685000000001</v>
      </c>
      <c r="X66" s="605">
        <f t="shared" si="22"/>
        <v>1093.7685000000001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r="67" spans="3:40" x14ac:dyDescent="0.25">
      <c r="C67" t="s">
        <v>1064</v>
      </c>
      <c r="D67"/>
      <c r="E67" s="602">
        <f>E64+E65-E66</f>
        <v>935.24945454545468</v>
      </c>
      <c r="F67" s="602">
        <f>F64+F65-F66</f>
        <v>3247.4671363636371</v>
      </c>
      <c r="G67" s="602">
        <f t="shared" ref="G67:X67" si="23">G64+G65-G66</f>
        <v>3168.5370000000007</v>
      </c>
      <c r="H67" s="602">
        <f t="shared" si="23"/>
        <v>3267.9705000000004</v>
      </c>
      <c r="I67" s="602">
        <f t="shared" si="23"/>
        <v>3367.4040000000005</v>
      </c>
      <c r="J67" s="602">
        <f t="shared" si="23"/>
        <v>3466.8375000000005</v>
      </c>
      <c r="K67" s="602">
        <f t="shared" si="23"/>
        <v>3566.2710000000006</v>
      </c>
      <c r="L67" s="602">
        <f t="shared" si="23"/>
        <v>3665.7045000000007</v>
      </c>
      <c r="M67" s="602">
        <f t="shared" si="23"/>
        <v>3765.1380000000008</v>
      </c>
      <c r="N67" s="602">
        <f t="shared" si="23"/>
        <v>3864.5715000000009</v>
      </c>
      <c r="O67" s="602">
        <f t="shared" si="23"/>
        <v>3964.005000000001</v>
      </c>
      <c r="P67" s="602">
        <f t="shared" si="23"/>
        <v>4063.4385000000011</v>
      </c>
      <c r="Q67" s="602">
        <f t="shared" si="23"/>
        <v>4162.8720000000012</v>
      </c>
      <c r="R67" s="602">
        <f t="shared" si="23"/>
        <v>4262.3055000000013</v>
      </c>
      <c r="S67" s="602">
        <f t="shared" si="23"/>
        <v>4361.7390000000014</v>
      </c>
      <c r="T67" s="602">
        <f t="shared" si="23"/>
        <v>4461.1725000000015</v>
      </c>
      <c r="U67" s="602">
        <f t="shared" si="23"/>
        <v>4560.6060000000016</v>
      </c>
      <c r="V67" s="602">
        <f t="shared" si="23"/>
        <v>4660.0395000000017</v>
      </c>
      <c r="W67" s="602">
        <f t="shared" si="23"/>
        <v>4759.4730000000018</v>
      </c>
      <c r="X67" s="602">
        <f t="shared" si="23"/>
        <v>4858.9065000000019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r="68" spans="3:40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r="69" spans="3:40" x14ac:dyDescent="0.25">
      <c r="C69" t="s">
        <v>1076</v>
      </c>
      <c r="D69"/>
      <c r="E69" s="603">
        <f>E67</f>
        <v>935.24945454545468</v>
      </c>
      <c r="F69" s="603">
        <f>F67-E67</f>
        <v>2312.2176818181824</v>
      </c>
      <c r="G69" s="603">
        <f t="shared" ref="G69:X69" si="24">G67-F67</f>
        <v>-78.930136363636393</v>
      </c>
      <c r="H69" s="603">
        <f t="shared" si="24"/>
        <v>99.43349999999964</v>
      </c>
      <c r="I69" s="603">
        <f t="shared" si="24"/>
        <v>99.433500000000095</v>
      </c>
      <c r="J69" s="603">
        <f t="shared" si="24"/>
        <v>99.433500000000095</v>
      </c>
      <c r="K69" s="603">
        <f t="shared" si="24"/>
        <v>99.433500000000095</v>
      </c>
      <c r="L69" s="603">
        <f t="shared" si="24"/>
        <v>99.433500000000095</v>
      </c>
      <c r="M69" s="603">
        <f t="shared" si="24"/>
        <v>99.433500000000095</v>
      </c>
      <c r="N69" s="603">
        <f t="shared" si="24"/>
        <v>99.433500000000095</v>
      </c>
      <c r="O69" s="603">
        <f t="shared" si="24"/>
        <v>99.433500000000095</v>
      </c>
      <c r="P69" s="603">
        <f t="shared" si="24"/>
        <v>99.433500000000095</v>
      </c>
      <c r="Q69" s="603">
        <f t="shared" si="24"/>
        <v>99.433500000000095</v>
      </c>
      <c r="R69" s="603">
        <f t="shared" si="24"/>
        <v>99.433500000000095</v>
      </c>
      <c r="S69" s="603">
        <f t="shared" si="24"/>
        <v>99.433500000000095</v>
      </c>
      <c r="T69" s="603">
        <f t="shared" si="24"/>
        <v>99.433500000000095</v>
      </c>
      <c r="U69" s="603">
        <f t="shared" si="24"/>
        <v>99.433500000000095</v>
      </c>
      <c r="V69" s="603">
        <f t="shared" si="24"/>
        <v>99.433500000000095</v>
      </c>
      <c r="W69" s="603">
        <f t="shared" si="24"/>
        <v>99.433500000000095</v>
      </c>
      <c r="X69" s="603">
        <f t="shared" si="24"/>
        <v>99.433500000000095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r="70" spans="3:40" x14ac:dyDescent="0.25">
      <c r="C70"/>
      <c r="D70"/>
      <c r="E70"/>
      <c r="F70" s="60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r="71" spans="3:40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r="72" spans="3:40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3:40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3:40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r="75" spans="3:40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r="76" spans="3:40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3:40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r="78" spans="3:40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</sheetData>
  <customSheetViews>
    <customSheetView guid="{00A591F2-C6CE-11D4-B3FE-00409628F381}" scale="75" showPageBreaks="1" fitToPage="1" showRuler="0">
      <pane xSplit="3" ySplit="5" topLeftCell="D32" activePane="bottomRight" state="frozen"/>
      <selection pane="bottomRight" activeCell="F66" sqref="F66"/>
      <pageMargins left="0.5" right="0.5" top="0.5" bottom="0.55000000000000004" header="0.5" footer="0.4"/>
      <printOptions horizontalCentered="1"/>
      <pageSetup paperSize="5" scale="42" orientation="landscape" r:id="rId1"/>
      <headerFooter alignWithMargins="0">
        <oddFooter>&amp;C&amp;"Times New Roman,Regular"&amp;8&amp;F</oddFooter>
      </headerFooter>
    </customSheetView>
    <customSheetView guid="{39AEF1F3-C6CC-11D4-B3CC-0080C71F7D28}" scale="75" fitToPage="1" showRuler="0">
      <pane xSplit="3" ySplit="5" topLeftCell="D32" activePane="bottomRight" state="frozen"/>
      <selection pane="bottomRight" activeCell="F66" sqref="F66"/>
      <pageMargins left="0.5" right="0.5" top="0.5" bottom="0.55000000000000004" header="0.5" footer="0.4"/>
      <printOptions horizontalCentered="1"/>
      <pageSetup paperSize="5" scale="58" orientation="landscape" r:id="rId2"/>
      <headerFooter alignWithMargins="0">
        <oddFooter>&amp;C&amp;"Times New Roman,Regular"&amp;8&amp;F</oddFooter>
      </headerFooter>
    </customSheetView>
  </customSheetViews>
  <printOptions horizontalCentered="1"/>
  <pageMargins left="0.5" right="0.5" top="0.5" bottom="0.55000000000000004" header="0.5" footer="0.4"/>
  <pageSetup paperSize="5" scale="42" orientation="landscape" r:id="rId3"/>
  <headerFooter alignWithMargins="0">
    <oddFooter>&amp;C&amp;"Times New Roman,Regular"&amp;8&amp;F</oddFooter>
  </headerFooter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Z47"/>
  <sheetViews>
    <sheetView zoomScale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3" sqref="E13"/>
    </sheetView>
  </sheetViews>
  <sheetFormatPr defaultColWidth="9.109375" defaultRowHeight="13.2" x14ac:dyDescent="0.25"/>
  <cols>
    <col min="1" max="2" width="2.6640625" style="144" customWidth="1"/>
    <col min="3" max="3" width="43.33203125" style="144" customWidth="1"/>
    <col min="4" max="4" width="4" style="144" customWidth="1"/>
    <col min="5" max="24" width="10.6640625" style="144" customWidth="1"/>
    <col min="25" max="25" width="6" style="33" customWidth="1"/>
    <col min="26" max="26" width="27.5546875" style="33" customWidth="1"/>
    <col min="27" max="16384" width="9.109375" style="144"/>
  </cols>
  <sheetData>
    <row r="1" spans="1:26" x14ac:dyDescent="0.25">
      <c r="A1" s="143" t="s">
        <v>172</v>
      </c>
      <c r="B1" s="380"/>
      <c r="C1" s="380"/>
    </row>
    <row r="2" spans="1:26" ht="13.8" thickBot="1" x14ac:dyDescent="0.3"/>
    <row r="3" spans="1:26" x14ac:dyDescent="0.25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1:26" x14ac:dyDescent="0.25">
      <c r="A4" s="383"/>
      <c r="B4" s="384"/>
      <c r="C4" s="33"/>
      <c r="D4" s="33"/>
      <c r="E4" s="149">
        <v>2001</v>
      </c>
      <c r="F4" s="149">
        <v>2002</v>
      </c>
      <c r="G4" s="149">
        <v>2003</v>
      </c>
      <c r="H4" s="149">
        <v>2004</v>
      </c>
      <c r="I4" s="149">
        <v>2005</v>
      </c>
      <c r="J4" s="149">
        <v>2006</v>
      </c>
      <c r="K4" s="149">
        <v>2007</v>
      </c>
      <c r="L4" s="149">
        <v>2008</v>
      </c>
      <c r="M4" s="149">
        <v>2009</v>
      </c>
      <c r="N4" s="149">
        <v>2010</v>
      </c>
      <c r="O4" s="149">
        <v>2011</v>
      </c>
      <c r="P4" s="149">
        <v>2012</v>
      </c>
      <c r="Q4" s="149">
        <v>2013</v>
      </c>
      <c r="R4" s="149">
        <v>2014</v>
      </c>
      <c r="S4" s="149">
        <v>2015</v>
      </c>
      <c r="T4" s="149">
        <v>2016</v>
      </c>
      <c r="U4" s="149">
        <v>2017</v>
      </c>
      <c r="V4" s="149">
        <v>2018</v>
      </c>
      <c r="W4" s="149">
        <v>2019</v>
      </c>
      <c r="X4" s="149">
        <v>2020</v>
      </c>
      <c r="Z4" s="444"/>
    </row>
    <row r="5" spans="1:26" x14ac:dyDescent="0.25">
      <c r="A5" s="38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6" x14ac:dyDescent="0.25">
      <c r="A6" s="383"/>
      <c r="B6" s="173"/>
      <c r="C6" s="170" t="s">
        <v>161</v>
      </c>
      <c r="D6" s="170"/>
      <c r="E6" s="153">
        <f>Assumptions!F34</f>
        <v>464634.8080618371</v>
      </c>
      <c r="F6" s="153">
        <f>Assumptions!G34</f>
        <v>2354253.1450969223</v>
      </c>
      <c r="G6" s="153">
        <f>Assumptions!H34</f>
        <v>9276923.0337051321</v>
      </c>
      <c r="H6" s="153">
        <f>Assumptions!I34</f>
        <v>32420183.500427719</v>
      </c>
      <c r="I6" s="153">
        <f>Assumptions!J34</f>
        <v>68099485.242972583</v>
      </c>
      <c r="J6" s="153">
        <f>Assumptions!K34</f>
        <v>108310876.42313455</v>
      </c>
      <c r="K6" s="153">
        <f>Assumptions!L34</f>
        <v>158465871.7342982</v>
      </c>
      <c r="L6" s="153">
        <f>Assumptions!M34</f>
        <v>210581113.04536319</v>
      </c>
      <c r="M6" s="153">
        <f>Assumptions!N34</f>
        <v>264066782.828554</v>
      </c>
      <c r="N6" s="153">
        <f>Assumptions!O34</f>
        <v>318865216.45997775</v>
      </c>
      <c r="O6" s="153">
        <f>Assumptions!P34</f>
        <v>354087987.77696174</v>
      </c>
      <c r="P6" s="153">
        <f>Assumptions!Q34</f>
        <v>395882651.8564896</v>
      </c>
      <c r="Q6" s="153">
        <f>Assumptions!R34</f>
        <v>435768117.02674592</v>
      </c>
      <c r="R6" s="153">
        <f>Assumptions!S34</f>
        <v>478331103.437518</v>
      </c>
      <c r="S6" s="153">
        <f>Assumptions!T34</f>
        <v>517611472.33793819</v>
      </c>
      <c r="T6" s="153">
        <f>Assumptions!U34</f>
        <v>552781283.63248909</v>
      </c>
      <c r="U6" s="153">
        <f>Assumptions!V34</f>
        <v>589518003.83600271</v>
      </c>
      <c r="V6" s="153">
        <f>Assumptions!W34</f>
        <v>641216958.11842382</v>
      </c>
      <c r="W6" s="153">
        <f>Assumptions!X34</f>
        <v>695701571.27627254</v>
      </c>
      <c r="X6" s="153">
        <f>Assumptions!Y34</f>
        <v>753108339.82696891</v>
      </c>
      <c r="Y6" s="394"/>
    </row>
    <row r="7" spans="1:26" x14ac:dyDescent="0.25">
      <c r="A7" s="383"/>
      <c r="B7" s="173"/>
      <c r="C7" s="170" t="s">
        <v>159</v>
      </c>
      <c r="D7" s="170"/>
      <c r="E7" s="445">
        <f>Assumptions!F88</f>
        <v>4.99</v>
      </c>
      <c r="F7" s="445">
        <f>Assumptions!G88</f>
        <v>4.99</v>
      </c>
      <c r="G7" s="445">
        <f>Assumptions!H88</f>
        <v>4.99</v>
      </c>
      <c r="H7" s="445">
        <f>Assumptions!I88</f>
        <v>4.99</v>
      </c>
      <c r="I7" s="445">
        <f>Assumptions!J88</f>
        <v>4.99</v>
      </c>
      <c r="J7" s="445">
        <f>Assumptions!K88</f>
        <v>4.99</v>
      </c>
      <c r="K7" s="445">
        <f>Assumptions!L88</f>
        <v>4.99</v>
      </c>
      <c r="L7" s="445">
        <f>Assumptions!M88</f>
        <v>4.99</v>
      </c>
      <c r="M7" s="445">
        <f>Assumptions!N88</f>
        <v>4.99</v>
      </c>
      <c r="N7" s="445">
        <f>Assumptions!O88</f>
        <v>4.99</v>
      </c>
      <c r="O7" s="445">
        <f>Assumptions!P88</f>
        <v>4.99</v>
      </c>
      <c r="P7" s="445">
        <f>Assumptions!Q88</f>
        <v>4.99</v>
      </c>
      <c r="Q7" s="445">
        <f>Assumptions!R88</f>
        <v>4.99</v>
      </c>
      <c r="R7" s="445">
        <f>Assumptions!S88</f>
        <v>4.99</v>
      </c>
      <c r="S7" s="445">
        <f>Assumptions!T88</f>
        <v>4.99</v>
      </c>
      <c r="T7" s="445">
        <f>Assumptions!U88</f>
        <v>4.99</v>
      </c>
      <c r="U7" s="445">
        <f>Assumptions!V88</f>
        <v>4.99</v>
      </c>
      <c r="V7" s="445">
        <f>Assumptions!W88</f>
        <v>4.99</v>
      </c>
      <c r="W7" s="445">
        <f>Assumptions!X88</f>
        <v>4.99</v>
      </c>
      <c r="X7" s="445">
        <f>Assumptions!Y88</f>
        <v>4.99</v>
      </c>
      <c r="Y7" s="394"/>
    </row>
    <row r="8" spans="1:26" x14ac:dyDescent="0.25">
      <c r="A8" s="383"/>
      <c r="B8" s="173"/>
      <c r="C8" s="170" t="s">
        <v>893</v>
      </c>
      <c r="D8" s="170"/>
      <c r="E8" s="446">
        <f>E7*E6/1000</f>
        <v>2318.5276922285675</v>
      </c>
      <c r="F8" s="446">
        <f t="shared" ref="F8:X8" si="0">F7*F6/1000</f>
        <v>11747.723194033642</v>
      </c>
      <c r="G8" s="446">
        <f t="shared" si="0"/>
        <v>46291.845938188613</v>
      </c>
      <c r="H8" s="446">
        <f t="shared" si="0"/>
        <v>161776.71566713433</v>
      </c>
      <c r="I8" s="446">
        <f t="shared" si="0"/>
        <v>339816.43136243318</v>
      </c>
      <c r="J8" s="446">
        <f t="shared" si="0"/>
        <v>540471.27335144137</v>
      </c>
      <c r="K8" s="446">
        <f t="shared" si="0"/>
        <v>790744.69995414803</v>
      </c>
      <c r="L8" s="446">
        <f t="shared" si="0"/>
        <v>1050799.7540963623</v>
      </c>
      <c r="M8" s="446">
        <f t="shared" si="0"/>
        <v>1317693.2463144846</v>
      </c>
      <c r="N8" s="446">
        <f t="shared" si="0"/>
        <v>1591137.430135289</v>
      </c>
      <c r="O8" s="446">
        <f t="shared" si="0"/>
        <v>1766899.0590070391</v>
      </c>
      <c r="P8" s="446">
        <f t="shared" si="0"/>
        <v>1975454.4327638831</v>
      </c>
      <c r="Q8" s="446">
        <f t="shared" si="0"/>
        <v>2174482.9039634624</v>
      </c>
      <c r="R8" s="446">
        <f t="shared" si="0"/>
        <v>2386872.2061532149</v>
      </c>
      <c r="S8" s="446">
        <f t="shared" si="0"/>
        <v>2582881.2469663112</v>
      </c>
      <c r="T8" s="446">
        <f t="shared" si="0"/>
        <v>2758378.6053261207</v>
      </c>
      <c r="U8" s="446">
        <f t="shared" si="0"/>
        <v>2941694.8391416534</v>
      </c>
      <c r="V8" s="446">
        <f t="shared" si="0"/>
        <v>3199672.6210109349</v>
      </c>
      <c r="W8" s="446">
        <f t="shared" si="0"/>
        <v>3471550.8406686001</v>
      </c>
      <c r="X8" s="446">
        <f t="shared" si="0"/>
        <v>3758010.6157365753</v>
      </c>
      <c r="Y8" s="394"/>
    </row>
    <row r="9" spans="1:26" ht="13.8" thickBot="1" x14ac:dyDescent="0.3">
      <c r="A9" s="386"/>
      <c r="B9" s="209"/>
      <c r="C9" s="223" t="s">
        <v>894</v>
      </c>
      <c r="D9" s="223"/>
      <c r="E9" s="447">
        <v>0</v>
      </c>
      <c r="F9" s="447">
        <v>0</v>
      </c>
      <c r="G9" s="447">
        <v>0</v>
      </c>
      <c r="H9" s="447">
        <v>0</v>
      </c>
      <c r="I9" s="447">
        <v>0</v>
      </c>
      <c r="J9" s="447">
        <v>0</v>
      </c>
      <c r="K9" s="447">
        <v>0</v>
      </c>
      <c r="L9" s="447">
        <v>0</v>
      </c>
      <c r="M9" s="447">
        <v>0</v>
      </c>
      <c r="N9" s="447">
        <v>0</v>
      </c>
      <c r="O9" s="447">
        <v>0</v>
      </c>
      <c r="P9" s="447">
        <v>0</v>
      </c>
      <c r="Q9" s="447">
        <v>0</v>
      </c>
      <c r="R9" s="447">
        <v>0</v>
      </c>
      <c r="S9" s="447">
        <v>0</v>
      </c>
      <c r="T9" s="447">
        <v>0</v>
      </c>
      <c r="U9" s="447">
        <v>0</v>
      </c>
      <c r="V9" s="447">
        <v>0</v>
      </c>
      <c r="W9" s="447">
        <v>0</v>
      </c>
      <c r="X9" s="447">
        <v>0</v>
      </c>
    </row>
    <row r="10" spans="1:26" x14ac:dyDescent="0.25">
      <c r="A10" s="381"/>
      <c r="B10" s="163"/>
      <c r="C10" s="164"/>
      <c r="D10" s="164"/>
      <c r="E10" s="164"/>
      <c r="F10" s="164"/>
      <c r="G10" s="164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</row>
    <row r="11" spans="1:26" x14ac:dyDescent="0.25">
      <c r="A11" s="383"/>
      <c r="B11" s="145" t="s">
        <v>891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6" x14ac:dyDescent="0.25">
      <c r="A12" s="383"/>
      <c r="B12" s="145"/>
      <c r="C12" s="411" t="s">
        <v>889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6" x14ac:dyDescent="0.25">
      <c r="A13" s="383"/>
      <c r="B13" s="33"/>
      <c r="C13" s="33" t="s">
        <v>875</v>
      </c>
      <c r="D13" s="33"/>
      <c r="E13" s="155">
        <f>Assumptions!F257*Assumptions!$F$253</f>
        <v>175</v>
      </c>
      <c r="F13" s="155">
        <f>Assumptions!G257*Assumptions!$F$253</f>
        <v>175</v>
      </c>
      <c r="G13" s="155">
        <f>Assumptions!H257*Assumptions!$F$253</f>
        <v>175</v>
      </c>
      <c r="H13" s="155">
        <f>Assumptions!I257*Assumptions!$F$253</f>
        <v>175</v>
      </c>
      <c r="I13" s="155">
        <f>Assumptions!J257*Assumptions!$F$253</f>
        <v>175</v>
      </c>
      <c r="J13" s="155">
        <f>Assumptions!K257*Assumptions!$F$253</f>
        <v>175</v>
      </c>
      <c r="K13" s="155">
        <f>Assumptions!L257*Assumptions!$F$253</f>
        <v>175</v>
      </c>
      <c r="L13" s="155">
        <f>Assumptions!M257*Assumptions!$F$253</f>
        <v>175</v>
      </c>
      <c r="M13" s="155">
        <f>Assumptions!N257*Assumptions!$F$253</f>
        <v>175</v>
      </c>
      <c r="N13" s="155">
        <f>Assumptions!O257*Assumptions!$F$253</f>
        <v>175</v>
      </c>
      <c r="O13" s="155">
        <f>Assumptions!P257*Assumptions!$F$253</f>
        <v>175</v>
      </c>
      <c r="P13" s="155">
        <f>Assumptions!Q257*Assumptions!$F$253</f>
        <v>175</v>
      </c>
      <c r="Q13" s="155">
        <f>Assumptions!R257*Assumptions!$F$253</f>
        <v>175</v>
      </c>
      <c r="R13" s="155">
        <f>Assumptions!S257*Assumptions!$F$253</f>
        <v>175</v>
      </c>
      <c r="S13" s="155">
        <f>Assumptions!T257*Assumptions!$F$253</f>
        <v>175</v>
      </c>
      <c r="T13" s="155">
        <f>Assumptions!U257*Assumptions!$F$253</f>
        <v>175</v>
      </c>
      <c r="U13" s="155">
        <f>Assumptions!V257*Assumptions!$F$253</f>
        <v>175</v>
      </c>
      <c r="V13" s="155">
        <f>Assumptions!W257*Assumptions!$F$253</f>
        <v>175</v>
      </c>
      <c r="W13" s="155">
        <f>Assumptions!X257*Assumptions!$F$253</f>
        <v>175</v>
      </c>
      <c r="X13" s="155">
        <f>Assumptions!Y257*Assumptions!$F$253</f>
        <v>175</v>
      </c>
      <c r="Z13" s="448"/>
    </row>
    <row r="14" spans="1:26" x14ac:dyDescent="0.25">
      <c r="A14" s="383"/>
      <c r="B14" s="33"/>
      <c r="C14" s="33" t="s">
        <v>876</v>
      </c>
      <c r="D14" s="33"/>
      <c r="E14" s="155">
        <f>Assumptions!F258*4*Assumptions!$F$253</f>
        <v>70</v>
      </c>
      <c r="F14" s="155">
        <f>Assumptions!G258*4*Assumptions!$F$253</f>
        <v>70</v>
      </c>
      <c r="G14" s="155">
        <f>Assumptions!H258*4*Assumptions!$F$253</f>
        <v>70</v>
      </c>
      <c r="H14" s="155">
        <f>Assumptions!I258*4*Assumptions!$F$253</f>
        <v>70</v>
      </c>
      <c r="I14" s="155">
        <f>Assumptions!J258*4*Assumptions!$F$253</f>
        <v>70</v>
      </c>
      <c r="J14" s="155">
        <f>Assumptions!K258*4*Assumptions!$F$253</f>
        <v>70</v>
      </c>
      <c r="K14" s="155">
        <f>Assumptions!L258*4*Assumptions!$F$253</f>
        <v>70</v>
      </c>
      <c r="L14" s="155">
        <f>Assumptions!M258*4*Assumptions!$F$253</f>
        <v>70</v>
      </c>
      <c r="M14" s="155">
        <f>Assumptions!N258*4*Assumptions!$F$253</f>
        <v>70</v>
      </c>
      <c r="N14" s="155">
        <f>Assumptions!O258*4*Assumptions!$F$253</f>
        <v>70</v>
      </c>
      <c r="O14" s="155">
        <f>Assumptions!P258*4*Assumptions!$F$253</f>
        <v>70</v>
      </c>
      <c r="P14" s="155">
        <f>Assumptions!Q258*4*Assumptions!$F$253</f>
        <v>70</v>
      </c>
      <c r="Q14" s="155">
        <f>Assumptions!R258*4*Assumptions!$F$253</f>
        <v>70</v>
      </c>
      <c r="R14" s="155">
        <f>Assumptions!S258*4*Assumptions!$F$253</f>
        <v>70</v>
      </c>
      <c r="S14" s="155">
        <f>Assumptions!T258*4*Assumptions!$F$253</f>
        <v>70</v>
      </c>
      <c r="T14" s="155">
        <f>Assumptions!U258*4*Assumptions!$F$253</f>
        <v>70</v>
      </c>
      <c r="U14" s="155">
        <f>Assumptions!V258*4*Assumptions!$F$253</f>
        <v>70</v>
      </c>
      <c r="V14" s="155">
        <f>Assumptions!W258*4*Assumptions!$F$253</f>
        <v>70</v>
      </c>
      <c r="W14" s="155">
        <f>Assumptions!X258*4*Assumptions!$F$253</f>
        <v>70</v>
      </c>
      <c r="X14" s="155">
        <f>Assumptions!Y258*4*Assumptions!$F$253</f>
        <v>70</v>
      </c>
      <c r="Z14" s="448"/>
    </row>
    <row r="15" spans="1:26" x14ac:dyDescent="0.25">
      <c r="A15" s="383"/>
      <c r="B15" s="33"/>
      <c r="C15" s="33" t="s">
        <v>410</v>
      </c>
      <c r="D15" s="33"/>
      <c r="E15" s="403">
        <f>E8*Assumptions!F259*Assumptions!$F$253</f>
        <v>6.955583076685703</v>
      </c>
      <c r="F15" s="403">
        <f>F8*Assumptions!G259*Assumptions!$F$253</f>
        <v>35.243169582100926</v>
      </c>
      <c r="G15" s="403">
        <f>G8*Assumptions!H259*Assumptions!$F$253</f>
        <v>138.87553781456583</v>
      </c>
      <c r="H15" s="403">
        <f>H8*Assumptions!I259*Assumptions!$F$253</f>
        <v>485.33014700140296</v>
      </c>
      <c r="I15" s="403">
        <f>I8*Assumptions!J259*Assumptions!$F$253</f>
        <v>1019.4492940872996</v>
      </c>
      <c r="J15" s="403">
        <f>J8*Assumptions!K259*Assumptions!$F$253</f>
        <v>1621.4138200543241</v>
      </c>
      <c r="K15" s="403">
        <f>K8*Assumptions!L259*Assumptions!$F$253</f>
        <v>2372.2340998624441</v>
      </c>
      <c r="L15" s="403">
        <f>L8*Assumptions!M259*Assumptions!$F$253</f>
        <v>3152.3992622890869</v>
      </c>
      <c r="M15" s="403">
        <f>M8*Assumptions!N259*Assumptions!$F$253</f>
        <v>3953.0797389434538</v>
      </c>
      <c r="N15" s="403">
        <f>N8*Assumptions!O259*Assumptions!$F$253</f>
        <v>4773.4122904058668</v>
      </c>
      <c r="O15" s="403">
        <f>O8*Assumptions!P259*Assumptions!$F$253</f>
        <v>5300.6971770211176</v>
      </c>
      <c r="P15" s="403">
        <f>P8*Assumptions!Q259*Assumptions!$F$253</f>
        <v>5926.3632982916497</v>
      </c>
      <c r="Q15" s="403">
        <f>Q8*Assumptions!R259*Assumptions!$F$253</f>
        <v>6523.4487118903871</v>
      </c>
      <c r="R15" s="403">
        <f>R8*Assumptions!S259*Assumptions!$F$253</f>
        <v>7160.616618459645</v>
      </c>
      <c r="S15" s="403">
        <f>S8*Assumptions!T259*Assumptions!$F$253</f>
        <v>7748.6437408989341</v>
      </c>
      <c r="T15" s="403">
        <f>T8*Assumptions!U259*Assumptions!$F$253</f>
        <v>8275.1358159783631</v>
      </c>
      <c r="U15" s="403">
        <f>U8*Assumptions!V259*Assumptions!$F$253</f>
        <v>8825.0845174249607</v>
      </c>
      <c r="V15" s="403">
        <f>V8*Assumptions!W259*Assumptions!$F$253</f>
        <v>9599.0178630328046</v>
      </c>
      <c r="W15" s="403">
        <f>W8*Assumptions!X259*Assumptions!$F$253</f>
        <v>10414.652522005801</v>
      </c>
      <c r="X15" s="403">
        <f>X8*Assumptions!Y259*Assumptions!$F$253</f>
        <v>11274.031847209726</v>
      </c>
      <c r="Z15" s="448"/>
    </row>
    <row r="16" spans="1:26" x14ac:dyDescent="0.25">
      <c r="A16" s="383"/>
      <c r="B16" s="33"/>
      <c r="C16" s="449" t="s">
        <v>895</v>
      </c>
      <c r="D16" s="33"/>
      <c r="E16" s="155">
        <f>SUM(E13:E15)</f>
        <v>251.95558307668571</v>
      </c>
      <c r="F16" s="155">
        <f t="shared" ref="F16:X16" si="1">SUM(F13:F15)</f>
        <v>280.2431695821009</v>
      </c>
      <c r="G16" s="155">
        <f t="shared" si="1"/>
        <v>383.87553781456586</v>
      </c>
      <c r="H16" s="155">
        <f t="shared" si="1"/>
        <v>730.33014700140302</v>
      </c>
      <c r="I16" s="155">
        <f t="shared" si="1"/>
        <v>1264.4492940872997</v>
      </c>
      <c r="J16" s="155">
        <f t="shared" si="1"/>
        <v>1866.4138200543241</v>
      </c>
      <c r="K16" s="155">
        <f t="shared" si="1"/>
        <v>2617.2340998624441</v>
      </c>
      <c r="L16" s="155">
        <f t="shared" si="1"/>
        <v>3397.3992622890869</v>
      </c>
      <c r="M16" s="155">
        <f t="shared" si="1"/>
        <v>4198.0797389434538</v>
      </c>
      <c r="N16" s="155">
        <f t="shared" si="1"/>
        <v>5018.4122904058668</v>
      </c>
      <c r="O16" s="155">
        <f t="shared" si="1"/>
        <v>5545.6971770211176</v>
      </c>
      <c r="P16" s="155">
        <f t="shared" si="1"/>
        <v>6171.3632982916497</v>
      </c>
      <c r="Q16" s="155">
        <f t="shared" si="1"/>
        <v>6768.4487118903871</v>
      </c>
      <c r="R16" s="155">
        <f t="shared" si="1"/>
        <v>7405.616618459645</v>
      </c>
      <c r="S16" s="155">
        <f t="shared" si="1"/>
        <v>7993.6437408989341</v>
      </c>
      <c r="T16" s="155">
        <f t="shared" si="1"/>
        <v>8520.1358159783631</v>
      </c>
      <c r="U16" s="155">
        <f t="shared" si="1"/>
        <v>9070.0845174249607</v>
      </c>
      <c r="V16" s="155">
        <f t="shared" si="1"/>
        <v>9844.0178630328046</v>
      </c>
      <c r="W16" s="155">
        <f t="shared" si="1"/>
        <v>10659.652522005801</v>
      </c>
      <c r="X16" s="155">
        <f t="shared" si="1"/>
        <v>11519.031847209726</v>
      </c>
      <c r="Z16" s="448"/>
    </row>
    <row r="17" spans="1:26" x14ac:dyDescent="0.25">
      <c r="A17" s="383"/>
      <c r="B17" s="33"/>
      <c r="C17" s="411" t="s">
        <v>890</v>
      </c>
      <c r="D17" s="3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Z17" s="448"/>
    </row>
    <row r="18" spans="1:26" x14ac:dyDescent="0.25">
      <c r="A18" s="383"/>
      <c r="B18" s="33"/>
      <c r="C18" s="33" t="s">
        <v>892</v>
      </c>
      <c r="D18" s="33"/>
      <c r="E18" s="155">
        <f>Assumptions!F262*Assumptions!F253</f>
        <v>50</v>
      </c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Z18" s="448"/>
    </row>
    <row r="19" spans="1:26" x14ac:dyDescent="0.25">
      <c r="A19" s="383"/>
      <c r="B19" s="33"/>
      <c r="C19" s="33" t="s">
        <v>885</v>
      </c>
      <c r="D19" s="33"/>
      <c r="E19" s="155">
        <f>E8*Assumptions!$F$263*Assumptions!$F$253</f>
        <v>11.592638461142839</v>
      </c>
      <c r="F19" s="155">
        <f>F8*Assumptions!$F$263*Assumptions!$F$253</f>
        <v>58.738615970168212</v>
      </c>
      <c r="G19" s="155">
        <f>G8*Assumptions!$F$263*Assumptions!$F$253</f>
        <v>231.45922969094306</v>
      </c>
      <c r="H19" s="155">
        <f>H8*Assumptions!$F$263*Assumptions!$F$253</f>
        <v>808.8835783356717</v>
      </c>
      <c r="I19" s="155">
        <f>I8*Assumptions!$F$263*Assumptions!$F$253</f>
        <v>1699.082156812166</v>
      </c>
      <c r="J19" s="155">
        <f>J8*Assumptions!$F$263*Assumptions!$F$253</f>
        <v>2702.3563667572071</v>
      </c>
      <c r="K19" s="155">
        <f>K8*Assumptions!$F$263*Assumptions!$F$253</f>
        <v>3953.7234997707401</v>
      </c>
      <c r="L19" s="155">
        <f>L8*Assumptions!$F$263*Assumptions!$F$253</f>
        <v>5253.9987704818113</v>
      </c>
      <c r="M19" s="155">
        <f>M8*Assumptions!$F$263*Assumptions!$F$253</f>
        <v>6588.4662315724236</v>
      </c>
      <c r="N19" s="155">
        <f>N8*Assumptions!$F$263*Assumptions!$F$253</f>
        <v>7955.6871506764446</v>
      </c>
      <c r="O19" s="155">
        <f>O8*Assumptions!$F$263*Assumptions!$F$253</f>
        <v>8834.4952950351962</v>
      </c>
      <c r="P19" s="155">
        <f>P8*Assumptions!$F$263*Assumptions!$F$253</f>
        <v>9877.2721638194162</v>
      </c>
      <c r="Q19" s="155">
        <f>Q8*Assumptions!$F$263*Assumptions!$F$253</f>
        <v>10872.414519817312</v>
      </c>
      <c r="R19" s="155">
        <f>R8*Assumptions!$F$263*Assumptions!$F$253</f>
        <v>11934.361030766075</v>
      </c>
      <c r="S19" s="155">
        <f>S8*Assumptions!$F$263*Assumptions!$F$253</f>
        <v>12914.406234831557</v>
      </c>
      <c r="T19" s="155">
        <f>T8*Assumptions!$F$263*Assumptions!$F$253</f>
        <v>13791.893026630603</v>
      </c>
      <c r="U19" s="155">
        <f>U8*Assumptions!$F$263*Assumptions!$F$253</f>
        <v>14708.474195708268</v>
      </c>
      <c r="V19" s="155">
        <f>V8*Assumptions!$F$263*Assumptions!$F$253</f>
        <v>15998.363105054676</v>
      </c>
      <c r="W19" s="155">
        <f>W8*Assumptions!$F$263*Assumptions!$F$253</f>
        <v>17357.754203343</v>
      </c>
      <c r="X19" s="155">
        <f>X8*Assumptions!$F$263*Assumptions!$F$253</f>
        <v>18790.053078682879</v>
      </c>
      <c r="Z19" s="448"/>
    </row>
    <row r="20" spans="1:26" x14ac:dyDescent="0.25">
      <c r="A20" s="383"/>
      <c r="B20" s="33"/>
      <c r="C20" s="33" t="s">
        <v>887</v>
      </c>
      <c r="D20" s="33"/>
      <c r="E20" s="403">
        <f>E9*Assumptions!$F$264*Assumptions!$F$253</f>
        <v>0</v>
      </c>
      <c r="F20" s="403">
        <f>F9*Assumptions!$F$264*Assumptions!$F$253</f>
        <v>0</v>
      </c>
      <c r="G20" s="403">
        <f>G9*Assumptions!$F$264*Assumptions!$F$253</f>
        <v>0</v>
      </c>
      <c r="H20" s="403">
        <f>H9*Assumptions!$F$264*Assumptions!$F$253</f>
        <v>0</v>
      </c>
      <c r="I20" s="403">
        <f>I9*Assumptions!$F$264*Assumptions!$F$253</f>
        <v>0</v>
      </c>
      <c r="J20" s="403">
        <f>J9*Assumptions!$F$264*Assumptions!$F$253</f>
        <v>0</v>
      </c>
      <c r="K20" s="403">
        <f>K9*Assumptions!$F$264*Assumptions!$F$253</f>
        <v>0</v>
      </c>
      <c r="L20" s="403">
        <f>L9*Assumptions!$F$264*Assumptions!$F$253</f>
        <v>0</v>
      </c>
      <c r="M20" s="403">
        <f>M9*Assumptions!$F$264*Assumptions!$F$253</f>
        <v>0</v>
      </c>
      <c r="N20" s="403">
        <f>N9*Assumptions!$F$264*Assumptions!$F$253</f>
        <v>0</v>
      </c>
      <c r="O20" s="403">
        <f>O9*Assumptions!$F$264*Assumptions!$F$253</f>
        <v>0</v>
      </c>
      <c r="P20" s="403">
        <f>P9*Assumptions!$F$264*Assumptions!$F$253</f>
        <v>0</v>
      </c>
      <c r="Q20" s="403">
        <f>Q9*Assumptions!$F$264*Assumptions!$F$253</f>
        <v>0</v>
      </c>
      <c r="R20" s="403">
        <f>R9*Assumptions!$F$264*Assumptions!$F$253</f>
        <v>0</v>
      </c>
      <c r="S20" s="403">
        <f>S9*Assumptions!$F$264*Assumptions!$F$253</f>
        <v>0</v>
      </c>
      <c r="T20" s="403">
        <f>T9*Assumptions!$F$264*Assumptions!$F$253</f>
        <v>0</v>
      </c>
      <c r="U20" s="403">
        <f>U9*Assumptions!$F$264*Assumptions!$F$253</f>
        <v>0</v>
      </c>
      <c r="V20" s="403">
        <f>V9*Assumptions!$F$264*Assumptions!$F$253</f>
        <v>0</v>
      </c>
      <c r="W20" s="403">
        <f>W9*Assumptions!$F$264*Assumptions!$F$253</f>
        <v>0</v>
      </c>
      <c r="X20" s="403">
        <f>X9*Assumptions!$F$264*Assumptions!$F$253</f>
        <v>0</v>
      </c>
      <c r="Z20" s="448"/>
    </row>
    <row r="21" spans="1:26" x14ac:dyDescent="0.25">
      <c r="A21" s="383"/>
      <c r="B21" s="33"/>
      <c r="C21" s="449" t="s">
        <v>896</v>
      </c>
      <c r="D21" s="33"/>
      <c r="E21" s="403">
        <f>SUM(E18:E20)</f>
        <v>61.59263846114284</v>
      </c>
      <c r="F21" s="403">
        <f t="shared" ref="F21:X21" si="2">SUM(F18:F20)</f>
        <v>58.738615970168212</v>
      </c>
      <c r="G21" s="403">
        <f t="shared" si="2"/>
        <v>231.45922969094306</v>
      </c>
      <c r="H21" s="403">
        <f t="shared" si="2"/>
        <v>808.8835783356717</v>
      </c>
      <c r="I21" s="403">
        <f t="shared" si="2"/>
        <v>1699.082156812166</v>
      </c>
      <c r="J21" s="403">
        <f t="shared" si="2"/>
        <v>2702.3563667572071</v>
      </c>
      <c r="K21" s="403">
        <f t="shared" si="2"/>
        <v>3953.7234997707401</v>
      </c>
      <c r="L21" s="403">
        <f t="shared" si="2"/>
        <v>5253.9987704818113</v>
      </c>
      <c r="M21" s="403">
        <f t="shared" si="2"/>
        <v>6588.4662315724236</v>
      </c>
      <c r="N21" s="403">
        <f t="shared" si="2"/>
        <v>7955.6871506764446</v>
      </c>
      <c r="O21" s="403">
        <f t="shared" si="2"/>
        <v>8834.4952950351962</v>
      </c>
      <c r="P21" s="403">
        <f t="shared" si="2"/>
        <v>9877.2721638194162</v>
      </c>
      <c r="Q21" s="403">
        <f t="shared" si="2"/>
        <v>10872.414519817312</v>
      </c>
      <c r="R21" s="403">
        <f t="shared" si="2"/>
        <v>11934.361030766075</v>
      </c>
      <c r="S21" s="403">
        <f t="shared" si="2"/>
        <v>12914.406234831557</v>
      </c>
      <c r="T21" s="403">
        <f t="shared" si="2"/>
        <v>13791.893026630603</v>
      </c>
      <c r="U21" s="403">
        <f t="shared" si="2"/>
        <v>14708.474195708268</v>
      </c>
      <c r="V21" s="403">
        <f t="shared" si="2"/>
        <v>15998.363105054676</v>
      </c>
      <c r="W21" s="403">
        <f t="shared" si="2"/>
        <v>17357.754203343</v>
      </c>
      <c r="X21" s="403">
        <f t="shared" si="2"/>
        <v>18790.053078682879</v>
      </c>
      <c r="Z21" s="448"/>
    </row>
    <row r="22" spans="1:26" x14ac:dyDescent="0.25">
      <c r="A22" s="383"/>
      <c r="B22" s="33"/>
      <c r="C22" s="33"/>
      <c r="D22" s="3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  <c r="V22" s="403"/>
      <c r="W22" s="403"/>
      <c r="X22" s="403"/>
      <c r="Z22" s="448"/>
    </row>
    <row r="23" spans="1:26" x14ac:dyDescent="0.25">
      <c r="A23" s="383"/>
      <c r="B23" s="145" t="s">
        <v>207</v>
      </c>
      <c r="C23" s="33"/>
      <c r="D23" s="33"/>
      <c r="E23" s="402">
        <f>E16+E21</f>
        <v>313.54822153782857</v>
      </c>
      <c r="F23" s="402">
        <f t="shared" ref="F23:X23" si="3">F16+F21</f>
        <v>338.98178555226912</v>
      </c>
      <c r="G23" s="402">
        <f t="shared" si="3"/>
        <v>615.33476750550892</v>
      </c>
      <c r="H23" s="402">
        <f t="shared" si="3"/>
        <v>1539.2137253370747</v>
      </c>
      <c r="I23" s="402">
        <f t="shared" si="3"/>
        <v>2963.5314508994657</v>
      </c>
      <c r="J23" s="402">
        <f t="shared" si="3"/>
        <v>4568.7701868115309</v>
      </c>
      <c r="K23" s="402">
        <f t="shared" si="3"/>
        <v>6570.9575996331841</v>
      </c>
      <c r="L23" s="402">
        <f t="shared" si="3"/>
        <v>8651.3980327708978</v>
      </c>
      <c r="M23" s="402">
        <f t="shared" si="3"/>
        <v>10786.545970515877</v>
      </c>
      <c r="N23" s="402">
        <f t="shared" si="3"/>
        <v>12974.099441082311</v>
      </c>
      <c r="O23" s="402">
        <f t="shared" si="3"/>
        <v>14380.192472056315</v>
      </c>
      <c r="P23" s="402">
        <f t="shared" si="3"/>
        <v>16048.635462111066</v>
      </c>
      <c r="Q23" s="402">
        <f t="shared" si="3"/>
        <v>17640.863231707699</v>
      </c>
      <c r="R23" s="402">
        <f t="shared" si="3"/>
        <v>19339.977649225719</v>
      </c>
      <c r="S23" s="402">
        <f t="shared" si="3"/>
        <v>20908.04997573049</v>
      </c>
      <c r="T23" s="402">
        <f t="shared" si="3"/>
        <v>22312.028842608968</v>
      </c>
      <c r="U23" s="402">
        <f t="shared" si="3"/>
        <v>23778.558713133229</v>
      </c>
      <c r="V23" s="402">
        <f t="shared" si="3"/>
        <v>25842.38096808748</v>
      </c>
      <c r="W23" s="402">
        <f t="shared" si="3"/>
        <v>28017.406725348803</v>
      </c>
      <c r="X23" s="402">
        <f t="shared" si="3"/>
        <v>30309.084925892603</v>
      </c>
      <c r="Z23" s="270"/>
    </row>
    <row r="24" spans="1:26" ht="13.8" thickBot="1" x14ac:dyDescent="0.3">
      <c r="A24" s="386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Z24" s="270"/>
    </row>
    <row r="25" spans="1:26" x14ac:dyDescent="0.25">
      <c r="A25" s="38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Z25" s="270"/>
    </row>
    <row r="26" spans="1:26" x14ac:dyDescent="0.25">
      <c r="A26" s="383"/>
      <c r="B26" s="145" t="s">
        <v>206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Z26" s="270"/>
    </row>
    <row r="27" spans="1:26" x14ac:dyDescent="0.25">
      <c r="A27" s="383"/>
      <c r="B27" s="145"/>
      <c r="C27" s="411" t="s">
        <v>889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Z27" s="270"/>
    </row>
    <row r="28" spans="1:26" x14ac:dyDescent="0.25">
      <c r="A28" s="383"/>
      <c r="B28" s="33"/>
      <c r="C28" s="33" t="s">
        <v>875</v>
      </c>
      <c r="D28" s="33"/>
      <c r="E28" s="155">
        <f>Assumptions!F257*Assumptions!$F$254</f>
        <v>175</v>
      </c>
      <c r="F28" s="155">
        <f>Assumptions!G257*Assumptions!$F$254</f>
        <v>175</v>
      </c>
      <c r="G28" s="155">
        <f>Assumptions!H257*Assumptions!$F$254</f>
        <v>175</v>
      </c>
      <c r="H28" s="155">
        <f>Assumptions!I257*Assumptions!$F$254</f>
        <v>175</v>
      </c>
      <c r="I28" s="155">
        <f>Assumptions!J257*Assumptions!$F$254</f>
        <v>175</v>
      </c>
      <c r="J28" s="155">
        <f>Assumptions!K257*Assumptions!$F$254</f>
        <v>175</v>
      </c>
      <c r="K28" s="155">
        <f>Assumptions!L257*Assumptions!$F$254</f>
        <v>175</v>
      </c>
      <c r="L28" s="155">
        <f>Assumptions!M257*Assumptions!$F$254</f>
        <v>175</v>
      </c>
      <c r="M28" s="155">
        <f>Assumptions!N257*Assumptions!$F$254</f>
        <v>175</v>
      </c>
      <c r="N28" s="155">
        <f>Assumptions!O257*Assumptions!$F$254</f>
        <v>175</v>
      </c>
      <c r="O28" s="155">
        <f>Assumptions!P257*Assumptions!$F$254</f>
        <v>175</v>
      </c>
      <c r="P28" s="155">
        <f>Assumptions!Q257*Assumptions!$F$254</f>
        <v>175</v>
      </c>
      <c r="Q28" s="155">
        <f>Assumptions!R257*Assumptions!$F$254</f>
        <v>175</v>
      </c>
      <c r="R28" s="155">
        <f>Assumptions!S257*Assumptions!$F$254</f>
        <v>175</v>
      </c>
      <c r="S28" s="155">
        <f>Assumptions!T257*Assumptions!$F$254</f>
        <v>175</v>
      </c>
      <c r="T28" s="155">
        <f>Assumptions!U257*Assumptions!$F$254</f>
        <v>175</v>
      </c>
      <c r="U28" s="155">
        <f>Assumptions!V257*Assumptions!$F$254</f>
        <v>175</v>
      </c>
      <c r="V28" s="155">
        <f>Assumptions!W257*Assumptions!$F$254</f>
        <v>175</v>
      </c>
      <c r="W28" s="155">
        <f>Assumptions!X257*Assumptions!$F$254</f>
        <v>175</v>
      </c>
      <c r="X28" s="155">
        <f>Assumptions!Y257*Assumptions!$F$254</f>
        <v>175</v>
      </c>
      <c r="Z28" s="448"/>
    </row>
    <row r="29" spans="1:26" x14ac:dyDescent="0.25">
      <c r="A29" s="383"/>
      <c r="B29" s="33"/>
      <c r="C29" s="33" t="s">
        <v>876</v>
      </c>
      <c r="D29" s="33"/>
      <c r="E29" s="155">
        <f>Assumptions!F258*4*Assumptions!$F$254</f>
        <v>70</v>
      </c>
      <c r="F29" s="155">
        <f>Assumptions!G258*4*Assumptions!$F$254</f>
        <v>70</v>
      </c>
      <c r="G29" s="155">
        <f>Assumptions!H258*4*Assumptions!$F$254</f>
        <v>70</v>
      </c>
      <c r="H29" s="155">
        <f>Assumptions!I258*4*Assumptions!$F$254</f>
        <v>70</v>
      </c>
      <c r="I29" s="155">
        <f>Assumptions!J258*4*Assumptions!$F$254</f>
        <v>70</v>
      </c>
      <c r="J29" s="155">
        <f>Assumptions!K258*4*Assumptions!$F$254</f>
        <v>70</v>
      </c>
      <c r="K29" s="155">
        <f>Assumptions!L258*4*Assumptions!$F$254</f>
        <v>70</v>
      </c>
      <c r="L29" s="155">
        <f>Assumptions!M258*4*Assumptions!$F$254</f>
        <v>70</v>
      </c>
      <c r="M29" s="155">
        <f>Assumptions!N258*4*Assumptions!$F$254</f>
        <v>70</v>
      </c>
      <c r="N29" s="155">
        <f>Assumptions!O258*4*Assumptions!$F$254</f>
        <v>70</v>
      </c>
      <c r="O29" s="155">
        <f>Assumptions!P258*4*Assumptions!$F$254</f>
        <v>70</v>
      </c>
      <c r="P29" s="155">
        <f>Assumptions!Q258*4*Assumptions!$F$254</f>
        <v>70</v>
      </c>
      <c r="Q29" s="155">
        <f>Assumptions!R258*4*Assumptions!$F$254</f>
        <v>70</v>
      </c>
      <c r="R29" s="155">
        <f>Assumptions!S258*4*Assumptions!$F$254</f>
        <v>70</v>
      </c>
      <c r="S29" s="155">
        <f>Assumptions!T258*4*Assumptions!$F$254</f>
        <v>70</v>
      </c>
      <c r="T29" s="155">
        <f>Assumptions!U258*4*Assumptions!$F$254</f>
        <v>70</v>
      </c>
      <c r="U29" s="155">
        <f>Assumptions!V258*4*Assumptions!$F$254</f>
        <v>70</v>
      </c>
      <c r="V29" s="155">
        <f>Assumptions!W258*4*Assumptions!$F$254</f>
        <v>70</v>
      </c>
      <c r="W29" s="155">
        <f>Assumptions!X258*4*Assumptions!$F$254</f>
        <v>70</v>
      </c>
      <c r="X29" s="155">
        <f>Assumptions!Y258*4*Assumptions!$F$254</f>
        <v>70</v>
      </c>
      <c r="Z29" s="448"/>
    </row>
    <row r="30" spans="1:26" x14ac:dyDescent="0.25">
      <c r="A30" s="383"/>
      <c r="B30" s="33"/>
      <c r="C30" s="33" t="s">
        <v>410</v>
      </c>
      <c r="D30" s="33"/>
      <c r="E30" s="403">
        <f>E8*Assumptions!F259*Assumptions!$F$254</f>
        <v>6.955583076685703</v>
      </c>
      <c r="F30" s="403">
        <f>F8*Assumptions!G259*Assumptions!$F$254</f>
        <v>35.243169582100926</v>
      </c>
      <c r="G30" s="403">
        <f>G8*Assumptions!H259*Assumptions!$F$254</f>
        <v>138.87553781456583</v>
      </c>
      <c r="H30" s="403">
        <f>H8*Assumptions!I259*Assumptions!$F$254</f>
        <v>485.33014700140296</v>
      </c>
      <c r="I30" s="403">
        <f>I8*Assumptions!J259*Assumptions!$F$254</f>
        <v>1019.4492940872996</v>
      </c>
      <c r="J30" s="403">
        <f>J8*Assumptions!K259*Assumptions!$F$254</f>
        <v>1621.4138200543241</v>
      </c>
      <c r="K30" s="403">
        <f>K8*Assumptions!L259*Assumptions!$F$254</f>
        <v>2372.2340998624441</v>
      </c>
      <c r="L30" s="403">
        <f>L8*Assumptions!M259*Assumptions!$F$254</f>
        <v>3152.3992622890869</v>
      </c>
      <c r="M30" s="403">
        <f>M8*Assumptions!N259*Assumptions!$F$254</f>
        <v>3953.0797389434538</v>
      </c>
      <c r="N30" s="403">
        <f>N8*Assumptions!O259*Assumptions!$F$254</f>
        <v>4773.4122904058668</v>
      </c>
      <c r="O30" s="403">
        <f>O8*Assumptions!P259*Assumptions!$F$254</f>
        <v>5300.6971770211176</v>
      </c>
      <c r="P30" s="403">
        <f>P8*Assumptions!Q259*Assumptions!$F$254</f>
        <v>5926.3632982916497</v>
      </c>
      <c r="Q30" s="403">
        <f>Q8*Assumptions!R259*Assumptions!$F$254</f>
        <v>6523.4487118903871</v>
      </c>
      <c r="R30" s="403">
        <f>R8*Assumptions!S259*Assumptions!$F$254</f>
        <v>7160.616618459645</v>
      </c>
      <c r="S30" s="403">
        <f>S8*Assumptions!T259*Assumptions!$F$254</f>
        <v>7748.6437408989341</v>
      </c>
      <c r="T30" s="403">
        <f>T8*Assumptions!U259*Assumptions!$F$254</f>
        <v>8275.1358159783631</v>
      </c>
      <c r="U30" s="403">
        <f>U8*Assumptions!V259*Assumptions!$F$254</f>
        <v>8825.0845174249607</v>
      </c>
      <c r="V30" s="403">
        <f>V8*Assumptions!W259*Assumptions!$F$254</f>
        <v>9599.0178630328046</v>
      </c>
      <c r="W30" s="403">
        <f>W8*Assumptions!X259*Assumptions!$F$254</f>
        <v>10414.652522005801</v>
      </c>
      <c r="X30" s="403">
        <f>X8*Assumptions!Y259*Assumptions!$F$254</f>
        <v>11274.031847209726</v>
      </c>
      <c r="Z30" s="448"/>
    </row>
    <row r="31" spans="1:26" x14ac:dyDescent="0.25">
      <c r="A31" s="383"/>
      <c r="B31" s="33"/>
      <c r="C31" s="449" t="s">
        <v>895</v>
      </c>
      <c r="D31" s="33"/>
      <c r="E31" s="155">
        <f>SUM(E28:E30)</f>
        <v>251.95558307668571</v>
      </c>
      <c r="F31" s="155">
        <f t="shared" ref="F31:X31" si="4">SUM(F28:F30)</f>
        <v>280.2431695821009</v>
      </c>
      <c r="G31" s="155">
        <f t="shared" si="4"/>
        <v>383.87553781456586</v>
      </c>
      <c r="H31" s="155">
        <f t="shared" si="4"/>
        <v>730.33014700140302</v>
      </c>
      <c r="I31" s="155">
        <f t="shared" si="4"/>
        <v>1264.4492940872997</v>
      </c>
      <c r="J31" s="155">
        <f t="shared" si="4"/>
        <v>1866.4138200543241</v>
      </c>
      <c r="K31" s="155">
        <f t="shared" si="4"/>
        <v>2617.2340998624441</v>
      </c>
      <c r="L31" s="155">
        <f t="shared" si="4"/>
        <v>3397.3992622890869</v>
      </c>
      <c r="M31" s="155">
        <f t="shared" si="4"/>
        <v>4198.0797389434538</v>
      </c>
      <c r="N31" s="155">
        <f t="shared" si="4"/>
        <v>5018.4122904058668</v>
      </c>
      <c r="O31" s="155">
        <f t="shared" si="4"/>
        <v>5545.6971770211176</v>
      </c>
      <c r="P31" s="155">
        <f t="shared" si="4"/>
        <v>6171.3632982916497</v>
      </c>
      <c r="Q31" s="155">
        <f t="shared" si="4"/>
        <v>6768.4487118903871</v>
      </c>
      <c r="R31" s="155">
        <f t="shared" si="4"/>
        <v>7405.616618459645</v>
      </c>
      <c r="S31" s="155">
        <f t="shared" si="4"/>
        <v>7993.6437408989341</v>
      </c>
      <c r="T31" s="155">
        <f t="shared" si="4"/>
        <v>8520.1358159783631</v>
      </c>
      <c r="U31" s="155">
        <f t="shared" si="4"/>
        <v>9070.0845174249607</v>
      </c>
      <c r="V31" s="155">
        <f t="shared" si="4"/>
        <v>9844.0178630328046</v>
      </c>
      <c r="W31" s="155">
        <f t="shared" si="4"/>
        <v>10659.652522005801</v>
      </c>
      <c r="X31" s="155">
        <f t="shared" si="4"/>
        <v>11519.031847209726</v>
      </c>
      <c r="Z31" s="448"/>
    </row>
    <row r="32" spans="1:26" x14ac:dyDescent="0.25">
      <c r="A32" s="383"/>
      <c r="B32" s="33"/>
      <c r="C32" s="411" t="s">
        <v>890</v>
      </c>
      <c r="D32" s="33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Z32" s="448"/>
    </row>
    <row r="33" spans="1:26" x14ac:dyDescent="0.25">
      <c r="A33" s="383"/>
      <c r="B33" s="33"/>
      <c r="C33" s="33" t="s">
        <v>892</v>
      </c>
      <c r="D33" s="33"/>
      <c r="E33" s="155">
        <f>Assumptions!F262*Assumptions!$F$254</f>
        <v>50</v>
      </c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Z33" s="448"/>
    </row>
    <row r="34" spans="1:26" x14ac:dyDescent="0.25">
      <c r="A34" s="383"/>
      <c r="B34" s="33"/>
      <c r="C34" s="33" t="s">
        <v>885</v>
      </c>
      <c r="D34" s="33"/>
      <c r="E34" s="155">
        <f>E8*Assumptions!$F$263*Assumptions!$F$254</f>
        <v>11.592638461142839</v>
      </c>
      <c r="F34" s="155">
        <f>F8*Assumptions!$F$263*Assumptions!$F$254</f>
        <v>58.738615970168212</v>
      </c>
      <c r="G34" s="155">
        <f>G8*Assumptions!$F$263*Assumptions!$F$254</f>
        <v>231.45922969094306</v>
      </c>
      <c r="H34" s="155">
        <f>H8*Assumptions!$F$263*Assumptions!$F$254</f>
        <v>808.8835783356717</v>
      </c>
      <c r="I34" s="155">
        <f>I8*Assumptions!$F$263*Assumptions!$F$254</f>
        <v>1699.082156812166</v>
      </c>
      <c r="J34" s="155">
        <f>J8*Assumptions!$F$263*Assumptions!$F$254</f>
        <v>2702.3563667572071</v>
      </c>
      <c r="K34" s="155">
        <f>K8*Assumptions!$F$263*Assumptions!$F$254</f>
        <v>3953.7234997707401</v>
      </c>
      <c r="L34" s="155">
        <f>L8*Assumptions!$F$263*Assumptions!$F$254</f>
        <v>5253.9987704818113</v>
      </c>
      <c r="M34" s="155">
        <f>M8*Assumptions!$F$263*Assumptions!$F$254</f>
        <v>6588.4662315724236</v>
      </c>
      <c r="N34" s="155">
        <f>N8*Assumptions!$F$263*Assumptions!$F$254</f>
        <v>7955.6871506764446</v>
      </c>
      <c r="O34" s="155">
        <f>O8*Assumptions!$F$263*Assumptions!$F$254</f>
        <v>8834.4952950351962</v>
      </c>
      <c r="P34" s="155">
        <f>P8*Assumptions!$F$263*Assumptions!$F$254</f>
        <v>9877.2721638194162</v>
      </c>
      <c r="Q34" s="155">
        <f>Q8*Assumptions!$F$263*Assumptions!$F$254</f>
        <v>10872.414519817312</v>
      </c>
      <c r="R34" s="155">
        <f>R8*Assumptions!$F$263*Assumptions!$F$254</f>
        <v>11934.361030766075</v>
      </c>
      <c r="S34" s="155">
        <f>S8*Assumptions!$F$263*Assumptions!$F$254</f>
        <v>12914.406234831557</v>
      </c>
      <c r="T34" s="155">
        <f>T8*Assumptions!$F$263*Assumptions!$F$254</f>
        <v>13791.893026630603</v>
      </c>
      <c r="U34" s="155">
        <f>U8*Assumptions!$F$263*Assumptions!$F$254</f>
        <v>14708.474195708268</v>
      </c>
      <c r="V34" s="155">
        <f>V8*Assumptions!$F$263*Assumptions!$F$254</f>
        <v>15998.363105054676</v>
      </c>
      <c r="W34" s="155">
        <f>W8*Assumptions!$F$263*Assumptions!$F$254</f>
        <v>17357.754203343</v>
      </c>
      <c r="X34" s="155">
        <f>X8*Assumptions!$F$263*Assumptions!$F$254</f>
        <v>18790.053078682879</v>
      </c>
      <c r="Z34" s="448"/>
    </row>
    <row r="35" spans="1:26" x14ac:dyDescent="0.25">
      <c r="A35" s="383"/>
      <c r="B35" s="33"/>
      <c r="C35" s="33" t="s">
        <v>887</v>
      </c>
      <c r="D35" s="33"/>
      <c r="E35" s="403">
        <f>E9*Assumptions!$F$264*Assumptions!$F$254</f>
        <v>0</v>
      </c>
      <c r="F35" s="403">
        <f>F9*Assumptions!$F$264*Assumptions!$F$254</f>
        <v>0</v>
      </c>
      <c r="G35" s="403">
        <f>G9*Assumptions!$F$264*Assumptions!$F$254</f>
        <v>0</v>
      </c>
      <c r="H35" s="403">
        <f>H9*Assumptions!$F$264*Assumptions!$F$254</f>
        <v>0</v>
      </c>
      <c r="I35" s="403">
        <f>I9*Assumptions!$F$264*Assumptions!$F$254</f>
        <v>0</v>
      </c>
      <c r="J35" s="403">
        <f>J9*Assumptions!$F$264*Assumptions!$F$254</f>
        <v>0</v>
      </c>
      <c r="K35" s="403">
        <f>K9*Assumptions!$F$264*Assumptions!$F$254</f>
        <v>0</v>
      </c>
      <c r="L35" s="403">
        <f>L9*Assumptions!$F$264*Assumptions!$F$254</f>
        <v>0</v>
      </c>
      <c r="M35" s="403">
        <f>M9*Assumptions!$F$264*Assumptions!$F$254</f>
        <v>0</v>
      </c>
      <c r="N35" s="403">
        <f>N9*Assumptions!$F$264*Assumptions!$F$254</f>
        <v>0</v>
      </c>
      <c r="O35" s="403">
        <f>O9*Assumptions!$F$264*Assumptions!$F$254</f>
        <v>0</v>
      </c>
      <c r="P35" s="403">
        <f>P9*Assumptions!$F$264*Assumptions!$F$254</f>
        <v>0</v>
      </c>
      <c r="Q35" s="403">
        <f>Q9*Assumptions!$F$264*Assumptions!$F$254</f>
        <v>0</v>
      </c>
      <c r="R35" s="403">
        <f>R9*Assumptions!$F$264*Assumptions!$F$254</f>
        <v>0</v>
      </c>
      <c r="S35" s="403">
        <f>S9*Assumptions!$F$264*Assumptions!$F$254</f>
        <v>0</v>
      </c>
      <c r="T35" s="403">
        <f>T9*Assumptions!$F$264*Assumptions!$F$254</f>
        <v>0</v>
      </c>
      <c r="U35" s="403">
        <f>U9*Assumptions!$F$264*Assumptions!$F$254</f>
        <v>0</v>
      </c>
      <c r="V35" s="403">
        <f>V9*Assumptions!$F$264*Assumptions!$F$254</f>
        <v>0</v>
      </c>
      <c r="W35" s="403">
        <f>W9*Assumptions!$F$264*Assumptions!$F$254</f>
        <v>0</v>
      </c>
      <c r="X35" s="403">
        <f>X9*Assumptions!$F$264*Assumptions!$F$254</f>
        <v>0</v>
      </c>
      <c r="Z35" s="448"/>
    </row>
    <row r="36" spans="1:26" x14ac:dyDescent="0.25">
      <c r="A36" s="383"/>
      <c r="B36" s="33"/>
      <c r="C36" s="449" t="s">
        <v>896</v>
      </c>
      <c r="D36" s="33"/>
      <c r="E36" s="155">
        <f>SUM(E33:E35)</f>
        <v>61.59263846114284</v>
      </c>
      <c r="F36" s="155">
        <f t="shared" ref="F36:X36" si="5">SUM(F33:F35)</f>
        <v>58.738615970168212</v>
      </c>
      <c r="G36" s="155">
        <f t="shared" si="5"/>
        <v>231.45922969094306</v>
      </c>
      <c r="H36" s="155">
        <f t="shared" si="5"/>
        <v>808.8835783356717</v>
      </c>
      <c r="I36" s="155">
        <f t="shared" si="5"/>
        <v>1699.082156812166</v>
      </c>
      <c r="J36" s="155">
        <f t="shared" si="5"/>
        <v>2702.3563667572071</v>
      </c>
      <c r="K36" s="155">
        <f t="shared" si="5"/>
        <v>3953.7234997707401</v>
      </c>
      <c r="L36" s="155">
        <f t="shared" si="5"/>
        <v>5253.9987704818113</v>
      </c>
      <c r="M36" s="155">
        <f t="shared" si="5"/>
        <v>6588.4662315724236</v>
      </c>
      <c r="N36" s="155">
        <f t="shared" si="5"/>
        <v>7955.6871506764446</v>
      </c>
      <c r="O36" s="155">
        <f t="shared" si="5"/>
        <v>8834.4952950351962</v>
      </c>
      <c r="P36" s="155">
        <f t="shared" si="5"/>
        <v>9877.2721638194162</v>
      </c>
      <c r="Q36" s="155">
        <f t="shared" si="5"/>
        <v>10872.414519817312</v>
      </c>
      <c r="R36" s="155">
        <f t="shared" si="5"/>
        <v>11934.361030766075</v>
      </c>
      <c r="S36" s="155">
        <f t="shared" si="5"/>
        <v>12914.406234831557</v>
      </c>
      <c r="T36" s="155">
        <f t="shared" si="5"/>
        <v>13791.893026630603</v>
      </c>
      <c r="U36" s="155">
        <f t="shared" si="5"/>
        <v>14708.474195708268</v>
      </c>
      <c r="V36" s="155">
        <f t="shared" si="5"/>
        <v>15998.363105054676</v>
      </c>
      <c r="W36" s="155">
        <f t="shared" si="5"/>
        <v>17357.754203343</v>
      </c>
      <c r="X36" s="155">
        <f t="shared" si="5"/>
        <v>18790.053078682879</v>
      </c>
      <c r="Z36" s="448"/>
    </row>
    <row r="37" spans="1:26" x14ac:dyDescent="0.25">
      <c r="A37" s="383"/>
      <c r="B37" s="33"/>
      <c r="D37" s="3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Z37" s="448"/>
    </row>
    <row r="38" spans="1:26" x14ac:dyDescent="0.25">
      <c r="A38" s="383"/>
      <c r="B38" s="145" t="s">
        <v>208</v>
      </c>
      <c r="D38" s="33"/>
      <c r="E38" s="402">
        <f>E31+E36</f>
        <v>313.54822153782857</v>
      </c>
      <c r="F38" s="402">
        <f t="shared" ref="F38:X38" si="6">F31+F36</f>
        <v>338.98178555226912</v>
      </c>
      <c r="G38" s="402">
        <f t="shared" si="6"/>
        <v>615.33476750550892</v>
      </c>
      <c r="H38" s="402">
        <f t="shared" si="6"/>
        <v>1539.2137253370747</v>
      </c>
      <c r="I38" s="402">
        <f t="shared" si="6"/>
        <v>2963.5314508994657</v>
      </c>
      <c r="J38" s="402">
        <f t="shared" si="6"/>
        <v>4568.7701868115309</v>
      </c>
      <c r="K38" s="402">
        <f t="shared" si="6"/>
        <v>6570.9575996331841</v>
      </c>
      <c r="L38" s="402">
        <f t="shared" si="6"/>
        <v>8651.3980327708978</v>
      </c>
      <c r="M38" s="402">
        <f t="shared" si="6"/>
        <v>10786.545970515877</v>
      </c>
      <c r="N38" s="402">
        <f t="shared" si="6"/>
        <v>12974.099441082311</v>
      </c>
      <c r="O38" s="402">
        <f t="shared" si="6"/>
        <v>14380.192472056315</v>
      </c>
      <c r="P38" s="402">
        <f t="shared" si="6"/>
        <v>16048.635462111066</v>
      </c>
      <c r="Q38" s="402">
        <f t="shared" si="6"/>
        <v>17640.863231707699</v>
      </c>
      <c r="R38" s="402">
        <f t="shared" si="6"/>
        <v>19339.977649225719</v>
      </c>
      <c r="S38" s="402">
        <f t="shared" si="6"/>
        <v>20908.04997573049</v>
      </c>
      <c r="T38" s="402">
        <f t="shared" si="6"/>
        <v>22312.028842608968</v>
      </c>
      <c r="U38" s="402">
        <f t="shared" si="6"/>
        <v>23778.558713133229</v>
      </c>
      <c r="V38" s="402">
        <f t="shared" si="6"/>
        <v>25842.38096808748</v>
      </c>
      <c r="W38" s="402">
        <f t="shared" si="6"/>
        <v>28017.406725348803</v>
      </c>
      <c r="X38" s="402">
        <f t="shared" si="6"/>
        <v>30309.084925892603</v>
      </c>
    </row>
    <row r="39" spans="1:26" ht="13.8" thickBot="1" x14ac:dyDescent="0.3">
      <c r="A39" s="386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6" x14ac:dyDescent="0.25">
      <c r="A40" s="381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</row>
    <row r="41" spans="1:26" x14ac:dyDescent="0.25">
      <c r="A41" s="383"/>
      <c r="B41" s="145" t="s">
        <v>314</v>
      </c>
      <c r="C41" s="33"/>
      <c r="D41" s="33"/>
      <c r="E41" s="402">
        <f t="shared" ref="E41:X41" si="7">E23+E38</f>
        <v>627.09644307565713</v>
      </c>
      <c r="F41" s="402">
        <f t="shared" si="7"/>
        <v>677.96357110453823</v>
      </c>
      <c r="G41" s="402">
        <f t="shared" si="7"/>
        <v>1230.6695350110178</v>
      </c>
      <c r="H41" s="402">
        <f t="shared" si="7"/>
        <v>3078.4274506741494</v>
      </c>
      <c r="I41" s="402">
        <f t="shared" si="7"/>
        <v>5927.0629017989313</v>
      </c>
      <c r="J41" s="402">
        <f t="shared" si="7"/>
        <v>9137.5403736230619</v>
      </c>
      <c r="K41" s="402">
        <f t="shared" si="7"/>
        <v>13141.915199266368</v>
      </c>
      <c r="L41" s="402">
        <f t="shared" si="7"/>
        <v>17302.796065541796</v>
      </c>
      <c r="M41" s="402">
        <f t="shared" si="7"/>
        <v>21573.091941031755</v>
      </c>
      <c r="N41" s="402">
        <f t="shared" si="7"/>
        <v>25948.198882164623</v>
      </c>
      <c r="O41" s="402">
        <f t="shared" si="7"/>
        <v>28760.384944112629</v>
      </c>
      <c r="P41" s="402">
        <f t="shared" si="7"/>
        <v>32097.270924222132</v>
      </c>
      <c r="Q41" s="402">
        <f t="shared" si="7"/>
        <v>35281.726463415398</v>
      </c>
      <c r="R41" s="402">
        <f t="shared" si="7"/>
        <v>38679.955298451438</v>
      </c>
      <c r="S41" s="402">
        <f t="shared" si="7"/>
        <v>41816.099951460979</v>
      </c>
      <c r="T41" s="402">
        <f t="shared" si="7"/>
        <v>44624.057685217937</v>
      </c>
      <c r="U41" s="402">
        <f t="shared" si="7"/>
        <v>47557.117426266457</v>
      </c>
      <c r="V41" s="402">
        <f t="shared" si="7"/>
        <v>51684.76193617496</v>
      </c>
      <c r="W41" s="402">
        <f t="shared" si="7"/>
        <v>56034.813450697606</v>
      </c>
      <c r="X41" s="402">
        <f t="shared" si="7"/>
        <v>60618.169851785206</v>
      </c>
    </row>
    <row r="42" spans="1:26" ht="13.8" thickBot="1" x14ac:dyDescent="0.3">
      <c r="A42" s="386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6" x14ac:dyDescent="0.25">
      <c r="A43" s="38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6" x14ac:dyDescent="0.25">
      <c r="A44" s="383"/>
      <c r="B44" s="33"/>
      <c r="C44" s="33" t="s">
        <v>227</v>
      </c>
      <c r="D44" s="33"/>
      <c r="E44" s="155">
        <f>SUM($E$23:E23)</f>
        <v>313.54822153782857</v>
      </c>
      <c r="F44" s="155">
        <f>SUM($E$23:F23)</f>
        <v>652.53000709009768</v>
      </c>
      <c r="G44" s="155">
        <f>SUM($E$23:G23)</f>
        <v>1267.8647745956066</v>
      </c>
      <c r="H44" s="155">
        <f>SUM($E$23:H23)</f>
        <v>2807.0784999326816</v>
      </c>
      <c r="I44" s="155">
        <f>SUM($E$23:I23)</f>
        <v>5770.6099508321477</v>
      </c>
      <c r="J44" s="155">
        <f>SUM($E$23:J23)</f>
        <v>10339.380137643679</v>
      </c>
      <c r="K44" s="155">
        <f>SUM($E$23:K23)</f>
        <v>16910.337737276863</v>
      </c>
      <c r="L44" s="155">
        <f>SUM($E$23:L23)</f>
        <v>25561.735770047759</v>
      </c>
      <c r="M44" s="155">
        <f>SUM($E$23:M23)</f>
        <v>36348.281740563638</v>
      </c>
      <c r="N44" s="155">
        <f>SUM($E$23:N23)</f>
        <v>49322.381181645949</v>
      </c>
      <c r="O44" s="155">
        <f>SUM($E$23:O23)</f>
        <v>63702.57365370226</v>
      </c>
      <c r="P44" s="155">
        <f>SUM($E$23:P23)</f>
        <v>79751.209115813326</v>
      </c>
      <c r="Q44" s="155">
        <f>SUM($E$23:Q23)</f>
        <v>97392.072347521025</v>
      </c>
      <c r="R44" s="155">
        <f>SUM($E$23:R23)</f>
        <v>116732.04999674675</v>
      </c>
      <c r="S44" s="155">
        <f>SUM($E$23:S23)</f>
        <v>137640.09997247724</v>
      </c>
      <c r="T44" s="155">
        <f>SUM($E$23:T23)</f>
        <v>159952.12881508621</v>
      </c>
      <c r="U44" s="155">
        <f>SUM($E$23:U23)</f>
        <v>183730.68752821942</v>
      </c>
      <c r="V44" s="155">
        <f>SUM($E$23:V23)</f>
        <v>209573.06849630689</v>
      </c>
      <c r="W44" s="155">
        <f>SUM($E$23:W23)</f>
        <v>237590.47522165568</v>
      </c>
      <c r="X44" s="155">
        <f>SUM($E$23:X23)</f>
        <v>267899.56014754827</v>
      </c>
    </row>
    <row r="45" spans="1:26" x14ac:dyDescent="0.25">
      <c r="A45" s="383"/>
      <c r="B45" s="33"/>
      <c r="C45" s="33" t="s">
        <v>179</v>
      </c>
      <c r="D45" s="33"/>
      <c r="E45" s="450">
        <f>STB!E82</f>
        <v>464.63480806183708</v>
      </c>
      <c r="F45" s="450">
        <f>STB!F82</f>
        <v>2818.8879531587595</v>
      </c>
      <c r="G45" s="450">
        <f>STB!G82</f>
        <v>12095.810986863891</v>
      </c>
      <c r="H45" s="450">
        <f>STB!H82</f>
        <v>44515.994487291609</v>
      </c>
      <c r="I45" s="450">
        <f>STB!I82</f>
        <v>112615.4797302642</v>
      </c>
      <c r="J45" s="450">
        <f>STB!J82</f>
        <v>220926.35615339875</v>
      </c>
      <c r="K45" s="450">
        <f>STB!K82</f>
        <v>379392.22788769694</v>
      </c>
      <c r="L45" s="450">
        <f>STB!L82</f>
        <v>589973.34093306016</v>
      </c>
      <c r="M45" s="450">
        <f>STB!M82</f>
        <v>854040.12376161409</v>
      </c>
      <c r="N45" s="450">
        <f>STB!N82</f>
        <v>1172905.3402215918</v>
      </c>
      <c r="O45" s="450">
        <f>STB!O82</f>
        <v>1526993.3279985534</v>
      </c>
      <c r="P45" s="450">
        <f>STB!P82</f>
        <v>1922875.9798550429</v>
      </c>
      <c r="Q45" s="450">
        <f>STB!Q82</f>
        <v>2358644.0968817887</v>
      </c>
      <c r="R45" s="450">
        <f>STB!R82</f>
        <v>2836975.2003193069</v>
      </c>
      <c r="S45" s="450">
        <f>STB!S82</f>
        <v>3354586.6726572453</v>
      </c>
      <c r="T45" s="450">
        <f>STB!T82</f>
        <v>3907367.9562897342</v>
      </c>
      <c r="U45" s="450">
        <f>STB!U82</f>
        <v>4496885.9601257369</v>
      </c>
      <c r="V45" s="450">
        <f>STB!V82</f>
        <v>5138102.9182441607</v>
      </c>
      <c r="W45" s="450">
        <f>STB!W82</f>
        <v>5833804.4895204334</v>
      </c>
      <c r="X45" s="450">
        <f>STB!X82</f>
        <v>6586912.8293474019</v>
      </c>
    </row>
    <row r="46" spans="1:26" x14ac:dyDescent="0.25">
      <c r="A46" s="383"/>
      <c r="B46" s="33"/>
      <c r="C46" s="145" t="s">
        <v>228</v>
      </c>
      <c r="D46" s="145"/>
      <c r="E46" s="451">
        <f>E44/E45</f>
        <v>0.67482723226387986</v>
      </c>
      <c r="F46" s="451">
        <f t="shared" ref="F46:N46" si="8">F44/F45</f>
        <v>0.23148490395260038</v>
      </c>
      <c r="G46" s="451">
        <f t="shared" si="8"/>
        <v>0.10481850088204205</v>
      </c>
      <c r="H46" s="451">
        <f t="shared" si="8"/>
        <v>6.3057751090656727E-2</v>
      </c>
      <c r="I46" s="451">
        <f t="shared" si="8"/>
        <v>5.1241711749165142E-2</v>
      </c>
      <c r="J46" s="451">
        <f t="shared" si="8"/>
        <v>4.6800120717442141E-2</v>
      </c>
      <c r="K46" s="451">
        <f t="shared" si="8"/>
        <v>4.4572177536231591E-2</v>
      </c>
      <c r="L46" s="451">
        <f t="shared" si="8"/>
        <v>4.3326933602832157E-2</v>
      </c>
      <c r="M46" s="451">
        <f t="shared" si="8"/>
        <v>4.2560391168119681E-2</v>
      </c>
      <c r="N46" s="451">
        <f t="shared" si="8"/>
        <v>4.2051459303892071E-2</v>
      </c>
      <c r="O46" s="451">
        <f t="shared" ref="O46:X46" si="9">O44/O45</f>
        <v>4.171765029071732E-2</v>
      </c>
      <c r="P46" s="451">
        <f t="shared" si="9"/>
        <v>4.1474962478768605E-2</v>
      </c>
      <c r="Q46" s="451">
        <f t="shared" si="9"/>
        <v>4.1291550716056231E-2</v>
      </c>
      <c r="R46" s="451">
        <f t="shared" si="9"/>
        <v>4.1146658590321246E-2</v>
      </c>
      <c r="S46" s="451">
        <f t="shared" si="9"/>
        <v>4.1030419960337274E-2</v>
      </c>
      <c r="T46" s="451">
        <f t="shared" si="9"/>
        <v>4.0936029215679438E-2</v>
      </c>
      <c r="U46" s="451">
        <f t="shared" si="9"/>
        <v>4.0857315297157804E-2</v>
      </c>
      <c r="V46" s="451">
        <f t="shared" si="9"/>
        <v>4.0788024652477009E-2</v>
      </c>
      <c r="W46" s="451">
        <f t="shared" si="9"/>
        <v>4.072650628735533E-2</v>
      </c>
      <c r="X46" s="451">
        <f t="shared" si="9"/>
        <v>4.0671490133275437E-2</v>
      </c>
    </row>
    <row r="47" spans="1:26" ht="13.8" thickBot="1" x14ac:dyDescent="0.3">
      <c r="A47" s="386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</sheetData>
  <customSheetViews>
    <customSheetView guid="{00A591F2-C6CE-11D4-B3FE-00409628F381}" scale="75" showPageBreaks="1" fitToPage="1" showRuler="0">
      <pane xSplit="3" ySplit="5" topLeftCell="D6" activePane="bottomRight" state="frozen"/>
      <selection pane="bottomRight" activeCell="F14" sqref="F14"/>
      <pageMargins left="0.75" right="0.75" top="1" bottom="1" header="0.5" footer="0.5"/>
      <pageSetup scale="46" orientation="landscape" r:id="rId1"/>
      <headerFooter alignWithMargins="0"/>
    </customSheetView>
    <customSheetView guid="{39AEF1F3-C6CC-11D4-B3CC-0080C71F7D28}" scale="75" fitToPage="1" showRuler="0">
      <pane xSplit="3" ySplit="5" topLeftCell="D6" activePane="bottomRight" state="frozen"/>
      <selection pane="bottomRight" activeCell="E41" sqref="E41"/>
      <pageMargins left="0.75" right="0.75" top="1" bottom="1" header="0.5" footer="0.5"/>
      <pageSetup scale="46" orientation="landscape" r:id="rId2"/>
      <headerFooter alignWithMargins="0"/>
    </customSheetView>
  </customSheetViews>
  <pageMargins left="0.75" right="0.75" top="1" bottom="1" header="0.5" footer="0.5"/>
  <pageSetup scale="46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Z40"/>
  <sheetViews>
    <sheetView zoomScale="75" zoomScaleNormal="66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3" sqref="F23"/>
    </sheetView>
  </sheetViews>
  <sheetFormatPr defaultColWidth="9.109375" defaultRowHeight="13.2" x14ac:dyDescent="0.25"/>
  <cols>
    <col min="1" max="2" width="3.6640625" style="13" customWidth="1"/>
    <col min="3" max="3" width="51" style="13" customWidth="1"/>
    <col min="4" max="4" width="2.88671875" style="13" customWidth="1"/>
    <col min="5" max="24" width="9.88671875" style="13" customWidth="1"/>
    <col min="25" max="26" width="11.109375" style="15" customWidth="1"/>
    <col min="27" max="28" width="11.109375" style="13" customWidth="1"/>
    <col min="29" max="16384" width="9.109375" style="13"/>
  </cols>
  <sheetData>
    <row r="1" spans="1:24" ht="15.75" customHeight="1" x14ac:dyDescent="0.3">
      <c r="A1" s="5" t="s">
        <v>362</v>
      </c>
      <c r="B1" s="6"/>
      <c r="C1" s="427"/>
      <c r="D1" s="428"/>
      <c r="E1" s="428"/>
      <c r="F1" s="428"/>
      <c r="G1" s="428"/>
    </row>
    <row r="2" spans="1:24" ht="13.8" thickBot="1" x14ac:dyDescent="0.3">
      <c r="C2" s="160"/>
      <c r="D2" s="160"/>
      <c r="E2" s="160"/>
      <c r="F2" s="160"/>
      <c r="G2" s="160"/>
    </row>
    <row r="3" spans="1:24" x14ac:dyDescent="0.25">
      <c r="A3" s="213"/>
      <c r="B3" s="165"/>
      <c r="C3" s="164"/>
      <c r="D3" s="164"/>
      <c r="E3" s="164"/>
      <c r="F3" s="164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</row>
    <row r="4" spans="1:24" x14ac:dyDescent="0.25">
      <c r="A4" s="14"/>
      <c r="B4" s="15"/>
      <c r="C4" s="170"/>
      <c r="D4" s="170"/>
      <c r="E4" s="37">
        <f>Assumptions!F6</f>
        <v>2001</v>
      </c>
      <c r="F4" s="37">
        <f>Assumptions!G6</f>
        <v>2002</v>
      </c>
      <c r="G4" s="37">
        <f>Assumptions!H6</f>
        <v>2003</v>
      </c>
      <c r="H4" s="37">
        <f>Assumptions!I6</f>
        <v>2004</v>
      </c>
      <c r="I4" s="37">
        <f>Assumptions!J6</f>
        <v>2005</v>
      </c>
      <c r="J4" s="37">
        <f>Assumptions!K6</f>
        <v>2006</v>
      </c>
      <c r="K4" s="37">
        <f>Assumptions!L6</f>
        <v>2007</v>
      </c>
      <c r="L4" s="37">
        <f>Assumptions!M6</f>
        <v>2008</v>
      </c>
      <c r="M4" s="37">
        <f>Assumptions!N6</f>
        <v>2009</v>
      </c>
      <c r="N4" s="37">
        <f>Assumptions!O6</f>
        <v>2010</v>
      </c>
      <c r="O4" s="37">
        <f>Assumptions!P6</f>
        <v>2011</v>
      </c>
      <c r="P4" s="37">
        <f>Assumptions!Q6</f>
        <v>2012</v>
      </c>
      <c r="Q4" s="37">
        <f>Assumptions!R6</f>
        <v>2013</v>
      </c>
      <c r="R4" s="37">
        <f>Assumptions!S6</f>
        <v>2014</v>
      </c>
      <c r="S4" s="37">
        <f>Assumptions!T6</f>
        <v>2015</v>
      </c>
      <c r="T4" s="37">
        <f>Assumptions!U6</f>
        <v>2016</v>
      </c>
      <c r="U4" s="37">
        <f>Assumptions!V6</f>
        <v>2017</v>
      </c>
      <c r="V4" s="37">
        <f>Assumptions!W6</f>
        <v>2018</v>
      </c>
      <c r="W4" s="37">
        <f>Assumptions!X6</f>
        <v>2019</v>
      </c>
      <c r="X4" s="37">
        <f>Assumptions!Y6</f>
        <v>2020</v>
      </c>
    </row>
    <row r="5" spans="1:24" x14ac:dyDescent="0.25">
      <c r="A5" s="14"/>
      <c r="B5" s="15"/>
      <c r="C5" s="170"/>
      <c r="D5" s="170"/>
      <c r="E5" s="170"/>
      <c r="F5" s="170"/>
      <c r="G5" s="17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5">
      <c r="A6" s="14"/>
      <c r="B6" s="17" t="s">
        <v>863</v>
      </c>
      <c r="C6" s="170"/>
      <c r="D6" s="17"/>
    </row>
    <row r="7" spans="1:24" x14ac:dyDescent="0.25">
      <c r="A7" s="14"/>
      <c r="B7" s="15"/>
      <c r="C7" s="170" t="s">
        <v>862</v>
      </c>
      <c r="D7" s="177"/>
      <c r="E7" s="429">
        <f>Streaming!E17</f>
        <v>65.91796875</v>
      </c>
      <c r="F7" s="429">
        <f>Streaming!F17</f>
        <v>48.33984375</v>
      </c>
      <c r="G7" s="429">
        <f>Streaming!G17</f>
        <v>48.33984375</v>
      </c>
      <c r="H7" s="429">
        <f>Streaming!H17</f>
        <v>48.33984375</v>
      </c>
      <c r="I7" s="429">
        <f>Streaming!I17</f>
        <v>48.33984375</v>
      </c>
      <c r="J7" s="429">
        <f>Streaming!J17</f>
        <v>48.33984375</v>
      </c>
      <c r="K7" s="429">
        <f>Streaming!K17</f>
        <v>48.33984375</v>
      </c>
      <c r="L7" s="429">
        <f>Streaming!L17</f>
        <v>48.33984375</v>
      </c>
      <c r="M7" s="429">
        <f>Streaming!M17</f>
        <v>48.33984375</v>
      </c>
      <c r="N7" s="429">
        <f>Streaming!N17</f>
        <v>48.33984375</v>
      </c>
      <c r="O7" s="429">
        <f>Streaming!O17</f>
        <v>48.33984375</v>
      </c>
      <c r="P7" s="429">
        <f>Streaming!P17</f>
        <v>48.33984375</v>
      </c>
      <c r="Q7" s="429">
        <f>Streaming!Q17</f>
        <v>48.33984375</v>
      </c>
      <c r="R7" s="429">
        <f>Streaming!R17</f>
        <v>48.33984375</v>
      </c>
      <c r="S7" s="429">
        <f>Streaming!S17</f>
        <v>48.33984375</v>
      </c>
      <c r="T7" s="429">
        <f>Streaming!T17</f>
        <v>48.33984375</v>
      </c>
      <c r="U7" s="429">
        <f>Streaming!U17</f>
        <v>48.33984375</v>
      </c>
      <c r="V7" s="429">
        <f>Streaming!V17</f>
        <v>48.33984375</v>
      </c>
      <c r="W7" s="429">
        <f>Streaming!W17</f>
        <v>48.33984375</v>
      </c>
      <c r="X7" s="429">
        <f>Streaming!X17</f>
        <v>48.33984375</v>
      </c>
    </row>
    <row r="8" spans="1:24" x14ac:dyDescent="0.25">
      <c r="A8" s="14"/>
      <c r="B8" s="15"/>
      <c r="C8" s="170" t="s">
        <v>220</v>
      </c>
      <c r="D8" s="177"/>
      <c r="E8" s="15">
        <f>Streaming!E19</f>
        <v>30</v>
      </c>
      <c r="F8" s="15">
        <f>Streaming!F19</f>
        <v>54</v>
      </c>
      <c r="G8" s="15">
        <f>Streaming!G19</f>
        <v>78</v>
      </c>
      <c r="H8" s="15">
        <f>Streaming!H19</f>
        <v>102</v>
      </c>
      <c r="I8" s="15">
        <f>Streaming!I19</f>
        <v>126</v>
      </c>
      <c r="J8" s="15">
        <f>Streaming!J19</f>
        <v>150</v>
      </c>
      <c r="K8" s="15">
        <f>Streaming!K19</f>
        <v>174</v>
      </c>
      <c r="L8" s="15">
        <f>Streaming!L19</f>
        <v>198</v>
      </c>
      <c r="M8" s="15">
        <f>Streaming!M19</f>
        <v>222</v>
      </c>
      <c r="N8" s="15">
        <f>Streaming!N19</f>
        <v>246</v>
      </c>
      <c r="O8" s="15">
        <f>Streaming!O19</f>
        <v>270</v>
      </c>
      <c r="P8" s="15">
        <f>Streaming!P19</f>
        <v>294</v>
      </c>
      <c r="Q8" s="15">
        <f>Streaming!Q19</f>
        <v>318</v>
      </c>
      <c r="R8" s="15">
        <f>Streaming!R19</f>
        <v>342</v>
      </c>
      <c r="S8" s="15">
        <f>Streaming!S19</f>
        <v>366</v>
      </c>
      <c r="T8" s="15">
        <f>Streaming!T19</f>
        <v>390</v>
      </c>
      <c r="U8" s="15">
        <f>Streaming!U19</f>
        <v>414</v>
      </c>
      <c r="V8" s="15">
        <f>Streaming!V19</f>
        <v>438</v>
      </c>
      <c r="W8" s="15">
        <f>Streaming!W19</f>
        <v>462</v>
      </c>
      <c r="X8" s="15">
        <f>Streaming!X19</f>
        <v>486</v>
      </c>
    </row>
    <row r="9" spans="1:24" x14ac:dyDescent="0.25">
      <c r="A9" s="14"/>
      <c r="B9" s="15"/>
      <c r="C9" s="177" t="s">
        <v>864</v>
      </c>
      <c r="D9" s="177"/>
      <c r="E9" s="430">
        <f>E7*E8</f>
        <v>1977.5390625</v>
      </c>
      <c r="F9" s="430">
        <f t="shared" ref="F9:N9" si="0">F7*F8</f>
        <v>2610.3515625</v>
      </c>
      <c r="G9" s="430">
        <f t="shared" si="0"/>
        <v>3770.5078125</v>
      </c>
      <c r="H9" s="430">
        <f t="shared" si="0"/>
        <v>4930.6640625</v>
      </c>
      <c r="I9" s="430">
        <f t="shared" si="0"/>
        <v>6090.8203125</v>
      </c>
      <c r="J9" s="430">
        <f t="shared" si="0"/>
        <v>7250.9765625</v>
      </c>
      <c r="K9" s="430">
        <f t="shared" si="0"/>
        <v>8411.1328125</v>
      </c>
      <c r="L9" s="430">
        <f t="shared" si="0"/>
        <v>9571.2890625</v>
      </c>
      <c r="M9" s="430">
        <f t="shared" si="0"/>
        <v>10731.4453125</v>
      </c>
      <c r="N9" s="430">
        <f t="shared" si="0"/>
        <v>11891.6015625</v>
      </c>
      <c r="O9" s="430">
        <f t="shared" ref="O9:X9" si="1">O7*O8</f>
        <v>13051.7578125</v>
      </c>
      <c r="P9" s="430">
        <f t="shared" si="1"/>
        <v>14211.9140625</v>
      </c>
      <c r="Q9" s="430">
        <f t="shared" si="1"/>
        <v>15372.0703125</v>
      </c>
      <c r="R9" s="430">
        <f t="shared" si="1"/>
        <v>16532.2265625</v>
      </c>
      <c r="S9" s="430">
        <f t="shared" si="1"/>
        <v>17692.3828125</v>
      </c>
      <c r="T9" s="430">
        <f t="shared" si="1"/>
        <v>18852.5390625</v>
      </c>
      <c r="U9" s="430">
        <f t="shared" si="1"/>
        <v>20012.6953125</v>
      </c>
      <c r="V9" s="430">
        <f t="shared" si="1"/>
        <v>21172.8515625</v>
      </c>
      <c r="W9" s="430">
        <f t="shared" si="1"/>
        <v>22333.0078125</v>
      </c>
      <c r="X9" s="430">
        <f t="shared" si="1"/>
        <v>23493.1640625</v>
      </c>
    </row>
    <row r="10" spans="1:24" x14ac:dyDescent="0.25">
      <c r="A10" s="14"/>
      <c r="B10" s="15"/>
      <c r="C10" s="177"/>
      <c r="D10" s="177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</row>
    <row r="11" spans="1:24" x14ac:dyDescent="0.25">
      <c r="A11" s="14"/>
      <c r="B11" s="15"/>
      <c r="C11" s="33" t="s">
        <v>221</v>
      </c>
      <c r="D11" s="177"/>
      <c r="E11" s="431">
        <f>Assumptions!$F$204</f>
        <v>0</v>
      </c>
      <c r="F11" s="431">
        <f>Assumptions!$F$204</f>
        <v>0</v>
      </c>
      <c r="G11" s="431">
        <f>Assumptions!$F$204</f>
        <v>0</v>
      </c>
      <c r="H11" s="431">
        <f>Assumptions!$F$204</f>
        <v>0</v>
      </c>
      <c r="I11" s="431">
        <f>Assumptions!$F$204</f>
        <v>0</v>
      </c>
      <c r="J11" s="431">
        <f>Assumptions!$F$204</f>
        <v>0</v>
      </c>
      <c r="K11" s="431">
        <f>Assumptions!$F$204</f>
        <v>0</v>
      </c>
      <c r="L11" s="431">
        <f>Assumptions!$F$204</f>
        <v>0</v>
      </c>
      <c r="M11" s="431">
        <f>Assumptions!$F$204</f>
        <v>0</v>
      </c>
      <c r="N11" s="431">
        <f>Assumptions!$F$204</f>
        <v>0</v>
      </c>
      <c r="O11" s="431">
        <f>Assumptions!$F$204</f>
        <v>0</v>
      </c>
      <c r="P11" s="431">
        <f>Assumptions!$F$204</f>
        <v>0</v>
      </c>
      <c r="Q11" s="431">
        <f>Assumptions!$F$204</f>
        <v>0</v>
      </c>
      <c r="R11" s="431">
        <f>Assumptions!$F$204</f>
        <v>0</v>
      </c>
      <c r="S11" s="431">
        <f>Assumptions!$F$204</f>
        <v>0</v>
      </c>
      <c r="T11" s="431">
        <f>Assumptions!$F$204</f>
        <v>0</v>
      </c>
      <c r="U11" s="431">
        <f>Assumptions!$F$204</f>
        <v>0</v>
      </c>
      <c r="V11" s="431">
        <f>Assumptions!$F$204</f>
        <v>0</v>
      </c>
      <c r="W11" s="431">
        <f>Assumptions!$F$204</f>
        <v>0</v>
      </c>
      <c r="X11" s="431">
        <f>Assumptions!$F$204</f>
        <v>0</v>
      </c>
    </row>
    <row r="12" spans="1:24" x14ac:dyDescent="0.25">
      <c r="A12" s="14"/>
      <c r="B12" s="15"/>
      <c r="C12" s="33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</row>
    <row r="13" spans="1:24" x14ac:dyDescent="0.25">
      <c r="A13" s="14"/>
      <c r="B13" s="15"/>
      <c r="C13" s="33" t="str">
        <f>Assumptions!D211</f>
        <v>Bandwidth from DC POP to ISP POP ($/GB) - Peak</v>
      </c>
      <c r="D13" s="177"/>
      <c r="E13" s="432">
        <f>Assumptions!F211</f>
        <v>1.6</v>
      </c>
      <c r="F13" s="432">
        <f>Assumptions!G211</f>
        <v>1.36</v>
      </c>
      <c r="G13" s="432">
        <f>Assumptions!H211</f>
        <v>1.1560000000000001</v>
      </c>
      <c r="H13" s="432">
        <f>Assumptions!I211</f>
        <v>0.98260000000000014</v>
      </c>
      <c r="I13" s="432">
        <f>Assumptions!J211</f>
        <v>0.83521000000000012</v>
      </c>
      <c r="J13" s="432">
        <f>Assumptions!K211</f>
        <v>0.70992850000000007</v>
      </c>
      <c r="K13" s="432">
        <f>Assumptions!L211</f>
        <v>0.60343922500000002</v>
      </c>
      <c r="L13" s="432">
        <f>Assumptions!M211</f>
        <v>0.51292334125000005</v>
      </c>
      <c r="M13" s="432">
        <f>Assumptions!N211</f>
        <v>0.43598484006250005</v>
      </c>
      <c r="N13" s="432">
        <f>Assumptions!O211</f>
        <v>0.37058711405312506</v>
      </c>
      <c r="O13" s="432">
        <f>Assumptions!P211</f>
        <v>0.31499904694515629</v>
      </c>
      <c r="P13" s="432">
        <f>Assumptions!Q211</f>
        <v>0.26774918990338287</v>
      </c>
      <c r="Q13" s="432">
        <f>Assumptions!R211</f>
        <v>0.22758681141787543</v>
      </c>
      <c r="R13" s="432">
        <f>Assumptions!S211</f>
        <v>0.19344878970519411</v>
      </c>
      <c r="S13" s="432">
        <f>Assumptions!T211</f>
        <v>0.16443147124941498</v>
      </c>
      <c r="T13" s="432">
        <f>Assumptions!U211</f>
        <v>0.13976675056200275</v>
      </c>
      <c r="U13" s="432">
        <f>Assumptions!V211</f>
        <v>0.11880173797770233</v>
      </c>
      <c r="V13" s="432">
        <f>Assumptions!W211</f>
        <v>0.10098147728104698</v>
      </c>
      <c r="W13" s="432">
        <f>Assumptions!X211</f>
        <v>8.5834255688889929E-2</v>
      </c>
      <c r="X13" s="432">
        <f>Assumptions!Y211</f>
        <v>7.2959117335556434E-2</v>
      </c>
    </row>
    <row r="14" spans="1:24" x14ac:dyDescent="0.25">
      <c r="A14" s="14"/>
      <c r="B14" s="15"/>
      <c r="C14" s="33" t="str">
        <f>Assumptions!D212</f>
        <v>Bandwidth from DC POP to ISP POPs ($/GB) - Off-Peak</v>
      </c>
      <c r="D14" s="177"/>
      <c r="E14" s="432">
        <f>Assumptions!F212</f>
        <v>0.4</v>
      </c>
      <c r="F14" s="432">
        <f>Assumptions!G212</f>
        <v>0.34</v>
      </c>
      <c r="G14" s="432">
        <f>Assumptions!H212</f>
        <v>0.28900000000000003</v>
      </c>
      <c r="H14" s="432">
        <f>Assumptions!I212</f>
        <v>0.24565000000000003</v>
      </c>
      <c r="I14" s="432">
        <f>Assumptions!J212</f>
        <v>0.20880250000000003</v>
      </c>
      <c r="J14" s="432">
        <f>Assumptions!K212</f>
        <v>0.17748212500000002</v>
      </c>
      <c r="K14" s="432">
        <f>Assumptions!L212</f>
        <v>0.15085980625000001</v>
      </c>
      <c r="L14" s="432">
        <f>Assumptions!M212</f>
        <v>0.12823083531250001</v>
      </c>
      <c r="M14" s="432">
        <f>Assumptions!N212</f>
        <v>0.10899621001562501</v>
      </c>
      <c r="N14" s="432">
        <f>Assumptions!O212</f>
        <v>9.2646778513281264E-2</v>
      </c>
      <c r="O14" s="432">
        <f>Assumptions!P212</f>
        <v>7.8749761736289073E-2</v>
      </c>
      <c r="P14" s="432">
        <f>Assumptions!Q212</f>
        <v>6.6937297475845717E-2</v>
      </c>
      <c r="Q14" s="432">
        <f>Assumptions!R212</f>
        <v>5.6896702854468857E-2</v>
      </c>
      <c r="R14" s="432">
        <f>Assumptions!S212</f>
        <v>4.8362197426298527E-2</v>
      </c>
      <c r="S14" s="432">
        <f>Assumptions!T212</f>
        <v>4.1107867812353746E-2</v>
      </c>
      <c r="T14" s="432">
        <f>Assumptions!U212</f>
        <v>3.4941687640500686E-2</v>
      </c>
      <c r="U14" s="432">
        <f>Assumptions!V212</f>
        <v>2.9700434494425582E-2</v>
      </c>
      <c r="V14" s="432">
        <f>Assumptions!W212</f>
        <v>2.5245369320261744E-2</v>
      </c>
      <c r="W14" s="432">
        <f>Assumptions!X212</f>
        <v>2.1458563922222482E-2</v>
      </c>
      <c r="X14" s="432">
        <f>Assumptions!Y212</f>
        <v>1.8239779333889108E-2</v>
      </c>
    </row>
    <row r="15" spans="1:24" x14ac:dyDescent="0.25">
      <c r="A15" s="14"/>
      <c r="B15" s="15"/>
      <c r="C15" s="33"/>
      <c r="D15" s="177"/>
      <c r="E15" s="177"/>
      <c r="F15" s="177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</row>
    <row r="16" spans="1:24" x14ac:dyDescent="0.25">
      <c r="A16" s="14"/>
      <c r="B16" s="15"/>
      <c r="C16" s="33" t="s">
        <v>224</v>
      </c>
      <c r="D16" s="177"/>
      <c r="E16" s="434">
        <f>E9*E11*E13</f>
        <v>0</v>
      </c>
      <c r="F16" s="434">
        <f t="shared" ref="F16:N16" si="2">F9*F11*F13</f>
        <v>0</v>
      </c>
      <c r="G16" s="434">
        <f t="shared" si="2"/>
        <v>0</v>
      </c>
      <c r="H16" s="434">
        <f t="shared" si="2"/>
        <v>0</v>
      </c>
      <c r="I16" s="434">
        <f t="shared" si="2"/>
        <v>0</v>
      </c>
      <c r="J16" s="434">
        <f t="shared" si="2"/>
        <v>0</v>
      </c>
      <c r="K16" s="434">
        <f t="shared" si="2"/>
        <v>0</v>
      </c>
      <c r="L16" s="434">
        <f t="shared" si="2"/>
        <v>0</v>
      </c>
      <c r="M16" s="434">
        <f t="shared" si="2"/>
        <v>0</v>
      </c>
      <c r="N16" s="434">
        <f t="shared" si="2"/>
        <v>0</v>
      </c>
      <c r="O16" s="434">
        <f t="shared" ref="O16:X16" si="3">O9*O11*O13</f>
        <v>0</v>
      </c>
      <c r="P16" s="434">
        <f t="shared" si="3"/>
        <v>0</v>
      </c>
      <c r="Q16" s="434">
        <f t="shared" si="3"/>
        <v>0</v>
      </c>
      <c r="R16" s="434">
        <f t="shared" si="3"/>
        <v>0</v>
      </c>
      <c r="S16" s="434">
        <f t="shared" si="3"/>
        <v>0</v>
      </c>
      <c r="T16" s="434">
        <f t="shared" si="3"/>
        <v>0</v>
      </c>
      <c r="U16" s="434">
        <f t="shared" si="3"/>
        <v>0</v>
      </c>
      <c r="V16" s="434">
        <f t="shared" si="3"/>
        <v>0</v>
      </c>
      <c r="W16" s="434">
        <f t="shared" si="3"/>
        <v>0</v>
      </c>
      <c r="X16" s="434">
        <f t="shared" si="3"/>
        <v>0</v>
      </c>
    </row>
    <row r="17" spans="1:26" ht="15" x14ac:dyDescent="0.4">
      <c r="A17" s="14"/>
      <c r="B17" s="15"/>
      <c r="C17" s="33" t="s">
        <v>225</v>
      </c>
      <c r="D17" s="177"/>
      <c r="E17" s="435">
        <f>E9*(1-E11)*E14</f>
        <v>791.015625</v>
      </c>
      <c r="F17" s="435">
        <f>F9*(1-F11)*F14</f>
        <v>887.51953125000011</v>
      </c>
      <c r="G17" s="435">
        <f t="shared" ref="G17:N17" si="4">G9*(1-G11)*G14</f>
        <v>1089.6767578125002</v>
      </c>
      <c r="H17" s="435">
        <f t="shared" si="4"/>
        <v>1211.2176269531251</v>
      </c>
      <c r="I17" s="435">
        <f t="shared" si="4"/>
        <v>1271.7785083007814</v>
      </c>
      <c r="J17" s="435">
        <f t="shared" si="4"/>
        <v>1286.9187286376955</v>
      </c>
      <c r="K17" s="435">
        <f t="shared" si="4"/>
        <v>1268.9018664367677</v>
      </c>
      <c r="L17" s="435">
        <f t="shared" si="4"/>
        <v>1227.3343915017701</v>
      </c>
      <c r="M17" s="435">
        <f t="shared" si="4"/>
        <v>1169.6868670524445</v>
      </c>
      <c r="N17" s="435">
        <f t="shared" si="4"/>
        <v>1101.7185761291269</v>
      </c>
      <c r="O17" s="435">
        <f t="shared" ref="O17:X17" si="5">O9*(1-O11)*O14</f>
        <v>1027.8228179741245</v>
      </c>
      <c r="P17" s="435">
        <f t="shared" si="5"/>
        <v>951.30711930271752</v>
      </c>
      <c r="Q17" s="435">
        <f t="shared" si="5"/>
        <v>874.62011682831474</v>
      </c>
      <c r="R17" s="435">
        <f t="shared" si="5"/>
        <v>799.5348049119217</v>
      </c>
      <c r="S17" s="435">
        <f t="shared" si="5"/>
        <v>727.29613394180944</v>
      </c>
      <c r="T17" s="435">
        <f t="shared" si="5"/>
        <v>658.73953115221263</v>
      </c>
      <c r="U17" s="435">
        <f t="shared" si="5"/>
        <v>594.38574618580412</v>
      </c>
      <c r="V17" s="435">
        <f t="shared" si="5"/>
        <v>534.51645725839342</v>
      </c>
      <c r="W17" s="435">
        <f t="shared" si="5"/>
        <v>479.23427572002532</v>
      </c>
      <c r="X17" s="435">
        <f t="shared" si="5"/>
        <v>428.5101283548538</v>
      </c>
    </row>
    <row r="18" spans="1:26" s="1" customFormat="1" x14ac:dyDescent="0.25">
      <c r="A18" s="436"/>
      <c r="B18" s="17"/>
      <c r="C18" s="145" t="s">
        <v>865</v>
      </c>
      <c r="D18" s="177"/>
      <c r="E18" s="437">
        <f t="shared" ref="E18:X18" si="6">SUM(E16:E17)*12/1000</f>
        <v>9.4921875</v>
      </c>
      <c r="F18" s="437">
        <f t="shared" si="6"/>
        <v>10.650234375000002</v>
      </c>
      <c r="G18" s="437">
        <f t="shared" si="6"/>
        <v>13.076121093750004</v>
      </c>
      <c r="H18" s="437">
        <f t="shared" si="6"/>
        <v>14.534611523437501</v>
      </c>
      <c r="I18" s="437">
        <f t="shared" si="6"/>
        <v>15.261342099609378</v>
      </c>
      <c r="J18" s="437">
        <f t="shared" si="6"/>
        <v>15.443024743652346</v>
      </c>
      <c r="K18" s="437">
        <f t="shared" si="6"/>
        <v>15.226822397241213</v>
      </c>
      <c r="L18" s="437">
        <f t="shared" si="6"/>
        <v>14.72801269802124</v>
      </c>
      <c r="M18" s="437">
        <f t="shared" si="6"/>
        <v>14.036242404629334</v>
      </c>
      <c r="N18" s="437">
        <f t="shared" si="6"/>
        <v>13.220622913549523</v>
      </c>
      <c r="O18" s="437">
        <f t="shared" si="6"/>
        <v>12.333873815689493</v>
      </c>
      <c r="P18" s="437">
        <f t="shared" si="6"/>
        <v>11.41568543163261</v>
      </c>
      <c r="Q18" s="437">
        <f t="shared" si="6"/>
        <v>10.495441401939777</v>
      </c>
      <c r="R18" s="437">
        <f t="shared" si="6"/>
        <v>9.5944176589430601</v>
      </c>
      <c r="S18" s="437">
        <f t="shared" si="6"/>
        <v>8.7275536073017133</v>
      </c>
      <c r="T18" s="437">
        <f t="shared" si="6"/>
        <v>7.9048743738265514</v>
      </c>
      <c r="U18" s="437">
        <f t="shared" si="6"/>
        <v>7.1326289542296486</v>
      </c>
      <c r="V18" s="437">
        <f t="shared" si="6"/>
        <v>6.4141974871007204</v>
      </c>
      <c r="W18" s="437">
        <f t="shared" si="6"/>
        <v>5.7508113086403032</v>
      </c>
      <c r="X18" s="437">
        <f t="shared" si="6"/>
        <v>5.1421215402582456</v>
      </c>
      <c r="Y18" s="17"/>
      <c r="Z18" s="17"/>
    </row>
    <row r="19" spans="1:26" x14ac:dyDescent="0.25">
      <c r="A19" s="14"/>
      <c r="B19" s="15"/>
      <c r="C19" s="33"/>
      <c r="D19" s="177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</row>
    <row r="20" spans="1:26" x14ac:dyDescent="0.25">
      <c r="A20" s="14"/>
      <c r="B20" s="17" t="s">
        <v>396</v>
      </c>
      <c r="C20" s="33"/>
      <c r="D20" s="177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</row>
    <row r="21" spans="1:26" x14ac:dyDescent="0.25">
      <c r="A21" s="14"/>
      <c r="B21" s="15"/>
      <c r="C21" s="33" t="s">
        <v>397</v>
      </c>
      <c r="D21" s="177"/>
      <c r="E21" s="434">
        <f>Streaming!E9</f>
        <v>0</v>
      </c>
      <c r="F21" s="434">
        <f>Streaming!F9</f>
        <v>0</v>
      </c>
      <c r="G21" s="434">
        <f>Streaming!G9</f>
        <v>0</v>
      </c>
      <c r="H21" s="434">
        <f>Streaming!H9</f>
        <v>0</v>
      </c>
      <c r="I21" s="434">
        <f>Streaming!I9</f>
        <v>0</v>
      </c>
      <c r="J21" s="434">
        <f>Streaming!J9</f>
        <v>0</v>
      </c>
      <c r="K21" s="434">
        <f>Streaming!K9</f>
        <v>0</v>
      </c>
      <c r="L21" s="434">
        <f>Streaming!L9</f>
        <v>0</v>
      </c>
      <c r="M21" s="434">
        <f>Streaming!M9</f>
        <v>0</v>
      </c>
      <c r="N21" s="434">
        <f>Streaming!N9</f>
        <v>0</v>
      </c>
      <c r="O21" s="434">
        <f>Streaming!O9</f>
        <v>0</v>
      </c>
      <c r="P21" s="434">
        <f>Streaming!P9</f>
        <v>0</v>
      </c>
      <c r="Q21" s="434">
        <f>Streaming!Q9</f>
        <v>0</v>
      </c>
      <c r="R21" s="434">
        <f>Streaming!R9</f>
        <v>0</v>
      </c>
      <c r="S21" s="434">
        <f>Streaming!S9</f>
        <v>0</v>
      </c>
      <c r="T21" s="434">
        <f>Streaming!T9</f>
        <v>0</v>
      </c>
      <c r="U21" s="434">
        <f>Streaming!U9</f>
        <v>0</v>
      </c>
      <c r="V21" s="434">
        <f>Streaming!V9</f>
        <v>0</v>
      </c>
      <c r="W21" s="434">
        <f>Streaming!W9</f>
        <v>0</v>
      </c>
      <c r="X21" s="434">
        <f>Streaming!X9</f>
        <v>0</v>
      </c>
    </row>
    <row r="22" spans="1:26" x14ac:dyDescent="0.25">
      <c r="A22" s="14"/>
      <c r="B22" s="15"/>
      <c r="C22" s="33" t="s">
        <v>398</v>
      </c>
      <c r="D22" s="177"/>
      <c r="E22" s="434">
        <f>Streaming!E9*Streaming!E11</f>
        <v>0</v>
      </c>
      <c r="F22" s="434">
        <f>Streaming!F9*Streaming!F11</f>
        <v>0</v>
      </c>
      <c r="G22" s="434">
        <f>Streaming!G9*Streaming!G11</f>
        <v>0</v>
      </c>
      <c r="H22" s="434">
        <f>Streaming!H9*Streaming!H11</f>
        <v>0</v>
      </c>
      <c r="I22" s="434">
        <f>Streaming!I9*Streaming!I11</f>
        <v>0</v>
      </c>
      <c r="J22" s="434">
        <f>Streaming!J9*Streaming!J11</f>
        <v>0</v>
      </c>
      <c r="K22" s="434">
        <f>Streaming!K9*Streaming!K11</f>
        <v>0</v>
      </c>
      <c r="L22" s="434">
        <f>Streaming!L9*Streaming!L11</f>
        <v>0</v>
      </c>
      <c r="M22" s="434">
        <f>Streaming!M9*Streaming!M11</f>
        <v>0</v>
      </c>
      <c r="N22" s="434">
        <f>Streaming!N9*Streaming!N11</f>
        <v>0</v>
      </c>
      <c r="O22" s="434">
        <f>Streaming!O9*Streaming!O11</f>
        <v>0</v>
      </c>
      <c r="P22" s="434">
        <f>Streaming!P9*Streaming!P11</f>
        <v>0</v>
      </c>
      <c r="Q22" s="434">
        <f>Streaming!Q9*Streaming!Q11</f>
        <v>0</v>
      </c>
      <c r="R22" s="434">
        <f>Streaming!R9*Streaming!R11</f>
        <v>0</v>
      </c>
      <c r="S22" s="434">
        <f>Streaming!S9*Streaming!S11</f>
        <v>0</v>
      </c>
      <c r="T22" s="434">
        <f>Streaming!T9*Streaming!T11</f>
        <v>0</v>
      </c>
      <c r="U22" s="434">
        <f>Streaming!U9*Streaming!U11</f>
        <v>0</v>
      </c>
      <c r="V22" s="434">
        <f>Streaming!V9*Streaming!V11</f>
        <v>0</v>
      </c>
      <c r="W22" s="434">
        <f>Streaming!W9*Streaming!W11</f>
        <v>0</v>
      </c>
      <c r="X22" s="434">
        <f>Streaming!X9*Streaming!X11</f>
        <v>0</v>
      </c>
    </row>
    <row r="23" spans="1:26" x14ac:dyDescent="0.25">
      <c r="A23" s="14"/>
      <c r="B23" s="15"/>
      <c r="C23" s="33"/>
      <c r="D23" s="177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</row>
    <row r="24" spans="1:26" x14ac:dyDescent="0.25">
      <c r="A24" s="14"/>
      <c r="B24" s="15"/>
      <c r="C24" s="33" t="s">
        <v>399</v>
      </c>
      <c r="D24" s="177"/>
      <c r="E24" s="438">
        <f>Assumptions!$F$207</f>
        <v>0.8</v>
      </c>
      <c r="F24" s="438">
        <f>Assumptions!$F$207</f>
        <v>0.8</v>
      </c>
      <c r="G24" s="438">
        <f>Assumptions!$F$207</f>
        <v>0.8</v>
      </c>
      <c r="H24" s="438">
        <f>Assumptions!$F$207</f>
        <v>0.8</v>
      </c>
      <c r="I24" s="438">
        <f>Assumptions!$F$207</f>
        <v>0.8</v>
      </c>
      <c r="J24" s="438">
        <f>Assumptions!$F$207</f>
        <v>0.8</v>
      </c>
      <c r="K24" s="438">
        <f>Assumptions!$F$207</f>
        <v>0.8</v>
      </c>
      <c r="L24" s="438">
        <f>Assumptions!$F$207</f>
        <v>0.8</v>
      </c>
      <c r="M24" s="438">
        <f>Assumptions!$F$207</f>
        <v>0.8</v>
      </c>
      <c r="N24" s="438">
        <f>Assumptions!$F$207</f>
        <v>0.8</v>
      </c>
      <c r="O24" s="438">
        <f>Assumptions!$F$207</f>
        <v>0.8</v>
      </c>
      <c r="P24" s="438">
        <f>Assumptions!$F$207</f>
        <v>0.8</v>
      </c>
      <c r="Q24" s="438">
        <f>Assumptions!$F$207</f>
        <v>0.8</v>
      </c>
      <c r="R24" s="438">
        <f>Assumptions!$F$207</f>
        <v>0.8</v>
      </c>
      <c r="S24" s="438">
        <f>Assumptions!$F$207</f>
        <v>0.8</v>
      </c>
      <c r="T24" s="438">
        <f>Assumptions!$F$207</f>
        <v>0.8</v>
      </c>
      <c r="U24" s="438">
        <f>Assumptions!$F$207</f>
        <v>0.8</v>
      </c>
      <c r="V24" s="438">
        <f>Assumptions!$F$207</f>
        <v>0.8</v>
      </c>
      <c r="W24" s="438">
        <f>Assumptions!$F$207</f>
        <v>0.8</v>
      </c>
      <c r="X24" s="438">
        <f>Assumptions!$F$207</f>
        <v>0.8</v>
      </c>
    </row>
    <row r="25" spans="1:26" x14ac:dyDescent="0.25">
      <c r="A25" s="14"/>
      <c r="B25" s="15"/>
      <c r="C25" s="33"/>
      <c r="D25" s="177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</row>
    <row r="26" spans="1:26" x14ac:dyDescent="0.25">
      <c r="A26" s="14"/>
      <c r="B26" s="15"/>
      <c r="C26" s="33" t="s">
        <v>223</v>
      </c>
      <c r="D26" s="177"/>
      <c r="E26" s="432">
        <f>E13</f>
        <v>1.6</v>
      </c>
      <c r="F26" s="432">
        <f t="shared" ref="F26:N26" si="7">F13</f>
        <v>1.36</v>
      </c>
      <c r="G26" s="432">
        <f t="shared" si="7"/>
        <v>1.1560000000000001</v>
      </c>
      <c r="H26" s="432">
        <f t="shared" si="7"/>
        <v>0.98260000000000014</v>
      </c>
      <c r="I26" s="432">
        <f t="shared" si="7"/>
        <v>0.83521000000000012</v>
      </c>
      <c r="J26" s="432">
        <f t="shared" si="7"/>
        <v>0.70992850000000007</v>
      </c>
      <c r="K26" s="432">
        <f t="shared" si="7"/>
        <v>0.60343922500000002</v>
      </c>
      <c r="L26" s="432">
        <f t="shared" si="7"/>
        <v>0.51292334125000005</v>
      </c>
      <c r="M26" s="432">
        <f t="shared" si="7"/>
        <v>0.43598484006250005</v>
      </c>
      <c r="N26" s="432">
        <f t="shared" si="7"/>
        <v>0.37058711405312506</v>
      </c>
      <c r="O26" s="432">
        <f t="shared" ref="O26:X26" si="8">O13</f>
        <v>0.31499904694515629</v>
      </c>
      <c r="P26" s="432">
        <f t="shared" si="8"/>
        <v>0.26774918990338287</v>
      </c>
      <c r="Q26" s="432">
        <f t="shared" si="8"/>
        <v>0.22758681141787543</v>
      </c>
      <c r="R26" s="432">
        <f t="shared" si="8"/>
        <v>0.19344878970519411</v>
      </c>
      <c r="S26" s="432">
        <f t="shared" si="8"/>
        <v>0.16443147124941498</v>
      </c>
      <c r="T26" s="432">
        <f t="shared" si="8"/>
        <v>0.13976675056200275</v>
      </c>
      <c r="U26" s="432">
        <f t="shared" si="8"/>
        <v>0.11880173797770233</v>
      </c>
      <c r="V26" s="432">
        <f t="shared" si="8"/>
        <v>0.10098147728104698</v>
      </c>
      <c r="W26" s="432">
        <f t="shared" si="8"/>
        <v>8.5834255688889929E-2</v>
      </c>
      <c r="X26" s="432">
        <f t="shared" si="8"/>
        <v>7.2959117335556434E-2</v>
      </c>
    </row>
    <row r="27" spans="1:26" x14ac:dyDescent="0.25">
      <c r="A27" s="14"/>
      <c r="B27" s="15"/>
      <c r="C27" s="33" t="s">
        <v>222</v>
      </c>
      <c r="D27" s="177"/>
      <c r="E27" s="432">
        <f>E14</f>
        <v>0.4</v>
      </c>
      <c r="F27" s="432">
        <f t="shared" ref="F27:N27" si="9">F14</f>
        <v>0.34</v>
      </c>
      <c r="G27" s="432">
        <f t="shared" si="9"/>
        <v>0.28900000000000003</v>
      </c>
      <c r="H27" s="432">
        <f t="shared" si="9"/>
        <v>0.24565000000000003</v>
      </c>
      <c r="I27" s="432">
        <f t="shared" si="9"/>
        <v>0.20880250000000003</v>
      </c>
      <c r="J27" s="432">
        <f t="shared" si="9"/>
        <v>0.17748212500000002</v>
      </c>
      <c r="K27" s="432">
        <f t="shared" si="9"/>
        <v>0.15085980625000001</v>
      </c>
      <c r="L27" s="432">
        <f t="shared" si="9"/>
        <v>0.12823083531250001</v>
      </c>
      <c r="M27" s="432">
        <f t="shared" si="9"/>
        <v>0.10899621001562501</v>
      </c>
      <c r="N27" s="432">
        <f t="shared" si="9"/>
        <v>9.2646778513281264E-2</v>
      </c>
      <c r="O27" s="432">
        <f t="shared" ref="O27:X27" si="10">O14</f>
        <v>7.8749761736289073E-2</v>
      </c>
      <c r="P27" s="432">
        <f t="shared" si="10"/>
        <v>6.6937297475845717E-2</v>
      </c>
      <c r="Q27" s="432">
        <f t="shared" si="10"/>
        <v>5.6896702854468857E-2</v>
      </c>
      <c r="R27" s="432">
        <f t="shared" si="10"/>
        <v>4.8362197426298527E-2</v>
      </c>
      <c r="S27" s="432">
        <f t="shared" si="10"/>
        <v>4.1107867812353746E-2</v>
      </c>
      <c r="T27" s="432">
        <f t="shared" si="10"/>
        <v>3.4941687640500686E-2</v>
      </c>
      <c r="U27" s="432">
        <f t="shared" si="10"/>
        <v>2.9700434494425582E-2</v>
      </c>
      <c r="V27" s="432">
        <f t="shared" si="10"/>
        <v>2.5245369320261744E-2</v>
      </c>
      <c r="W27" s="432">
        <f t="shared" si="10"/>
        <v>2.1458563922222482E-2</v>
      </c>
      <c r="X27" s="432">
        <f t="shared" si="10"/>
        <v>1.8239779333889108E-2</v>
      </c>
    </row>
    <row r="28" spans="1:26" x14ac:dyDescent="0.25">
      <c r="A28" s="14"/>
      <c r="B28" s="15"/>
      <c r="C28" s="33"/>
      <c r="D28" s="177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</row>
    <row r="29" spans="1:26" x14ac:dyDescent="0.25">
      <c r="A29" s="14"/>
      <c r="B29" s="15"/>
      <c r="C29" s="33" t="s">
        <v>224</v>
      </c>
      <c r="D29" s="177"/>
      <c r="E29" s="434">
        <f>E22*E24*E26</f>
        <v>0</v>
      </c>
      <c r="F29" s="434">
        <f t="shared" ref="F29:N29" si="11">F22*F24*F26</f>
        <v>0</v>
      </c>
      <c r="G29" s="434">
        <f t="shared" si="11"/>
        <v>0</v>
      </c>
      <c r="H29" s="434">
        <f t="shared" si="11"/>
        <v>0</v>
      </c>
      <c r="I29" s="434">
        <f t="shared" si="11"/>
        <v>0</v>
      </c>
      <c r="J29" s="434">
        <f t="shared" si="11"/>
        <v>0</v>
      </c>
      <c r="K29" s="434">
        <f t="shared" si="11"/>
        <v>0</v>
      </c>
      <c r="L29" s="434">
        <f t="shared" si="11"/>
        <v>0</v>
      </c>
      <c r="M29" s="434">
        <f t="shared" si="11"/>
        <v>0</v>
      </c>
      <c r="N29" s="434">
        <f t="shared" si="11"/>
        <v>0</v>
      </c>
      <c r="O29" s="434">
        <f t="shared" ref="O29:X29" si="12">O22*O24*O26</f>
        <v>0</v>
      </c>
      <c r="P29" s="434">
        <f t="shared" si="12"/>
        <v>0</v>
      </c>
      <c r="Q29" s="434">
        <f t="shared" si="12"/>
        <v>0</v>
      </c>
      <c r="R29" s="434">
        <f t="shared" si="12"/>
        <v>0</v>
      </c>
      <c r="S29" s="434">
        <f t="shared" si="12"/>
        <v>0</v>
      </c>
      <c r="T29" s="434">
        <f t="shared" si="12"/>
        <v>0</v>
      </c>
      <c r="U29" s="434">
        <f t="shared" si="12"/>
        <v>0</v>
      </c>
      <c r="V29" s="434">
        <f t="shared" si="12"/>
        <v>0</v>
      </c>
      <c r="W29" s="434">
        <f t="shared" si="12"/>
        <v>0</v>
      </c>
      <c r="X29" s="434">
        <f t="shared" si="12"/>
        <v>0</v>
      </c>
    </row>
    <row r="30" spans="1:26" x14ac:dyDescent="0.25">
      <c r="A30" s="14"/>
      <c r="B30" s="15"/>
      <c r="C30" s="33" t="s">
        <v>225</v>
      </c>
      <c r="D30" s="177"/>
      <c r="E30" s="434">
        <f>E22*(1-E24)*E27</f>
        <v>0</v>
      </c>
      <c r="F30" s="434">
        <f t="shared" ref="F30:N30" si="13">F22*(1-F24)*F27</f>
        <v>0</v>
      </c>
      <c r="G30" s="434">
        <f t="shared" si="13"/>
        <v>0</v>
      </c>
      <c r="H30" s="434">
        <f t="shared" si="13"/>
        <v>0</v>
      </c>
      <c r="I30" s="434">
        <f t="shared" si="13"/>
        <v>0</v>
      </c>
      <c r="J30" s="434">
        <f t="shared" si="13"/>
        <v>0</v>
      </c>
      <c r="K30" s="434">
        <f t="shared" si="13"/>
        <v>0</v>
      </c>
      <c r="L30" s="434">
        <f t="shared" si="13"/>
        <v>0</v>
      </c>
      <c r="M30" s="434">
        <f t="shared" si="13"/>
        <v>0</v>
      </c>
      <c r="N30" s="434">
        <f t="shared" si="13"/>
        <v>0</v>
      </c>
      <c r="O30" s="434">
        <f t="shared" ref="O30:X30" si="14">O22*(1-O24)*O27</f>
        <v>0</v>
      </c>
      <c r="P30" s="434">
        <f t="shared" si="14"/>
        <v>0</v>
      </c>
      <c r="Q30" s="434">
        <f t="shared" si="14"/>
        <v>0</v>
      </c>
      <c r="R30" s="434">
        <f t="shared" si="14"/>
        <v>0</v>
      </c>
      <c r="S30" s="434">
        <f t="shared" si="14"/>
        <v>0</v>
      </c>
      <c r="T30" s="434">
        <f t="shared" si="14"/>
        <v>0</v>
      </c>
      <c r="U30" s="434">
        <f t="shared" si="14"/>
        <v>0</v>
      </c>
      <c r="V30" s="434">
        <f t="shared" si="14"/>
        <v>0</v>
      </c>
      <c r="W30" s="434">
        <f t="shared" si="14"/>
        <v>0</v>
      </c>
      <c r="X30" s="434">
        <f t="shared" si="14"/>
        <v>0</v>
      </c>
    </row>
    <row r="31" spans="1:26" x14ac:dyDescent="0.25">
      <c r="A31" s="14"/>
      <c r="B31" s="15"/>
      <c r="C31" s="33"/>
      <c r="D31" s="177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</row>
    <row r="32" spans="1:26" x14ac:dyDescent="0.25">
      <c r="A32" s="14"/>
      <c r="B32" s="15"/>
      <c r="C32" s="33" t="s">
        <v>911</v>
      </c>
      <c r="D32" s="177"/>
      <c r="E32" s="434">
        <f t="shared" ref="E32:X32" si="15">E17+E16+E29+E30</f>
        <v>791.015625</v>
      </c>
      <c r="F32" s="434">
        <f t="shared" si="15"/>
        <v>887.51953125000011</v>
      </c>
      <c r="G32" s="434">
        <f t="shared" si="15"/>
        <v>1089.6767578125002</v>
      </c>
      <c r="H32" s="434">
        <f t="shared" si="15"/>
        <v>1211.2176269531251</v>
      </c>
      <c r="I32" s="434">
        <f t="shared" si="15"/>
        <v>1271.7785083007814</v>
      </c>
      <c r="J32" s="434">
        <f t="shared" si="15"/>
        <v>1286.9187286376955</v>
      </c>
      <c r="K32" s="434">
        <f t="shared" si="15"/>
        <v>1268.9018664367677</v>
      </c>
      <c r="L32" s="434">
        <f t="shared" si="15"/>
        <v>1227.3343915017701</v>
      </c>
      <c r="M32" s="434">
        <f t="shared" si="15"/>
        <v>1169.6868670524445</v>
      </c>
      <c r="N32" s="434">
        <f t="shared" si="15"/>
        <v>1101.7185761291269</v>
      </c>
      <c r="O32" s="434">
        <f t="shared" si="15"/>
        <v>1027.8228179741245</v>
      </c>
      <c r="P32" s="434">
        <f t="shared" si="15"/>
        <v>951.30711930271752</v>
      </c>
      <c r="Q32" s="434">
        <f t="shared" si="15"/>
        <v>874.62011682831474</v>
      </c>
      <c r="R32" s="434">
        <f t="shared" si="15"/>
        <v>799.5348049119217</v>
      </c>
      <c r="S32" s="434">
        <f t="shared" si="15"/>
        <v>727.29613394180944</v>
      </c>
      <c r="T32" s="434">
        <f t="shared" si="15"/>
        <v>658.73953115221263</v>
      </c>
      <c r="U32" s="434">
        <f t="shared" si="15"/>
        <v>594.38574618580412</v>
      </c>
      <c r="V32" s="434">
        <f t="shared" si="15"/>
        <v>534.51645725839342</v>
      </c>
      <c r="W32" s="434">
        <f t="shared" si="15"/>
        <v>479.23427572002532</v>
      </c>
      <c r="X32" s="434">
        <f t="shared" si="15"/>
        <v>428.5101283548538</v>
      </c>
    </row>
    <row r="33" spans="1:26" s="1" customFormat="1" x14ac:dyDescent="0.25">
      <c r="A33" s="436"/>
      <c r="B33" s="17"/>
      <c r="C33" s="177" t="s">
        <v>226</v>
      </c>
      <c r="D33" s="177"/>
      <c r="E33" s="439">
        <f>12*E32/1000</f>
        <v>9.4921875</v>
      </c>
      <c r="F33" s="439">
        <f t="shared" ref="F33:N33" si="16">12*F32/1000</f>
        <v>10.650234375000002</v>
      </c>
      <c r="G33" s="439">
        <f t="shared" si="16"/>
        <v>13.076121093750004</v>
      </c>
      <c r="H33" s="439">
        <f t="shared" si="16"/>
        <v>14.534611523437501</v>
      </c>
      <c r="I33" s="439">
        <f t="shared" si="16"/>
        <v>15.261342099609378</v>
      </c>
      <c r="J33" s="439">
        <f t="shared" si="16"/>
        <v>15.443024743652346</v>
      </c>
      <c r="K33" s="439">
        <f t="shared" si="16"/>
        <v>15.226822397241213</v>
      </c>
      <c r="L33" s="439">
        <f t="shared" si="16"/>
        <v>14.72801269802124</v>
      </c>
      <c r="M33" s="439">
        <f t="shared" si="16"/>
        <v>14.036242404629334</v>
      </c>
      <c r="N33" s="439">
        <f t="shared" si="16"/>
        <v>13.220622913549523</v>
      </c>
      <c r="O33" s="439">
        <f t="shared" ref="O33:X33" si="17">12*O32/1000</f>
        <v>12.333873815689493</v>
      </c>
      <c r="P33" s="439">
        <f t="shared" si="17"/>
        <v>11.41568543163261</v>
      </c>
      <c r="Q33" s="439">
        <f t="shared" si="17"/>
        <v>10.495441401939777</v>
      </c>
      <c r="R33" s="439">
        <f t="shared" si="17"/>
        <v>9.5944176589430601</v>
      </c>
      <c r="S33" s="439">
        <f t="shared" si="17"/>
        <v>8.7275536073017133</v>
      </c>
      <c r="T33" s="439">
        <f t="shared" si="17"/>
        <v>7.9048743738265514</v>
      </c>
      <c r="U33" s="439">
        <f t="shared" si="17"/>
        <v>7.1326289542296486</v>
      </c>
      <c r="V33" s="439">
        <f t="shared" si="17"/>
        <v>6.4141974871007204</v>
      </c>
      <c r="W33" s="439">
        <f t="shared" si="17"/>
        <v>5.7508113086403032</v>
      </c>
      <c r="X33" s="439">
        <f t="shared" si="17"/>
        <v>5.1421215402582456</v>
      </c>
      <c r="Y33" s="17"/>
      <c r="Z33" s="17"/>
    </row>
    <row r="34" spans="1:26" ht="13.8" thickBot="1" x14ac:dyDescent="0.3">
      <c r="A34" s="31"/>
      <c r="B34" s="18"/>
      <c r="C34" s="223"/>
      <c r="D34" s="223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</row>
    <row r="35" spans="1:26" x14ac:dyDescent="0.25">
      <c r="A35" s="14"/>
      <c r="B35" s="15"/>
      <c r="C35" s="170" t="s">
        <v>383</v>
      </c>
      <c r="D35" s="170"/>
      <c r="E35" s="441">
        <f>SUM($E$33:E33)</f>
        <v>9.4921875</v>
      </c>
      <c r="F35" s="441">
        <f>SUM($E$33:F33)</f>
        <v>20.142421875000004</v>
      </c>
      <c r="G35" s="441">
        <f>SUM($E$33:G33)</f>
        <v>33.218542968750008</v>
      </c>
      <c r="H35" s="441">
        <f>SUM($E$33:H33)</f>
        <v>47.753154492187505</v>
      </c>
      <c r="I35" s="441">
        <f>SUM($E$33:I33)</f>
        <v>63.014496591796885</v>
      </c>
      <c r="J35" s="441">
        <f>SUM($E$33:J33)</f>
        <v>78.457521335449229</v>
      </c>
      <c r="K35" s="441">
        <f>SUM($E$33:K33)</f>
        <v>93.684343732690436</v>
      </c>
      <c r="L35" s="441">
        <f>SUM($E$33:L33)</f>
        <v>108.41235643071168</v>
      </c>
      <c r="M35" s="441">
        <f>SUM($E$33:M33)</f>
        <v>122.44859883534102</v>
      </c>
      <c r="N35" s="441">
        <f>SUM($E$33:N33)</f>
        <v>135.66922174889055</v>
      </c>
      <c r="O35" s="441">
        <f>SUM($E$33:O33)</f>
        <v>148.00309556458004</v>
      </c>
      <c r="P35" s="441">
        <f>SUM($E$33:P33)</f>
        <v>159.41878099621266</v>
      </c>
      <c r="Q35" s="441">
        <f>SUM($E$33:Q33)</f>
        <v>169.91422239815245</v>
      </c>
      <c r="R35" s="441">
        <f>SUM($E$33:R33)</f>
        <v>179.5086400570955</v>
      </c>
      <c r="S35" s="441">
        <f>SUM($E$33:S33)</f>
        <v>188.23619366439721</v>
      </c>
      <c r="T35" s="441">
        <f>SUM($E$33:T33)</f>
        <v>196.14106803822375</v>
      </c>
      <c r="U35" s="441">
        <f>SUM($E$33:U33)</f>
        <v>203.27369699245341</v>
      </c>
      <c r="V35" s="441">
        <f>SUM($E$33:V33)</f>
        <v>209.68789447955413</v>
      </c>
      <c r="W35" s="441">
        <f>SUM($E$33:W33)</f>
        <v>215.43870578819443</v>
      </c>
      <c r="X35" s="441">
        <f>SUM($E$33:X33)</f>
        <v>220.58082732845267</v>
      </c>
    </row>
    <row r="36" spans="1:26" x14ac:dyDescent="0.25">
      <c r="A36" s="14"/>
      <c r="B36" s="15"/>
      <c r="C36" s="170" t="s">
        <v>235</v>
      </c>
      <c r="D36" s="170"/>
      <c r="E36" s="434">
        <f>Streaming!E80</f>
        <v>464.63480806183708</v>
      </c>
      <c r="F36" s="434">
        <f>Streaming!F80</f>
        <v>2818.8879531587595</v>
      </c>
      <c r="G36" s="434">
        <f>Streaming!G80</f>
        <v>12095.810986863891</v>
      </c>
      <c r="H36" s="434">
        <f>Streaming!H80</f>
        <v>44515.994487291609</v>
      </c>
      <c r="I36" s="434">
        <f>Streaming!I80</f>
        <v>112615.4797302642</v>
      </c>
      <c r="J36" s="434">
        <f>Streaming!J80</f>
        <v>220926.35615339875</v>
      </c>
      <c r="K36" s="434">
        <f>Streaming!K80</f>
        <v>379392.22788769694</v>
      </c>
      <c r="L36" s="434">
        <f>Streaming!L80</f>
        <v>589973.34093306016</v>
      </c>
      <c r="M36" s="434">
        <f>Streaming!M80</f>
        <v>854040.12376161409</v>
      </c>
      <c r="N36" s="434">
        <f>Streaming!N80</f>
        <v>1172905.3402215918</v>
      </c>
      <c r="O36" s="434">
        <f>Streaming!O80</f>
        <v>1526993.3279985534</v>
      </c>
      <c r="P36" s="434">
        <f>Streaming!P80</f>
        <v>1922875.9798550429</v>
      </c>
      <c r="Q36" s="434">
        <f>Streaming!Q80</f>
        <v>2358644.0968817887</v>
      </c>
      <c r="R36" s="434">
        <f>Streaming!R80</f>
        <v>2836975.2003193069</v>
      </c>
      <c r="S36" s="434">
        <f>Streaming!S80</f>
        <v>3354586.6726572453</v>
      </c>
      <c r="T36" s="434">
        <f>Streaming!T80</f>
        <v>3907367.9562897342</v>
      </c>
      <c r="U36" s="434">
        <f>Streaming!U80</f>
        <v>4496885.9601257369</v>
      </c>
      <c r="V36" s="434">
        <f>Streaming!V80</f>
        <v>5138102.9182441607</v>
      </c>
      <c r="W36" s="434">
        <f>Streaming!W80</f>
        <v>5833804.4895204334</v>
      </c>
      <c r="X36" s="434">
        <f>Streaming!X80</f>
        <v>6586912.8293474019</v>
      </c>
    </row>
    <row r="37" spans="1:26" s="1" customFormat="1" x14ac:dyDescent="0.25">
      <c r="A37" s="436"/>
      <c r="B37" s="17"/>
      <c r="C37" s="177" t="s">
        <v>212</v>
      </c>
      <c r="D37" s="177"/>
      <c r="E37" s="442">
        <f>E35/E36</f>
        <v>2.0429350826287447E-2</v>
      </c>
      <c r="F37" s="442">
        <f t="shared" ref="F37:N37" si="18">F35/F36</f>
        <v>7.1455205775132081E-3</v>
      </c>
      <c r="G37" s="442">
        <f t="shared" si="18"/>
        <v>2.7462848919204762E-3</v>
      </c>
      <c r="H37" s="442">
        <f t="shared" si="18"/>
        <v>1.0727190314892333E-3</v>
      </c>
      <c r="I37" s="442">
        <f t="shared" si="18"/>
        <v>5.5955448347535142E-4</v>
      </c>
      <c r="J37" s="442">
        <f t="shared" si="18"/>
        <v>3.5512974867051521E-4</v>
      </c>
      <c r="K37" s="442">
        <f t="shared" si="18"/>
        <v>2.4693269088375141E-4</v>
      </c>
      <c r="L37" s="442">
        <f t="shared" si="18"/>
        <v>1.8375805974428329E-4</v>
      </c>
      <c r="M37" s="442">
        <f t="shared" si="18"/>
        <v>1.4337569796605922E-4</v>
      </c>
      <c r="N37" s="442">
        <f t="shared" si="18"/>
        <v>1.156693699793874E-4</v>
      </c>
      <c r="O37" s="442">
        <f t="shared" ref="O37:X37" si="19">O35/O36</f>
        <v>9.6924520134327816E-5</v>
      </c>
      <c r="P37" s="442">
        <f t="shared" si="19"/>
        <v>8.2906429050213904E-5</v>
      </c>
      <c r="Q37" s="442">
        <f t="shared" si="19"/>
        <v>7.2038940772278903E-5</v>
      </c>
      <c r="R37" s="442">
        <f t="shared" si="19"/>
        <v>6.3274659587045902E-5</v>
      </c>
      <c r="S37" s="442">
        <f t="shared" si="19"/>
        <v>5.611308099405611E-5</v>
      </c>
      <c r="T37" s="442">
        <f t="shared" si="19"/>
        <v>5.0197746982721006E-5</v>
      </c>
      <c r="U37" s="442">
        <f t="shared" si="19"/>
        <v>4.5203213689406015E-5</v>
      </c>
      <c r="V37" s="442">
        <f t="shared" si="19"/>
        <v>4.0810372586154926E-5</v>
      </c>
      <c r="W37" s="442">
        <f t="shared" si="19"/>
        <v>3.6929366792321923E-5</v>
      </c>
      <c r="X37" s="442">
        <f t="shared" si="19"/>
        <v>3.3487740470114389E-5</v>
      </c>
      <c r="Y37" s="17"/>
      <c r="Z37" s="17"/>
    </row>
    <row r="38" spans="1:26" ht="13.8" thickBot="1" x14ac:dyDescent="0.3">
      <c r="A38" s="31"/>
      <c r="B38" s="18"/>
      <c r="C38" s="223"/>
      <c r="D38" s="223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/>
      <c r="V38" s="440"/>
      <c r="W38" s="440"/>
      <c r="X38" s="440"/>
    </row>
    <row r="40" spans="1:26" x14ac:dyDescent="0.25"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</row>
  </sheetData>
  <customSheetViews>
    <customSheetView guid="{00A591F2-C6CE-11D4-B3FE-00409628F381}" scale="75" showPageBreaks="1" fitToPage="1" printArea="1" showRuler="0">
      <pane xSplit="3" ySplit="5" topLeftCell="D6" activePane="bottomRight" state="frozen"/>
      <selection pane="bottomRight" activeCell="F23" sqref="F23"/>
      <pageMargins left="0.75" right="0.75" top="1" bottom="1" header="0.5" footer="0.5"/>
      <pageSetup scale="44" orientation="landscape" r:id="rId1"/>
      <headerFooter alignWithMargins="0"/>
    </customSheetView>
    <customSheetView guid="{39AEF1F3-C6CC-11D4-B3CC-0080C71F7D28}" scale="75" showPageBreaks="1" fitToPage="1" printArea="1" showRuler="0">
      <pane xSplit="3" ySplit="5" topLeftCell="D6" activePane="bottomRight" state="frozen"/>
      <selection pane="bottomRight" activeCell="F23" sqref="F23"/>
      <pageMargins left="0.75" right="0.75" top="1" bottom="1" header="0.5" footer="0.5"/>
      <pageSetup scale="42" orientation="landscape" r:id="rId2"/>
      <headerFooter alignWithMargins="0"/>
    </customSheetView>
  </customSheetViews>
  <pageMargins left="0.75" right="0.75" top="1" bottom="1" header="0.5" footer="0.5"/>
  <pageSetup scale="44" orientation="landscape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22"/>
  <sheetViews>
    <sheetView zoomScale="7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25" sqref="F25"/>
    </sheetView>
  </sheetViews>
  <sheetFormatPr defaultColWidth="9.109375" defaultRowHeight="13.2" x14ac:dyDescent="0.25"/>
  <cols>
    <col min="1" max="2" width="2.6640625" style="13" customWidth="1"/>
    <col min="3" max="3" width="15.5546875" style="13" customWidth="1"/>
    <col min="4" max="4" width="12" style="13" customWidth="1"/>
    <col min="5" max="5" width="8" style="13" customWidth="1"/>
    <col min="6" max="16384" width="9.109375" style="13"/>
  </cols>
  <sheetData>
    <row r="1" spans="1:25" x14ac:dyDescent="0.25">
      <c r="A1" s="5" t="s">
        <v>840</v>
      </c>
      <c r="B1" s="6"/>
      <c r="C1" s="6"/>
      <c r="D1" s="6"/>
      <c r="E1" s="7"/>
    </row>
    <row r="2" spans="1:25" ht="13.8" thickBot="1" x14ac:dyDescent="0.3">
      <c r="A2" s="1"/>
    </row>
    <row r="3" spans="1:25" x14ac:dyDescent="0.25">
      <c r="A3" s="1"/>
      <c r="C3" s="13" t="s">
        <v>249</v>
      </c>
      <c r="E3" s="423">
        <f>Assumptions!F218</f>
        <v>-0.1</v>
      </c>
    </row>
    <row r="4" spans="1:25" x14ac:dyDescent="0.25">
      <c r="A4" s="1"/>
      <c r="C4" s="13" t="s">
        <v>246</v>
      </c>
      <c r="E4" s="424">
        <f>Assumptions!F219</f>
        <v>45</v>
      </c>
    </row>
    <row r="5" spans="1:25" ht="13.8" thickBot="1" x14ac:dyDescent="0.3">
      <c r="A5" s="18"/>
      <c r="B5" s="18"/>
      <c r="C5" s="18" t="s">
        <v>254</v>
      </c>
      <c r="D5" s="18"/>
      <c r="E5" s="425">
        <f>E4*(1+E3)</f>
        <v>40.5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E6" s="426"/>
    </row>
    <row r="7" spans="1:25" x14ac:dyDescent="0.25">
      <c r="E7" s="1"/>
      <c r="F7" s="12">
        <v>2001</v>
      </c>
      <c r="G7" s="12">
        <v>2002</v>
      </c>
      <c r="H7" s="12">
        <v>2003</v>
      </c>
      <c r="I7" s="12">
        <v>2004</v>
      </c>
      <c r="J7" s="12">
        <v>2005</v>
      </c>
      <c r="K7" s="12">
        <v>2006</v>
      </c>
      <c r="L7" s="12">
        <v>2007</v>
      </c>
      <c r="M7" s="12">
        <v>2008</v>
      </c>
      <c r="N7" s="12">
        <v>2009</v>
      </c>
      <c r="O7" s="12">
        <v>2010</v>
      </c>
      <c r="P7" s="12">
        <v>2011</v>
      </c>
      <c r="Q7" s="12">
        <v>2012</v>
      </c>
      <c r="R7" s="12">
        <v>2013</v>
      </c>
      <c r="S7" s="12">
        <v>2014</v>
      </c>
      <c r="T7" s="12">
        <v>2015</v>
      </c>
      <c r="U7" s="12">
        <v>2016</v>
      </c>
      <c r="V7" s="12">
        <v>2017</v>
      </c>
      <c r="W7" s="12">
        <v>2018</v>
      </c>
      <c r="X7" s="12">
        <v>2019</v>
      </c>
      <c r="Y7" s="12">
        <v>2020</v>
      </c>
    </row>
    <row r="8" spans="1:25" ht="13.8" thickBot="1" x14ac:dyDescent="0.3">
      <c r="A8" s="18"/>
      <c r="B8" s="18"/>
      <c r="C8" s="18"/>
      <c r="D8" s="1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C10" s="13" t="s">
        <v>243</v>
      </c>
      <c r="E10" s="40"/>
      <c r="F10" s="40">
        <f>Assumptions!F225</f>
        <v>1760</v>
      </c>
      <c r="G10" s="40">
        <f>Assumptions!G225</f>
        <v>1408</v>
      </c>
      <c r="H10" s="40">
        <f>Assumptions!H225</f>
        <v>1126.4000000000001</v>
      </c>
      <c r="I10" s="40">
        <f>Assumptions!I225</f>
        <v>901.12000000000012</v>
      </c>
      <c r="J10" s="40">
        <f>Assumptions!J225</f>
        <v>720.89600000000019</v>
      </c>
      <c r="K10" s="40">
        <f>Assumptions!K225</f>
        <v>576.71680000000015</v>
      </c>
      <c r="L10" s="40">
        <f>Assumptions!L225</f>
        <v>461.37344000000013</v>
      </c>
      <c r="M10" s="40">
        <f>Assumptions!M225</f>
        <v>369.0987520000001</v>
      </c>
      <c r="N10" s="40">
        <f>Assumptions!N225</f>
        <v>295.27900160000007</v>
      </c>
      <c r="O10" s="40">
        <f>Assumptions!O225</f>
        <v>236.22320128000007</v>
      </c>
      <c r="P10" s="40">
        <f>Assumptions!P225</f>
        <v>188.97856102400007</v>
      </c>
      <c r="Q10" s="40">
        <f>Assumptions!Q225</f>
        <v>151.18284881920007</v>
      </c>
      <c r="R10" s="40">
        <f>Assumptions!R225</f>
        <v>120.94627905536007</v>
      </c>
      <c r="S10" s="40">
        <f>Assumptions!S225</f>
        <v>96.757023244288064</v>
      </c>
      <c r="T10" s="40">
        <f>Assumptions!T225</f>
        <v>77.405618595430454</v>
      </c>
      <c r="U10" s="40">
        <f>Assumptions!U225</f>
        <v>61.924494876344369</v>
      </c>
      <c r="V10" s="40">
        <f>Assumptions!V225</f>
        <v>49.539595901075501</v>
      </c>
      <c r="W10" s="40">
        <f>Assumptions!W225</f>
        <v>39.631676720860405</v>
      </c>
      <c r="X10" s="40">
        <f>Assumptions!X225</f>
        <v>31.705341376688324</v>
      </c>
      <c r="Y10" s="40">
        <f>Assumptions!Y225</f>
        <v>25.364273101350662</v>
      </c>
    </row>
    <row r="11" spans="1:25" x14ac:dyDescent="0.25">
      <c r="C11" s="13" t="s">
        <v>1</v>
      </c>
      <c r="E11" s="40"/>
      <c r="F11" s="40">
        <f>Network!E28</f>
        <v>24.510600000000004</v>
      </c>
      <c r="G11" s="40">
        <f>Network!F28</f>
        <v>65.837772000000001</v>
      </c>
      <c r="H11" s="40">
        <f>Network!G28</f>
        <v>161.989632</v>
      </c>
      <c r="I11" s="40">
        <f>Network!H28</f>
        <v>372.00515625000003</v>
      </c>
      <c r="J11" s="40">
        <f>Network!I28</f>
        <v>516.99059999999986</v>
      </c>
      <c r="K11" s="40">
        <f>Network!J28</f>
        <v>674.38979999999992</v>
      </c>
      <c r="L11" s="40">
        <f>Network!K28</f>
        <v>792.49419899999987</v>
      </c>
      <c r="M11" s="40">
        <f>Network!L28</f>
        <v>993.66608880000013</v>
      </c>
      <c r="N11" s="40">
        <f>Network!M28</f>
        <v>1183.9684106249999</v>
      </c>
      <c r="O11" s="40">
        <f>Network!N28</f>
        <v>1367.1</v>
      </c>
      <c r="P11" s="40">
        <f>Network!O28</f>
        <v>1457.3285999999998</v>
      </c>
      <c r="Q11" s="40">
        <f>Network!P28</f>
        <v>1571.07132</v>
      </c>
      <c r="R11" s="40">
        <f>Network!Q28</f>
        <v>1672.35921216</v>
      </c>
      <c r="S11" s="40">
        <f>Network!R28</f>
        <v>1779.2364215808002</v>
      </c>
      <c r="T11" s="40">
        <f>Network!S28</f>
        <v>1871.1969557299201</v>
      </c>
      <c r="U11" s="40">
        <f>Network!T28</f>
        <v>1946.0448339591169</v>
      </c>
      <c r="V11" s="40">
        <f>Network!U28</f>
        <v>2023.8866273174817</v>
      </c>
      <c r="W11" s="40">
        <f>Network!V28</f>
        <v>2104.8420924101811</v>
      </c>
      <c r="X11" s="40">
        <f>Network!W28</f>
        <v>2189.0357761065884</v>
      </c>
      <c r="Y11" s="40">
        <f>Network!X28</f>
        <v>2276.5972071508518</v>
      </c>
    </row>
    <row r="12" spans="1:25" x14ac:dyDescent="0.25">
      <c r="C12" s="13" t="s">
        <v>244</v>
      </c>
      <c r="E12" s="40"/>
      <c r="F12" s="40">
        <f>F11*Network!E20</f>
        <v>12.255300000000002</v>
      </c>
      <c r="G12" s="40">
        <f>G11*Network!F20</f>
        <v>16.459443</v>
      </c>
      <c r="H12" s="40">
        <f>H11*Network!G20</f>
        <v>16.198963200000001</v>
      </c>
      <c r="I12" s="40">
        <f>I11*Network!H20</f>
        <v>37.200515625000001</v>
      </c>
      <c r="J12" s="40">
        <f>J11*Network!I20</f>
        <v>51.699059999999989</v>
      </c>
      <c r="K12" s="40">
        <f>K11*Network!J20</f>
        <v>67.438980000000001</v>
      </c>
      <c r="L12" s="40">
        <f>L11*Network!K20</f>
        <v>79.249419899999992</v>
      </c>
      <c r="M12" s="40">
        <f>M11*Network!L20</f>
        <v>99.366608880000015</v>
      </c>
      <c r="N12" s="40">
        <f>N11*Network!M20</f>
        <v>118.3968410625</v>
      </c>
      <c r="O12" s="40">
        <f>O11*Network!N20</f>
        <v>136.71</v>
      </c>
      <c r="P12" s="40">
        <f>P11*Network!O20</f>
        <v>145.73285999999999</v>
      </c>
      <c r="Q12" s="40">
        <f>Q11*Network!P20</f>
        <v>157.10713200000001</v>
      </c>
      <c r="R12" s="40">
        <f>R11*Network!Q20</f>
        <v>167.23592121600001</v>
      </c>
      <c r="S12" s="40">
        <f>S11*Network!R20</f>
        <v>177.92364215808004</v>
      </c>
      <c r="T12" s="40">
        <f>T11*Network!S20</f>
        <v>187.11969557299201</v>
      </c>
      <c r="U12" s="40">
        <f>U11*Network!T20</f>
        <v>194.6044833959117</v>
      </c>
      <c r="V12" s="40">
        <f>V11*Network!U20</f>
        <v>202.38866273174818</v>
      </c>
      <c r="W12" s="40">
        <f>W11*Network!V20</f>
        <v>210.48420924101811</v>
      </c>
      <c r="X12" s="40">
        <f>X11*Network!W20</f>
        <v>218.90357761065886</v>
      </c>
      <c r="Y12" s="40">
        <f>Y11*Network!X20</f>
        <v>227.6597207150852</v>
      </c>
    </row>
    <row r="13" spans="1:25" x14ac:dyDescent="0.25">
      <c r="C13" s="13" t="s">
        <v>245</v>
      </c>
      <c r="E13" s="40"/>
      <c r="F13" s="40">
        <f>F12*Assumptions!F48</f>
        <v>18.382950000000001</v>
      </c>
      <c r="G13" s="40">
        <f>G12*Assumptions!G48</f>
        <v>18.1053873</v>
      </c>
      <c r="H13" s="40">
        <f>H12*Assumptions!H48</f>
        <v>17.818859520000004</v>
      </c>
      <c r="I13" s="40">
        <f>I12*Assumptions!I48</f>
        <v>40.920567187500005</v>
      </c>
      <c r="J13" s="40">
        <f>J12*Assumptions!J48</f>
        <v>56.868965999999993</v>
      </c>
      <c r="K13" s="40">
        <f>K12*Assumptions!K48</f>
        <v>74.182878000000002</v>
      </c>
      <c r="L13" s="40">
        <f>L12*Assumptions!L48</f>
        <v>87.17436189</v>
      </c>
      <c r="M13" s="40">
        <f>M12*Assumptions!M48</f>
        <v>109.30326976800002</v>
      </c>
      <c r="N13" s="40">
        <f>N12*Assumptions!N48</f>
        <v>130.23652516875001</v>
      </c>
      <c r="O13" s="40">
        <f>O12*Assumptions!O48</f>
        <v>150.38100000000003</v>
      </c>
      <c r="P13" s="40">
        <f>P12*Assumptions!P48</f>
        <v>160.30614600000001</v>
      </c>
      <c r="Q13" s="40">
        <f>Q12*Assumptions!Q48</f>
        <v>172.81784520000002</v>
      </c>
      <c r="R13" s="40">
        <f>R12*Assumptions!R48</f>
        <v>183.95951333760001</v>
      </c>
      <c r="S13" s="40">
        <f>S12*Assumptions!S48</f>
        <v>195.71600637388806</v>
      </c>
      <c r="T13" s="40">
        <f>T12*Assumptions!T48</f>
        <v>205.83166513029124</v>
      </c>
      <c r="U13" s="40">
        <f>U12*Assumptions!U48</f>
        <v>214.06493173550288</v>
      </c>
      <c r="V13" s="40">
        <f>V12*Assumptions!V48</f>
        <v>222.62752900492302</v>
      </c>
      <c r="W13" s="40">
        <f>W12*Assumptions!W48</f>
        <v>231.53263016511994</v>
      </c>
      <c r="X13" s="40">
        <f>X12*Assumptions!X48</f>
        <v>240.79393537172476</v>
      </c>
      <c r="Y13" s="40">
        <f>Y12*Assumptions!Y48</f>
        <v>250.42569278659374</v>
      </c>
    </row>
    <row r="14" spans="1:25" x14ac:dyDescent="0.25">
      <c r="C14" s="13" t="s">
        <v>247</v>
      </c>
      <c r="E14" s="40"/>
      <c r="F14" s="40">
        <f>ROUNDUP(F13/$E$5,0)</f>
        <v>1</v>
      </c>
      <c r="G14" s="40">
        <f t="shared" ref="G14:O14" si="0">ROUNDUP(G13/$E$5,0)</f>
        <v>1</v>
      </c>
      <c r="H14" s="40">
        <f t="shared" si="0"/>
        <v>1</v>
      </c>
      <c r="I14" s="40">
        <f t="shared" si="0"/>
        <v>2</v>
      </c>
      <c r="J14" s="40">
        <f t="shared" si="0"/>
        <v>2</v>
      </c>
      <c r="K14" s="40">
        <f t="shared" si="0"/>
        <v>2</v>
      </c>
      <c r="L14" s="40">
        <f t="shared" si="0"/>
        <v>3</v>
      </c>
      <c r="M14" s="40">
        <f t="shared" si="0"/>
        <v>3</v>
      </c>
      <c r="N14" s="40">
        <f t="shared" si="0"/>
        <v>4</v>
      </c>
      <c r="O14" s="40">
        <f t="shared" si="0"/>
        <v>4</v>
      </c>
      <c r="P14" s="40">
        <f t="shared" ref="P14:Y14" si="1">ROUNDUP(P13/$E$5,0)</f>
        <v>4</v>
      </c>
      <c r="Q14" s="40">
        <f t="shared" si="1"/>
        <v>5</v>
      </c>
      <c r="R14" s="40">
        <f t="shared" si="1"/>
        <v>5</v>
      </c>
      <c r="S14" s="40">
        <f t="shared" si="1"/>
        <v>5</v>
      </c>
      <c r="T14" s="40">
        <f t="shared" si="1"/>
        <v>6</v>
      </c>
      <c r="U14" s="40">
        <f t="shared" si="1"/>
        <v>6</v>
      </c>
      <c r="V14" s="40">
        <f t="shared" si="1"/>
        <v>6</v>
      </c>
      <c r="W14" s="40">
        <f t="shared" si="1"/>
        <v>6</v>
      </c>
      <c r="X14" s="40">
        <f t="shared" si="1"/>
        <v>6</v>
      </c>
      <c r="Y14" s="40">
        <f t="shared" si="1"/>
        <v>7</v>
      </c>
    </row>
    <row r="15" spans="1:25" x14ac:dyDescent="0.25"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25" x14ac:dyDescent="0.25">
      <c r="C16" s="13" t="s">
        <v>248</v>
      </c>
      <c r="E16" s="40"/>
      <c r="F16" s="42">
        <f t="shared" ref="F16:O16" si="2">(F10*F14)/F11</f>
        <v>71.8056677519114</v>
      </c>
      <c r="G16" s="42">
        <f t="shared" si="2"/>
        <v>21.385899875226642</v>
      </c>
      <c r="H16" s="42">
        <f t="shared" si="2"/>
        <v>6.9535314457656163</v>
      </c>
      <c r="I16" s="42">
        <f t="shared" si="2"/>
        <v>4.8446640314545375</v>
      </c>
      <c r="J16" s="42">
        <f t="shared" si="2"/>
        <v>2.7888166632043228</v>
      </c>
      <c r="K16" s="42">
        <f t="shared" si="2"/>
        <v>1.7103366628617462</v>
      </c>
      <c r="L16" s="42">
        <f t="shared" si="2"/>
        <v>1.7465368475208241</v>
      </c>
      <c r="M16" s="42">
        <f t="shared" si="2"/>
        <v>1.114354478310944</v>
      </c>
      <c r="N16" s="42">
        <f t="shared" si="2"/>
        <v>0.99759081053227261</v>
      </c>
      <c r="O16" s="42">
        <f t="shared" si="2"/>
        <v>0.69116582921512715</v>
      </c>
      <c r="P16" s="42">
        <f t="shared" ref="P16:Y16" si="3">(P10*P14)/P11</f>
        <v>0.51869855851041446</v>
      </c>
      <c r="Q16" s="42">
        <f t="shared" si="3"/>
        <v>0.48114572169518083</v>
      </c>
      <c r="R16" s="42">
        <f t="shared" si="3"/>
        <v>0.36160376962060453</v>
      </c>
      <c r="S16" s="42">
        <f t="shared" si="3"/>
        <v>0.27190603247184608</v>
      </c>
      <c r="T16" s="42">
        <f t="shared" si="3"/>
        <v>0.24820140399994162</v>
      </c>
      <c r="U16" s="42">
        <f t="shared" si="3"/>
        <v>0.19092415692303202</v>
      </c>
      <c r="V16" s="42">
        <f t="shared" si="3"/>
        <v>0.14686473609464001</v>
      </c>
      <c r="W16" s="42">
        <f t="shared" si="3"/>
        <v>0.11297287391895386</v>
      </c>
      <c r="X16" s="42">
        <f t="shared" si="3"/>
        <v>8.6902210706887584E-2</v>
      </c>
      <c r="Y16" s="42">
        <f t="shared" si="3"/>
        <v>7.7989163454899132E-2</v>
      </c>
    </row>
    <row r="18" spans="1:25" x14ac:dyDescent="0.25">
      <c r="C18" s="13" t="s">
        <v>257</v>
      </c>
      <c r="F18" s="13">
        <f>F14*12*F10/1000</f>
        <v>21.12</v>
      </c>
      <c r="G18" s="13">
        <f t="shared" ref="G18:O18" si="4">G14*12*G10/1000</f>
        <v>16.896000000000001</v>
      </c>
      <c r="H18" s="13">
        <f t="shared" si="4"/>
        <v>13.516800000000002</v>
      </c>
      <c r="I18" s="13">
        <f t="shared" si="4"/>
        <v>21.626880000000003</v>
      </c>
      <c r="J18" s="13">
        <f t="shared" si="4"/>
        <v>17.301504000000005</v>
      </c>
      <c r="K18" s="13">
        <f t="shared" si="4"/>
        <v>13.841203200000004</v>
      </c>
      <c r="L18" s="13">
        <f t="shared" si="4"/>
        <v>16.609443840000004</v>
      </c>
      <c r="M18" s="13">
        <f t="shared" si="4"/>
        <v>13.287555072000004</v>
      </c>
      <c r="N18" s="13">
        <f t="shared" si="4"/>
        <v>14.173392076800003</v>
      </c>
      <c r="O18" s="13">
        <f t="shared" si="4"/>
        <v>11.338713661440003</v>
      </c>
      <c r="P18" s="13">
        <f t="shared" ref="P18:Y18" si="5">P14*12*P10/1000</f>
        <v>9.0709709291520024</v>
      </c>
      <c r="Q18" s="13">
        <f t="shared" si="5"/>
        <v>9.0709709291520042</v>
      </c>
      <c r="R18" s="13">
        <f t="shared" si="5"/>
        <v>7.2567767433216037</v>
      </c>
      <c r="S18" s="13">
        <f t="shared" si="5"/>
        <v>5.8054213946572837</v>
      </c>
      <c r="T18" s="13">
        <f t="shared" si="5"/>
        <v>5.5732045388709928</v>
      </c>
      <c r="U18" s="13">
        <f t="shared" si="5"/>
        <v>4.4585636310967951</v>
      </c>
      <c r="V18" s="13">
        <f t="shared" si="5"/>
        <v>3.5668509048774357</v>
      </c>
      <c r="W18" s="13">
        <f t="shared" si="5"/>
        <v>2.8534807239019493</v>
      </c>
      <c r="X18" s="13">
        <f t="shared" si="5"/>
        <v>2.2827845791215595</v>
      </c>
      <c r="Y18" s="13">
        <f t="shared" si="5"/>
        <v>2.1305989405134556</v>
      </c>
    </row>
    <row r="19" spans="1:25" x14ac:dyDescent="0.25">
      <c r="C19" s="13" t="s">
        <v>258</v>
      </c>
      <c r="F19" s="2">
        <f>ROUNDUP(Network!E24,0)</f>
        <v>395</v>
      </c>
      <c r="G19" s="2">
        <f>ROUNDUP(Network!F24,0)</f>
        <v>682</v>
      </c>
      <c r="H19" s="2">
        <f>ROUNDUP(Network!G24,0)</f>
        <v>1005</v>
      </c>
      <c r="I19" s="2">
        <f>ROUNDUP(Network!H24,0)</f>
        <v>1418</v>
      </c>
      <c r="J19" s="2">
        <f>ROUNDUP(Network!I24,0)</f>
        <v>1996</v>
      </c>
      <c r="K19" s="2">
        <f>ROUNDUP(Network!J24,0)</f>
        <v>2434</v>
      </c>
      <c r="L19" s="2">
        <f>ROUNDUP(Network!K24,0)</f>
        <v>3030</v>
      </c>
      <c r="M19" s="2">
        <f>ROUNDUP(Network!L24,0)</f>
        <v>3211</v>
      </c>
      <c r="N19" s="2">
        <f>ROUNDUP(Network!M24,0)</f>
        <v>3380</v>
      </c>
      <c r="O19" s="2">
        <f>ROUNDUP(Network!N24,0)</f>
        <v>3534</v>
      </c>
      <c r="P19" s="2">
        <f>ROUNDUP(Network!O24,0)</f>
        <v>3682</v>
      </c>
      <c r="Q19" s="2">
        <f>ROUNDUP(Network!P24,0)</f>
        <v>3818</v>
      </c>
      <c r="R19" s="2">
        <f>ROUNDUP(Network!Q24,0)</f>
        <v>3949</v>
      </c>
      <c r="S19" s="2">
        <f>ROUNDUP(Network!R24,0)</f>
        <v>4074</v>
      </c>
      <c r="T19" s="2">
        <f>ROUNDUP(Network!S24,0)</f>
        <v>4192</v>
      </c>
      <c r="U19" s="2">
        <f>ROUNDUP(Network!T24,0)</f>
        <v>4304</v>
      </c>
      <c r="V19" s="2">
        <f>ROUNDUP(Network!U24,0)</f>
        <v>4414</v>
      </c>
      <c r="W19" s="2">
        <f>ROUNDUP(Network!V24,0)</f>
        <v>4616</v>
      </c>
      <c r="X19" s="2">
        <f>ROUNDUP(Network!W24,0)</f>
        <v>4816</v>
      </c>
      <c r="Y19" s="2">
        <f>ROUNDUP(Network!X24,0)</f>
        <v>5013</v>
      </c>
    </row>
    <row r="20" spans="1:25" x14ac:dyDescent="0.25">
      <c r="C20" s="13" t="s">
        <v>905</v>
      </c>
      <c r="F20" s="3">
        <f>F18*F19</f>
        <v>8342.4</v>
      </c>
      <c r="G20" s="3">
        <f t="shared" ref="G20:O20" si="6">G18*G19</f>
        <v>11523.072</v>
      </c>
      <c r="H20" s="3">
        <f t="shared" si="6"/>
        <v>13584.384000000002</v>
      </c>
      <c r="I20" s="3">
        <f t="shared" si="6"/>
        <v>30666.915840000005</v>
      </c>
      <c r="J20" s="3">
        <f t="shared" si="6"/>
        <v>34533.801984000012</v>
      </c>
      <c r="K20" s="3">
        <f t="shared" si="6"/>
        <v>33689.488588800014</v>
      </c>
      <c r="L20" s="3">
        <f t="shared" si="6"/>
        <v>50326.614835200016</v>
      </c>
      <c r="M20" s="3">
        <f t="shared" si="6"/>
        <v>42666.33933619201</v>
      </c>
      <c r="N20" s="3">
        <f t="shared" si="6"/>
        <v>47906.065219584008</v>
      </c>
      <c r="O20" s="3">
        <f t="shared" si="6"/>
        <v>40071.01407952897</v>
      </c>
      <c r="P20" s="3">
        <f t="shared" ref="P20:Y20" si="7">P18*P19</f>
        <v>33399.314961137672</v>
      </c>
      <c r="Q20" s="3">
        <f t="shared" si="7"/>
        <v>34632.967007502353</v>
      </c>
      <c r="R20" s="3">
        <f t="shared" si="7"/>
        <v>28657.011359377015</v>
      </c>
      <c r="S20" s="3">
        <f t="shared" si="7"/>
        <v>23651.286761833773</v>
      </c>
      <c r="T20" s="3">
        <f t="shared" si="7"/>
        <v>23362.873426947201</v>
      </c>
      <c r="U20" s="3">
        <f t="shared" si="7"/>
        <v>19189.657868240607</v>
      </c>
      <c r="V20" s="3">
        <f t="shared" si="7"/>
        <v>15744.079894129001</v>
      </c>
      <c r="W20" s="3">
        <f t="shared" si="7"/>
        <v>13171.667021531397</v>
      </c>
      <c r="X20" s="3">
        <f t="shared" si="7"/>
        <v>10993.890533049431</v>
      </c>
      <c r="Y20" s="3">
        <f t="shared" si="7"/>
        <v>10680.692488793953</v>
      </c>
    </row>
    <row r="22" spans="1:25" ht="13.8" thickBo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</sheetData>
  <customSheetViews>
    <customSheetView guid="{00A591F2-C6CE-11D4-B3FE-00409628F381}" scale="75" showPageBreaks="1" fitToPage="1" showRuler="0">
      <pane xSplit="4" ySplit="8" topLeftCell="E9" activePane="bottomRight" state="frozen"/>
      <selection pane="bottomRight" activeCell="F25" sqref="F25"/>
      <pageMargins left="0.75" right="0.75" top="1" bottom="1" header="0.5" footer="0.5"/>
      <pageSetup scale="55" orientation="landscape" r:id="rId1"/>
      <headerFooter alignWithMargins="0"/>
    </customSheetView>
    <customSheetView guid="{39AEF1F3-C6CC-11D4-B3CC-0080C71F7D28}" scale="75" fitToPage="1" showRuler="0">
      <pane xSplit="4" ySplit="8" topLeftCell="E9" activePane="bottomRight" state="frozen"/>
      <selection pane="bottomRight" activeCell="F25" sqref="F25"/>
      <pageMargins left="0.75" right="0.75" top="1" bottom="1" header="0.5" footer="0.5"/>
      <pageSetup scale="55" orientation="landscape" r:id="rId2"/>
      <headerFooter alignWithMargins="0"/>
    </customSheetView>
  </customSheetViews>
  <pageMargins left="0.75" right="0.75" top="1" bottom="1" header="0.5" footer="0.5"/>
  <pageSetup scale="55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Assumptions</vt:lpstr>
      <vt:lpstr>STB</vt:lpstr>
      <vt:lpstr>Network</vt:lpstr>
      <vt:lpstr>Streaming</vt:lpstr>
      <vt:lpstr>Storage</vt:lpstr>
      <vt:lpstr>Encoding</vt:lpstr>
      <vt:lpstr>DRM</vt:lpstr>
      <vt:lpstr>LH Bandwidth</vt:lpstr>
      <vt:lpstr>Local Loop</vt:lpstr>
      <vt:lpstr>Distribution</vt:lpstr>
      <vt:lpstr>CRM</vt:lpstr>
      <vt:lpstr>O&amp;M</vt:lpstr>
      <vt:lpstr>Marketing</vt:lpstr>
      <vt:lpstr>Royalties</vt:lpstr>
      <vt:lpstr>Depreciation</vt:lpstr>
      <vt:lpstr>EBS &amp; EOD FCF</vt:lpstr>
      <vt:lpstr>Project FCF</vt:lpstr>
      <vt:lpstr>BBI FCF</vt:lpstr>
      <vt:lpstr>Scenario</vt:lpstr>
      <vt:lpstr>Metro</vt:lpstr>
      <vt:lpstr>Assumptions!Print_Area</vt:lpstr>
      <vt:lpstr>'LH Bandwidth'!Print_Area</vt:lpstr>
      <vt:lpstr>Scenario!Print_Area</vt:lpstr>
      <vt:lpstr>Storage!Print_Area</vt:lpstr>
      <vt:lpstr>Assumptions!Print_Titles</vt:lpstr>
    </vt:vector>
  </TitlesOfParts>
  <Company>Enron Broadband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VOD DSL Model</dc:title>
  <dc:creator>Kevin X Zheng</dc:creator>
  <dc:description>Base model for VOD over DSL</dc:description>
  <cp:lastModifiedBy>Havlíček Jan</cp:lastModifiedBy>
  <cp:lastPrinted>2000-11-08T17:58:14Z</cp:lastPrinted>
  <dcterms:created xsi:type="dcterms:W3CDTF">2000-05-24T19:01:27Z</dcterms:created>
  <dcterms:modified xsi:type="dcterms:W3CDTF">2023-09-10T11:43:56Z</dcterms:modified>
</cp:coreProperties>
</file>