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176" windowWidth="14940" windowHeight="8640" tabRatio="685" activeTab="2"/>
  </bookViews>
  <sheets>
    <sheet name="Summary" sheetId="1" r:id="rId1"/>
    <sheet name="Revenue" sheetId="2" r:id="rId2"/>
    <sheet name="nCube" sheetId="3" r:id="rId3"/>
    <sheet name="STB Forecast" sheetId="6" r:id="rId4"/>
    <sheet name="STB" sheetId="7" r:id="rId5"/>
    <sheet name="DRM" sheetId="8" r:id="rId6"/>
    <sheet name="Streaming Server" sheetId="10" r:id="rId7"/>
  </sheets>
  <externalReferences>
    <externalReference r:id="rId8"/>
  </externalReferences>
  <definedNames>
    <definedName name="_xlnm.Print_Area" localSheetId="0">Summary!$A$1:$R$30</definedName>
    <definedName name="Z_3B773845_BEFA_11D4_97C7_004096149E6C_.wvu.PrintArea" localSheetId="0" hidden="1">Summary!$B$2:$S$21</definedName>
    <definedName name="Z_3B773845_BEFA_11D4_97C7_004096149E6C_.wvu.Rows" localSheetId="2" hidden="1">nCube!$42:$52</definedName>
    <definedName name="Z_3B773845_BEFA_11D4_97C7_004096149E6C_.wvu.Rows" localSheetId="4" hidden="1">STB!$27:$36</definedName>
  </definedNames>
  <calcPr calcId="0" calcMode="manual" fullCalcOnLoad="1" iterate="1" iterateCount="50"/>
  <customWorkbookViews>
    <customWorkbookView name="melanie_king - Personal View" guid="{3B773845-BEFA-11D4-97C7-004096149E6C}" mergeInterval="0" personalView="1" maximized="1" windowWidth="1020" windowHeight="580" tabRatio="685" activeSheetId="7"/>
  </customWorkbookViews>
</workbook>
</file>

<file path=xl/calcChain.xml><?xml version="1.0" encoding="utf-8"?>
<calcChain xmlns="http://schemas.openxmlformats.org/spreadsheetml/2006/main">
  <c r="D5" i="8" l="1"/>
  <c r="D20" i="8"/>
  <c r="E20" i="8"/>
  <c r="F20" i="8"/>
  <c r="G20" i="8"/>
  <c r="H20" i="8"/>
  <c r="I20" i="8"/>
  <c r="J20" i="8"/>
  <c r="K20" i="8"/>
  <c r="L20" i="8"/>
  <c r="M20" i="8"/>
  <c r="N20" i="8"/>
  <c r="O20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K26" i="8"/>
  <c r="I27" i="8"/>
  <c r="L27" i="8"/>
  <c r="O27" i="8"/>
  <c r="D28" i="8"/>
  <c r="E28" i="8"/>
  <c r="F28" i="8"/>
  <c r="G28" i="8"/>
  <c r="H28" i="8"/>
  <c r="J28" i="8"/>
  <c r="K28" i="8"/>
  <c r="L28" i="8"/>
  <c r="M28" i="8"/>
  <c r="N28" i="8"/>
  <c r="O28" i="8"/>
  <c r="D32" i="8"/>
  <c r="E32" i="8"/>
  <c r="F32" i="8"/>
  <c r="G32" i="8"/>
  <c r="H32" i="8"/>
  <c r="I32" i="8"/>
  <c r="J32" i="8"/>
  <c r="K32" i="8"/>
  <c r="L32" i="8"/>
  <c r="M32" i="8"/>
  <c r="N32" i="8"/>
  <c r="O32" i="8"/>
  <c r="D35" i="8"/>
  <c r="E35" i="8"/>
  <c r="F35" i="8"/>
  <c r="G35" i="8"/>
  <c r="H35" i="8"/>
  <c r="I35" i="8"/>
  <c r="J35" i="8"/>
  <c r="K35" i="8"/>
  <c r="L35" i="8"/>
  <c r="M35" i="8"/>
  <c r="N35" i="8"/>
  <c r="O35" i="8"/>
  <c r="D6" i="3"/>
  <c r="K13" i="3"/>
  <c r="M14" i="3"/>
  <c r="M15" i="3"/>
  <c r="M16" i="3"/>
  <c r="M17" i="3"/>
  <c r="J18" i="3"/>
  <c r="E19" i="3"/>
  <c r="H19" i="3"/>
  <c r="J19" i="3"/>
  <c r="E20" i="3"/>
  <c r="H20" i="3"/>
  <c r="J20" i="3"/>
  <c r="E21" i="3"/>
  <c r="H21" i="3"/>
  <c r="J21" i="3"/>
  <c r="D22" i="3"/>
  <c r="F22" i="3"/>
  <c r="G22" i="3"/>
  <c r="I22" i="3"/>
  <c r="J22" i="3"/>
  <c r="H28" i="3"/>
  <c r="I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E33" i="3"/>
  <c r="F33" i="3"/>
  <c r="G33" i="3"/>
  <c r="H33" i="3"/>
  <c r="I33" i="3"/>
  <c r="J33" i="3"/>
  <c r="K33" i="3"/>
  <c r="L33" i="3"/>
  <c r="M33" i="3"/>
  <c r="N33" i="3"/>
  <c r="O33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40" i="3"/>
  <c r="E40" i="3"/>
  <c r="F40" i="3"/>
  <c r="G40" i="3"/>
  <c r="H40" i="3"/>
  <c r="I40" i="3"/>
  <c r="J40" i="3"/>
  <c r="K40" i="3"/>
  <c r="L40" i="3"/>
  <c r="M40" i="3"/>
  <c r="N40" i="3"/>
  <c r="O40" i="3"/>
  <c r="M56" i="3"/>
  <c r="N56" i="3"/>
  <c r="M57" i="3"/>
  <c r="O58" i="3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5" i="2"/>
  <c r="E15" i="2"/>
  <c r="F15" i="2"/>
  <c r="G15" i="2"/>
  <c r="H15" i="2"/>
  <c r="I15" i="2"/>
  <c r="J15" i="2"/>
  <c r="K15" i="2"/>
  <c r="L15" i="2"/>
  <c r="M15" i="2"/>
  <c r="N15" i="2"/>
  <c r="O15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5" i="2"/>
  <c r="E25" i="2"/>
  <c r="F25" i="2"/>
  <c r="G25" i="2"/>
  <c r="H25" i="2"/>
  <c r="I25" i="2"/>
  <c r="J25" i="2"/>
  <c r="K25" i="2"/>
  <c r="L25" i="2"/>
  <c r="M25" i="2"/>
  <c r="N25" i="2"/>
  <c r="O25" i="2"/>
  <c r="K13" i="7"/>
  <c r="D15" i="7"/>
  <c r="E15" i="7"/>
  <c r="F15" i="7"/>
  <c r="G15" i="7"/>
  <c r="H15" i="7"/>
  <c r="I15" i="7"/>
  <c r="J15" i="7"/>
  <c r="K15" i="7"/>
  <c r="L15" i="7"/>
  <c r="M15" i="7"/>
  <c r="N15" i="7"/>
  <c r="O15" i="7"/>
  <c r="D16" i="7"/>
  <c r="E16" i="7"/>
  <c r="F16" i="7"/>
  <c r="G16" i="7"/>
  <c r="H16" i="7"/>
  <c r="I16" i="7"/>
  <c r="J16" i="7"/>
  <c r="K16" i="7"/>
  <c r="L16" i="7"/>
  <c r="M16" i="7"/>
  <c r="N16" i="7"/>
  <c r="O16" i="7"/>
  <c r="L17" i="7"/>
  <c r="L18" i="7"/>
  <c r="D19" i="7"/>
  <c r="E19" i="7"/>
  <c r="F19" i="7"/>
  <c r="G19" i="7"/>
  <c r="H19" i="7"/>
  <c r="I19" i="7"/>
  <c r="J19" i="7"/>
  <c r="K19" i="7"/>
  <c r="L19" i="7"/>
  <c r="M19" i="7"/>
  <c r="N19" i="7"/>
  <c r="O19" i="7"/>
  <c r="D21" i="7"/>
  <c r="E21" i="7"/>
  <c r="F21" i="7"/>
  <c r="G21" i="7"/>
  <c r="H21" i="7"/>
  <c r="I21" i="7"/>
  <c r="J21" i="7"/>
  <c r="K21" i="7"/>
  <c r="L21" i="7"/>
  <c r="M21" i="7"/>
  <c r="N21" i="7"/>
  <c r="O21" i="7"/>
  <c r="D23" i="7"/>
  <c r="E23" i="7"/>
  <c r="F23" i="7"/>
  <c r="G23" i="7"/>
  <c r="H23" i="7"/>
  <c r="I23" i="7"/>
  <c r="J23" i="7"/>
  <c r="K23" i="7"/>
  <c r="L23" i="7"/>
  <c r="M23" i="7"/>
  <c r="N23" i="7"/>
  <c r="O23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K39" i="7"/>
  <c r="J41" i="7"/>
  <c r="M47" i="7"/>
  <c r="J7" i="6"/>
  <c r="J8" i="6"/>
  <c r="J9" i="6"/>
  <c r="J10" i="6"/>
  <c r="J11" i="6"/>
  <c r="J12" i="6"/>
  <c r="J13" i="6"/>
  <c r="J14" i="6"/>
  <c r="J15" i="6"/>
  <c r="J16" i="6"/>
  <c r="C7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H27" i="10"/>
  <c r="M27" i="10"/>
  <c r="H28" i="10"/>
  <c r="M30" i="10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N10" i="1"/>
  <c r="N11" i="1"/>
  <c r="N12" i="1"/>
  <c r="N13" i="1"/>
  <c r="N14" i="1"/>
  <c r="N15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F18" i="1"/>
  <c r="G18" i="1"/>
  <c r="H18" i="1"/>
  <c r="I18" i="1"/>
  <c r="J18" i="1"/>
  <c r="K18" i="1"/>
  <c r="L18" i="1"/>
  <c r="M18" i="1"/>
  <c r="O18" i="1"/>
  <c r="P18" i="1"/>
  <c r="Q18" i="1"/>
  <c r="F21" i="1"/>
</calcChain>
</file>

<file path=xl/comments1.xml><?xml version="1.0" encoding="utf-8"?>
<comments xmlns="http://schemas.openxmlformats.org/spreadsheetml/2006/main">
  <authors>
    <author>melanie_king</author>
    <author>Kevin X Zheng</author>
  </authors>
  <commentList>
    <comment ref="C3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PSA paid 11/06/00 per Brad Brooks &amp; Mike Hennessy.</t>
        </r>
      </text>
    </comment>
    <comment ref="C4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1080 + $50 for Disk on Chip (Additional memory)
</t>
        </r>
      </text>
    </comment>
    <comment ref="F4" authorId="1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per Bora Bariman</t>
        </r>
      </text>
    </comment>
    <comment ref="C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Under descretion per Brad Brooks.  Estimated to be paid in December.</t>
        </r>
      </text>
    </comment>
    <comment ref="B14" authorId="1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based on PO</t>
        </r>
      </text>
    </comment>
    <comment ref="D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E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F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G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H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I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J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K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L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M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N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O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B23" authorId="1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Hub, Wiring, etc.</t>
        </r>
      </text>
    </comment>
  </commentList>
</comments>
</file>

<file path=xl/comments2.xml><?xml version="1.0" encoding="utf-8"?>
<comments xmlns="http://schemas.openxmlformats.org/spreadsheetml/2006/main">
  <authors>
    <author>melanie_king</author>
  </authors>
  <commentList>
    <comment ref="K26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WIRE TRANSFER OCCURRED 11/22 PER FINNEY ATTASSERIL.
</t>
        </r>
      </text>
    </comment>
  </commentList>
</comments>
</file>

<file path=xl/sharedStrings.xml><?xml version="1.0" encoding="utf-8"?>
<sst xmlns="http://schemas.openxmlformats.org/spreadsheetml/2006/main" count="244" uniqueCount="200">
  <si>
    <t>InterTrust</t>
  </si>
  <si>
    <t>Total</t>
  </si>
  <si>
    <t>Equipment Cost</t>
  </si>
  <si>
    <t>Server Equipment Cost ($000)</t>
  </si>
  <si>
    <t>Production</t>
  </si>
  <si>
    <t>Relflex</t>
  </si>
  <si>
    <t>Seattle B</t>
  </si>
  <si>
    <t>Portland A</t>
  </si>
  <si>
    <t>Portland B</t>
  </si>
  <si>
    <t>Seattle A</t>
  </si>
  <si>
    <t>Verizon</t>
  </si>
  <si>
    <t>New York</t>
  </si>
  <si>
    <t>Airswitch</t>
  </si>
  <si>
    <t>Salt Lake City</t>
  </si>
  <si>
    <t>Spares</t>
  </si>
  <si>
    <t>VDC</t>
  </si>
  <si>
    <t>**costs accounted for upon delivery</t>
  </si>
  <si>
    <t>PO: 4500051416</t>
  </si>
  <si>
    <t>PO:  4500051413</t>
  </si>
  <si>
    <t>PO:  4500051431</t>
  </si>
  <si>
    <t>PO:  4500051433</t>
  </si>
  <si>
    <t>PO:  4500053806</t>
  </si>
  <si>
    <t>PO:  4500050003,4500051435</t>
  </si>
  <si>
    <t>PO:  4500051434,4500051439</t>
  </si>
  <si>
    <t>PO:  4500051438</t>
  </si>
  <si>
    <t>Assumptions in gray</t>
  </si>
  <si>
    <t>Engineering Service Charge</t>
  </si>
  <si>
    <t>NOTES:</t>
  </si>
  <si>
    <t>1) Total VoD Subscribers based on STB Forecast tab.</t>
  </si>
  <si>
    <t>3)  Performance payment under discretion.  Looking to be paid in December per Brad Brooks.</t>
  </si>
  <si>
    <t>Total Streaming Streaming Cost</t>
  </si>
  <si>
    <t>nCUBE Consulting</t>
  </si>
  <si>
    <t>Salaries, Benefits and Travel  (April - Dec only)</t>
  </si>
  <si>
    <t xml:space="preserve">   Salaries &amp; Benefits - STB</t>
  </si>
  <si>
    <t xml:space="preserve">   Salaries &amp; Benefits - DRM</t>
  </si>
  <si>
    <t xml:space="preserve">   Travel - STB</t>
  </si>
  <si>
    <t xml:space="preserve">   Travel - DRM</t>
  </si>
  <si>
    <t xml:space="preserve">   Non Deferrable Salaries*</t>
  </si>
  <si>
    <t>Cumulative</t>
  </si>
  <si>
    <t>3 mos</t>
  </si>
  <si>
    <t xml:space="preserve">   Salaries, Benefits, &amp; Travel - nCUBE</t>
  </si>
  <si>
    <t>Total Basis:</t>
  </si>
  <si>
    <t>Note</t>
  </si>
  <si>
    <t>*All other salaries, benefits and travel expenses above are deferrable.</t>
  </si>
  <si>
    <t>All salaries, benefits and travel expense assumptions from Carolyn Barrett and Florence Zoes.</t>
  </si>
  <si>
    <t>STB</t>
  </si>
  <si>
    <t>DRM</t>
  </si>
  <si>
    <t>Server</t>
  </si>
  <si>
    <t>Support</t>
  </si>
  <si>
    <t>Installation</t>
  </si>
  <si>
    <t>Consulting</t>
  </si>
  <si>
    <t>ASSUMPTIONS</t>
  </si>
  <si>
    <t>Cost per minute</t>
  </si>
  <si>
    <t>Average length per movie</t>
  </si>
  <si>
    <t>Movie ordered per home per month</t>
  </si>
  <si>
    <t>Average Movie Rentle Price</t>
  </si>
  <si>
    <t>Total Rental Revenue ($000)</t>
  </si>
  <si>
    <t>Access fee per customer per month</t>
  </si>
  <si>
    <t>EBS share of access fee</t>
  </si>
  <si>
    <t>Total Access Fee Revenue ($000)</t>
  </si>
  <si>
    <t>Incremental subscribers</t>
  </si>
  <si>
    <t>Box deployed</t>
  </si>
  <si>
    <t>STB price/lease charge to customer</t>
  </si>
  <si>
    <t>Total STB Revenue ($000)</t>
  </si>
  <si>
    <t>STB purchased from Motorola</t>
  </si>
  <si>
    <t>Motorola Box Cost</t>
  </si>
  <si>
    <t>Stella One Box Cost</t>
  </si>
  <si>
    <t>STB deployed</t>
  </si>
  <si>
    <t>Add new titles each month</t>
  </si>
  <si>
    <t>Initial movie titles</t>
  </si>
  <si>
    <t>Total Box Cost ($000)</t>
  </si>
  <si>
    <t>Mbps</t>
  </si>
  <si>
    <t>Stream Rate</t>
  </si>
  <si>
    <t>Streaming Bit Rate</t>
  </si>
  <si>
    <t>Simultaneous Stream</t>
  </si>
  <si>
    <t>Streams</t>
  </si>
  <si>
    <t>nCube Pricing Matrix</t>
  </si>
  <si>
    <t>Year 1</t>
  </si>
  <si>
    <t>Year 2</t>
  </si>
  <si>
    <t>Commitment</t>
  </si>
  <si>
    <t>$/mbps</t>
  </si>
  <si>
    <t>Price Drop</t>
  </si>
  <si>
    <t>$5MM</t>
  </si>
  <si>
    <t>$10MM</t>
  </si>
  <si>
    <t>$15MM</t>
  </si>
  <si>
    <t>$20MM</t>
  </si>
  <si>
    <t>Average</t>
  </si>
  <si>
    <t>stream</t>
  </si>
  <si>
    <t>nABLE/</t>
  </si>
  <si>
    <t>Storage Capability</t>
  </si>
  <si>
    <t>GB/server</t>
  </si>
  <si>
    <t>per Server Cost</t>
  </si>
  <si>
    <t>Product Support</t>
  </si>
  <si>
    <t>1st hub</t>
  </si>
  <si>
    <t>subsequent hub</t>
  </si>
  <si>
    <t>Hardware</t>
  </si>
  <si>
    <t>nAble</t>
  </si>
  <si>
    <t>Phase I Server Deployment</t>
  </si>
  <si>
    <t>hubs incl. Redundance</t>
  </si>
  <si>
    <t>Server needed</t>
  </si>
  <si>
    <t>Total Server Cost</t>
  </si>
  <si>
    <t xml:space="preserve">maximum </t>
  </si>
  <si>
    <t>Installation ($000)</t>
  </si>
  <si>
    <t>System Deployment</t>
  </si>
  <si>
    <t>Strategy Consulting</t>
  </si>
  <si>
    <t>nCube Deployment Fee</t>
  </si>
  <si>
    <t>nCube Strategy Consulting</t>
  </si>
  <si>
    <t>Total Consulting Fee</t>
  </si>
  <si>
    <t xml:space="preserve">Total nCube Cost </t>
  </si>
  <si>
    <t>Compressed stream rate needed for VoD (Mbps)</t>
  </si>
  <si>
    <t>Houston</t>
  </si>
  <si>
    <t>License Fee ($000)</t>
  </si>
  <si>
    <t>Quarterly Support Fee ($000)</t>
  </si>
  <si>
    <t>per quarter</t>
  </si>
  <si>
    <t>Content Transaction Charge</t>
  </si>
  <si>
    <t>Other Product Revenue Charge</t>
  </si>
  <si>
    <t>of product revenue</t>
  </si>
  <si>
    <t>Total VoD Subsribers</t>
  </si>
  <si>
    <t>Movies ordered per year</t>
  </si>
  <si>
    <t>per year</t>
  </si>
  <si>
    <t>InterTrust License Fee ($000)</t>
  </si>
  <si>
    <t>Content Transaction Fee</t>
  </si>
  <si>
    <t>Total DRM Cost</t>
  </si>
  <si>
    <t>EBS Access Fee Percentage</t>
  </si>
  <si>
    <t>No</t>
  </si>
  <si>
    <t>Monthly VOD Access Fee</t>
  </si>
  <si>
    <t>Total Cost</t>
  </si>
  <si>
    <t>Streaming O&amp;M</t>
  </si>
  <si>
    <t>Peak Load for Users</t>
  </si>
  <si>
    <t>Simutaneous Streams Provided by Servers</t>
  </si>
  <si>
    <t>VOD Subscribers</t>
  </si>
  <si>
    <t>EBS Share of the Box Cost</t>
  </si>
  <si>
    <t>PO Tracking Sheet</t>
  </si>
  <si>
    <t>Maximum User</t>
  </si>
  <si>
    <t>of server cost</t>
  </si>
  <si>
    <t>Box Installation</t>
  </si>
  <si>
    <t>$'000</t>
  </si>
  <si>
    <t xml:space="preserve">Product Support </t>
  </si>
  <si>
    <t>EBS Share</t>
  </si>
  <si>
    <t>initial 1000 baxes</t>
  </si>
  <si>
    <t>in large scale</t>
  </si>
  <si>
    <t>Home Installation</t>
  </si>
  <si>
    <t>per home for 2 hour installation</t>
  </si>
  <si>
    <t>MacroVision</t>
  </si>
  <si>
    <t>One Time Royalty Fee ($000)</t>
  </si>
  <si>
    <t>Transaction Charge</t>
  </si>
  <si>
    <t>per rental</t>
  </si>
  <si>
    <t>MacroVision Royalty Fee</t>
  </si>
  <si>
    <t>Transaction Fee</t>
  </si>
  <si>
    <t>Movie Rental Price</t>
  </si>
  <si>
    <t>Addition Home Equipment</t>
  </si>
  <si>
    <t>Additional Equipment Cost</t>
  </si>
  <si>
    <t>Charge Access Fee in Phase I</t>
  </si>
  <si>
    <t>STB Cost for Initial 1000 Boxes</t>
  </si>
  <si>
    <t>VOD subscribers (end of month)</t>
  </si>
  <si>
    <t>EBS Share of Rentle Price</t>
  </si>
  <si>
    <t>For Internal Use Only</t>
  </si>
  <si>
    <t>High Confidence (PO needed)</t>
  </si>
  <si>
    <t>Estimates</t>
  </si>
  <si>
    <t xml:space="preserve"> (to be ordered)</t>
  </si>
  <si>
    <t>Comments</t>
  </si>
  <si>
    <t>Contract to be negotiated</t>
  </si>
  <si>
    <t>Reflex</t>
  </si>
  <si>
    <t>Executed contract</t>
  </si>
  <si>
    <t>No discussion yet for additional deployment</t>
  </si>
  <si>
    <t>Fiber Ride</t>
  </si>
  <si>
    <t>Executed contract. According to M.H. their network is up and running.</t>
  </si>
  <si>
    <t>Qwest</t>
  </si>
  <si>
    <t>According to M.H, no possiblity for deployment of Version 1.1</t>
  </si>
  <si>
    <t>SBC</t>
  </si>
  <si>
    <t>Covad</t>
  </si>
  <si>
    <t>Tellus</t>
  </si>
  <si>
    <t>Corbin is on track for executing the contract.</t>
  </si>
  <si>
    <t>BT</t>
  </si>
  <si>
    <t>Notes:</t>
  </si>
  <si>
    <t>1) These are delivery dates by MOT. Assume 15 day lead time to deploy these systems.</t>
  </si>
  <si>
    <t>2) Motorola has communicated that is needs Purchase Orders at least 3 months in advance</t>
  </si>
  <si>
    <t>3) Motorola will like a 6 month forecast.</t>
  </si>
  <si>
    <t>4) Nov 15 STB's (in Gray) have already been ordered.</t>
  </si>
  <si>
    <t>Action Items:</t>
  </si>
  <si>
    <t xml:space="preserve">1) Motorola to get back with a specific date for the HD.  This functionality has two parts;a) Boxes are manufactured with HD </t>
  </si>
  <si>
    <t>b) Installing software, configuring network etc. to take advantage of HD.</t>
  </si>
  <si>
    <t>1) From 1500 M2 ordered 1100 are being deployed; remaining are being used as spares and for testing.</t>
  </si>
  <si>
    <t>Set Top Boxes Deployed (Assumption)</t>
  </si>
  <si>
    <t>Total Phase I Revenue ('000)</t>
  </si>
  <si>
    <t>STB deployment forecast for additional deployment of  STB's - without HD but with DRM solution (Version 1.1)</t>
  </si>
  <si>
    <t>PO:  4500057436</t>
  </si>
  <si>
    <t>NOTE:</t>
  </si>
  <si>
    <t>1) VOD SUBSCRIBERS BASED ON STB FORECAST TAB</t>
  </si>
  <si>
    <t>Performance payment for partial delivery</t>
  </si>
  <si>
    <t>Payment upon Completion</t>
  </si>
  <si>
    <t>December</t>
  </si>
  <si>
    <t>2)  The 400 boxes left over from Dec. deployment of 1100( go live )are:  120 for testing and 280 boxes for inventory.</t>
  </si>
  <si>
    <t>Streaming Servers</t>
  </si>
  <si>
    <t>stb costs jan-march</t>
  </si>
  <si>
    <t>consulting</t>
  </si>
  <si>
    <t>installation</t>
  </si>
  <si>
    <t>additional home equip</t>
  </si>
  <si>
    <t xml:space="preserve"> set top box costs aug-dec</t>
  </si>
  <si>
    <t>Addl. Phase I Costs to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</si>
</sst>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8" formatCode="_(* #,##0_);_(* \(#,##0\);_(* &quot;-&quot;?_);_(@_)"/>
    <numFmt numFmtId="169" formatCode="0.0%"/>
    <numFmt numFmtId="172" formatCode="0.0"/>
    <numFmt numFmtId="173" formatCode="_(* #,##0.000_);_(* \(#,##0.000\);_(* &quot;-&quot;??_);_(@_)"/>
    <numFmt numFmtId="174" formatCode="&quot;$&quot;#,##0.0_);[Red]\(&quot;$&quot;#,##0.0\)"/>
    <numFmt numFmtId="180" formatCode="dd\-mmm\-yy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Arial"/>
      <family val="2"/>
    </font>
    <font>
      <sz val="10"/>
      <color indexed="12"/>
      <name val="Times New Roman"/>
      <family val="1"/>
    </font>
    <font>
      <i/>
      <sz val="10"/>
      <name val="Arial"/>
      <family val="2"/>
    </font>
    <font>
      <i/>
      <sz val="10"/>
      <color indexed="10"/>
      <name val="Arial"/>
      <family val="2"/>
    </font>
    <font>
      <b/>
      <i/>
      <sz val="16"/>
      <color indexed="1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10"/>
      <color indexed="55"/>
      <name val="Arial"/>
      <family val="2"/>
    </font>
    <font>
      <b/>
      <i/>
      <sz val="11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5" fillId="0" borderId="0" xfId="0" applyFont="1"/>
    <xf numFmtId="6" fontId="0" fillId="0" borderId="0" xfId="0" applyNumberFormat="1"/>
    <xf numFmtId="17" fontId="7" fillId="0" borderId="0" xfId="0" applyNumberFormat="1" applyFont="1"/>
    <xf numFmtId="164" fontId="5" fillId="0" borderId="0" xfId="1" applyNumberFormat="1" applyFont="1" applyFill="1"/>
    <xf numFmtId="0" fontId="5" fillId="0" borderId="0" xfId="0" applyFont="1" applyFill="1"/>
    <xf numFmtId="164" fontId="0" fillId="0" borderId="0" xfId="0" applyNumberFormat="1"/>
    <xf numFmtId="0" fontId="2" fillId="0" borderId="1" xfId="0" applyFont="1" applyBorder="1"/>
    <xf numFmtId="6" fontId="2" fillId="0" borderId="1" xfId="0" applyNumberFormat="1" applyFont="1" applyBorder="1"/>
    <xf numFmtId="9" fontId="0" fillId="0" borderId="0" xfId="0" applyNumberFormat="1"/>
    <xf numFmtId="1" fontId="0" fillId="0" borderId="0" xfId="0" applyNumberFormat="1"/>
    <xf numFmtId="0" fontId="3" fillId="2" borderId="0" xfId="0" applyFont="1" applyFill="1"/>
    <xf numFmtId="6" fontId="11" fillId="0" borderId="0" xfId="0" applyNumberFormat="1" applyFont="1"/>
    <xf numFmtId="0" fontId="4" fillId="0" borderId="0" xfId="0" applyFont="1" applyBorder="1"/>
    <xf numFmtId="0" fontId="2" fillId="0" borderId="0" xfId="0" applyFont="1"/>
    <xf numFmtId="0" fontId="11" fillId="0" borderId="0" xfId="0" applyFont="1"/>
    <xf numFmtId="0" fontId="13" fillId="0" borderId="0" xfId="0" applyFont="1"/>
    <xf numFmtId="6" fontId="2" fillId="0" borderId="0" xfId="0" applyNumberFormat="1" applyFont="1"/>
    <xf numFmtId="172" fontId="0" fillId="0" borderId="0" xfId="0" applyNumberFormat="1"/>
    <xf numFmtId="0" fontId="0" fillId="0" borderId="0" xfId="0" applyBorder="1"/>
    <xf numFmtId="168" fontId="4" fillId="0" borderId="0" xfId="0" applyNumberFormat="1" applyFont="1"/>
    <xf numFmtId="0" fontId="6" fillId="3" borderId="0" xfId="0" applyFont="1" applyFill="1"/>
    <xf numFmtId="9" fontId="11" fillId="0" borderId="0" xfId="0" applyNumberFormat="1" applyFont="1" applyFill="1"/>
    <xf numFmtId="6" fontId="5" fillId="0" borderId="0" xfId="0" applyNumberFormat="1" applyFont="1" applyFill="1"/>
    <xf numFmtId="0" fontId="2" fillId="0" borderId="0" xfId="0" applyFont="1" applyBorder="1"/>
    <xf numFmtId="6" fontId="2" fillId="0" borderId="0" xfId="0" applyNumberFormat="1" applyFont="1" applyBorder="1"/>
    <xf numFmtId="0" fontId="14" fillId="0" borderId="0" xfId="0" applyFont="1"/>
    <xf numFmtId="0" fontId="15" fillId="0" borderId="0" xfId="0" applyFont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6" fillId="4" borderId="0" xfId="0" applyFont="1" applyFill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9" xfId="0" applyFont="1" applyFill="1" applyBorder="1"/>
    <xf numFmtId="0" fontId="16" fillId="0" borderId="0" xfId="0" applyFont="1"/>
    <xf numFmtId="0" fontId="16" fillId="3" borderId="10" xfId="0" applyFont="1" applyFill="1" applyBorder="1"/>
    <xf numFmtId="0" fontId="16" fillId="0" borderId="0" xfId="0" applyFont="1" applyFill="1" applyBorder="1"/>
    <xf numFmtId="17" fontId="17" fillId="0" borderId="0" xfId="0" applyNumberFormat="1" applyFont="1" applyFill="1" applyBorder="1"/>
    <xf numFmtId="0" fontId="16" fillId="3" borderId="11" xfId="0" applyFont="1" applyFill="1" applyBorder="1"/>
    <xf numFmtId="0" fontId="18" fillId="4" borderId="0" xfId="0" applyFont="1" applyFill="1"/>
    <xf numFmtId="0" fontId="18" fillId="3" borderId="10" xfId="0" applyFont="1" applyFill="1" applyBorder="1"/>
    <xf numFmtId="0" fontId="18" fillId="0" borderId="0" xfId="0" applyFont="1" applyFill="1" applyBorder="1"/>
    <xf numFmtId="0" fontId="18" fillId="3" borderId="11" xfId="0" applyFont="1" applyFill="1" applyBorder="1"/>
    <xf numFmtId="0" fontId="18" fillId="0" borderId="0" xfId="0" applyFont="1"/>
    <xf numFmtId="0" fontId="16" fillId="3" borderId="12" xfId="0" applyFont="1" applyFill="1" applyBorder="1"/>
    <xf numFmtId="0" fontId="16" fillId="3" borderId="13" xfId="0" applyFont="1" applyFill="1" applyBorder="1"/>
    <xf numFmtId="0" fontId="16" fillId="3" borderId="14" xfId="0" applyFont="1" applyFill="1" applyBorder="1"/>
    <xf numFmtId="6" fontId="19" fillId="0" borderId="0" xfId="0" applyNumberFormat="1" applyFont="1" applyFill="1" applyBorder="1"/>
    <xf numFmtId="0" fontId="18" fillId="4" borderId="0" xfId="0" applyFont="1" applyFill="1" applyAlignment="1">
      <alignment vertical="center"/>
    </xf>
    <xf numFmtId="0" fontId="18" fillId="3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Fill="1" applyBorder="1" applyAlignment="1">
      <alignment horizontal="right"/>
    </xf>
    <xf numFmtId="6" fontId="6" fillId="3" borderId="0" xfId="0" applyNumberFormat="1" applyFont="1" applyFill="1"/>
    <xf numFmtId="166" fontId="6" fillId="3" borderId="0" xfId="1" applyNumberFormat="1" applyFont="1" applyFill="1"/>
    <xf numFmtId="8" fontId="6" fillId="3" borderId="0" xfId="0" applyNumberFormat="1" applyFont="1" applyFill="1"/>
    <xf numFmtId="9" fontId="6" fillId="3" borderId="0" xfId="0" applyNumberFormat="1" applyFont="1" applyFill="1"/>
    <xf numFmtId="173" fontId="6" fillId="3" borderId="0" xfId="1" applyNumberFormat="1" applyFont="1" applyFill="1"/>
    <xf numFmtId="1" fontId="6" fillId="3" borderId="0" xfId="0" applyNumberFormat="1" applyFont="1" applyFill="1"/>
    <xf numFmtId="9" fontId="6" fillId="3" borderId="0" xfId="3" applyFont="1" applyFill="1"/>
    <xf numFmtId="6" fontId="12" fillId="3" borderId="0" xfId="0" applyNumberFormat="1" applyFont="1" applyFill="1" applyBorder="1"/>
    <xf numFmtId="6" fontId="5" fillId="5" borderId="15" xfId="0" applyNumberFormat="1" applyFont="1" applyFill="1" applyBorder="1"/>
    <xf numFmtId="6" fontId="5" fillId="5" borderId="2" xfId="0" applyNumberFormat="1" applyFont="1" applyFill="1" applyBorder="1"/>
    <xf numFmtId="0" fontId="5" fillId="5" borderId="10" xfId="0" applyFont="1" applyFill="1" applyBorder="1"/>
    <xf numFmtId="0" fontId="5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5" fillId="5" borderId="16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0" xfId="0" applyFont="1" applyFill="1" applyBorder="1" applyAlignment="1">
      <alignment horizontal="left"/>
    </xf>
    <xf numFmtId="0" fontId="5" fillId="5" borderId="21" xfId="0" applyFont="1" applyFill="1" applyBorder="1"/>
    <xf numFmtId="0" fontId="5" fillId="5" borderId="22" xfId="0" applyFont="1" applyFill="1" applyBorder="1"/>
    <xf numFmtId="0" fontId="5" fillId="5" borderId="23" xfId="0" applyFont="1" applyFill="1" applyBorder="1"/>
    <xf numFmtId="0" fontId="5" fillId="5" borderId="24" xfId="0" applyFont="1" applyFill="1" applyBorder="1"/>
    <xf numFmtId="6" fontId="6" fillId="5" borderId="25" xfId="0" applyNumberFormat="1" applyFont="1" applyFill="1" applyBorder="1"/>
    <xf numFmtId="0" fontId="5" fillId="5" borderId="25" xfId="0" applyFont="1" applyFill="1" applyBorder="1" applyAlignment="1">
      <alignment horizontal="right"/>
    </xf>
    <xf numFmtId="6" fontId="6" fillId="5" borderId="26" xfId="0" applyNumberFormat="1" applyFont="1" applyFill="1" applyBorder="1"/>
    <xf numFmtId="6" fontId="6" fillId="5" borderId="27" xfId="0" applyNumberFormat="1" applyFont="1" applyFill="1" applyBorder="1"/>
    <xf numFmtId="9" fontId="5" fillId="5" borderId="25" xfId="3" applyFont="1" applyFill="1" applyBorder="1" applyAlignment="1">
      <alignment horizontal="right"/>
    </xf>
    <xf numFmtId="9" fontId="5" fillId="5" borderId="28" xfId="3" applyFont="1" applyFill="1" applyBorder="1" applyAlignment="1">
      <alignment horizontal="right"/>
    </xf>
    <xf numFmtId="0" fontId="2" fillId="5" borderId="4" xfId="0" applyFont="1" applyFill="1" applyBorder="1"/>
    <xf numFmtId="6" fontId="2" fillId="5" borderId="29" xfId="0" applyNumberFormat="1" applyFont="1" applyFill="1" applyBorder="1"/>
    <xf numFmtId="0" fontId="2" fillId="5" borderId="29" xfId="0" applyFont="1" applyFill="1" applyBorder="1" applyAlignment="1">
      <alignment horizontal="left"/>
    </xf>
    <xf numFmtId="6" fontId="2" fillId="5" borderId="30" xfId="0" applyNumberFormat="1" applyFont="1" applyFill="1" applyBorder="1"/>
    <xf numFmtId="0" fontId="2" fillId="5" borderId="29" xfId="0" applyFont="1" applyFill="1" applyBorder="1"/>
    <xf numFmtId="9" fontId="2" fillId="5" borderId="31" xfId="0" applyNumberFormat="1" applyFont="1" applyFill="1" applyBorder="1" applyAlignment="1">
      <alignment horizontal="right"/>
    </xf>
    <xf numFmtId="169" fontId="6" fillId="3" borderId="0" xfId="0" applyNumberFormat="1" applyFont="1" applyFill="1"/>
    <xf numFmtId="0" fontId="21" fillId="0" borderId="0" xfId="0" applyFont="1"/>
    <xf numFmtId="0" fontId="7" fillId="0" borderId="0" xfId="0" applyFont="1" applyFill="1" applyBorder="1" applyAlignment="1">
      <alignment horizontal="center" wrapText="1"/>
    </xf>
    <xf numFmtId="9" fontId="5" fillId="0" borderId="0" xfId="0" applyNumberFormat="1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" fontId="17" fillId="6" borderId="0" xfId="0" applyNumberFormat="1" applyFont="1" applyFill="1" applyBorder="1" applyAlignment="1">
      <alignment horizontal="center"/>
    </xf>
    <xf numFmtId="17" fontId="17" fillId="6" borderId="0" xfId="0" applyNumberFormat="1" applyFont="1" applyFill="1" applyBorder="1"/>
    <xf numFmtId="6" fontId="22" fillId="6" borderId="0" xfId="0" applyNumberFormat="1" applyFont="1" applyFill="1" applyBorder="1"/>
    <xf numFmtId="6" fontId="22" fillId="6" borderId="1" xfId="0" applyNumberFormat="1" applyFont="1" applyFill="1" applyBorder="1"/>
    <xf numFmtId="164" fontId="23" fillId="3" borderId="32" xfId="1" applyNumberFormat="1" applyFont="1" applyFill="1" applyBorder="1"/>
    <xf numFmtId="174" fontId="8" fillId="3" borderId="0" xfId="0" applyNumberFormat="1" applyFont="1" applyFill="1"/>
    <xf numFmtId="0" fontId="0" fillId="5" borderId="0" xfId="0" applyFill="1" applyBorder="1"/>
    <xf numFmtId="0" fontId="2" fillId="5" borderId="0" xfId="0" applyFont="1" applyFill="1" applyBorder="1"/>
    <xf numFmtId="0" fontId="4" fillId="5" borderId="32" xfId="0" applyFont="1" applyFill="1" applyBorder="1"/>
    <xf numFmtId="0" fontId="0" fillId="5" borderId="33" xfId="0" applyFill="1" applyBorder="1"/>
    <xf numFmtId="0" fontId="24" fillId="0" borderId="0" xfId="0" applyFont="1"/>
    <xf numFmtId="0" fontId="2" fillId="0" borderId="34" xfId="0" applyFont="1" applyBorder="1" applyAlignment="1">
      <alignment horizontal="right"/>
    </xf>
    <xf numFmtId="180" fontId="0" fillId="0" borderId="0" xfId="0" applyNumberFormat="1"/>
    <xf numFmtId="180" fontId="0" fillId="0" borderId="10" xfId="0" applyNumberFormat="1" applyBorder="1"/>
    <xf numFmtId="180" fontId="0" fillId="0" borderId="0" xfId="0" applyNumberFormat="1" applyBorder="1"/>
    <xf numFmtId="180" fontId="0" fillId="0" borderId="11" xfId="0" applyNumberFormat="1" applyBorder="1"/>
    <xf numFmtId="0" fontId="2" fillId="0" borderId="35" xfId="0" applyFont="1" applyBorder="1" applyAlignment="1">
      <alignment horizontal="right"/>
    </xf>
    <xf numFmtId="0" fontId="25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36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4" borderId="25" xfId="0" applyFont="1" applyFill="1" applyBorder="1"/>
    <xf numFmtId="0" fontId="0" fillId="7" borderId="0" xfId="0" applyFill="1"/>
    <xf numFmtId="165" fontId="6" fillId="3" borderId="0" xfId="2" applyNumberFormat="1" applyFont="1" applyFill="1"/>
    <xf numFmtId="165" fontId="0" fillId="0" borderId="0" xfId="0" applyNumberFormat="1"/>
    <xf numFmtId="0" fontId="0" fillId="4" borderId="0" xfId="0" applyFill="1"/>
    <xf numFmtId="17" fontId="17" fillId="6" borderId="11" xfId="0" applyNumberFormat="1" applyFont="1" applyFill="1" applyBorder="1" applyAlignment="1">
      <alignment horizontal="center"/>
    </xf>
    <xf numFmtId="6" fontId="22" fillId="6" borderId="11" xfId="0" applyNumberFormat="1" applyFont="1" applyFill="1" applyBorder="1"/>
    <xf numFmtId="6" fontId="20" fillId="6" borderId="37" xfId="0" applyNumberFormat="1" applyFont="1" applyFill="1" applyBorder="1" applyAlignment="1">
      <alignment vertical="center"/>
    </xf>
    <xf numFmtId="6" fontId="20" fillId="6" borderId="38" xfId="0" applyNumberFormat="1" applyFont="1" applyFill="1" applyBorder="1" applyAlignment="1">
      <alignment vertical="center"/>
    </xf>
    <xf numFmtId="6" fontId="26" fillId="0" borderId="0" xfId="0" applyNumberFormat="1" applyFont="1" applyFill="1" applyBorder="1"/>
    <xf numFmtId="0" fontId="18" fillId="3" borderId="8" xfId="0" applyFont="1" applyFill="1" applyBorder="1"/>
    <xf numFmtId="0" fontId="18" fillId="8" borderId="1" xfId="0" applyFont="1" applyFill="1" applyBorder="1"/>
    <xf numFmtId="0" fontId="18" fillId="0" borderId="1" xfId="0" applyFont="1" applyFill="1" applyBorder="1"/>
    <xf numFmtId="6" fontId="18" fillId="0" borderId="1" xfId="0" applyNumberFormat="1" applyFont="1" applyFill="1" applyBorder="1"/>
    <xf numFmtId="0" fontId="18" fillId="8" borderId="39" xfId="0" applyFont="1" applyFill="1" applyBorder="1" applyAlignment="1">
      <alignment vertical="center"/>
    </xf>
    <xf numFmtId="0" fontId="18" fillId="0" borderId="39" xfId="0" applyFont="1" applyFill="1" applyBorder="1" applyAlignment="1">
      <alignment vertical="center"/>
    </xf>
    <xf numFmtId="6" fontId="0" fillId="0" borderId="39" xfId="0" applyNumberFormat="1" applyBorder="1"/>
    <xf numFmtId="6" fontId="2" fillId="0" borderId="39" xfId="0" applyNumberFormat="1" applyFont="1" applyFill="1" applyBorder="1" applyAlignment="1">
      <alignment vertical="center"/>
    </xf>
    <xf numFmtId="6" fontId="20" fillId="6" borderId="39" xfId="0" applyNumberFormat="1" applyFont="1" applyFill="1" applyBorder="1" applyAlignment="1">
      <alignment vertical="center"/>
    </xf>
    <xf numFmtId="0" fontId="18" fillId="4" borderId="7" xfId="0" applyFont="1" applyFill="1" applyBorder="1"/>
    <xf numFmtId="0" fontId="16" fillId="4" borderId="8" xfId="0" applyFont="1" applyFill="1" applyBorder="1"/>
    <xf numFmtId="6" fontId="18" fillId="4" borderId="9" xfId="0" applyNumberFormat="1" applyFont="1" applyFill="1" applyBorder="1"/>
    <xf numFmtId="0" fontId="16" fillId="4" borderId="13" xfId="0" applyFont="1" applyFill="1" applyBorder="1"/>
    <xf numFmtId="6" fontId="18" fillId="4" borderId="14" xfId="0" applyNumberFormat="1" applyFont="1" applyFill="1" applyBorder="1"/>
    <xf numFmtId="0" fontId="17" fillId="4" borderId="0" xfId="0" applyFont="1" applyFill="1"/>
    <xf numFmtId="0" fontId="17" fillId="4" borderId="12" xfId="0" applyFont="1" applyFill="1" applyBorder="1"/>
    <xf numFmtId="6" fontId="6" fillId="0" borderId="0" xfId="0" applyNumberFormat="1" applyFont="1"/>
    <xf numFmtId="6" fontId="17" fillId="6" borderId="11" xfId="0" applyNumberFormat="1" applyFont="1" applyFill="1" applyBorder="1"/>
    <xf numFmtId="0" fontId="2" fillId="5" borderId="4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43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AH-DF-01\DFS\Common\Houston\private\Blockbuster%20Team\Model\Models\Business%20Model\DSL%20Economics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TB"/>
      <sheetName val="Network"/>
      <sheetName val="Streaming"/>
      <sheetName val="Storage"/>
      <sheetName val="Encoding"/>
      <sheetName val="DRM"/>
      <sheetName val="LH Bandwidth"/>
      <sheetName val="Local Loop"/>
      <sheetName val="Distribution"/>
      <sheetName val="CRM"/>
      <sheetName val="O&amp;M"/>
      <sheetName val="Marketing"/>
      <sheetName val="Royalties"/>
      <sheetName val="Project CF"/>
      <sheetName val="Party CF"/>
      <sheetName val="ENE Per Sub"/>
      <sheetName val="BBI Per Sub"/>
      <sheetName val="ENE Per Rental"/>
      <sheetName val="Sensitivity"/>
      <sheetName val="Scenario"/>
      <sheetName val="Graphs"/>
      <sheetName val="Movie Specs"/>
      <sheetName val="Metro"/>
      <sheetName val="Local Circuit"/>
      <sheetName val="CS_Billing"/>
    </sheetNames>
    <sheetDataSet>
      <sheetData sheetId="0">
        <row r="39">
          <cell r="F39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27"/>
  <sheetViews>
    <sheetView zoomScale="75" workbookViewId="0">
      <pane xSplit="14" ySplit="6" topLeftCell="O7" activePane="bottomRight" state="frozen"/>
      <selection pane="topRight" activeCell="O1" sqref="O1"/>
      <selection pane="bottomLeft" activeCell="A7" sqref="A7"/>
      <selection pane="bottomRight" activeCell="R8" sqref="R8"/>
    </sheetView>
  </sheetViews>
  <sheetFormatPr defaultColWidth="9.109375" defaultRowHeight="13.8" x14ac:dyDescent="0.25"/>
  <cols>
    <col min="1" max="1" width="1.109375" style="34" customWidth="1"/>
    <col min="2" max="2" width="1.44140625" style="38" customWidth="1"/>
    <col min="3" max="3" width="21.88671875" style="38" customWidth="1"/>
    <col min="4" max="4" width="7.44140625" style="38" customWidth="1"/>
    <col min="5" max="5" width="11.33203125" style="38" bestFit="1" customWidth="1"/>
    <col min="6" max="6" width="9.88671875" style="38" customWidth="1"/>
    <col min="7" max="7" width="9.44140625" style="38" customWidth="1"/>
    <col min="8" max="10" width="10" style="38" customWidth="1"/>
    <col min="11" max="11" width="12.88671875" style="38" bestFit="1" customWidth="1"/>
    <col min="12" max="13" width="10" style="38" customWidth="1"/>
    <col min="14" max="14" width="11.6640625" style="38" customWidth="1"/>
    <col min="15" max="15" width="10" style="38" customWidth="1"/>
    <col min="16" max="17" width="12.88671875" style="38" bestFit="1" customWidth="1"/>
    <col min="18" max="18" width="11.88671875" style="38" bestFit="1" customWidth="1"/>
    <col min="19" max="19" width="1.44140625" style="38" customWidth="1"/>
    <col min="20" max="85" width="9.109375" style="34"/>
    <col min="86" max="16384" width="9.109375" style="38"/>
  </cols>
  <sheetData>
    <row r="1" spans="2:19" ht="14.4" thickBot="1" x14ac:dyDescent="0.3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2:19" x14ac:dyDescent="0.25"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135" t="s">
        <v>199</v>
      </c>
      <c r="P2" s="36"/>
      <c r="Q2" s="36"/>
      <c r="R2" s="36"/>
      <c r="S2" s="37"/>
    </row>
    <row r="3" spans="2:19" x14ac:dyDescent="0.25">
      <c r="B3" s="39"/>
      <c r="C3" s="40"/>
      <c r="D3" s="40"/>
      <c r="E3" s="41">
        <v>36617</v>
      </c>
      <c r="F3" s="41">
        <v>36647</v>
      </c>
      <c r="G3" s="41">
        <v>36678</v>
      </c>
      <c r="H3" s="41">
        <v>36708</v>
      </c>
      <c r="I3" s="41">
        <v>36739</v>
      </c>
      <c r="J3" s="41">
        <v>36770</v>
      </c>
      <c r="K3" s="41">
        <v>36800</v>
      </c>
      <c r="L3" s="41">
        <v>36831</v>
      </c>
      <c r="M3" s="41">
        <v>36861</v>
      </c>
      <c r="N3" s="130" t="s">
        <v>1</v>
      </c>
      <c r="O3" s="41">
        <v>36892</v>
      </c>
      <c r="P3" s="41">
        <v>36923</v>
      </c>
      <c r="Q3" s="41">
        <v>36951</v>
      </c>
      <c r="R3" s="100" t="s">
        <v>39</v>
      </c>
      <c r="S3" s="42"/>
    </row>
    <row r="4" spans="2:19" ht="27" x14ac:dyDescent="0.3">
      <c r="B4" s="39"/>
      <c r="C4" s="56" t="s">
        <v>136</v>
      </c>
      <c r="D4" s="96" t="s">
        <v>138</v>
      </c>
      <c r="E4" s="41"/>
      <c r="F4" s="41"/>
      <c r="G4" s="41"/>
      <c r="H4" s="41"/>
      <c r="I4" s="41"/>
      <c r="J4" s="41"/>
      <c r="K4" s="41"/>
      <c r="L4" s="41"/>
      <c r="M4" s="41"/>
      <c r="N4" s="152"/>
      <c r="O4" s="41"/>
      <c r="P4" s="41"/>
      <c r="Q4" s="41"/>
      <c r="R4" s="101"/>
      <c r="S4" s="42"/>
    </row>
    <row r="5" spans="2:19" ht="27" customHeight="1" x14ac:dyDescent="0.3">
      <c r="B5" s="39"/>
      <c r="C5" s="40" t="s">
        <v>31</v>
      </c>
      <c r="D5" s="97">
        <v>1</v>
      </c>
      <c r="E5" s="51">
        <f>nCube!D38*$D$5</f>
        <v>0</v>
      </c>
      <c r="F5" s="51">
        <f>nCube!E38*$D$5</f>
        <v>0</v>
      </c>
      <c r="G5" s="51">
        <f>nCube!F38*$D$5</f>
        <v>0</v>
      </c>
      <c r="H5" s="51">
        <f>nCube!G38*$D$5</f>
        <v>111.11111111111111</v>
      </c>
      <c r="I5" s="51">
        <f>nCube!H38*$D$5</f>
        <v>1111.1111111111111</v>
      </c>
      <c r="J5" s="51">
        <f>nCube!I38*$D$5</f>
        <v>111.11111111111111</v>
      </c>
      <c r="K5" s="51">
        <f>nCube!J38*$D$5</f>
        <v>111.11111111111111</v>
      </c>
      <c r="L5" s="51">
        <f>nCube!K38*$D$5</f>
        <v>111.11111111111111</v>
      </c>
      <c r="M5" s="51">
        <f>nCube!L38*$D$5</f>
        <v>3111.1111111111113</v>
      </c>
      <c r="N5" s="131">
        <f>SUM(E5:M5)</f>
        <v>4666.666666666667</v>
      </c>
      <c r="O5" s="51">
        <f>nCube!M38*$D$5</f>
        <v>111.11111111111111</v>
      </c>
      <c r="P5" s="51">
        <f>nCube!N38*$D$5</f>
        <v>111.11111111111111</v>
      </c>
      <c r="Q5" s="51">
        <f>nCube!O38*$D$5</f>
        <v>111.11111111111111</v>
      </c>
      <c r="R5" s="102">
        <f>SUM(O5:Q5)</f>
        <v>333.33333333333337</v>
      </c>
      <c r="S5" s="42"/>
    </row>
    <row r="6" spans="2:19" ht="25.5" customHeight="1" x14ac:dyDescent="0.3">
      <c r="B6" s="39"/>
      <c r="C6" s="40" t="s">
        <v>45</v>
      </c>
      <c r="D6" s="97">
        <v>1</v>
      </c>
      <c r="E6" s="51">
        <f>STB!D25*$D$6</f>
        <v>0</v>
      </c>
      <c r="F6" s="51">
        <f>STB!E25*$D$6</f>
        <v>0</v>
      </c>
      <c r="G6" s="51">
        <f>STB!F25*$D$6</f>
        <v>0</v>
      </c>
      <c r="H6" s="51">
        <f>STB!G25*$D$6</f>
        <v>0</v>
      </c>
      <c r="I6" s="51">
        <f>STB!H25*$D$6</f>
        <v>56.5</v>
      </c>
      <c r="J6" s="51">
        <f>STB!I25*$D$6</f>
        <v>11.3</v>
      </c>
      <c r="K6" s="51">
        <f>STB!J25*$D$6</f>
        <v>566.13</v>
      </c>
      <c r="L6" s="51">
        <f>STB!K25*$D$6</f>
        <v>2130</v>
      </c>
      <c r="M6" s="51">
        <f>STB!L25*$D$6</f>
        <v>1875.5</v>
      </c>
      <c r="N6" s="131">
        <f>SUM(E6:M6)</f>
        <v>4639.43</v>
      </c>
      <c r="O6" s="51">
        <f>STB!M25*$D$6</f>
        <v>304</v>
      </c>
      <c r="P6" s="51">
        <f>STB!N25*$D$6</f>
        <v>1365.7199999999998</v>
      </c>
      <c r="Q6" s="51">
        <f>STB!O25*$D$6</f>
        <v>1140</v>
      </c>
      <c r="R6" s="102">
        <f>SUM(O6:Q6)</f>
        <v>2809.72</v>
      </c>
      <c r="S6" s="42"/>
    </row>
    <row r="7" spans="2:19" ht="25.5" customHeight="1" x14ac:dyDescent="0.3">
      <c r="B7" s="39"/>
      <c r="C7" s="40" t="s">
        <v>46</v>
      </c>
      <c r="D7" s="97">
        <v>1</v>
      </c>
      <c r="E7" s="51">
        <f>DRM!D35*$D$7</f>
        <v>0</v>
      </c>
      <c r="F7" s="51">
        <f>DRM!E35*$D$7</f>
        <v>0</v>
      </c>
      <c r="G7" s="51">
        <f>DRM!F35*$D$7</f>
        <v>0</v>
      </c>
      <c r="H7" s="51">
        <f>DRM!G35*$D$7</f>
        <v>0</v>
      </c>
      <c r="I7" s="51">
        <f>DRM!H35*$D$7</f>
        <v>0</v>
      </c>
      <c r="J7" s="51">
        <f>DRM!I35*$D$7</f>
        <v>35</v>
      </c>
      <c r="K7" s="51">
        <f>DRM!J35*$D$7</f>
        <v>100</v>
      </c>
      <c r="L7" s="51">
        <f>DRM!K35*$D$7</f>
        <v>350</v>
      </c>
      <c r="M7" s="51">
        <f>DRM!L35*$D$7</f>
        <v>39.215552000000002</v>
      </c>
      <c r="N7" s="131">
        <f>SUM(E7:M7)</f>
        <v>524.215552</v>
      </c>
      <c r="O7" s="51">
        <f>DRM!M35*$D$7</f>
        <v>5.7484799999999998</v>
      </c>
      <c r="P7" s="51">
        <f>DRM!N35*$D$7</f>
        <v>12.635159040000001</v>
      </c>
      <c r="Q7" s="51">
        <f>DRM!O35*$D$7</f>
        <v>53.383639039999998</v>
      </c>
      <c r="R7" s="102">
        <f>SUM(O7:Q7)</f>
        <v>71.767278079999997</v>
      </c>
      <c r="S7" s="42"/>
    </row>
    <row r="8" spans="2:19" ht="25.5" customHeight="1" x14ac:dyDescent="0.3">
      <c r="B8" s="39"/>
      <c r="C8" s="40" t="s">
        <v>193</v>
      </c>
      <c r="D8" s="97">
        <v>1</v>
      </c>
      <c r="E8" s="51">
        <f>'Streaming Server'!C24*$D$8</f>
        <v>0</v>
      </c>
      <c r="F8" s="51">
        <f>'Streaming Server'!D24*$D$8</f>
        <v>0</v>
      </c>
      <c r="G8" s="51">
        <f>'Streaming Server'!E24*$D$8</f>
        <v>0</v>
      </c>
      <c r="H8" s="51">
        <f>'Streaming Server'!F24*$D$8</f>
        <v>0</v>
      </c>
      <c r="I8" s="51">
        <f>'Streaming Server'!G24*$D$8</f>
        <v>236.9972830188679</v>
      </c>
      <c r="J8" s="51">
        <f>'Streaming Server'!H24*$D$8</f>
        <v>1736.9791698113208</v>
      </c>
      <c r="K8" s="51">
        <f>'Streaming Server'!I24*$D$8</f>
        <v>0</v>
      </c>
      <c r="L8" s="51">
        <f>'Streaming Server'!J24*$D$8</f>
        <v>0</v>
      </c>
      <c r="M8" s="51">
        <f>'Streaming Server'!K24*$D$8</f>
        <v>0</v>
      </c>
      <c r="N8" s="131">
        <f>SUM(E8:M8)</f>
        <v>1973.9764528301887</v>
      </c>
      <c r="O8" s="51">
        <f>'Streaming Server'!L24*$D$8</f>
        <v>160.19818867924528</v>
      </c>
      <c r="P8" s="51">
        <f>'Streaming Server'!M24*$D$8</f>
        <v>160.19818867924528</v>
      </c>
      <c r="Q8" s="51">
        <f>'Streaming Server'!N24*$D$8</f>
        <v>160.19818867924528</v>
      </c>
      <c r="R8" s="102">
        <f>SUM(O8:Q8)</f>
        <v>480.59456603773583</v>
      </c>
      <c r="S8" s="42"/>
    </row>
    <row r="9" spans="2:19" ht="25.5" customHeight="1" x14ac:dyDescent="0.3">
      <c r="B9" s="39"/>
      <c r="C9" s="45" t="s">
        <v>32</v>
      </c>
      <c r="D9" s="97"/>
      <c r="E9" s="51"/>
      <c r="F9" s="51"/>
      <c r="G9" s="51"/>
      <c r="H9" s="51"/>
      <c r="I9" s="51"/>
      <c r="J9" s="51"/>
      <c r="K9" s="51"/>
      <c r="L9" s="51"/>
      <c r="M9" s="51"/>
      <c r="N9" s="131"/>
      <c r="O9" s="51"/>
      <c r="P9" s="51"/>
      <c r="Q9" s="51"/>
      <c r="R9" s="102"/>
      <c r="S9" s="42"/>
    </row>
    <row r="10" spans="2:19" ht="25.5" customHeight="1" x14ac:dyDescent="0.3">
      <c r="B10" s="39"/>
      <c r="C10" s="40" t="s">
        <v>33</v>
      </c>
      <c r="D10" s="97"/>
      <c r="E10" s="51"/>
      <c r="F10" s="51"/>
      <c r="G10" s="51"/>
      <c r="H10" s="51"/>
      <c r="I10" s="51"/>
      <c r="J10" s="51"/>
      <c r="K10" s="51"/>
      <c r="L10" s="51"/>
      <c r="M10" s="134">
        <v>899.5</v>
      </c>
      <c r="N10" s="131">
        <f t="shared" ref="N10:N15" si="0">SUM(E10:M10)</f>
        <v>899.5</v>
      </c>
      <c r="O10" s="51"/>
      <c r="P10" s="51"/>
      <c r="Q10" s="51"/>
      <c r="R10" s="102"/>
      <c r="S10" s="42"/>
    </row>
    <row r="11" spans="2:19" ht="25.5" customHeight="1" x14ac:dyDescent="0.3">
      <c r="B11" s="39"/>
      <c r="C11" s="40" t="s">
        <v>34</v>
      </c>
      <c r="D11" s="97"/>
      <c r="E11" s="51"/>
      <c r="F11" s="51"/>
      <c r="G11" s="51"/>
      <c r="H11" s="51"/>
      <c r="I11" s="51"/>
      <c r="J11" s="51"/>
      <c r="K11" s="51"/>
      <c r="L11" s="51"/>
      <c r="M11" s="134">
        <v>186.4</v>
      </c>
      <c r="N11" s="131">
        <f t="shared" si="0"/>
        <v>186.4</v>
      </c>
      <c r="O11" s="51"/>
      <c r="P11" s="51"/>
      <c r="Q11" s="51"/>
      <c r="R11" s="102"/>
      <c r="S11" s="42"/>
    </row>
    <row r="12" spans="2:19" ht="25.5" customHeight="1" x14ac:dyDescent="0.3">
      <c r="B12" s="39"/>
      <c r="C12" s="40" t="s">
        <v>35</v>
      </c>
      <c r="D12" s="97"/>
      <c r="E12" s="51"/>
      <c r="F12" s="51"/>
      <c r="G12" s="51"/>
      <c r="H12" s="51"/>
      <c r="I12" s="51"/>
      <c r="J12" s="51"/>
      <c r="K12" s="51"/>
      <c r="L12" s="51"/>
      <c r="M12" s="134">
        <v>77.135000000000005</v>
      </c>
      <c r="N12" s="131">
        <f t="shared" si="0"/>
        <v>77.135000000000005</v>
      </c>
      <c r="O12" s="51"/>
      <c r="P12" s="51"/>
      <c r="Q12" s="51"/>
      <c r="R12" s="102"/>
      <c r="S12" s="42"/>
    </row>
    <row r="13" spans="2:19" ht="25.5" customHeight="1" x14ac:dyDescent="0.3">
      <c r="B13" s="39"/>
      <c r="C13" s="40" t="s">
        <v>36</v>
      </c>
      <c r="D13" s="97"/>
      <c r="E13" s="51"/>
      <c r="F13" s="51"/>
      <c r="G13" s="51"/>
      <c r="H13" s="51"/>
      <c r="I13" s="51"/>
      <c r="J13" s="51"/>
      <c r="K13" s="51"/>
      <c r="L13" s="51"/>
      <c r="M13" s="134">
        <v>26.84</v>
      </c>
      <c r="N13" s="131">
        <f t="shared" si="0"/>
        <v>26.84</v>
      </c>
      <c r="O13" s="51"/>
      <c r="P13" s="51"/>
      <c r="Q13" s="51"/>
      <c r="R13" s="102"/>
      <c r="S13" s="42"/>
    </row>
    <row r="14" spans="2:19" ht="25.5" customHeight="1" x14ac:dyDescent="0.3">
      <c r="B14" s="39"/>
      <c r="C14" s="40" t="s">
        <v>40</v>
      </c>
      <c r="D14" s="97"/>
      <c r="E14" s="51"/>
      <c r="F14" s="51"/>
      <c r="G14" s="51"/>
      <c r="H14" s="51"/>
      <c r="I14" s="51"/>
      <c r="J14" s="51"/>
      <c r="K14" s="51"/>
      <c r="L14" s="51"/>
      <c r="M14" s="134">
        <v>30</v>
      </c>
      <c r="N14" s="131">
        <f t="shared" si="0"/>
        <v>30</v>
      </c>
      <c r="O14" s="51"/>
      <c r="P14" s="51"/>
      <c r="Q14" s="51"/>
      <c r="R14" s="102"/>
      <c r="S14" s="42"/>
    </row>
    <row r="15" spans="2:19" ht="25.5" customHeight="1" x14ac:dyDescent="0.3">
      <c r="B15" s="39"/>
      <c r="C15" s="40" t="s">
        <v>37</v>
      </c>
      <c r="D15" s="97"/>
      <c r="E15" s="51"/>
      <c r="F15" s="51"/>
      <c r="G15" s="51"/>
      <c r="H15" s="51"/>
      <c r="I15" s="51"/>
      <c r="J15" s="51"/>
      <c r="K15" s="51"/>
      <c r="L15" s="51"/>
      <c r="M15" s="134">
        <v>100</v>
      </c>
      <c r="N15" s="131">
        <f t="shared" si="0"/>
        <v>100</v>
      </c>
      <c r="O15" s="51"/>
      <c r="P15" s="51"/>
      <c r="Q15" s="51"/>
      <c r="R15" s="102"/>
      <c r="S15" s="42"/>
    </row>
    <row r="16" spans="2:19" ht="12.75" customHeight="1" x14ac:dyDescent="0.3">
      <c r="B16" s="39"/>
      <c r="C16" s="40"/>
      <c r="D16" s="97"/>
      <c r="E16" s="51"/>
      <c r="F16" s="51"/>
      <c r="G16" s="51"/>
      <c r="H16" s="51"/>
      <c r="I16" s="51"/>
      <c r="J16" s="51"/>
      <c r="K16" s="51"/>
      <c r="L16" s="51"/>
      <c r="M16" s="51"/>
      <c r="N16" s="131"/>
      <c r="O16" s="51"/>
      <c r="P16" s="51"/>
      <c r="Q16" s="51"/>
      <c r="R16" s="102"/>
      <c r="S16" s="42"/>
    </row>
    <row r="17" spans="1:85" s="47" customFormat="1" ht="25.5" customHeight="1" thickBot="1" x14ac:dyDescent="0.3">
      <c r="A17" s="43"/>
      <c r="B17" s="44"/>
      <c r="C17" s="136" t="s">
        <v>126</v>
      </c>
      <c r="D17" s="137"/>
      <c r="E17" s="138">
        <f>SUM(E5:E8)</f>
        <v>0</v>
      </c>
      <c r="F17" s="138">
        <f t="shared" ref="F17:L17" si="1">SUM(F5:F8)</f>
        <v>0</v>
      </c>
      <c r="G17" s="138">
        <f t="shared" si="1"/>
        <v>0</v>
      </c>
      <c r="H17" s="138">
        <f t="shared" si="1"/>
        <v>111.11111111111111</v>
      </c>
      <c r="I17" s="138">
        <f t="shared" si="1"/>
        <v>1404.6083941299789</v>
      </c>
      <c r="J17" s="138">
        <f t="shared" si="1"/>
        <v>1894.3902809224319</v>
      </c>
      <c r="K17" s="138">
        <f t="shared" si="1"/>
        <v>777.24111111111108</v>
      </c>
      <c r="L17" s="138">
        <f t="shared" si="1"/>
        <v>2591.1111111111113</v>
      </c>
      <c r="M17" s="138">
        <f>SUM(M5:M15)</f>
        <v>6345.701663111111</v>
      </c>
      <c r="N17" s="132">
        <f>SUM(E17:M17)</f>
        <v>13124.163671496855</v>
      </c>
      <c r="O17" s="138">
        <f>SUM(O5:O16)</f>
        <v>581.05777979035634</v>
      </c>
      <c r="P17" s="138">
        <f>SUM(P5:P16)</f>
        <v>1649.6644588303561</v>
      </c>
      <c r="Q17" s="138">
        <f>SUM(Q5:Q16)</f>
        <v>1464.6929388303563</v>
      </c>
      <c r="R17" s="103">
        <f>SUM(O17:Q17)</f>
        <v>3695.4151774510683</v>
      </c>
      <c r="S17" s="46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</row>
    <row r="18" spans="1:85" s="55" customFormat="1" ht="25.5" customHeight="1" thickTop="1" thickBot="1" x14ac:dyDescent="0.3">
      <c r="A18" s="52"/>
      <c r="B18" s="53"/>
      <c r="C18" s="139" t="s">
        <v>38</v>
      </c>
      <c r="D18" s="140"/>
      <c r="E18" s="141">
        <f>SUM($E$17:E17)</f>
        <v>0</v>
      </c>
      <c r="F18" s="141">
        <f>SUM($E$17:F17)</f>
        <v>0</v>
      </c>
      <c r="G18" s="141">
        <f>SUM($E$17:G17)</f>
        <v>0</v>
      </c>
      <c r="H18" s="141">
        <f>SUM($E$17:H17)</f>
        <v>111.11111111111111</v>
      </c>
      <c r="I18" s="141">
        <f>SUM($E$17:I17)</f>
        <v>1515.71950524109</v>
      </c>
      <c r="J18" s="141">
        <f>SUM($E$17:J17)</f>
        <v>3410.1097861635217</v>
      </c>
      <c r="K18" s="141">
        <f>SUM($E$17:K17)</f>
        <v>4187.3508972746331</v>
      </c>
      <c r="L18" s="141">
        <f>SUM($E$17:L17)</f>
        <v>6778.4620083857444</v>
      </c>
      <c r="M18" s="141">
        <f>SUM($E$17:M17)</f>
        <v>13124.163671496855</v>
      </c>
      <c r="N18" s="133"/>
      <c r="O18" s="142">
        <f>SUM($O$17:O17)</f>
        <v>581.05777979035634</v>
      </c>
      <c r="P18" s="142">
        <f>SUM($O$17:P17)</f>
        <v>2230.7222386207122</v>
      </c>
      <c r="Q18" s="142">
        <f>SUM($O$17:Q17)</f>
        <v>3695.4151774510683</v>
      </c>
      <c r="R18" s="143"/>
      <c r="S18" s="54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</row>
    <row r="19" spans="1:85" ht="15" thickTop="1" thickBot="1" x14ac:dyDescent="0.3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/>
      <c r="O19" s="49"/>
      <c r="P19" s="49"/>
      <c r="Q19" s="49"/>
      <c r="R19" s="49"/>
      <c r="S19" s="50"/>
    </row>
    <row r="20" spans="1:85" s="129" customFormat="1" thickBot="1" x14ac:dyDescent="0.3"/>
    <row r="21" spans="1:85" s="129" customFormat="1" x14ac:dyDescent="0.25">
      <c r="C21" s="144" t="s">
        <v>41</v>
      </c>
      <c r="D21" s="145"/>
      <c r="E21" s="145"/>
      <c r="F21" s="146">
        <f>N17</f>
        <v>13124.163671496855</v>
      </c>
    </row>
    <row r="22" spans="1:85" s="129" customFormat="1" ht="14.4" thickBot="1" x14ac:dyDescent="0.3">
      <c r="C22" s="150"/>
      <c r="D22" s="147"/>
      <c r="E22" s="147"/>
      <c r="F22" s="148"/>
    </row>
    <row r="23" spans="1:85" s="129" customFormat="1" x14ac:dyDescent="0.25">
      <c r="C23" s="149" t="s">
        <v>42</v>
      </c>
      <c r="D23" s="34"/>
      <c r="E23" s="34"/>
      <c r="F23" s="34"/>
    </row>
    <row r="24" spans="1:85" s="129" customFormat="1" x14ac:dyDescent="0.25">
      <c r="C24" s="38" t="s">
        <v>43</v>
      </c>
      <c r="D24" s="34"/>
      <c r="E24" s="34"/>
      <c r="F24" s="34"/>
    </row>
    <row r="25" spans="1:85" s="129" customFormat="1" x14ac:dyDescent="0.25">
      <c r="C25" s="34" t="s">
        <v>44</v>
      </c>
      <c r="D25" s="34"/>
    </row>
    <row r="26" spans="1:85" s="129" customFormat="1" ht="13.2" x14ac:dyDescent="0.25"/>
    <row r="27" spans="1:85" s="129" customFormat="1" ht="13.2" x14ac:dyDescent="0.25"/>
    <row r="28" spans="1:85" s="129" customFormat="1" ht="13.2" x14ac:dyDescent="0.25"/>
    <row r="29" spans="1:85" s="129" customFormat="1" ht="13.2" x14ac:dyDescent="0.25"/>
    <row r="30" spans="1:85" s="34" customFormat="1" x14ac:dyDescent="0.25"/>
    <row r="31" spans="1:85" s="34" customFormat="1" x14ac:dyDescent="0.25"/>
    <row r="32" spans="1:85" s="34" customFormat="1" x14ac:dyDescent="0.25"/>
    <row r="33" s="34" customFormat="1" x14ac:dyDescent="0.25"/>
    <row r="34" s="34" customFormat="1" x14ac:dyDescent="0.25"/>
    <row r="35" s="34" customFormat="1" x14ac:dyDescent="0.25"/>
    <row r="36" s="34" customFormat="1" x14ac:dyDescent="0.25"/>
    <row r="37" s="34" customFormat="1" x14ac:dyDescent="0.25"/>
    <row r="38" s="34" customFormat="1" x14ac:dyDescent="0.25"/>
    <row r="39" s="34" customFormat="1" x14ac:dyDescent="0.25"/>
    <row r="40" s="34" customFormat="1" x14ac:dyDescent="0.25"/>
    <row r="41" s="34" customFormat="1" x14ac:dyDescent="0.25"/>
    <row r="42" s="34" customFormat="1" x14ac:dyDescent="0.25"/>
    <row r="43" s="34" customFormat="1" x14ac:dyDescent="0.25"/>
    <row r="44" s="34" customFormat="1" x14ac:dyDescent="0.25"/>
    <row r="45" s="34" customFormat="1" x14ac:dyDescent="0.25"/>
    <row r="46" s="34" customFormat="1" x14ac:dyDescent="0.25"/>
    <row r="47" s="34" customFormat="1" x14ac:dyDescent="0.25"/>
    <row r="48" s="34" customFormat="1" x14ac:dyDescent="0.25"/>
    <row r="49" s="34" customFormat="1" x14ac:dyDescent="0.25"/>
    <row r="50" s="34" customFormat="1" x14ac:dyDescent="0.25"/>
    <row r="51" s="34" customFormat="1" x14ac:dyDescent="0.25"/>
    <row r="52" s="34" customFormat="1" x14ac:dyDescent="0.25"/>
    <row r="53" s="34" customFormat="1" x14ac:dyDescent="0.25"/>
    <row r="54" s="34" customFormat="1" x14ac:dyDescent="0.25"/>
    <row r="55" s="34" customFormat="1" x14ac:dyDescent="0.25"/>
    <row r="56" s="34" customFormat="1" x14ac:dyDescent="0.25"/>
    <row r="57" s="34" customFormat="1" x14ac:dyDescent="0.25"/>
    <row r="58" s="34" customFormat="1" x14ac:dyDescent="0.25"/>
    <row r="59" s="34" customFormat="1" x14ac:dyDescent="0.25"/>
    <row r="60" s="34" customFormat="1" x14ac:dyDescent="0.25"/>
    <row r="61" s="34" customFormat="1" x14ac:dyDescent="0.25"/>
    <row r="62" s="34" customFormat="1" x14ac:dyDescent="0.25"/>
    <row r="63" s="34" customFormat="1" x14ac:dyDescent="0.25"/>
    <row r="64" s="34" customFormat="1" x14ac:dyDescent="0.25"/>
    <row r="65" s="34" customFormat="1" x14ac:dyDescent="0.25"/>
    <row r="66" s="34" customFormat="1" x14ac:dyDescent="0.25"/>
    <row r="67" s="34" customFormat="1" x14ac:dyDescent="0.25"/>
    <row r="68" s="34" customFormat="1" x14ac:dyDescent="0.25"/>
    <row r="69" s="34" customFormat="1" x14ac:dyDescent="0.25"/>
    <row r="70" s="34" customFormat="1" x14ac:dyDescent="0.25"/>
    <row r="71" s="34" customFormat="1" x14ac:dyDescent="0.25"/>
    <row r="72" s="34" customFormat="1" x14ac:dyDescent="0.25"/>
    <row r="73" s="34" customFormat="1" x14ac:dyDescent="0.25"/>
    <row r="74" s="34" customFormat="1" x14ac:dyDescent="0.25"/>
    <row r="75" s="34" customFormat="1" x14ac:dyDescent="0.25"/>
    <row r="76" s="34" customFormat="1" x14ac:dyDescent="0.25"/>
    <row r="77" s="34" customFormat="1" x14ac:dyDescent="0.25"/>
    <row r="78" s="34" customFormat="1" x14ac:dyDescent="0.25"/>
    <row r="79" s="34" customFormat="1" x14ac:dyDescent="0.25"/>
    <row r="80" s="34" customFormat="1" x14ac:dyDescent="0.25"/>
    <row r="81" s="34" customFormat="1" x14ac:dyDescent="0.25"/>
    <row r="82" s="34" customFormat="1" x14ac:dyDescent="0.25"/>
    <row r="83" s="34" customFormat="1" x14ac:dyDescent="0.25"/>
    <row r="84" s="34" customFormat="1" x14ac:dyDescent="0.25"/>
    <row r="85" s="34" customFormat="1" x14ac:dyDescent="0.25"/>
    <row r="86" s="34" customFormat="1" x14ac:dyDescent="0.25"/>
    <row r="87" s="34" customFormat="1" x14ac:dyDescent="0.25"/>
    <row r="88" s="34" customFormat="1" x14ac:dyDescent="0.25"/>
    <row r="89" s="34" customFormat="1" x14ac:dyDescent="0.25"/>
    <row r="90" s="34" customFormat="1" x14ac:dyDescent="0.25"/>
    <row r="91" s="34" customFormat="1" x14ac:dyDescent="0.25"/>
    <row r="92" s="34" customFormat="1" x14ac:dyDescent="0.25"/>
    <row r="93" s="34" customFormat="1" x14ac:dyDescent="0.25"/>
    <row r="94" s="34" customFormat="1" x14ac:dyDescent="0.25"/>
    <row r="95" s="34" customFormat="1" x14ac:dyDescent="0.25"/>
    <row r="96" s="34" customFormat="1" x14ac:dyDescent="0.25"/>
    <row r="97" s="34" customFormat="1" x14ac:dyDescent="0.25"/>
    <row r="98" s="34" customFormat="1" x14ac:dyDescent="0.25"/>
    <row r="99" s="34" customFormat="1" x14ac:dyDescent="0.25"/>
    <row r="100" s="34" customFormat="1" x14ac:dyDescent="0.25"/>
    <row r="101" s="34" customFormat="1" x14ac:dyDescent="0.25"/>
    <row r="102" s="34" customFormat="1" x14ac:dyDescent="0.25"/>
    <row r="103" s="34" customFormat="1" x14ac:dyDescent="0.25"/>
    <row r="104" s="34" customFormat="1" x14ac:dyDescent="0.25"/>
    <row r="105" s="34" customFormat="1" x14ac:dyDescent="0.25"/>
    <row r="106" s="34" customFormat="1" x14ac:dyDescent="0.25"/>
    <row r="107" s="34" customFormat="1" x14ac:dyDescent="0.25"/>
    <row r="108" s="34" customFormat="1" x14ac:dyDescent="0.25"/>
    <row r="109" s="34" customFormat="1" x14ac:dyDescent="0.25"/>
    <row r="110" s="34" customFormat="1" x14ac:dyDescent="0.25"/>
    <row r="111" s="34" customFormat="1" x14ac:dyDescent="0.25"/>
    <row r="112" s="34" customFormat="1" x14ac:dyDescent="0.25"/>
    <row r="113" s="34" customFormat="1" x14ac:dyDescent="0.25"/>
    <row r="114" s="34" customFormat="1" x14ac:dyDescent="0.25"/>
    <row r="115" s="34" customFormat="1" x14ac:dyDescent="0.25"/>
    <row r="116" s="34" customFormat="1" x14ac:dyDescent="0.25"/>
    <row r="117" s="34" customFormat="1" x14ac:dyDescent="0.25"/>
    <row r="118" s="34" customFormat="1" x14ac:dyDescent="0.25"/>
    <row r="119" s="34" customFormat="1" x14ac:dyDescent="0.25"/>
    <row r="120" s="34" customFormat="1" x14ac:dyDescent="0.25"/>
    <row r="121" s="34" customFormat="1" x14ac:dyDescent="0.25"/>
    <row r="122" s="34" customFormat="1" x14ac:dyDescent="0.25"/>
    <row r="123" s="34" customFormat="1" x14ac:dyDescent="0.25"/>
    <row r="124" s="34" customFormat="1" x14ac:dyDescent="0.25"/>
    <row r="125" s="34" customFormat="1" x14ac:dyDescent="0.25"/>
    <row r="126" s="34" customFormat="1" x14ac:dyDescent="0.25"/>
    <row r="127" s="34" customFormat="1" x14ac:dyDescent="0.25"/>
    <row r="128" s="34" customFormat="1" x14ac:dyDescent="0.25"/>
    <row r="129" s="34" customFormat="1" x14ac:dyDescent="0.25"/>
    <row r="130" s="34" customFormat="1" x14ac:dyDescent="0.25"/>
    <row r="131" s="34" customFormat="1" x14ac:dyDescent="0.25"/>
    <row r="132" s="34" customFormat="1" x14ac:dyDescent="0.25"/>
    <row r="133" s="34" customFormat="1" x14ac:dyDescent="0.25"/>
    <row r="134" s="34" customFormat="1" x14ac:dyDescent="0.25"/>
    <row r="135" s="34" customFormat="1" x14ac:dyDescent="0.25"/>
    <row r="136" s="34" customFormat="1" x14ac:dyDescent="0.25"/>
    <row r="137" s="34" customFormat="1" x14ac:dyDescent="0.25"/>
    <row r="138" s="34" customFormat="1" x14ac:dyDescent="0.25"/>
    <row r="139" s="34" customFormat="1" x14ac:dyDescent="0.25"/>
    <row r="140" s="34" customFormat="1" x14ac:dyDescent="0.25"/>
    <row r="141" s="34" customFormat="1" x14ac:dyDescent="0.25"/>
    <row r="142" s="34" customFormat="1" x14ac:dyDescent="0.25"/>
    <row r="143" s="34" customFormat="1" x14ac:dyDescent="0.25"/>
    <row r="144" s="34" customFormat="1" x14ac:dyDescent="0.25"/>
    <row r="145" s="34" customFormat="1" x14ac:dyDescent="0.25"/>
    <row r="146" s="34" customFormat="1" x14ac:dyDescent="0.25"/>
    <row r="147" s="34" customFormat="1" x14ac:dyDescent="0.25"/>
    <row r="148" s="34" customFormat="1" x14ac:dyDescent="0.25"/>
    <row r="149" s="34" customFormat="1" x14ac:dyDescent="0.25"/>
    <row r="150" s="34" customFormat="1" x14ac:dyDescent="0.25"/>
    <row r="151" s="34" customFormat="1" x14ac:dyDescent="0.25"/>
    <row r="152" s="34" customFormat="1" x14ac:dyDescent="0.25"/>
    <row r="153" s="34" customFormat="1" x14ac:dyDescent="0.25"/>
    <row r="154" s="34" customFormat="1" x14ac:dyDescent="0.25"/>
    <row r="155" s="34" customFormat="1" x14ac:dyDescent="0.25"/>
    <row r="156" s="34" customFormat="1" x14ac:dyDescent="0.25"/>
    <row r="157" s="34" customFormat="1" x14ac:dyDescent="0.25"/>
    <row r="158" s="34" customFormat="1" x14ac:dyDescent="0.25"/>
    <row r="159" s="34" customFormat="1" x14ac:dyDescent="0.25"/>
    <row r="160" s="34" customFormat="1" x14ac:dyDescent="0.25"/>
    <row r="161" s="34" customFormat="1" x14ac:dyDescent="0.25"/>
    <row r="162" s="34" customFormat="1" x14ac:dyDescent="0.25"/>
    <row r="163" s="34" customFormat="1" x14ac:dyDescent="0.25"/>
    <row r="164" s="34" customFormat="1" x14ac:dyDescent="0.25"/>
    <row r="165" s="34" customFormat="1" x14ac:dyDescent="0.25"/>
    <row r="166" s="34" customFormat="1" x14ac:dyDescent="0.25"/>
    <row r="167" s="34" customFormat="1" x14ac:dyDescent="0.25"/>
    <row r="168" s="34" customFormat="1" x14ac:dyDescent="0.25"/>
    <row r="169" s="34" customFormat="1" x14ac:dyDescent="0.25"/>
    <row r="170" s="34" customFormat="1" x14ac:dyDescent="0.25"/>
    <row r="171" s="34" customFormat="1" x14ac:dyDescent="0.25"/>
    <row r="172" s="34" customFormat="1" x14ac:dyDescent="0.25"/>
    <row r="173" s="34" customFormat="1" x14ac:dyDescent="0.25"/>
    <row r="174" s="34" customFormat="1" x14ac:dyDescent="0.25"/>
    <row r="175" s="34" customFormat="1" x14ac:dyDescent="0.25"/>
    <row r="176" s="34" customFormat="1" x14ac:dyDescent="0.25"/>
    <row r="177" s="34" customFormat="1" x14ac:dyDescent="0.25"/>
    <row r="178" s="34" customFormat="1" x14ac:dyDescent="0.25"/>
    <row r="179" s="34" customFormat="1" x14ac:dyDescent="0.25"/>
    <row r="180" s="34" customFormat="1" x14ac:dyDescent="0.25"/>
    <row r="181" s="34" customFormat="1" x14ac:dyDescent="0.25"/>
    <row r="182" s="34" customFormat="1" x14ac:dyDescent="0.25"/>
    <row r="183" s="34" customFormat="1" x14ac:dyDescent="0.25"/>
    <row r="184" s="34" customFormat="1" x14ac:dyDescent="0.25"/>
    <row r="185" s="34" customFormat="1" x14ac:dyDescent="0.25"/>
    <row r="186" s="34" customFormat="1" x14ac:dyDescent="0.25"/>
    <row r="187" s="34" customFormat="1" x14ac:dyDescent="0.25"/>
    <row r="188" s="34" customFormat="1" x14ac:dyDescent="0.25"/>
    <row r="189" s="34" customFormat="1" x14ac:dyDescent="0.25"/>
    <row r="190" s="34" customFormat="1" x14ac:dyDescent="0.25"/>
    <row r="191" s="34" customFormat="1" x14ac:dyDescent="0.25"/>
    <row r="192" s="34" customFormat="1" x14ac:dyDescent="0.25"/>
    <row r="193" s="34" customFormat="1" x14ac:dyDescent="0.25"/>
    <row r="194" s="34" customFormat="1" x14ac:dyDescent="0.25"/>
    <row r="195" s="34" customFormat="1" x14ac:dyDescent="0.25"/>
    <row r="196" s="34" customFormat="1" x14ac:dyDescent="0.25"/>
    <row r="197" s="34" customFormat="1" x14ac:dyDescent="0.25"/>
    <row r="198" s="34" customFormat="1" x14ac:dyDescent="0.25"/>
    <row r="199" s="34" customFormat="1" x14ac:dyDescent="0.25"/>
    <row r="200" s="34" customFormat="1" x14ac:dyDescent="0.25"/>
    <row r="201" s="34" customFormat="1" x14ac:dyDescent="0.25"/>
    <row r="202" s="34" customFormat="1" x14ac:dyDescent="0.25"/>
    <row r="203" s="34" customFormat="1" x14ac:dyDescent="0.25"/>
    <row r="204" s="34" customFormat="1" x14ac:dyDescent="0.25"/>
    <row r="205" s="34" customFormat="1" x14ac:dyDescent="0.25"/>
    <row r="206" s="34" customFormat="1" x14ac:dyDescent="0.25"/>
    <row r="207" s="34" customFormat="1" x14ac:dyDescent="0.25"/>
    <row r="208" s="34" customFormat="1" x14ac:dyDescent="0.25"/>
    <row r="209" s="34" customFormat="1" x14ac:dyDescent="0.25"/>
    <row r="210" s="34" customFormat="1" x14ac:dyDescent="0.25"/>
    <row r="211" s="34" customFormat="1" x14ac:dyDescent="0.25"/>
    <row r="212" s="34" customFormat="1" x14ac:dyDescent="0.25"/>
    <row r="213" s="34" customFormat="1" x14ac:dyDescent="0.25"/>
    <row r="214" s="34" customFormat="1" x14ac:dyDescent="0.25"/>
    <row r="215" s="34" customFormat="1" x14ac:dyDescent="0.25"/>
    <row r="216" s="34" customFormat="1" x14ac:dyDescent="0.25"/>
    <row r="217" s="34" customFormat="1" x14ac:dyDescent="0.25"/>
    <row r="218" s="34" customFormat="1" x14ac:dyDescent="0.25"/>
    <row r="219" s="34" customFormat="1" x14ac:dyDescent="0.25"/>
    <row r="220" s="34" customFormat="1" x14ac:dyDescent="0.25"/>
    <row r="221" s="34" customFormat="1" x14ac:dyDescent="0.25"/>
    <row r="222" s="34" customFormat="1" x14ac:dyDescent="0.25"/>
    <row r="223" s="34" customFormat="1" x14ac:dyDescent="0.25"/>
    <row r="224" s="34" customFormat="1" x14ac:dyDescent="0.25"/>
    <row r="225" s="34" customFormat="1" x14ac:dyDescent="0.25"/>
    <row r="226" s="34" customFormat="1" x14ac:dyDescent="0.25"/>
    <row r="227" s="34" customFormat="1" x14ac:dyDescent="0.25"/>
  </sheetData>
  <customSheetViews>
    <customSheetView guid="{3B773845-BEFA-11D4-97C7-004096149E6C}" scale="75" showPageBreaks="1" fitToPage="1" printArea="1" showRuler="0" topLeftCell="A6">
      <selection activeCell="R32" sqref="R32"/>
      <pageMargins left="0.75" right="0.75" top="1" bottom="1" header="0.5" footer="0.5"/>
      <pageSetup scale="71" orientation="landscape" r:id="rId1"/>
      <headerFooter alignWithMargins="0"/>
    </customSheetView>
  </customSheetViews>
  <pageMargins left="0.75" right="0.75" top="1" bottom="1" header="0.5" footer="0.5"/>
  <pageSetup scale="6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0"/>
  <sheetViews>
    <sheetView zoomScale="85" workbookViewId="0">
      <selection activeCell="F15" sqref="F15"/>
    </sheetView>
  </sheetViews>
  <sheetFormatPr defaultRowHeight="13.2" x14ac:dyDescent="0.25"/>
  <cols>
    <col min="1" max="1" width="2.6640625" customWidth="1"/>
    <col min="2" max="2" width="31.44140625" customWidth="1"/>
    <col min="3" max="3" width="2.6640625" customWidth="1"/>
    <col min="4" max="11" width="9.33203125" bestFit="1" customWidth="1"/>
    <col min="12" max="12" width="9.5546875" bestFit="1" customWidth="1"/>
    <col min="13" max="15" width="10.33203125" customWidth="1"/>
  </cols>
  <sheetData>
    <row r="2" spans="2:15" x14ac:dyDescent="0.25">
      <c r="B2" s="11" t="s">
        <v>51</v>
      </c>
    </row>
    <row r="4" spans="2:15" x14ac:dyDescent="0.25">
      <c r="B4" t="s">
        <v>123</v>
      </c>
      <c r="D4" s="60">
        <v>0.5</v>
      </c>
      <c r="I4" s="99"/>
    </row>
    <row r="5" spans="2:15" x14ac:dyDescent="0.25">
      <c r="B5" t="s">
        <v>125</v>
      </c>
      <c r="D5" s="57">
        <v>6</v>
      </c>
    </row>
    <row r="6" spans="2:15" x14ac:dyDescent="0.25">
      <c r="B6" t="s">
        <v>152</v>
      </c>
      <c r="D6" s="98" t="s">
        <v>124</v>
      </c>
    </row>
    <row r="7" spans="2:15" x14ac:dyDescent="0.25">
      <c r="D7" s="99"/>
    </row>
    <row r="9" spans="2:15" x14ac:dyDescent="0.25">
      <c r="D9" s="3">
        <v>36617</v>
      </c>
      <c r="E9" s="3">
        <v>36647</v>
      </c>
      <c r="F9" s="3">
        <v>36678</v>
      </c>
      <c r="G9" s="3">
        <v>36708</v>
      </c>
      <c r="H9" s="3">
        <v>36739</v>
      </c>
      <c r="I9" s="3">
        <v>36770</v>
      </c>
      <c r="J9" s="3">
        <v>36800</v>
      </c>
      <c r="K9" s="3">
        <v>36831</v>
      </c>
      <c r="L9" s="3">
        <v>36861</v>
      </c>
      <c r="M9" s="3">
        <v>36892</v>
      </c>
      <c r="N9" s="3">
        <v>36923</v>
      </c>
      <c r="O9" s="3">
        <v>36951</v>
      </c>
    </row>
    <row r="10" spans="2:15" ht="13.8" thickBot="1" x14ac:dyDescent="0.3">
      <c r="B10" t="s">
        <v>183</v>
      </c>
      <c r="L10">
        <v>1100</v>
      </c>
      <c r="M10">
        <v>400</v>
      </c>
      <c r="N10">
        <v>1797</v>
      </c>
      <c r="O10">
        <v>1500</v>
      </c>
    </row>
    <row r="11" spans="2:15" ht="13.8" thickBot="1" x14ac:dyDescent="0.3">
      <c r="B11" t="s">
        <v>154</v>
      </c>
      <c r="D11" s="104">
        <f>STB!D15</f>
        <v>0</v>
      </c>
      <c r="E11" s="104">
        <f>STB!E15</f>
        <v>0</v>
      </c>
      <c r="F11" s="104">
        <f>STB!F15</f>
        <v>0</v>
      </c>
      <c r="G11" s="104">
        <f>STB!G15</f>
        <v>0</v>
      </c>
      <c r="H11" s="104">
        <f>STB!H15</f>
        <v>0</v>
      </c>
      <c r="I11" s="104">
        <f>STB!I15</f>
        <v>0</v>
      </c>
      <c r="J11" s="104">
        <f>STB!J15</f>
        <v>0</v>
      </c>
      <c r="K11" s="104">
        <f>J11+K10</f>
        <v>0</v>
      </c>
      <c r="L11" s="104">
        <f>K11+L10</f>
        <v>1100</v>
      </c>
      <c r="M11" s="104">
        <f>L11+M10</f>
        <v>1500</v>
      </c>
      <c r="N11" s="104">
        <f>M11+N10</f>
        <v>3297</v>
      </c>
      <c r="O11" s="104">
        <f>N11+O10</f>
        <v>4797</v>
      </c>
    </row>
    <row r="12" spans="2:15" s="5" customFormat="1" x14ac:dyDescent="0.25">
      <c r="B12" s="5" t="s">
        <v>60</v>
      </c>
      <c r="D12" s="4">
        <f>D11-C11</f>
        <v>0</v>
      </c>
      <c r="E12" s="4">
        <f t="shared" ref="E12:O12" si="0">E11-D11</f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1100</v>
      </c>
      <c r="M12" s="4">
        <f t="shared" si="0"/>
        <v>400</v>
      </c>
      <c r="N12" s="4">
        <f t="shared" si="0"/>
        <v>1797</v>
      </c>
      <c r="O12" s="4">
        <f t="shared" si="0"/>
        <v>1500</v>
      </c>
    </row>
    <row r="13" spans="2:15" x14ac:dyDescent="0.25">
      <c r="B13" t="s">
        <v>54</v>
      </c>
      <c r="D13" s="58">
        <f>[1]Assumptions!F39</f>
        <v>4</v>
      </c>
      <c r="E13" s="58">
        <f>D13</f>
        <v>4</v>
      </c>
      <c r="F13" s="58">
        <f t="shared" ref="F13:O13" si="1">E13</f>
        <v>4</v>
      </c>
      <c r="G13" s="58">
        <f t="shared" si="1"/>
        <v>4</v>
      </c>
      <c r="H13" s="58">
        <f t="shared" si="1"/>
        <v>4</v>
      </c>
      <c r="I13" s="58">
        <f t="shared" si="1"/>
        <v>4</v>
      </c>
      <c r="J13" s="58">
        <f t="shared" si="1"/>
        <v>4</v>
      </c>
      <c r="K13" s="58">
        <f t="shared" si="1"/>
        <v>4</v>
      </c>
      <c r="L13" s="58">
        <f t="shared" si="1"/>
        <v>4</v>
      </c>
      <c r="M13" s="58">
        <f t="shared" si="1"/>
        <v>4</v>
      </c>
      <c r="N13" s="58">
        <f t="shared" si="1"/>
        <v>4</v>
      </c>
      <c r="O13" s="58">
        <f t="shared" si="1"/>
        <v>4</v>
      </c>
    </row>
    <row r="14" spans="2:15" x14ac:dyDescent="0.25">
      <c r="B14" t="s">
        <v>155</v>
      </c>
      <c r="D14" s="105">
        <v>1.2</v>
      </c>
      <c r="E14" s="105">
        <v>1.2</v>
      </c>
      <c r="F14" s="105">
        <v>1.2</v>
      </c>
      <c r="G14" s="105">
        <v>1.2</v>
      </c>
      <c r="H14" s="105">
        <v>1.2</v>
      </c>
      <c r="I14" s="105">
        <v>1.2</v>
      </c>
      <c r="J14" s="105">
        <v>1.2</v>
      </c>
      <c r="K14" s="105">
        <v>1.2</v>
      </c>
      <c r="L14" s="105">
        <v>1.2</v>
      </c>
      <c r="M14" s="105">
        <v>1.2</v>
      </c>
      <c r="N14" s="105">
        <v>1.2</v>
      </c>
      <c r="O14" s="105">
        <v>1.2</v>
      </c>
    </row>
    <row r="15" spans="2:15" x14ac:dyDescent="0.25">
      <c r="B15" t="s">
        <v>56</v>
      </c>
      <c r="D15" s="2">
        <f>D11*D14*D13/1000</f>
        <v>0</v>
      </c>
      <c r="E15" s="2">
        <f t="shared" ref="E15:O15" si="2">E11*E14*E13*12/1000</f>
        <v>0</v>
      </c>
      <c r="F15" s="2">
        <f t="shared" si="2"/>
        <v>0</v>
      </c>
      <c r="G15" s="2">
        <f t="shared" si="2"/>
        <v>0</v>
      </c>
      <c r="H15" s="2">
        <f t="shared" si="2"/>
        <v>0</v>
      </c>
      <c r="I15" s="2">
        <f t="shared" si="2"/>
        <v>0</v>
      </c>
      <c r="J15" s="2">
        <f t="shared" si="2"/>
        <v>0</v>
      </c>
      <c r="K15" s="2">
        <f t="shared" si="2"/>
        <v>0</v>
      </c>
      <c r="L15" s="2">
        <f>L11*L14*L13*12/1000</f>
        <v>63.36</v>
      </c>
      <c r="M15" s="2">
        <f t="shared" si="2"/>
        <v>86.4</v>
      </c>
      <c r="N15" s="2">
        <f t="shared" si="2"/>
        <v>189.90719999999999</v>
      </c>
      <c r="O15" s="2">
        <f t="shared" si="2"/>
        <v>276.30719999999997</v>
      </c>
    </row>
    <row r="17" spans="2:15" x14ac:dyDescent="0.25">
      <c r="B17" t="s">
        <v>57</v>
      </c>
      <c r="D17" s="23">
        <f>$D$5</f>
        <v>6</v>
      </c>
      <c r="E17" s="23">
        <f>D17</f>
        <v>6</v>
      </c>
      <c r="F17" s="23">
        <f t="shared" ref="F17:O17" si="3">E17</f>
        <v>6</v>
      </c>
      <c r="G17" s="23">
        <f t="shared" si="3"/>
        <v>6</v>
      </c>
      <c r="H17" s="23">
        <f t="shared" si="3"/>
        <v>6</v>
      </c>
      <c r="I17" s="23">
        <f t="shared" si="3"/>
        <v>6</v>
      </c>
      <c r="J17" s="23">
        <f t="shared" si="3"/>
        <v>6</v>
      </c>
      <c r="K17" s="23">
        <f t="shared" si="3"/>
        <v>6</v>
      </c>
      <c r="L17" s="23">
        <f t="shared" si="3"/>
        <v>6</v>
      </c>
      <c r="M17" s="23">
        <f t="shared" si="3"/>
        <v>6</v>
      </c>
      <c r="N17" s="23">
        <f t="shared" si="3"/>
        <v>6</v>
      </c>
      <c r="O17" s="23">
        <f t="shared" si="3"/>
        <v>6</v>
      </c>
    </row>
    <row r="18" spans="2:15" x14ac:dyDescent="0.25">
      <c r="B18" t="s">
        <v>58</v>
      </c>
      <c r="D18" s="22">
        <f>$D$4</f>
        <v>0.5</v>
      </c>
      <c r="E18" s="22">
        <f t="shared" ref="E18:O18" si="4">$D$4</f>
        <v>0.5</v>
      </c>
      <c r="F18" s="22">
        <f t="shared" si="4"/>
        <v>0.5</v>
      </c>
      <c r="G18" s="22">
        <f t="shared" si="4"/>
        <v>0.5</v>
      </c>
      <c r="H18" s="22">
        <f t="shared" si="4"/>
        <v>0.5</v>
      </c>
      <c r="I18" s="22">
        <f t="shared" si="4"/>
        <v>0.5</v>
      </c>
      <c r="J18" s="22">
        <f t="shared" si="4"/>
        <v>0.5</v>
      </c>
      <c r="K18" s="22">
        <f t="shared" si="4"/>
        <v>0.5</v>
      </c>
      <c r="L18" s="22">
        <f t="shared" si="4"/>
        <v>0.5</v>
      </c>
      <c r="M18" s="22">
        <f t="shared" si="4"/>
        <v>0.5</v>
      </c>
      <c r="N18" s="22">
        <f t="shared" si="4"/>
        <v>0.5</v>
      </c>
      <c r="O18" s="22">
        <f t="shared" si="4"/>
        <v>0.5</v>
      </c>
    </row>
    <row r="19" spans="2:15" x14ac:dyDescent="0.25">
      <c r="B19" t="s">
        <v>59</v>
      </c>
      <c r="D19" s="2">
        <f>IF($D$6="Yes",D17*12*D18*D11/1000,0)</f>
        <v>0</v>
      </c>
      <c r="E19" s="2">
        <f t="shared" ref="E19:O19" si="5">IF($D$6="Yes",E17*12*E18*E11/1000,0)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</row>
    <row r="21" spans="2:15" x14ac:dyDescent="0.25">
      <c r="B21" t="s">
        <v>62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</row>
    <row r="22" spans="2:15" x14ac:dyDescent="0.25">
      <c r="B22" t="s">
        <v>61</v>
      </c>
      <c r="D22" s="6">
        <f t="shared" ref="D22:K22" si="6">D10</f>
        <v>0</v>
      </c>
      <c r="E22" s="6">
        <f t="shared" si="6"/>
        <v>0</v>
      </c>
      <c r="F22" s="6">
        <f t="shared" si="6"/>
        <v>0</v>
      </c>
      <c r="G22" s="6">
        <f t="shared" si="6"/>
        <v>0</v>
      </c>
      <c r="H22" s="6">
        <f t="shared" si="6"/>
        <v>0</v>
      </c>
      <c r="I22" s="6">
        <f t="shared" si="6"/>
        <v>0</v>
      </c>
      <c r="J22" s="6">
        <f t="shared" si="6"/>
        <v>0</v>
      </c>
      <c r="K22" s="6">
        <f t="shared" si="6"/>
        <v>0</v>
      </c>
      <c r="L22" s="6">
        <f>L10</f>
        <v>1100</v>
      </c>
      <c r="M22" s="6">
        <f>M10</f>
        <v>400</v>
      </c>
      <c r="N22" s="6">
        <f>N10</f>
        <v>1797</v>
      </c>
      <c r="O22" s="6">
        <f>O10</f>
        <v>1500</v>
      </c>
    </row>
    <row r="23" spans="2:15" x14ac:dyDescent="0.25">
      <c r="B23" t="s">
        <v>63</v>
      </c>
      <c r="D23" s="2">
        <f>D21*D22/1000</f>
        <v>0</v>
      </c>
      <c r="E23" s="2">
        <f t="shared" ref="E23:O23" si="7">E21*E22/1000</f>
        <v>0</v>
      </c>
      <c r="F23" s="2">
        <f t="shared" si="7"/>
        <v>0</v>
      </c>
      <c r="G23" s="2">
        <f t="shared" si="7"/>
        <v>0</v>
      </c>
      <c r="H23" s="2">
        <f t="shared" si="7"/>
        <v>0</v>
      </c>
      <c r="I23" s="2">
        <f t="shared" si="7"/>
        <v>0</v>
      </c>
      <c r="J23" s="2">
        <f t="shared" si="7"/>
        <v>0</v>
      </c>
      <c r="K23" s="2">
        <f t="shared" si="7"/>
        <v>0</v>
      </c>
      <c r="L23" s="2">
        <f t="shared" si="7"/>
        <v>0</v>
      </c>
      <c r="M23" s="2">
        <f t="shared" si="7"/>
        <v>0</v>
      </c>
      <c r="N23" s="2">
        <f t="shared" si="7"/>
        <v>0</v>
      </c>
      <c r="O23" s="2">
        <f t="shared" si="7"/>
        <v>0</v>
      </c>
    </row>
    <row r="25" spans="2:15" ht="13.8" thickBot="1" x14ac:dyDescent="0.3">
      <c r="B25" s="7" t="s">
        <v>184</v>
      </c>
      <c r="C25" s="7"/>
      <c r="D25" s="8">
        <f>SUM(D15,D19,D23)</f>
        <v>0</v>
      </c>
      <c r="E25" s="8">
        <f t="shared" ref="E25:O25" si="8">SUM(E15,E19,E23)</f>
        <v>0</v>
      </c>
      <c r="F25" s="8">
        <f t="shared" si="8"/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K25" s="8">
        <f t="shared" si="8"/>
        <v>0</v>
      </c>
      <c r="L25" s="8">
        <f t="shared" si="8"/>
        <v>63.36</v>
      </c>
      <c r="M25" s="8">
        <f t="shared" si="8"/>
        <v>86.4</v>
      </c>
      <c r="N25" s="8">
        <f t="shared" si="8"/>
        <v>189.90719999999999</v>
      </c>
      <c r="O25" s="8">
        <f t="shared" si="8"/>
        <v>276.30719999999997</v>
      </c>
    </row>
    <row r="26" spans="2:15" ht="13.8" thickTop="1" x14ac:dyDescent="0.25"/>
    <row r="29" spans="2:15" x14ac:dyDescent="0.25">
      <c r="B29" t="s">
        <v>187</v>
      </c>
    </row>
    <row r="30" spans="2:15" x14ac:dyDescent="0.25">
      <c r="B30" t="s">
        <v>188</v>
      </c>
    </row>
  </sheetData>
  <customSheetViews>
    <customSheetView guid="{3B773845-BEFA-11D4-97C7-004096149E6C}" scale="85" fitToPage="1" showRuler="0">
      <selection activeCell="O12" sqref="O12"/>
      <pageMargins left="0.75" right="0.75" top="1" bottom="1" header="0.5" footer="0.5"/>
      <pageSetup scale="81" orientation="landscape" r:id="rId1"/>
      <headerFooter alignWithMargins="0"/>
    </customSheetView>
  </customSheetViews>
  <pageMargins left="0.75" right="0.75" top="1" bottom="1" header="0.5" footer="0.5"/>
  <pageSetup scale="79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tabSelected="1" topLeftCell="A3" zoomScale="85" workbookViewId="0">
      <selection activeCell="M33" sqref="M33"/>
    </sheetView>
  </sheetViews>
  <sheetFormatPr defaultRowHeight="13.2" x14ac:dyDescent="0.25"/>
  <cols>
    <col min="1" max="1" width="3.44140625" customWidth="1"/>
    <col min="2" max="2" width="2.88671875" customWidth="1"/>
    <col min="3" max="3" width="24.88671875" customWidth="1"/>
    <col min="4" max="4" width="11.5546875" customWidth="1"/>
    <col min="6" max="6" width="9.88671875" customWidth="1"/>
    <col min="8" max="8" width="9.88671875" customWidth="1"/>
    <col min="10" max="10" width="10" customWidth="1"/>
    <col min="12" max="12" width="9.88671875" customWidth="1"/>
  </cols>
  <sheetData>
    <row r="1" spans="3:14" ht="8.25" customHeight="1" x14ac:dyDescent="0.25"/>
    <row r="2" spans="3:14" x14ac:dyDescent="0.25">
      <c r="C2" s="11" t="s">
        <v>51</v>
      </c>
    </row>
    <row r="3" spans="3:14" x14ac:dyDescent="0.25">
      <c r="I3" s="15" t="s">
        <v>97</v>
      </c>
    </row>
    <row r="4" spans="3:14" x14ac:dyDescent="0.25">
      <c r="C4" t="s">
        <v>73</v>
      </c>
      <c r="D4" s="61">
        <v>1.855</v>
      </c>
      <c r="E4" t="s">
        <v>71</v>
      </c>
      <c r="I4" s="126" t="s">
        <v>14</v>
      </c>
      <c r="J4" s="126" t="s">
        <v>110</v>
      </c>
      <c r="K4" s="21">
        <v>1</v>
      </c>
      <c r="L4" t="s">
        <v>98</v>
      </c>
      <c r="N4" t="s">
        <v>21</v>
      </c>
    </row>
    <row r="5" spans="3:14" x14ac:dyDescent="0.25">
      <c r="C5" t="s">
        <v>72</v>
      </c>
      <c r="D5" s="21">
        <v>400</v>
      </c>
      <c r="E5" t="s">
        <v>71</v>
      </c>
      <c r="I5" s="10" t="s">
        <v>5</v>
      </c>
      <c r="J5" t="s">
        <v>6</v>
      </c>
      <c r="K5" s="21">
        <v>2</v>
      </c>
      <c r="L5" t="s">
        <v>98</v>
      </c>
      <c r="N5" t="s">
        <v>17</v>
      </c>
    </row>
    <row r="6" spans="3:14" x14ac:dyDescent="0.25">
      <c r="C6" t="s">
        <v>74</v>
      </c>
      <c r="D6" s="10">
        <f>D5/D4</f>
        <v>215.63342318059298</v>
      </c>
      <c r="E6" t="s">
        <v>75</v>
      </c>
      <c r="I6" t="s">
        <v>5</v>
      </c>
      <c r="J6" t="s">
        <v>7</v>
      </c>
      <c r="K6" s="21">
        <v>2</v>
      </c>
      <c r="L6" t="s">
        <v>98</v>
      </c>
      <c r="N6" t="s">
        <v>18</v>
      </c>
    </row>
    <row r="7" spans="3:14" x14ac:dyDescent="0.25">
      <c r="C7" t="s">
        <v>89</v>
      </c>
      <c r="D7" s="62">
        <v>800</v>
      </c>
      <c r="E7" t="s">
        <v>90</v>
      </c>
      <c r="I7" t="s">
        <v>5</v>
      </c>
      <c r="J7" t="s">
        <v>8</v>
      </c>
      <c r="K7" s="21">
        <v>2</v>
      </c>
      <c r="L7" t="s">
        <v>98</v>
      </c>
      <c r="N7" t="s">
        <v>19</v>
      </c>
    </row>
    <row r="8" spans="3:14" x14ac:dyDescent="0.25">
      <c r="C8" t="s">
        <v>92</v>
      </c>
      <c r="D8" s="63">
        <v>0.15</v>
      </c>
      <c r="I8" t="s">
        <v>5</v>
      </c>
      <c r="J8" t="s">
        <v>9</v>
      </c>
      <c r="K8" s="21">
        <v>2</v>
      </c>
      <c r="L8" t="s">
        <v>98</v>
      </c>
      <c r="N8" t="s">
        <v>20</v>
      </c>
    </row>
    <row r="9" spans="3:14" x14ac:dyDescent="0.25">
      <c r="C9" t="s">
        <v>49</v>
      </c>
      <c r="D9" s="64">
        <v>5000</v>
      </c>
      <c r="E9" t="s">
        <v>93</v>
      </c>
      <c r="F9" s="64">
        <v>3500</v>
      </c>
      <c r="G9" t="s">
        <v>94</v>
      </c>
      <c r="J9" t="s">
        <v>4</v>
      </c>
      <c r="K9" s="21">
        <v>10</v>
      </c>
      <c r="L9" t="s">
        <v>98</v>
      </c>
      <c r="N9" t="s">
        <v>22</v>
      </c>
    </row>
    <row r="10" spans="3:14" x14ac:dyDescent="0.25">
      <c r="D10" s="64">
        <v>10000</v>
      </c>
      <c r="E10" t="s">
        <v>101</v>
      </c>
      <c r="I10" t="s">
        <v>10</v>
      </c>
      <c r="J10" t="s">
        <v>11</v>
      </c>
      <c r="K10" s="21">
        <v>2</v>
      </c>
      <c r="L10" t="s">
        <v>98</v>
      </c>
      <c r="N10" t="s">
        <v>23</v>
      </c>
    </row>
    <row r="11" spans="3:14" x14ac:dyDescent="0.25">
      <c r="C11" t="s">
        <v>105</v>
      </c>
      <c r="D11" s="64">
        <v>2000000</v>
      </c>
      <c r="I11" t="s">
        <v>12</v>
      </c>
      <c r="J11" t="s">
        <v>13</v>
      </c>
      <c r="K11" s="21">
        <v>3</v>
      </c>
      <c r="L11" t="s">
        <v>98</v>
      </c>
      <c r="N11" t="s">
        <v>24</v>
      </c>
    </row>
    <row r="12" spans="3:14" ht="13.8" thickBot="1" x14ac:dyDescent="0.3">
      <c r="C12" t="s">
        <v>106</v>
      </c>
      <c r="D12" s="64">
        <v>1000000</v>
      </c>
      <c r="I12" t="s">
        <v>15</v>
      </c>
      <c r="J12" t="s">
        <v>110</v>
      </c>
      <c r="K12" s="21">
        <v>2</v>
      </c>
      <c r="L12" t="s">
        <v>98</v>
      </c>
      <c r="N12" t="s">
        <v>21</v>
      </c>
    </row>
    <row r="13" spans="3:14" ht="13.8" thickBot="1" x14ac:dyDescent="0.3">
      <c r="C13" s="26" t="s">
        <v>76</v>
      </c>
      <c r="E13" s="13"/>
      <c r="F13" s="13"/>
      <c r="G13" s="13"/>
      <c r="H13" s="13"/>
      <c r="I13" s="13"/>
      <c r="J13" s="108" t="s">
        <v>1</v>
      </c>
      <c r="K13" s="109">
        <f>SUM(K4:K12)</f>
        <v>26</v>
      </c>
      <c r="L13" s="15" t="s">
        <v>91</v>
      </c>
    </row>
    <row r="14" spans="3:14" ht="13.8" thickTop="1" x14ac:dyDescent="0.25">
      <c r="C14" s="65"/>
      <c r="D14" s="153" t="s">
        <v>77</v>
      </c>
      <c r="E14" s="154"/>
      <c r="F14" s="154"/>
      <c r="G14" s="153" t="s">
        <v>78</v>
      </c>
      <c r="H14" s="154"/>
      <c r="I14" s="154"/>
      <c r="J14" s="70"/>
      <c r="L14" s="16" t="s">
        <v>95</v>
      </c>
      <c r="M14" s="2">
        <f>D18*D5</f>
        <v>46800</v>
      </c>
    </row>
    <row r="15" spans="3:14" x14ac:dyDescent="0.25">
      <c r="C15" s="66"/>
      <c r="D15" s="67"/>
      <c r="E15" s="68"/>
      <c r="F15" s="69" t="s">
        <v>88</v>
      </c>
      <c r="G15" s="67"/>
      <c r="H15" s="68"/>
      <c r="I15" s="69" t="s">
        <v>88</v>
      </c>
      <c r="J15" s="70"/>
      <c r="L15" s="16" t="s">
        <v>96</v>
      </c>
      <c r="M15" s="2">
        <f>F18*D6</f>
        <v>7547.1698113207549</v>
      </c>
    </row>
    <row r="16" spans="3:14" ht="13.8" thickBot="1" x14ac:dyDescent="0.3">
      <c r="C16" s="71" t="s">
        <v>79</v>
      </c>
      <c r="D16" s="72" t="s">
        <v>80</v>
      </c>
      <c r="E16" s="73"/>
      <c r="F16" s="73" t="s">
        <v>87</v>
      </c>
      <c r="G16" s="72" t="s">
        <v>80</v>
      </c>
      <c r="H16" s="73"/>
      <c r="I16" s="73" t="s">
        <v>87</v>
      </c>
      <c r="J16" s="74" t="s">
        <v>81</v>
      </c>
      <c r="L16" s="16" t="s">
        <v>48</v>
      </c>
      <c r="M16" s="12">
        <f>SUM(M14:M15)*$D$8</f>
        <v>8152.0754716981128</v>
      </c>
    </row>
    <row r="17" spans="1:17" ht="13.8" thickTop="1" x14ac:dyDescent="0.25">
      <c r="C17" s="75"/>
      <c r="D17" s="76"/>
      <c r="E17" s="77"/>
      <c r="F17" s="78"/>
      <c r="G17" s="79"/>
      <c r="H17" s="76"/>
      <c r="I17" s="78"/>
      <c r="J17" s="80"/>
      <c r="L17" s="16"/>
      <c r="M17" s="17">
        <f>SUM(M14:M16)</f>
        <v>62499.245283018863</v>
      </c>
    </row>
    <row r="18" spans="1:17" x14ac:dyDescent="0.25">
      <c r="C18" s="81" t="s">
        <v>82</v>
      </c>
      <c r="D18" s="82">
        <v>117</v>
      </c>
      <c r="E18" s="83"/>
      <c r="F18" s="84">
        <v>35</v>
      </c>
      <c r="G18" s="85">
        <v>110</v>
      </c>
      <c r="H18" s="86"/>
      <c r="I18" s="84">
        <v>33</v>
      </c>
      <c r="J18" s="87">
        <f>(G18-D18)/D18</f>
        <v>-5.9829059829059832E-2</v>
      </c>
    </row>
    <row r="19" spans="1:17" x14ac:dyDescent="0.25">
      <c r="C19" s="81" t="s">
        <v>83</v>
      </c>
      <c r="D19" s="82">
        <v>108</v>
      </c>
      <c r="E19" s="86">
        <f>(D19-D18)/D18</f>
        <v>-7.6923076923076927E-2</v>
      </c>
      <c r="F19" s="84">
        <v>30</v>
      </c>
      <c r="G19" s="85">
        <v>100</v>
      </c>
      <c r="H19" s="86">
        <f>(G19-G18)/G18</f>
        <v>-9.0909090909090912E-2</v>
      </c>
      <c r="I19" s="84">
        <v>27</v>
      </c>
      <c r="J19" s="87">
        <f>(G19-D19)/D19</f>
        <v>-7.407407407407407E-2</v>
      </c>
    </row>
    <row r="20" spans="1:17" x14ac:dyDescent="0.25">
      <c r="C20" s="81" t="s">
        <v>84</v>
      </c>
      <c r="D20" s="82">
        <v>99</v>
      </c>
      <c r="E20" s="86">
        <f>(D20-D19)/D19</f>
        <v>-8.3333333333333329E-2</v>
      </c>
      <c r="F20" s="84">
        <v>28</v>
      </c>
      <c r="G20" s="85">
        <v>88</v>
      </c>
      <c r="H20" s="86">
        <f>(G20-G19)/G19</f>
        <v>-0.12</v>
      </c>
      <c r="I20" s="84">
        <v>24</v>
      </c>
      <c r="J20" s="87">
        <f>(G20-D20)/D20</f>
        <v>-0.1111111111111111</v>
      </c>
    </row>
    <row r="21" spans="1:17" x14ac:dyDescent="0.25">
      <c r="C21" s="81" t="s">
        <v>85</v>
      </c>
      <c r="D21" s="82">
        <v>93</v>
      </c>
      <c r="E21" s="86">
        <f>(D21-D20)/D20</f>
        <v>-6.0606060606060608E-2</v>
      </c>
      <c r="F21" s="84">
        <v>24</v>
      </c>
      <c r="G21" s="85">
        <v>82</v>
      </c>
      <c r="H21" s="86">
        <f>(G21-G20)/G20</f>
        <v>-6.8181818181818177E-2</v>
      </c>
      <c r="I21" s="84">
        <v>21</v>
      </c>
      <c r="J21" s="87">
        <f>(G21-D21)/D21</f>
        <v>-0.11827956989247312</v>
      </c>
    </row>
    <row r="22" spans="1:17" ht="13.8" thickBot="1" x14ac:dyDescent="0.3">
      <c r="C22" s="88" t="s">
        <v>86</v>
      </c>
      <c r="D22" s="89">
        <f>AVERAGE(D18:D21)</f>
        <v>104.25</v>
      </c>
      <c r="E22" s="90"/>
      <c r="F22" s="89">
        <f>AVERAGE(F18:F21)</f>
        <v>29.25</v>
      </c>
      <c r="G22" s="91">
        <f>AVERAGE(G18:G21)</f>
        <v>95</v>
      </c>
      <c r="H22" s="92"/>
      <c r="I22" s="89">
        <f>AVERAGE(I18:I21)</f>
        <v>26.25</v>
      </c>
      <c r="J22" s="93">
        <f>AVERAGE(J18:J21)</f>
        <v>-9.0823453726679534E-2</v>
      </c>
    </row>
    <row r="23" spans="1:17" s="19" customFormat="1" ht="13.8" thickTop="1" x14ac:dyDescent="0.25"/>
    <row r="24" spans="1:17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07" t="s">
        <v>16</v>
      </c>
      <c r="M24" s="106"/>
      <c r="N24" s="106"/>
      <c r="O24" s="106"/>
      <c r="P24" s="19"/>
      <c r="Q24" s="19"/>
    </row>
    <row r="25" spans="1:17" x14ac:dyDescent="0.25">
      <c r="D25" s="3">
        <v>36617</v>
      </c>
      <c r="E25" s="3">
        <v>36647</v>
      </c>
      <c r="F25" s="3">
        <v>36678</v>
      </c>
      <c r="G25" s="3">
        <v>36708</v>
      </c>
      <c r="H25" s="3">
        <v>36739</v>
      </c>
      <c r="I25" s="3">
        <v>36770</v>
      </c>
      <c r="J25" s="3">
        <v>36800</v>
      </c>
      <c r="K25" s="3">
        <v>36831</v>
      </c>
      <c r="L25" s="3">
        <v>36861</v>
      </c>
      <c r="M25" s="3">
        <v>36892</v>
      </c>
      <c r="N25" s="3">
        <v>36923</v>
      </c>
      <c r="O25" s="3">
        <v>36951</v>
      </c>
    </row>
    <row r="27" spans="1:17" x14ac:dyDescent="0.25">
      <c r="B27" s="14" t="s">
        <v>47</v>
      </c>
    </row>
    <row r="28" spans="1:17" x14ac:dyDescent="0.25">
      <c r="C28" t="s">
        <v>99</v>
      </c>
      <c r="D28">
        <v>0</v>
      </c>
      <c r="E28">
        <v>0</v>
      </c>
      <c r="F28">
        <v>0</v>
      </c>
      <c r="G28">
        <v>0</v>
      </c>
      <c r="H28">
        <f>K12+K4</f>
        <v>3</v>
      </c>
      <c r="I28">
        <f>K5+K6+K7+K8+K9+K10+K11</f>
        <v>23</v>
      </c>
      <c r="J28">
        <v>0</v>
      </c>
      <c r="K28">
        <v>0</v>
      </c>
      <c r="L28" s="21">
        <v>0</v>
      </c>
      <c r="M28" s="21">
        <v>2</v>
      </c>
      <c r="N28" s="21">
        <v>2</v>
      </c>
      <c r="O28" s="21">
        <v>2</v>
      </c>
    </row>
    <row r="29" spans="1:17" x14ac:dyDescent="0.25">
      <c r="C29" t="s">
        <v>3</v>
      </c>
      <c r="D29" s="2">
        <f>SUM($M$14:$M$15)/1000</f>
        <v>54.347169811320754</v>
      </c>
      <c r="E29" s="2">
        <f t="shared" ref="E29:O29" si="0">SUM($M$14:$M$15)/1000</f>
        <v>54.347169811320754</v>
      </c>
      <c r="F29" s="2">
        <f t="shared" si="0"/>
        <v>54.347169811320754</v>
      </c>
      <c r="G29" s="2">
        <f t="shared" si="0"/>
        <v>54.347169811320754</v>
      </c>
      <c r="H29" s="2">
        <f t="shared" si="0"/>
        <v>54.347169811320754</v>
      </c>
      <c r="I29" s="2">
        <f t="shared" si="0"/>
        <v>54.347169811320754</v>
      </c>
      <c r="J29" s="2">
        <f t="shared" si="0"/>
        <v>54.347169811320754</v>
      </c>
      <c r="K29" s="2">
        <f t="shared" si="0"/>
        <v>54.347169811320754</v>
      </c>
      <c r="L29" s="2">
        <f t="shared" si="0"/>
        <v>54.347169811320754</v>
      </c>
      <c r="M29" s="2">
        <f t="shared" si="0"/>
        <v>54.347169811320754</v>
      </c>
      <c r="N29" s="2">
        <f t="shared" si="0"/>
        <v>54.347169811320754</v>
      </c>
      <c r="O29" s="2">
        <f t="shared" si="0"/>
        <v>54.347169811320754</v>
      </c>
    </row>
    <row r="30" spans="1:17" x14ac:dyDescent="0.25">
      <c r="C30" t="s">
        <v>137</v>
      </c>
      <c r="D30" s="2">
        <f>$M$16/1000</f>
        <v>8.1520754716981134</v>
      </c>
      <c r="E30" s="2">
        <f t="shared" ref="E30:O30" si="1">$M$16/1000</f>
        <v>8.1520754716981134</v>
      </c>
      <c r="F30" s="2">
        <f t="shared" si="1"/>
        <v>8.1520754716981134</v>
      </c>
      <c r="G30" s="2">
        <f t="shared" si="1"/>
        <v>8.1520754716981134</v>
      </c>
      <c r="H30" s="2">
        <f t="shared" si="1"/>
        <v>8.1520754716981134</v>
      </c>
      <c r="I30" s="2">
        <f t="shared" si="1"/>
        <v>8.1520754716981134</v>
      </c>
      <c r="J30" s="2">
        <f t="shared" si="1"/>
        <v>8.1520754716981134</v>
      </c>
      <c r="K30" s="2">
        <f t="shared" si="1"/>
        <v>8.1520754716981134</v>
      </c>
      <c r="L30" s="2">
        <f t="shared" si="1"/>
        <v>8.1520754716981134</v>
      </c>
      <c r="M30" s="2">
        <f t="shared" si="1"/>
        <v>8.1520754716981134</v>
      </c>
      <c r="N30" s="2">
        <f t="shared" si="1"/>
        <v>8.1520754716981134</v>
      </c>
      <c r="O30" s="2">
        <f t="shared" si="1"/>
        <v>8.1520754716981134</v>
      </c>
    </row>
    <row r="31" spans="1:17" x14ac:dyDescent="0.25">
      <c r="C31" t="s">
        <v>100</v>
      </c>
      <c r="D31" s="2">
        <f>(D29+D30)*D28</f>
        <v>0</v>
      </c>
      <c r="E31" s="2">
        <f t="shared" ref="E31:O31" si="2">(E29+E30)*E28</f>
        <v>0</v>
      </c>
      <c r="F31" s="2">
        <f t="shared" si="2"/>
        <v>0</v>
      </c>
      <c r="G31" s="2">
        <f t="shared" si="2"/>
        <v>0</v>
      </c>
      <c r="H31" s="2">
        <f t="shared" si="2"/>
        <v>187.4977358490566</v>
      </c>
      <c r="I31" s="2">
        <f t="shared" si="2"/>
        <v>1437.482641509434</v>
      </c>
      <c r="J31" s="2">
        <f t="shared" si="2"/>
        <v>0</v>
      </c>
      <c r="K31" s="2">
        <f t="shared" si="2"/>
        <v>0</v>
      </c>
      <c r="L31" s="2">
        <f t="shared" si="2"/>
        <v>0</v>
      </c>
      <c r="M31" s="2">
        <f t="shared" si="2"/>
        <v>124.99849056603773</v>
      </c>
      <c r="N31" s="2">
        <f t="shared" si="2"/>
        <v>124.99849056603773</v>
      </c>
      <c r="O31" s="2">
        <f t="shared" si="2"/>
        <v>124.99849056603773</v>
      </c>
    </row>
    <row r="32" spans="1:17" x14ac:dyDescent="0.25">
      <c r="C32" t="s">
        <v>102</v>
      </c>
      <c r="D32" s="12">
        <f>IF(D28=0,0,MIN($D$10/1000,($D$9/1000+(D28-1)*$F$9/1000)))</f>
        <v>0</v>
      </c>
      <c r="E32" s="12">
        <f t="shared" ref="E32:O32" si="3">IF(E28=0,0,MIN($D$10/1000,($D$9/1000+(E28-1)*$F$9/1000)))</f>
        <v>0</v>
      </c>
      <c r="F32" s="12">
        <f t="shared" si="3"/>
        <v>0</v>
      </c>
      <c r="G32" s="12">
        <f t="shared" si="3"/>
        <v>0</v>
      </c>
      <c r="H32" s="12">
        <f t="shared" si="3"/>
        <v>10</v>
      </c>
      <c r="I32" s="12">
        <f t="shared" si="3"/>
        <v>10</v>
      </c>
      <c r="J32" s="12">
        <f t="shared" si="3"/>
        <v>0</v>
      </c>
      <c r="K32" s="12">
        <f t="shared" si="3"/>
        <v>0</v>
      </c>
      <c r="L32" s="12">
        <f t="shared" si="3"/>
        <v>0</v>
      </c>
      <c r="M32" s="12">
        <f t="shared" si="3"/>
        <v>8.5</v>
      </c>
      <c r="N32" s="12">
        <f t="shared" si="3"/>
        <v>8.5</v>
      </c>
      <c r="O32" s="12">
        <f t="shared" si="3"/>
        <v>8.5</v>
      </c>
    </row>
    <row r="33" spans="2:16" s="14" customFormat="1" x14ac:dyDescent="0.25">
      <c r="C33" s="14" t="s">
        <v>100</v>
      </c>
      <c r="D33" s="17">
        <f t="shared" ref="D33:O33" si="4">SUM(D31:D32)</f>
        <v>0</v>
      </c>
      <c r="E33" s="17">
        <f t="shared" si="4"/>
        <v>0</v>
      </c>
      <c r="F33" s="17">
        <f t="shared" si="4"/>
        <v>0</v>
      </c>
      <c r="G33" s="17">
        <f t="shared" si="4"/>
        <v>0</v>
      </c>
      <c r="H33" s="17">
        <f t="shared" si="4"/>
        <v>197.4977358490566</v>
      </c>
      <c r="I33" s="17">
        <f t="shared" si="4"/>
        <v>1447.482641509434</v>
      </c>
      <c r="J33" s="17">
        <f t="shared" si="4"/>
        <v>0</v>
      </c>
      <c r="K33" s="17">
        <f t="shared" si="4"/>
        <v>0</v>
      </c>
      <c r="L33" s="17">
        <f t="shared" si="4"/>
        <v>0</v>
      </c>
      <c r="M33" s="17">
        <f t="shared" si="4"/>
        <v>133.49849056603773</v>
      </c>
      <c r="N33" s="17">
        <f t="shared" si="4"/>
        <v>133.49849056603773</v>
      </c>
      <c r="O33" s="17">
        <f t="shared" si="4"/>
        <v>133.49849056603773</v>
      </c>
    </row>
    <row r="34" spans="2:16" x14ac:dyDescent="0.25">
      <c r="H34" s="2"/>
      <c r="J34" s="2"/>
    </row>
    <row r="35" spans="2:16" x14ac:dyDescent="0.25">
      <c r="B35" s="14" t="s">
        <v>50</v>
      </c>
    </row>
    <row r="36" spans="2:16" x14ac:dyDescent="0.25">
      <c r="C36" t="s">
        <v>103</v>
      </c>
      <c r="D36" s="2">
        <v>0</v>
      </c>
      <c r="E36" s="2">
        <v>0</v>
      </c>
      <c r="F36" s="2">
        <v>0</v>
      </c>
      <c r="G36" s="2">
        <v>0</v>
      </c>
      <c r="H36" s="151">
        <v>1000</v>
      </c>
      <c r="I36" s="2">
        <v>0</v>
      </c>
      <c r="J36" s="2">
        <v>0</v>
      </c>
      <c r="K36" s="2">
        <v>0</v>
      </c>
      <c r="L36" s="151">
        <v>3000</v>
      </c>
      <c r="M36" s="2">
        <v>0</v>
      </c>
      <c r="N36" s="2">
        <v>0</v>
      </c>
      <c r="O36" s="151">
        <v>0</v>
      </c>
    </row>
    <row r="37" spans="2:16" x14ac:dyDescent="0.25">
      <c r="C37" t="s">
        <v>104</v>
      </c>
      <c r="D37" s="12">
        <v>0</v>
      </c>
      <c r="E37" s="12">
        <v>0</v>
      </c>
      <c r="F37" s="12">
        <v>0</v>
      </c>
      <c r="G37" s="12">
        <f t="shared" ref="G37:O37" si="5">$D$12/(MONTH($O$25-$F$25))/1000</f>
        <v>111.11111111111111</v>
      </c>
      <c r="H37" s="12">
        <f t="shared" si="5"/>
        <v>111.11111111111111</v>
      </c>
      <c r="I37" s="12">
        <f t="shared" si="5"/>
        <v>111.11111111111111</v>
      </c>
      <c r="J37" s="12">
        <f t="shared" si="5"/>
        <v>111.11111111111111</v>
      </c>
      <c r="K37" s="12">
        <f t="shared" si="5"/>
        <v>111.11111111111111</v>
      </c>
      <c r="L37" s="12">
        <f t="shared" si="5"/>
        <v>111.11111111111111</v>
      </c>
      <c r="M37" s="12">
        <f t="shared" si="5"/>
        <v>111.11111111111111</v>
      </c>
      <c r="N37" s="12">
        <f t="shared" si="5"/>
        <v>111.11111111111111</v>
      </c>
      <c r="O37" s="12">
        <f t="shared" si="5"/>
        <v>111.11111111111111</v>
      </c>
      <c r="P37" s="2"/>
    </row>
    <row r="38" spans="2:16" x14ac:dyDescent="0.25">
      <c r="C38" s="14" t="s">
        <v>107</v>
      </c>
      <c r="D38" s="17">
        <f>SUM(D36:D37)</f>
        <v>0</v>
      </c>
      <c r="E38" s="17">
        <f t="shared" ref="E38:O38" si="6">SUM(E36:E37)</f>
        <v>0</v>
      </c>
      <c r="F38" s="17">
        <f t="shared" si="6"/>
        <v>0</v>
      </c>
      <c r="G38" s="17">
        <f t="shared" si="6"/>
        <v>111.11111111111111</v>
      </c>
      <c r="H38" s="17">
        <f t="shared" si="6"/>
        <v>1111.1111111111111</v>
      </c>
      <c r="I38" s="17">
        <f t="shared" si="6"/>
        <v>111.11111111111111</v>
      </c>
      <c r="J38" s="17">
        <f t="shared" si="6"/>
        <v>111.11111111111111</v>
      </c>
      <c r="K38" s="17">
        <f t="shared" si="6"/>
        <v>111.11111111111111</v>
      </c>
      <c r="L38" s="17">
        <f t="shared" si="6"/>
        <v>3111.1111111111113</v>
      </c>
      <c r="M38" s="17">
        <f t="shared" si="6"/>
        <v>111.11111111111111</v>
      </c>
      <c r="N38" s="17">
        <f t="shared" si="6"/>
        <v>111.11111111111111</v>
      </c>
      <c r="O38" s="17">
        <f t="shared" si="6"/>
        <v>111.11111111111111</v>
      </c>
    </row>
    <row r="39" spans="2:16" x14ac:dyDescent="0.25">
      <c r="G39" s="10"/>
    </row>
    <row r="40" spans="2:16" ht="13.8" thickBot="1" x14ac:dyDescent="0.3">
      <c r="B40" s="7" t="s">
        <v>108</v>
      </c>
      <c r="C40" s="7"/>
      <c r="D40" s="8">
        <f>D38+D33</f>
        <v>0</v>
      </c>
      <c r="E40" s="8">
        <f t="shared" ref="E40:O40" si="7">E38+E33</f>
        <v>0</v>
      </c>
      <c r="F40" s="8">
        <f t="shared" si="7"/>
        <v>0</v>
      </c>
      <c r="G40" s="8">
        <f t="shared" si="7"/>
        <v>111.11111111111111</v>
      </c>
      <c r="H40" s="8">
        <f t="shared" si="7"/>
        <v>1308.6088469601677</v>
      </c>
      <c r="I40" s="8">
        <f t="shared" si="7"/>
        <v>1558.593752620545</v>
      </c>
      <c r="J40" s="8">
        <f t="shared" si="7"/>
        <v>111.11111111111111</v>
      </c>
      <c r="K40" s="8">
        <f t="shared" si="7"/>
        <v>111.11111111111111</v>
      </c>
      <c r="L40" s="8">
        <f t="shared" si="7"/>
        <v>3111.1111111111113</v>
      </c>
      <c r="M40" s="8">
        <f t="shared" si="7"/>
        <v>244.60960167714885</v>
      </c>
      <c r="N40" s="8">
        <f t="shared" si="7"/>
        <v>244.60960167714885</v>
      </c>
      <c r="O40" s="8">
        <f t="shared" si="7"/>
        <v>244.60960167714885</v>
      </c>
    </row>
    <row r="41" spans="2:16" ht="12" customHeight="1" thickTop="1" x14ac:dyDescent="0.25"/>
    <row r="42" spans="2:16" s="19" customFormat="1" ht="15.75" hidden="1" customHeight="1" thickTop="1" x14ac:dyDescent="0.25">
      <c r="B42" s="155" t="s">
        <v>132</v>
      </c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7"/>
    </row>
    <row r="43" spans="2:16" hidden="1" x14ac:dyDescent="0.25">
      <c r="B43" s="29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30"/>
    </row>
    <row r="44" spans="2:16" hidden="1" x14ac:dyDescent="0.25">
      <c r="B44" s="29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30"/>
    </row>
    <row r="45" spans="2:16" hidden="1" x14ac:dyDescent="0.25">
      <c r="B45" s="29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30"/>
    </row>
    <row r="46" spans="2:16" hidden="1" x14ac:dyDescent="0.25">
      <c r="B46" s="29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30"/>
    </row>
    <row r="47" spans="2:16" hidden="1" x14ac:dyDescent="0.25">
      <c r="B47" s="29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30"/>
    </row>
    <row r="48" spans="2:16" hidden="1" x14ac:dyDescent="0.25">
      <c r="B48" s="29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30"/>
    </row>
    <row r="49" spans="2:15" hidden="1" x14ac:dyDescent="0.25">
      <c r="B49" s="29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30"/>
    </row>
    <row r="50" spans="2:15" hidden="1" x14ac:dyDescent="0.25">
      <c r="B50" s="29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30"/>
    </row>
    <row r="51" spans="2:15" ht="13.8" hidden="1" thickBot="1" x14ac:dyDescent="0.3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3"/>
    </row>
    <row r="52" spans="2:15" ht="13.8" hidden="1" thickTop="1" x14ac:dyDescent="0.25"/>
    <row r="56" spans="2:15" x14ac:dyDescent="0.25">
      <c r="M56">
        <f>22.458-8.7</f>
        <v>13.757999999999999</v>
      </c>
      <c r="N56">
        <f>3.162+0.104+4.832+0.196+1.386+2.455+2.323</f>
        <v>14.457999999999998</v>
      </c>
    </row>
    <row r="57" spans="2:15" x14ac:dyDescent="0.25">
      <c r="M57">
        <f>+N56-M56</f>
        <v>0.69999999999999929</v>
      </c>
    </row>
    <row r="58" spans="2:15" x14ac:dyDescent="0.25">
      <c r="O58">
        <f>7.432-2.6</f>
        <v>4.8320000000000007</v>
      </c>
    </row>
  </sheetData>
  <customSheetViews>
    <customSheetView guid="{3B773845-BEFA-11D4-97C7-004096149E6C}" scale="85" fitToPage="1" hiddenRows="1" showRuler="0" topLeftCell="A3">
      <selection activeCell="M33" sqref="M33"/>
      <pageMargins left="0.75" right="0.75" top="1" bottom="1" header="0.5" footer="0.5"/>
      <pageSetup scale="79" orientation="landscape" r:id="rId1"/>
      <headerFooter alignWithMargins="0"/>
    </customSheetView>
  </customSheetViews>
  <mergeCells count="3">
    <mergeCell ref="D14:F14"/>
    <mergeCell ref="G14:I14"/>
    <mergeCell ref="B42:O42"/>
  </mergeCells>
  <pageMargins left="0.75" right="0.75" top="1" bottom="1" header="0.5" footer="0.5"/>
  <pageSetup scale="78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workbookViewId="0">
      <selection activeCell="E10" sqref="E10"/>
    </sheetView>
  </sheetViews>
  <sheetFormatPr defaultRowHeight="13.2" x14ac:dyDescent="0.25"/>
  <cols>
    <col min="1" max="1" width="2.109375" customWidth="1"/>
    <col min="9" max="9" width="9.6640625" customWidth="1"/>
    <col min="10" max="10" width="15" customWidth="1"/>
  </cols>
  <sheetData>
    <row r="1" spans="2:11" x14ac:dyDescent="0.25">
      <c r="B1" s="110" t="s">
        <v>156</v>
      </c>
    </row>
    <row r="2" spans="2:11" x14ac:dyDescent="0.25">
      <c r="B2" s="110"/>
    </row>
    <row r="3" spans="2:11" x14ac:dyDescent="0.25">
      <c r="B3" t="s">
        <v>185</v>
      </c>
    </row>
    <row r="4" spans="2:11" ht="13.8" thickBot="1" x14ac:dyDescent="0.3"/>
    <row r="5" spans="2:11" x14ac:dyDescent="0.25">
      <c r="D5" s="158" t="s">
        <v>157</v>
      </c>
      <c r="E5" s="159"/>
      <c r="F5" s="160"/>
      <c r="G5" s="161" t="s">
        <v>158</v>
      </c>
      <c r="H5" s="162"/>
      <c r="I5" s="163"/>
      <c r="J5" s="111" t="s">
        <v>1</v>
      </c>
    </row>
    <row r="6" spans="2:11" x14ac:dyDescent="0.25">
      <c r="C6" s="112">
        <v>36845</v>
      </c>
      <c r="D6" s="113">
        <v>36861</v>
      </c>
      <c r="E6" s="114">
        <v>36892</v>
      </c>
      <c r="F6" s="115">
        <v>36923</v>
      </c>
      <c r="G6" s="113">
        <v>36951</v>
      </c>
      <c r="H6" s="114">
        <v>36982</v>
      </c>
      <c r="I6" s="115">
        <v>37012</v>
      </c>
      <c r="J6" s="116" t="s">
        <v>159</v>
      </c>
      <c r="K6" s="14" t="s">
        <v>160</v>
      </c>
    </row>
    <row r="7" spans="2:11" x14ac:dyDescent="0.25">
      <c r="B7" t="s">
        <v>12</v>
      </c>
      <c r="C7" s="117">
        <v>500</v>
      </c>
      <c r="D7" s="118">
        <v>0</v>
      </c>
      <c r="E7" s="19">
        <v>0</v>
      </c>
      <c r="F7" s="119">
        <v>0</v>
      </c>
      <c r="G7" s="118">
        <v>1000</v>
      </c>
      <c r="H7" s="19">
        <v>1000</v>
      </c>
      <c r="I7" s="119">
        <v>0</v>
      </c>
      <c r="J7" s="116">
        <f>SUM(D7:I7)</f>
        <v>2000</v>
      </c>
      <c r="K7" t="s">
        <v>161</v>
      </c>
    </row>
    <row r="8" spans="2:11" x14ac:dyDescent="0.25">
      <c r="B8" t="s">
        <v>162</v>
      </c>
      <c r="C8" s="117">
        <v>500</v>
      </c>
      <c r="D8" s="118">
        <v>0</v>
      </c>
      <c r="E8" s="19">
        <v>250</v>
      </c>
      <c r="F8" s="119">
        <v>500</v>
      </c>
      <c r="G8" s="118">
        <v>500</v>
      </c>
      <c r="H8" s="19">
        <v>250</v>
      </c>
      <c r="I8" s="119">
        <v>0</v>
      </c>
      <c r="J8" s="116">
        <f t="shared" ref="J8:J15" si="0">SUM(D8:I8)</f>
        <v>1500</v>
      </c>
      <c r="K8" t="s">
        <v>163</v>
      </c>
    </row>
    <row r="9" spans="2:11" x14ac:dyDescent="0.25">
      <c r="B9" t="s">
        <v>10</v>
      </c>
      <c r="C9" s="117">
        <v>100</v>
      </c>
      <c r="D9" s="118">
        <v>0</v>
      </c>
      <c r="E9" s="19">
        <v>0</v>
      </c>
      <c r="F9" s="119">
        <v>0</v>
      </c>
      <c r="G9" s="118">
        <v>0</v>
      </c>
      <c r="H9" s="19">
        <v>0</v>
      </c>
      <c r="I9" s="119">
        <v>0</v>
      </c>
      <c r="J9" s="116">
        <f t="shared" si="0"/>
        <v>0</v>
      </c>
      <c r="K9" t="s">
        <v>164</v>
      </c>
    </row>
    <row r="10" spans="2:11" x14ac:dyDescent="0.25">
      <c r="B10" t="s">
        <v>165</v>
      </c>
      <c r="C10" s="117">
        <v>0</v>
      </c>
      <c r="D10" s="118">
        <v>0</v>
      </c>
      <c r="E10" s="19">
        <v>50</v>
      </c>
      <c r="F10" s="119">
        <v>797</v>
      </c>
      <c r="G10" s="118">
        <v>0</v>
      </c>
      <c r="H10" s="19">
        <v>0</v>
      </c>
      <c r="I10" s="119">
        <v>0</v>
      </c>
      <c r="J10" s="116">
        <f t="shared" si="0"/>
        <v>847</v>
      </c>
      <c r="K10" t="s">
        <v>166</v>
      </c>
    </row>
    <row r="11" spans="2:11" x14ac:dyDescent="0.25">
      <c r="B11" t="s">
        <v>167</v>
      </c>
      <c r="C11" s="117">
        <v>0</v>
      </c>
      <c r="D11" s="118">
        <v>0</v>
      </c>
      <c r="E11" s="19">
        <v>100</v>
      </c>
      <c r="F11" s="119">
        <v>0</v>
      </c>
      <c r="G11" s="118">
        <v>0</v>
      </c>
      <c r="H11" s="19">
        <v>0</v>
      </c>
      <c r="I11" s="119">
        <v>0</v>
      </c>
      <c r="J11" s="116">
        <f t="shared" si="0"/>
        <v>100</v>
      </c>
      <c r="K11" t="s">
        <v>168</v>
      </c>
    </row>
    <row r="12" spans="2:11" x14ac:dyDescent="0.25">
      <c r="B12" t="s">
        <v>169</v>
      </c>
      <c r="C12" s="117">
        <v>0</v>
      </c>
      <c r="D12" s="118">
        <v>0</v>
      </c>
      <c r="E12" s="19">
        <v>0</v>
      </c>
      <c r="F12" s="119">
        <v>0</v>
      </c>
      <c r="G12" s="118">
        <v>0</v>
      </c>
      <c r="H12" s="19">
        <v>0</v>
      </c>
      <c r="I12" s="119">
        <v>0</v>
      </c>
      <c r="J12" s="116">
        <f t="shared" si="0"/>
        <v>0</v>
      </c>
      <c r="K12" t="s">
        <v>168</v>
      </c>
    </row>
    <row r="13" spans="2:11" x14ac:dyDescent="0.25">
      <c r="B13" t="s">
        <v>170</v>
      </c>
      <c r="C13" s="117">
        <v>0</v>
      </c>
      <c r="D13" s="118">
        <v>0</v>
      </c>
      <c r="E13" s="19">
        <v>0</v>
      </c>
      <c r="F13" s="119">
        <v>0</v>
      </c>
      <c r="G13" s="118">
        <v>0</v>
      </c>
      <c r="H13" s="19">
        <v>0</v>
      </c>
      <c r="I13" s="119">
        <v>0</v>
      </c>
      <c r="J13" s="116">
        <f t="shared" si="0"/>
        <v>0</v>
      </c>
      <c r="K13" t="s">
        <v>168</v>
      </c>
    </row>
    <row r="14" spans="2:11" x14ac:dyDescent="0.25">
      <c r="B14" t="s">
        <v>171</v>
      </c>
      <c r="C14" s="117">
        <v>0</v>
      </c>
      <c r="D14" s="118">
        <v>0</v>
      </c>
      <c r="E14" s="19">
        <v>0</v>
      </c>
      <c r="F14" s="119">
        <v>500</v>
      </c>
      <c r="G14" s="118">
        <v>0</v>
      </c>
      <c r="H14" s="19">
        <v>0</v>
      </c>
      <c r="I14" s="119">
        <v>0</v>
      </c>
      <c r="J14" s="116">
        <f t="shared" si="0"/>
        <v>500</v>
      </c>
      <c r="K14" t="s">
        <v>172</v>
      </c>
    </row>
    <row r="15" spans="2:11" ht="13.8" thickBot="1" x14ac:dyDescent="0.3">
      <c r="B15" t="s">
        <v>173</v>
      </c>
      <c r="C15" s="117">
        <v>0</v>
      </c>
      <c r="D15" s="120">
        <v>0</v>
      </c>
      <c r="E15" s="121">
        <v>0</v>
      </c>
      <c r="F15" s="122">
        <v>0</v>
      </c>
      <c r="G15" s="120">
        <v>0</v>
      </c>
      <c r="H15" s="121">
        <v>0</v>
      </c>
      <c r="I15" s="122">
        <v>0</v>
      </c>
      <c r="J15" s="123">
        <f t="shared" si="0"/>
        <v>0</v>
      </c>
      <c r="K15" t="s">
        <v>168</v>
      </c>
    </row>
    <row r="16" spans="2:11" x14ac:dyDescent="0.25">
      <c r="J16" s="124">
        <f>SUM(J7:J15)</f>
        <v>4947</v>
      </c>
    </row>
    <row r="18" spans="2:4" x14ac:dyDescent="0.25">
      <c r="B18" s="14" t="s">
        <v>174</v>
      </c>
    </row>
    <row r="19" spans="2:4" x14ac:dyDescent="0.25">
      <c r="B19" s="1" t="s">
        <v>175</v>
      </c>
      <c r="C19" s="14"/>
      <c r="D19" s="14"/>
    </row>
    <row r="20" spans="2:4" x14ac:dyDescent="0.25">
      <c r="B20" s="1" t="s">
        <v>176</v>
      </c>
      <c r="C20" s="1"/>
      <c r="D20" s="1"/>
    </row>
    <row r="21" spans="2:4" x14ac:dyDescent="0.25">
      <c r="B21" t="s">
        <v>177</v>
      </c>
    </row>
    <row r="22" spans="2:4" x14ac:dyDescent="0.25">
      <c r="B22" t="s">
        <v>178</v>
      </c>
    </row>
    <row r="24" spans="2:4" x14ac:dyDescent="0.25">
      <c r="B24" s="14" t="s">
        <v>179</v>
      </c>
      <c r="C24" s="14"/>
      <c r="D24" s="14"/>
    </row>
    <row r="25" spans="2:4" x14ac:dyDescent="0.25">
      <c r="B25" t="s">
        <v>180</v>
      </c>
    </row>
    <row r="26" spans="2:4" x14ac:dyDescent="0.25">
      <c r="B26" t="s">
        <v>181</v>
      </c>
    </row>
    <row r="30" spans="2:4" x14ac:dyDescent="0.25">
      <c r="C30" s="110"/>
      <c r="D30" s="110"/>
    </row>
  </sheetData>
  <customSheetViews>
    <customSheetView guid="{3B773845-BEFA-11D4-97C7-004096149E6C}" showRuler="0">
      <selection activeCell="E10" sqref="E10"/>
      <pageMargins left="0.75" right="0.75" top="1" bottom="1" header="0.5" footer="0.5"/>
      <pageSetup scale="75" orientation="landscape" r:id="rId1"/>
      <headerFooter alignWithMargins="0"/>
    </customSheetView>
  </customSheetViews>
  <mergeCells count="2">
    <mergeCell ref="D5:F5"/>
    <mergeCell ref="G5:I5"/>
  </mergeCells>
  <pageMargins left="0.75" right="0.75" top="1" bottom="1" header="0.5" footer="0.5"/>
  <pageSetup scale="75" orientation="landscape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P47"/>
  <sheetViews>
    <sheetView zoomScale="85" workbookViewId="0">
      <selection activeCell="C9" sqref="C9"/>
    </sheetView>
  </sheetViews>
  <sheetFormatPr defaultRowHeight="13.2" x14ac:dyDescent="0.25"/>
  <cols>
    <col min="1" max="1" width="3.33203125" customWidth="1"/>
    <col min="2" max="2" width="33.44140625" customWidth="1"/>
    <col min="3" max="3" width="10.5546875" bestFit="1" customWidth="1"/>
    <col min="4" max="9" width="9.33203125" bestFit="1" customWidth="1"/>
    <col min="10" max="10" width="9.88671875" bestFit="1" customWidth="1"/>
    <col min="11" max="11" width="10.88671875" bestFit="1" customWidth="1"/>
    <col min="12" max="12" width="10.33203125" customWidth="1"/>
    <col min="13" max="15" width="9.44140625" bestFit="1" customWidth="1"/>
  </cols>
  <sheetData>
    <row r="2" spans="2:16" x14ac:dyDescent="0.25">
      <c r="B2" s="11" t="s">
        <v>51</v>
      </c>
    </row>
    <row r="3" spans="2:16" x14ac:dyDescent="0.25">
      <c r="B3" t="s">
        <v>26</v>
      </c>
      <c r="C3" s="57">
        <v>1000</v>
      </c>
      <c r="D3" t="s">
        <v>186</v>
      </c>
    </row>
    <row r="4" spans="2:16" x14ac:dyDescent="0.25">
      <c r="B4" t="s">
        <v>65</v>
      </c>
      <c r="C4" s="57">
        <v>1130</v>
      </c>
      <c r="D4" t="s">
        <v>139</v>
      </c>
      <c r="F4" s="57">
        <v>525</v>
      </c>
      <c r="G4" t="s">
        <v>140</v>
      </c>
    </row>
    <row r="5" spans="2:16" x14ac:dyDescent="0.25">
      <c r="B5" t="s">
        <v>66</v>
      </c>
      <c r="C5" s="57">
        <v>0</v>
      </c>
    </row>
    <row r="6" spans="2:16" x14ac:dyDescent="0.25">
      <c r="B6" t="s">
        <v>131</v>
      </c>
      <c r="C6" s="60">
        <v>1</v>
      </c>
    </row>
    <row r="7" spans="2:16" x14ac:dyDescent="0.25">
      <c r="B7" t="s">
        <v>135</v>
      </c>
      <c r="C7" s="57">
        <v>150</v>
      </c>
      <c r="D7" t="s">
        <v>142</v>
      </c>
    </row>
    <row r="8" spans="2:16" x14ac:dyDescent="0.25">
      <c r="B8" t="s">
        <v>151</v>
      </c>
      <c r="C8" s="57">
        <v>85</v>
      </c>
      <c r="D8" t="s">
        <v>142</v>
      </c>
    </row>
    <row r="9" spans="2:16" x14ac:dyDescent="0.25">
      <c r="B9" t="s">
        <v>189</v>
      </c>
      <c r="C9" s="127">
        <v>617</v>
      </c>
      <c r="D9" t="s">
        <v>191</v>
      </c>
    </row>
    <row r="10" spans="2:16" x14ac:dyDescent="0.25">
      <c r="B10" t="s">
        <v>190</v>
      </c>
      <c r="C10" s="127">
        <v>1000</v>
      </c>
      <c r="D10" t="s">
        <v>191</v>
      </c>
    </row>
    <row r="11" spans="2:16" x14ac:dyDescent="0.25">
      <c r="D11" s="3">
        <v>36617</v>
      </c>
      <c r="E11" s="3">
        <v>36647</v>
      </c>
      <c r="F11" s="3">
        <v>36678</v>
      </c>
      <c r="G11" s="3">
        <v>36708</v>
      </c>
      <c r="H11" s="3">
        <v>36739</v>
      </c>
      <c r="I11" s="3">
        <v>36770</v>
      </c>
      <c r="J11" s="3">
        <v>36800</v>
      </c>
      <c r="K11" s="3">
        <v>36831</v>
      </c>
      <c r="L11" s="3">
        <v>36861</v>
      </c>
      <c r="M11" s="3">
        <v>36892</v>
      </c>
      <c r="N11" s="3">
        <v>36923</v>
      </c>
      <c r="O11" s="3">
        <v>36951</v>
      </c>
    </row>
    <row r="12" spans="2:16" x14ac:dyDescent="0.25">
      <c r="B12" s="95" t="s">
        <v>2</v>
      </c>
    </row>
    <row r="13" spans="2:16" x14ac:dyDescent="0.25">
      <c r="B13" t="s">
        <v>26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2">
        <v>0</v>
      </c>
      <c r="K13" s="2">
        <f>C3</f>
        <v>1000</v>
      </c>
      <c r="L13">
        <v>0</v>
      </c>
      <c r="M13">
        <v>0</v>
      </c>
      <c r="N13">
        <v>0</v>
      </c>
      <c r="O13">
        <v>0</v>
      </c>
    </row>
    <row r="14" spans="2:16" x14ac:dyDescent="0.25">
      <c r="B14" t="s">
        <v>64</v>
      </c>
      <c r="D14" s="125">
        <v>0</v>
      </c>
      <c r="E14" s="125">
        <v>0</v>
      </c>
      <c r="F14" s="125">
        <v>0</v>
      </c>
      <c r="G14" s="125">
        <v>0</v>
      </c>
      <c r="H14" s="125">
        <v>50</v>
      </c>
      <c r="I14" s="125">
        <v>10</v>
      </c>
      <c r="J14" s="125">
        <v>501</v>
      </c>
      <c r="K14" s="125">
        <v>1000</v>
      </c>
      <c r="L14" s="21">
        <v>0</v>
      </c>
      <c r="M14" s="21">
        <v>400</v>
      </c>
      <c r="N14" s="21">
        <v>1797</v>
      </c>
      <c r="O14" s="21">
        <v>1500</v>
      </c>
      <c r="P14" t="s">
        <v>25</v>
      </c>
    </row>
    <row r="15" spans="2:16" x14ac:dyDescent="0.25">
      <c r="B15" t="s">
        <v>67</v>
      </c>
      <c r="D15">
        <f>Revenue!D10</f>
        <v>0</v>
      </c>
      <c r="E15">
        <f>Revenue!E10</f>
        <v>0</v>
      </c>
      <c r="F15">
        <f>Revenue!F10</f>
        <v>0</v>
      </c>
      <c r="G15">
        <f>Revenue!G10</f>
        <v>0</v>
      </c>
      <c r="H15">
        <f>Revenue!H10</f>
        <v>0</v>
      </c>
      <c r="I15">
        <f>Revenue!I10</f>
        <v>0</v>
      </c>
      <c r="J15">
        <f>Revenue!J10</f>
        <v>0</v>
      </c>
      <c r="K15">
        <f>Revenue!K10</f>
        <v>0</v>
      </c>
      <c r="L15">
        <f>Revenue!L10</f>
        <v>1100</v>
      </c>
      <c r="M15">
        <f>Revenue!M10</f>
        <v>400</v>
      </c>
      <c r="N15">
        <f>Revenue!N10</f>
        <v>1797</v>
      </c>
      <c r="O15">
        <f>Revenue!O10</f>
        <v>1500</v>
      </c>
    </row>
    <row r="16" spans="2:16" x14ac:dyDescent="0.25">
      <c r="B16" t="s">
        <v>153</v>
      </c>
      <c r="D16" s="12">
        <f>$C$4</f>
        <v>1130</v>
      </c>
      <c r="E16" s="12">
        <f t="shared" ref="E16:K16" si="0">$C$4</f>
        <v>1130</v>
      </c>
      <c r="F16" s="12">
        <f t="shared" si="0"/>
        <v>1130</v>
      </c>
      <c r="G16" s="12">
        <f t="shared" si="0"/>
        <v>1130</v>
      </c>
      <c r="H16" s="12">
        <f t="shared" si="0"/>
        <v>1130</v>
      </c>
      <c r="I16" s="12">
        <f t="shared" si="0"/>
        <v>1130</v>
      </c>
      <c r="J16" s="12">
        <f t="shared" si="0"/>
        <v>1130</v>
      </c>
      <c r="K16" s="12">
        <f t="shared" si="0"/>
        <v>1130</v>
      </c>
      <c r="L16" s="12">
        <f>$F$4</f>
        <v>525</v>
      </c>
      <c r="M16" s="12">
        <f>$F$4</f>
        <v>525</v>
      </c>
      <c r="N16" s="12">
        <f>$F$4</f>
        <v>525</v>
      </c>
      <c r="O16" s="12">
        <f>$F$4</f>
        <v>525</v>
      </c>
    </row>
    <row r="17" spans="2:16" x14ac:dyDescent="0.25">
      <c r="B17" t="s">
        <v>189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2">
        <v>0</v>
      </c>
      <c r="K17" s="128">
        <v>0</v>
      </c>
      <c r="L17" s="128">
        <f>C9</f>
        <v>617</v>
      </c>
      <c r="M17">
        <v>0</v>
      </c>
      <c r="N17">
        <v>0</v>
      </c>
      <c r="O17">
        <v>0</v>
      </c>
    </row>
    <row r="18" spans="2:16" x14ac:dyDescent="0.25">
      <c r="B18" t="s">
        <v>190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2">
        <v>0</v>
      </c>
      <c r="K18">
        <v>0</v>
      </c>
      <c r="L18" s="128">
        <f>C10</f>
        <v>1000</v>
      </c>
      <c r="M18">
        <v>0</v>
      </c>
      <c r="N18">
        <v>0</v>
      </c>
      <c r="O18">
        <v>0</v>
      </c>
    </row>
    <row r="19" spans="2:16" x14ac:dyDescent="0.25">
      <c r="B19" s="24" t="s">
        <v>70</v>
      </c>
      <c r="C19" s="24"/>
      <c r="D19" s="25">
        <f t="shared" ref="D19:I19" si="1">D16*D14/1000*$C$6+D13</f>
        <v>0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56.5</v>
      </c>
      <c r="I19" s="25">
        <f t="shared" si="1"/>
        <v>11.3</v>
      </c>
      <c r="J19" s="25">
        <f t="shared" ref="J19:O19" si="2">J16*J14/1000*$C$6+J13</f>
        <v>566.13</v>
      </c>
      <c r="K19" s="25">
        <f>K16*K14/1000*$C$6+K13+K17</f>
        <v>2130</v>
      </c>
      <c r="L19" s="25">
        <f>L16*L14/1000*$C$6+L13+L17+L18</f>
        <v>1617</v>
      </c>
      <c r="M19" s="25">
        <f t="shared" si="2"/>
        <v>210</v>
      </c>
      <c r="N19" s="25">
        <f t="shared" si="2"/>
        <v>943.42499999999995</v>
      </c>
      <c r="O19" s="25">
        <f t="shared" si="2"/>
        <v>787.5</v>
      </c>
      <c r="P19" s="2"/>
    </row>
    <row r="20" spans="2:16" x14ac:dyDescent="0.25">
      <c r="B20" s="24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2:16" x14ac:dyDescent="0.25">
      <c r="B21" s="24" t="s">
        <v>141</v>
      </c>
      <c r="C21" s="24"/>
      <c r="D21" s="25">
        <f>$C$7*D15/1000</f>
        <v>0</v>
      </c>
      <c r="E21" s="25">
        <f t="shared" ref="E21:O21" si="3">$C$7*E15/1000</f>
        <v>0</v>
      </c>
      <c r="F21" s="25">
        <f t="shared" si="3"/>
        <v>0</v>
      </c>
      <c r="G21" s="25">
        <f t="shared" si="3"/>
        <v>0</v>
      </c>
      <c r="H21" s="25">
        <f t="shared" si="3"/>
        <v>0</v>
      </c>
      <c r="I21" s="25">
        <f t="shared" si="3"/>
        <v>0</v>
      </c>
      <c r="J21" s="25">
        <f t="shared" si="3"/>
        <v>0</v>
      </c>
      <c r="K21" s="25">
        <f t="shared" si="3"/>
        <v>0</v>
      </c>
      <c r="L21" s="25">
        <f t="shared" si="3"/>
        <v>165</v>
      </c>
      <c r="M21" s="25">
        <f>$C$7*M15/1000</f>
        <v>60</v>
      </c>
      <c r="N21" s="25">
        <f t="shared" si="3"/>
        <v>269.55</v>
      </c>
      <c r="O21" s="25">
        <f t="shared" si="3"/>
        <v>225</v>
      </c>
    </row>
    <row r="22" spans="2:16" x14ac:dyDescent="0.25">
      <c r="B22" s="24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2:16" x14ac:dyDescent="0.25">
      <c r="B23" s="24" t="s">
        <v>150</v>
      </c>
      <c r="C23" s="24"/>
      <c r="D23" s="25">
        <f>$C$8*D15/1000</f>
        <v>0</v>
      </c>
      <c r="E23" s="25">
        <f t="shared" ref="E23:O23" si="4">$C$8*E15/1000</f>
        <v>0</v>
      </c>
      <c r="F23" s="25">
        <f t="shared" si="4"/>
        <v>0</v>
      </c>
      <c r="G23" s="25">
        <f t="shared" si="4"/>
        <v>0</v>
      </c>
      <c r="H23" s="25">
        <f t="shared" si="4"/>
        <v>0</v>
      </c>
      <c r="I23" s="25">
        <f t="shared" si="4"/>
        <v>0</v>
      </c>
      <c r="J23" s="25">
        <f t="shared" si="4"/>
        <v>0</v>
      </c>
      <c r="K23" s="25">
        <f t="shared" si="4"/>
        <v>0</v>
      </c>
      <c r="L23" s="25">
        <f t="shared" si="4"/>
        <v>93.5</v>
      </c>
      <c r="M23" s="25">
        <f t="shared" si="4"/>
        <v>34</v>
      </c>
      <c r="N23" s="25">
        <f t="shared" si="4"/>
        <v>152.745</v>
      </c>
      <c r="O23" s="25">
        <f t="shared" si="4"/>
        <v>127.5</v>
      </c>
    </row>
    <row r="24" spans="2:16" x14ac:dyDescent="0.25">
      <c r="B24" s="14"/>
    </row>
    <row r="25" spans="2:16" ht="13.8" thickBot="1" x14ac:dyDescent="0.3">
      <c r="B25" s="7" t="s">
        <v>126</v>
      </c>
      <c r="C25" s="7"/>
      <c r="D25" s="8">
        <f>D19+D21+D23</f>
        <v>0</v>
      </c>
      <c r="E25" s="8">
        <f t="shared" ref="E25:O25" si="5">E19+E21+E23</f>
        <v>0</v>
      </c>
      <c r="F25" s="8">
        <f t="shared" si="5"/>
        <v>0</v>
      </c>
      <c r="G25" s="8">
        <f t="shared" si="5"/>
        <v>0</v>
      </c>
      <c r="H25" s="8">
        <f t="shared" si="5"/>
        <v>56.5</v>
      </c>
      <c r="I25" s="8">
        <f t="shared" si="5"/>
        <v>11.3</v>
      </c>
      <c r="J25" s="8">
        <f t="shared" si="5"/>
        <v>566.13</v>
      </c>
      <c r="K25" s="8">
        <f t="shared" si="5"/>
        <v>2130</v>
      </c>
      <c r="L25" s="8">
        <f t="shared" si="5"/>
        <v>1875.5</v>
      </c>
      <c r="M25" s="8">
        <f t="shared" si="5"/>
        <v>304</v>
      </c>
      <c r="N25" s="8">
        <f t="shared" si="5"/>
        <v>1365.7199999999998</v>
      </c>
      <c r="O25" s="8">
        <f t="shared" si="5"/>
        <v>1140</v>
      </c>
      <c r="P25" s="2">
        <f>SUM(I25:O25)-K13-L18-L17</f>
        <v>4775.6499999999996</v>
      </c>
    </row>
    <row r="26" spans="2:16" ht="10.5" customHeight="1" thickTop="1" x14ac:dyDescent="0.25"/>
    <row r="27" spans="2:16" ht="13.8" hidden="1" thickTop="1" x14ac:dyDescent="0.25">
      <c r="B27" s="155" t="s">
        <v>132</v>
      </c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7"/>
    </row>
    <row r="28" spans="2:16" hidden="1" x14ac:dyDescent="0.25">
      <c r="B28" s="2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30"/>
    </row>
    <row r="29" spans="2:16" hidden="1" x14ac:dyDescent="0.25"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30"/>
    </row>
    <row r="30" spans="2:16" hidden="1" x14ac:dyDescent="0.25"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30"/>
    </row>
    <row r="31" spans="2:16" hidden="1" x14ac:dyDescent="0.25">
      <c r="B31" s="29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30"/>
    </row>
    <row r="32" spans="2:16" hidden="1" x14ac:dyDescent="0.25">
      <c r="B32" s="29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30"/>
    </row>
    <row r="33" spans="2:15" hidden="1" x14ac:dyDescent="0.25">
      <c r="B33" s="29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30"/>
    </row>
    <row r="34" spans="2:15" hidden="1" x14ac:dyDescent="0.25">
      <c r="B34" s="29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30"/>
    </row>
    <row r="35" spans="2:15" hidden="1" x14ac:dyDescent="0.25">
      <c r="B35" s="29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30"/>
    </row>
    <row r="36" spans="2:15" ht="13.8" hidden="1" thickBot="1" x14ac:dyDescent="0.3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3"/>
    </row>
    <row r="38" spans="2:15" x14ac:dyDescent="0.25">
      <c r="B38" t="s">
        <v>174</v>
      </c>
    </row>
    <row r="39" spans="2:15" x14ac:dyDescent="0.25">
      <c r="B39" t="s">
        <v>182</v>
      </c>
      <c r="K39" s="2">
        <f>(H14+I14+J14+K14)*C4</f>
        <v>1763930</v>
      </c>
    </row>
    <row r="40" spans="2:15" x14ac:dyDescent="0.25">
      <c r="B40" t="s">
        <v>192</v>
      </c>
    </row>
    <row r="41" spans="2:15" x14ac:dyDescent="0.25">
      <c r="B41" t="s">
        <v>29</v>
      </c>
      <c r="J41">
        <f>4.364-2.6</f>
        <v>1.7639999999999998</v>
      </c>
    </row>
    <row r="42" spans="2:15" x14ac:dyDescent="0.25">
      <c r="M42">
        <v>1.9</v>
      </c>
      <c r="N42" t="s">
        <v>194</v>
      </c>
    </row>
    <row r="43" spans="2:15" x14ac:dyDescent="0.25">
      <c r="M43">
        <v>2.6</v>
      </c>
      <c r="N43" t="s">
        <v>195</v>
      </c>
    </row>
    <row r="44" spans="2:15" x14ac:dyDescent="0.25">
      <c r="M44">
        <v>1.764</v>
      </c>
      <c r="N44" t="s">
        <v>198</v>
      </c>
    </row>
    <row r="45" spans="2:15" x14ac:dyDescent="0.25">
      <c r="M45">
        <v>0.70199999999999996</v>
      </c>
      <c r="N45" t="s">
        <v>196</v>
      </c>
    </row>
    <row r="46" spans="2:15" x14ac:dyDescent="0.25">
      <c r="M46">
        <v>0.40799999999999997</v>
      </c>
      <c r="N46" t="s">
        <v>197</v>
      </c>
    </row>
    <row r="47" spans="2:15" x14ac:dyDescent="0.25">
      <c r="M47">
        <f>SUM(M42:M46)</f>
        <v>7.3740000000000006</v>
      </c>
    </row>
  </sheetData>
  <customSheetViews>
    <customSheetView guid="{3B773845-BEFA-11D4-97C7-004096149E6C}" scale="85" fitToPage="1" hiddenRows="1" showRuler="0">
      <selection activeCell="L14" sqref="L14"/>
      <pageMargins left="0.75" right="0.75" top="1" bottom="1" header="0.5" footer="0.5"/>
      <pageSetup scale="71" orientation="landscape" r:id="rId1"/>
      <headerFooter alignWithMargins="0"/>
    </customSheetView>
  </customSheetViews>
  <mergeCells count="1">
    <mergeCell ref="B27:O27"/>
  </mergeCells>
  <pageMargins left="0.75" right="0.75" top="1" bottom="1" header="0.5" footer="0.5"/>
  <pageSetup scale="67" orientation="landscape" r:id="rId2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X39"/>
  <sheetViews>
    <sheetView topLeftCell="A2" zoomScale="85" workbookViewId="0">
      <selection activeCell="J31" sqref="J31"/>
    </sheetView>
  </sheetViews>
  <sheetFormatPr defaultRowHeight="13.2" x14ac:dyDescent="0.25"/>
  <cols>
    <col min="1" max="1" width="2.5546875" customWidth="1"/>
    <col min="2" max="2" width="2.6640625" customWidth="1"/>
    <col min="3" max="3" width="29" customWidth="1"/>
    <col min="4" max="4" width="9.44140625" bestFit="1" customWidth="1"/>
    <col min="9" max="9" width="8.5546875" bestFit="1" customWidth="1"/>
  </cols>
  <sheetData>
    <row r="3" spans="3:8" x14ac:dyDescent="0.25">
      <c r="C3" s="11" t="s">
        <v>51</v>
      </c>
    </row>
    <row r="4" spans="3:8" ht="20.399999999999999" x14ac:dyDescent="0.35">
      <c r="C4" s="15" t="s">
        <v>0</v>
      </c>
      <c r="H4" s="27"/>
    </row>
    <row r="5" spans="3:8" x14ac:dyDescent="0.25">
      <c r="C5" t="s">
        <v>111</v>
      </c>
      <c r="D5" s="57">
        <f>350000/1000</f>
        <v>350</v>
      </c>
      <c r="E5" t="s">
        <v>119</v>
      </c>
    </row>
    <row r="6" spans="3:8" x14ac:dyDescent="0.25">
      <c r="C6" t="s">
        <v>112</v>
      </c>
      <c r="D6" s="57">
        <v>35</v>
      </c>
      <c r="E6" t="s">
        <v>113</v>
      </c>
    </row>
    <row r="7" spans="3:8" x14ac:dyDescent="0.25">
      <c r="C7" t="s">
        <v>114</v>
      </c>
      <c r="D7" s="94">
        <v>6.0000000000000001E-3</v>
      </c>
      <c r="E7" t="s">
        <v>146</v>
      </c>
    </row>
    <row r="8" spans="3:8" x14ac:dyDescent="0.25">
      <c r="C8" t="s">
        <v>115</v>
      </c>
      <c r="D8" s="60">
        <v>0.02</v>
      </c>
      <c r="E8" t="s">
        <v>116</v>
      </c>
    </row>
    <row r="10" spans="3:8" ht="18" customHeight="1" x14ac:dyDescent="0.25">
      <c r="C10" s="15" t="s">
        <v>143</v>
      </c>
    </row>
    <row r="11" spans="3:8" x14ac:dyDescent="0.25">
      <c r="C11" t="s">
        <v>144</v>
      </c>
      <c r="D11" s="57">
        <v>100</v>
      </c>
    </row>
    <row r="12" spans="3:8" x14ac:dyDescent="0.25">
      <c r="C12" t="s">
        <v>145</v>
      </c>
      <c r="D12" s="94">
        <v>0.01</v>
      </c>
      <c r="E12" t="s">
        <v>146</v>
      </c>
    </row>
    <row r="14" spans="3:8" x14ac:dyDescent="0.25">
      <c r="C14" t="s">
        <v>149</v>
      </c>
      <c r="D14" s="59">
        <v>4.99</v>
      </c>
    </row>
    <row r="18" spans="3:24" x14ac:dyDescent="0.25">
      <c r="D18" s="3">
        <v>36617</v>
      </c>
      <c r="E18" s="3">
        <v>36647</v>
      </c>
      <c r="F18" s="3">
        <v>36678</v>
      </c>
      <c r="G18" s="3">
        <v>36708</v>
      </c>
      <c r="H18" s="3">
        <v>36739</v>
      </c>
      <c r="I18" s="3">
        <v>36770</v>
      </c>
      <c r="J18" s="3">
        <v>36800</v>
      </c>
      <c r="K18" s="3">
        <v>36831</v>
      </c>
      <c r="L18" s="3">
        <v>36861</v>
      </c>
      <c r="M18" s="3">
        <v>36892</v>
      </c>
      <c r="N18" s="3">
        <v>36923</v>
      </c>
      <c r="O18" s="3">
        <v>36951</v>
      </c>
    </row>
    <row r="20" spans="3:24" x14ac:dyDescent="0.25">
      <c r="C20" t="s">
        <v>117</v>
      </c>
      <c r="D20">
        <f>Revenue!D11</f>
        <v>0</v>
      </c>
      <c r="E20">
        <f>Revenue!E11</f>
        <v>0</v>
      </c>
      <c r="F20">
        <f>Revenue!F11</f>
        <v>0</v>
      </c>
      <c r="G20">
        <f>Revenue!G11</f>
        <v>0</v>
      </c>
      <c r="H20">
        <f>Revenue!H11</f>
        <v>0</v>
      </c>
      <c r="I20">
        <f>Revenue!I11</f>
        <v>0</v>
      </c>
      <c r="J20">
        <f>Revenue!J11</f>
        <v>0</v>
      </c>
      <c r="K20">
        <f>Revenue!K11</f>
        <v>0</v>
      </c>
      <c r="L20">
        <f>Revenue!L11</f>
        <v>1100</v>
      </c>
      <c r="M20">
        <f>Revenue!M11</f>
        <v>1500</v>
      </c>
      <c r="N20">
        <f>Revenue!N11</f>
        <v>3297</v>
      </c>
      <c r="O20">
        <f>Revenue!O11</f>
        <v>4797</v>
      </c>
    </row>
    <row r="21" spans="3:24" x14ac:dyDescent="0.25">
      <c r="C21" t="s">
        <v>54</v>
      </c>
      <c r="D21" s="18">
        <f>Revenue!D13</f>
        <v>4</v>
      </c>
      <c r="E21" s="18">
        <f>Revenue!E13</f>
        <v>4</v>
      </c>
      <c r="F21" s="18">
        <f>Revenue!F13</f>
        <v>4</v>
      </c>
      <c r="G21" s="18">
        <f>Revenue!G13</f>
        <v>4</v>
      </c>
      <c r="H21" s="18">
        <f>Revenue!H13</f>
        <v>4</v>
      </c>
      <c r="I21" s="18">
        <f>Revenue!I13</f>
        <v>4</v>
      </c>
      <c r="J21" s="18">
        <f>Revenue!J13</f>
        <v>4</v>
      </c>
      <c r="K21" s="18">
        <f>Revenue!K13</f>
        <v>4</v>
      </c>
      <c r="L21" s="18">
        <f>Revenue!L13</f>
        <v>4</v>
      </c>
      <c r="M21" s="18">
        <f>Revenue!M13</f>
        <v>4</v>
      </c>
      <c r="N21" s="18">
        <f>Revenue!N13</f>
        <v>4</v>
      </c>
      <c r="O21" s="18">
        <f>Revenue!O13</f>
        <v>4</v>
      </c>
    </row>
    <row r="22" spans="3:24" x14ac:dyDescent="0.25">
      <c r="C22" t="s">
        <v>118</v>
      </c>
      <c r="D22">
        <f>D21*12</f>
        <v>48</v>
      </c>
      <c r="E22" s="10">
        <f t="shared" ref="E22:O22" si="0">E21*12</f>
        <v>48</v>
      </c>
      <c r="F22" s="10">
        <f t="shared" si="0"/>
        <v>48</v>
      </c>
      <c r="G22" s="10">
        <f t="shared" si="0"/>
        <v>48</v>
      </c>
      <c r="H22" s="10">
        <f t="shared" si="0"/>
        <v>48</v>
      </c>
      <c r="I22">
        <f t="shared" si="0"/>
        <v>48</v>
      </c>
      <c r="J22">
        <f t="shared" si="0"/>
        <v>48</v>
      </c>
      <c r="K22">
        <f t="shared" si="0"/>
        <v>48</v>
      </c>
      <c r="L22">
        <f t="shared" si="0"/>
        <v>48</v>
      </c>
      <c r="M22">
        <f t="shared" si="0"/>
        <v>48</v>
      </c>
      <c r="N22">
        <f t="shared" si="0"/>
        <v>48</v>
      </c>
      <c r="O22">
        <f t="shared" si="0"/>
        <v>48</v>
      </c>
      <c r="P22" s="20"/>
      <c r="Q22" s="20"/>
      <c r="R22" s="20"/>
      <c r="S22" s="20"/>
      <c r="T22" s="20"/>
      <c r="U22" s="20"/>
      <c r="V22" s="20"/>
      <c r="W22" s="20"/>
      <c r="X22" s="20"/>
    </row>
    <row r="23" spans="3:24" x14ac:dyDescent="0.25">
      <c r="C23" t="s">
        <v>55</v>
      </c>
      <c r="D23" s="12">
        <f>D14</f>
        <v>4.99</v>
      </c>
      <c r="E23" s="12">
        <f>D23</f>
        <v>4.99</v>
      </c>
      <c r="F23" s="12">
        <f t="shared" ref="F23:O23" si="1">E23</f>
        <v>4.99</v>
      </c>
      <c r="G23" s="12">
        <f t="shared" si="1"/>
        <v>4.99</v>
      </c>
      <c r="H23" s="12">
        <f t="shared" si="1"/>
        <v>4.99</v>
      </c>
      <c r="I23" s="12">
        <f t="shared" si="1"/>
        <v>4.99</v>
      </c>
      <c r="J23" s="12">
        <f t="shared" si="1"/>
        <v>4.99</v>
      </c>
      <c r="K23" s="12">
        <f t="shared" si="1"/>
        <v>4.99</v>
      </c>
      <c r="L23" s="12">
        <f t="shared" si="1"/>
        <v>4.99</v>
      </c>
      <c r="M23" s="12">
        <f t="shared" si="1"/>
        <v>4.99</v>
      </c>
      <c r="N23" s="12">
        <f t="shared" si="1"/>
        <v>4.99</v>
      </c>
      <c r="O23" s="12">
        <f t="shared" si="1"/>
        <v>4.99</v>
      </c>
    </row>
    <row r="24" spans="3:24" x14ac:dyDescent="0.25">
      <c r="C24" t="s">
        <v>56</v>
      </c>
      <c r="D24" s="2">
        <f>D23*D22*D20/1000</f>
        <v>0</v>
      </c>
      <c r="E24" s="2">
        <f t="shared" ref="E24:O24" si="2">E23*E22*E20/1000</f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  <c r="J24" s="2">
        <f t="shared" si="2"/>
        <v>0</v>
      </c>
      <c r="K24" s="2">
        <f t="shared" si="2"/>
        <v>0</v>
      </c>
      <c r="L24" s="2">
        <f t="shared" si="2"/>
        <v>263.47199999999998</v>
      </c>
      <c r="M24" s="2">
        <f t="shared" si="2"/>
        <v>359.28</v>
      </c>
      <c r="N24" s="2">
        <f t="shared" si="2"/>
        <v>789.69744000000003</v>
      </c>
      <c r="O24" s="2">
        <f t="shared" si="2"/>
        <v>1148.9774399999999</v>
      </c>
    </row>
    <row r="26" spans="3:24" x14ac:dyDescent="0.25">
      <c r="C26" t="s">
        <v>120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2">
        <v>0</v>
      </c>
      <c r="J26" s="2">
        <v>0</v>
      </c>
      <c r="K26" s="2">
        <f>D5</f>
        <v>350</v>
      </c>
      <c r="L26" s="2">
        <v>0</v>
      </c>
      <c r="M26" s="2">
        <v>0</v>
      </c>
      <c r="N26" s="2">
        <v>0</v>
      </c>
      <c r="O26" s="2">
        <v>0</v>
      </c>
    </row>
    <row r="27" spans="3:24" x14ac:dyDescent="0.25">
      <c r="C27" t="s">
        <v>112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2">
        <f>$D$6</f>
        <v>35</v>
      </c>
      <c r="J27" s="2">
        <v>0</v>
      </c>
      <c r="K27" s="2">
        <v>0</v>
      </c>
      <c r="L27" s="2">
        <f>$D$6</f>
        <v>35</v>
      </c>
      <c r="M27" s="2">
        <v>0</v>
      </c>
      <c r="N27" s="2">
        <v>0</v>
      </c>
      <c r="O27" s="2">
        <f>$D$6</f>
        <v>35</v>
      </c>
    </row>
    <row r="28" spans="3:24" x14ac:dyDescent="0.25">
      <c r="C28" t="s">
        <v>121</v>
      </c>
      <c r="D28" s="2">
        <f>$D$7*D24</f>
        <v>0</v>
      </c>
      <c r="E28" s="2">
        <f t="shared" ref="E28:O28" si="3">$D$7*E24</f>
        <v>0</v>
      </c>
      <c r="F28" s="2">
        <f t="shared" si="3"/>
        <v>0</v>
      </c>
      <c r="G28" s="2">
        <f t="shared" si="3"/>
        <v>0</v>
      </c>
      <c r="H28" s="2">
        <f t="shared" si="3"/>
        <v>0</v>
      </c>
      <c r="I28" s="2">
        <v>0</v>
      </c>
      <c r="J28" s="2">
        <f t="shared" si="3"/>
        <v>0</v>
      </c>
      <c r="K28" s="2">
        <f t="shared" si="3"/>
        <v>0</v>
      </c>
      <c r="L28" s="2">
        <f t="shared" si="3"/>
        <v>1.580832</v>
      </c>
      <c r="M28" s="2">
        <f t="shared" si="3"/>
        <v>2.1556799999999998</v>
      </c>
      <c r="N28" s="2">
        <f t="shared" si="3"/>
        <v>4.7381846400000001</v>
      </c>
      <c r="O28" s="2">
        <f t="shared" si="3"/>
        <v>6.8938646399999994</v>
      </c>
    </row>
    <row r="29" spans="3:24" x14ac:dyDescent="0.25">
      <c r="C29" s="1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3:24" x14ac:dyDescent="0.25">
      <c r="C30" s="1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3:24" x14ac:dyDescent="0.25">
      <c r="C31" t="s">
        <v>147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2">
        <v>100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</row>
    <row r="32" spans="3:24" x14ac:dyDescent="0.25">
      <c r="C32" t="s">
        <v>148</v>
      </c>
      <c r="D32" s="2">
        <f>$D$12*D24</f>
        <v>0</v>
      </c>
      <c r="E32" s="2">
        <f t="shared" ref="E32:O32" si="4">$D$12*E24</f>
        <v>0</v>
      </c>
      <c r="F32" s="2">
        <f t="shared" si="4"/>
        <v>0</v>
      </c>
      <c r="G32" s="2">
        <f t="shared" si="4"/>
        <v>0</v>
      </c>
      <c r="H32" s="2">
        <f t="shared" si="4"/>
        <v>0</v>
      </c>
      <c r="I32" s="2">
        <f t="shared" si="4"/>
        <v>0</v>
      </c>
      <c r="J32" s="2">
        <f t="shared" si="4"/>
        <v>0</v>
      </c>
      <c r="K32" s="2">
        <f t="shared" si="4"/>
        <v>0</v>
      </c>
      <c r="L32" s="2">
        <f t="shared" si="4"/>
        <v>2.6347199999999997</v>
      </c>
      <c r="M32" s="2">
        <f t="shared" si="4"/>
        <v>3.5928</v>
      </c>
      <c r="N32" s="2">
        <f t="shared" si="4"/>
        <v>7.8969744000000004</v>
      </c>
      <c r="O32" s="2">
        <f t="shared" si="4"/>
        <v>11.4897744</v>
      </c>
    </row>
    <row r="33" spans="3:16" x14ac:dyDescent="0.25">
      <c r="C33" s="1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5" spans="3:16" ht="13.8" thickBot="1" x14ac:dyDescent="0.3">
      <c r="C35" s="7" t="s">
        <v>122</v>
      </c>
      <c r="D35" s="8">
        <f>SUM(D26:D28)+SUM(D31:D32)</f>
        <v>0</v>
      </c>
      <c r="E35" s="8">
        <f t="shared" ref="E35:O35" si="5">SUM(E26:E28)+SUM(E31:E32)</f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35</v>
      </c>
      <c r="J35" s="8">
        <f t="shared" si="5"/>
        <v>100</v>
      </c>
      <c r="K35" s="8">
        <f t="shared" si="5"/>
        <v>350</v>
      </c>
      <c r="L35" s="8">
        <f t="shared" si="5"/>
        <v>39.215552000000002</v>
      </c>
      <c r="M35" s="8">
        <f t="shared" si="5"/>
        <v>5.7484799999999998</v>
      </c>
      <c r="N35" s="8">
        <f t="shared" si="5"/>
        <v>12.635159040000001</v>
      </c>
      <c r="O35" s="8">
        <f t="shared" si="5"/>
        <v>53.383639039999998</v>
      </c>
      <c r="P35" s="2"/>
    </row>
    <row r="36" spans="3:16" ht="13.8" thickTop="1" x14ac:dyDescent="0.25"/>
    <row r="38" spans="3:16" x14ac:dyDescent="0.25">
      <c r="C38" t="s">
        <v>27</v>
      </c>
    </row>
    <row r="39" spans="3:16" x14ac:dyDescent="0.25">
      <c r="C39" t="s">
        <v>28</v>
      </c>
    </row>
  </sheetData>
  <customSheetViews>
    <customSheetView guid="{3B773845-BEFA-11D4-97C7-004096149E6C}" scale="85" showRuler="0" topLeftCell="A2">
      <selection activeCell="I9" sqref="I9"/>
      <pageMargins left="0.75" right="0.75" top="1" bottom="1" header="0.5" footer="0.5"/>
      <pageSetup scale="75" orientation="landscape" r:id="rId1"/>
      <headerFooter alignWithMargins="0"/>
    </customSheetView>
  </customSheetViews>
  <pageMargins left="0.75" right="0.75" top="1" bottom="1" header="0.5" footer="0.5"/>
  <pageSetup scale="75" orientation="landscape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zoomScale="85" workbookViewId="0">
      <selection activeCell="L15" sqref="L15"/>
    </sheetView>
  </sheetViews>
  <sheetFormatPr defaultRowHeight="13.2" x14ac:dyDescent="0.25"/>
  <cols>
    <col min="1" max="1" width="3.109375" customWidth="1"/>
    <col min="2" max="2" width="40.6640625" customWidth="1"/>
    <col min="3" max="14" width="9.5546875" customWidth="1"/>
  </cols>
  <sheetData>
    <row r="2" spans="2:14" x14ac:dyDescent="0.25">
      <c r="B2" s="11" t="s">
        <v>51</v>
      </c>
    </row>
    <row r="4" spans="2:14" x14ac:dyDescent="0.25">
      <c r="B4" t="s">
        <v>69</v>
      </c>
      <c r="C4" s="21">
        <v>500</v>
      </c>
    </row>
    <row r="5" spans="2:14" x14ac:dyDescent="0.25">
      <c r="B5" t="s">
        <v>68</v>
      </c>
      <c r="C5" s="21">
        <v>50</v>
      </c>
    </row>
    <row r="6" spans="2:14" x14ac:dyDescent="0.25">
      <c r="B6" t="s">
        <v>52</v>
      </c>
      <c r="C6" s="57">
        <v>15</v>
      </c>
    </row>
    <row r="7" spans="2:14" x14ac:dyDescent="0.25">
      <c r="B7" t="s">
        <v>53</v>
      </c>
      <c r="C7" s="21">
        <f>2*60</f>
        <v>120</v>
      </c>
    </row>
    <row r="8" spans="2:14" x14ac:dyDescent="0.25">
      <c r="B8" t="s">
        <v>109</v>
      </c>
      <c r="C8" s="21">
        <v>1.855</v>
      </c>
    </row>
    <row r="9" spans="2:14" x14ac:dyDescent="0.25">
      <c r="B9" s="1" t="s">
        <v>128</v>
      </c>
      <c r="C9" s="60">
        <v>1</v>
      </c>
    </row>
    <row r="10" spans="2:14" x14ac:dyDescent="0.25">
      <c r="B10" t="s">
        <v>127</v>
      </c>
      <c r="C10" s="9">
        <v>0.2</v>
      </c>
      <c r="D10" t="s">
        <v>134</v>
      </c>
    </row>
    <row r="11" spans="2:14" x14ac:dyDescent="0.25">
      <c r="C11" s="9"/>
    </row>
    <row r="13" spans="2:14" x14ac:dyDescent="0.25">
      <c r="C13" s="3">
        <v>36617</v>
      </c>
      <c r="D13" s="3">
        <v>36647</v>
      </c>
      <c r="E13" s="3">
        <v>36678</v>
      </c>
      <c r="F13" s="3">
        <v>36708</v>
      </c>
      <c r="G13" s="3">
        <v>36739</v>
      </c>
      <c r="H13" s="3">
        <v>36770</v>
      </c>
      <c r="I13" s="3">
        <v>36800</v>
      </c>
      <c r="J13" s="3">
        <v>36831</v>
      </c>
      <c r="K13" s="3">
        <v>36861</v>
      </c>
      <c r="L13" s="3">
        <v>36892</v>
      </c>
      <c r="M13" s="3">
        <v>36923</v>
      </c>
      <c r="N13" s="3">
        <v>36951</v>
      </c>
    </row>
    <row r="15" spans="2:14" x14ac:dyDescent="0.25">
      <c r="B15" t="s">
        <v>100</v>
      </c>
      <c r="C15" s="2">
        <f>nCube!D33</f>
        <v>0</v>
      </c>
      <c r="D15" s="2">
        <f>nCube!E33</f>
        <v>0</v>
      </c>
      <c r="E15" s="2">
        <f>nCube!F33</f>
        <v>0</v>
      </c>
      <c r="F15" s="2">
        <f>nCube!G33</f>
        <v>0</v>
      </c>
      <c r="G15" s="2">
        <f>nCube!H33</f>
        <v>197.4977358490566</v>
      </c>
      <c r="H15" s="2">
        <f>nCube!I33</f>
        <v>1447.482641509434</v>
      </c>
      <c r="I15" s="2">
        <f>nCube!J33</f>
        <v>0</v>
      </c>
      <c r="J15" s="2">
        <f>nCube!K33</f>
        <v>0</v>
      </c>
      <c r="K15" s="2">
        <f>nCube!L33</f>
        <v>0</v>
      </c>
      <c r="L15" s="2">
        <f>nCube!M33</f>
        <v>133.49849056603773</v>
      </c>
      <c r="M15" s="2">
        <f>nCube!N33</f>
        <v>133.49849056603773</v>
      </c>
      <c r="N15" s="2">
        <f>nCube!O33</f>
        <v>133.49849056603773</v>
      </c>
    </row>
    <row r="17" spans="2:14" x14ac:dyDescent="0.25">
      <c r="B17" t="s">
        <v>130</v>
      </c>
      <c r="C17">
        <f>Revenue!D11</f>
        <v>0</v>
      </c>
      <c r="D17">
        <f>Revenue!E11</f>
        <v>0</v>
      </c>
      <c r="E17">
        <f>Revenue!F11</f>
        <v>0</v>
      </c>
      <c r="F17">
        <f>Revenue!G11</f>
        <v>0</v>
      </c>
      <c r="G17">
        <f>Revenue!H11</f>
        <v>0</v>
      </c>
      <c r="H17">
        <f>Revenue!I11</f>
        <v>0</v>
      </c>
      <c r="I17">
        <f>Revenue!J11</f>
        <v>0</v>
      </c>
      <c r="J17">
        <f>Revenue!K11</f>
        <v>0</v>
      </c>
      <c r="K17">
        <f>Revenue!L11</f>
        <v>1100</v>
      </c>
      <c r="L17">
        <f>Revenue!M11</f>
        <v>1500</v>
      </c>
      <c r="M17">
        <f>Revenue!N11</f>
        <v>3297</v>
      </c>
      <c r="N17">
        <f>Revenue!O11</f>
        <v>4797</v>
      </c>
    </row>
    <row r="18" spans="2:14" x14ac:dyDescent="0.25">
      <c r="B18" s="1" t="s">
        <v>128</v>
      </c>
      <c r="C18" s="9">
        <f>$C$9</f>
        <v>1</v>
      </c>
      <c r="D18" s="9">
        <f t="shared" ref="D18:N18" si="0">$C$9</f>
        <v>1</v>
      </c>
      <c r="E18" s="9">
        <f t="shared" si="0"/>
        <v>1</v>
      </c>
      <c r="F18" s="9">
        <f t="shared" si="0"/>
        <v>1</v>
      </c>
      <c r="G18" s="9">
        <f t="shared" si="0"/>
        <v>1</v>
      </c>
      <c r="H18" s="9">
        <f t="shared" si="0"/>
        <v>1</v>
      </c>
      <c r="I18" s="9">
        <f t="shared" si="0"/>
        <v>1</v>
      </c>
      <c r="J18" s="9">
        <f t="shared" si="0"/>
        <v>1</v>
      </c>
      <c r="K18" s="9">
        <f t="shared" si="0"/>
        <v>1</v>
      </c>
      <c r="L18" s="9">
        <f t="shared" si="0"/>
        <v>1</v>
      </c>
      <c r="M18" s="9">
        <f t="shared" si="0"/>
        <v>1</v>
      </c>
      <c r="N18" s="9">
        <f t="shared" si="0"/>
        <v>1</v>
      </c>
    </row>
    <row r="19" spans="2:14" x14ac:dyDescent="0.25">
      <c r="B19" t="s">
        <v>133</v>
      </c>
      <c r="C19">
        <f>C17/C18</f>
        <v>0</v>
      </c>
      <c r="D19">
        <f t="shared" ref="D19:N19" si="1">D17/D18</f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1100</v>
      </c>
      <c r="L19">
        <f t="shared" si="1"/>
        <v>1500</v>
      </c>
      <c r="M19">
        <f t="shared" si="1"/>
        <v>3297</v>
      </c>
      <c r="N19">
        <f t="shared" si="1"/>
        <v>4797</v>
      </c>
    </row>
    <row r="20" spans="2:14" x14ac:dyDescent="0.25">
      <c r="B20" t="s">
        <v>129</v>
      </c>
      <c r="C20" s="10">
        <f>nCube!D28*nCube!$D$6</f>
        <v>0</v>
      </c>
      <c r="D20" s="10">
        <f>nCube!E28*nCube!$D$6</f>
        <v>0</v>
      </c>
      <c r="E20" s="10">
        <f>nCube!F28*nCube!$D$6</f>
        <v>0</v>
      </c>
      <c r="F20" s="10">
        <f>nCube!G28*nCube!$D$6</f>
        <v>0</v>
      </c>
      <c r="G20" s="10">
        <f>nCube!H28*nCube!$D$6</f>
        <v>646.90026954177893</v>
      </c>
      <c r="H20" s="10">
        <f>nCube!I28*nCube!$D$6</f>
        <v>4959.5687331536383</v>
      </c>
      <c r="I20" s="10">
        <f>nCube!J28*nCube!$D$6</f>
        <v>0</v>
      </c>
      <c r="J20" s="10">
        <f>nCube!K28*nCube!$D$6</f>
        <v>0</v>
      </c>
      <c r="K20" s="10">
        <f>nCube!L28*nCube!$D$6</f>
        <v>0</v>
      </c>
      <c r="L20" s="10">
        <f>nCube!M28*nCube!$D$6</f>
        <v>431.26684636118597</v>
      </c>
      <c r="M20" s="10">
        <f>nCube!N28*nCube!$D$6</f>
        <v>431.26684636118597</v>
      </c>
      <c r="N20" s="10">
        <f>nCube!O28*nCube!$D$6</f>
        <v>431.26684636118597</v>
      </c>
    </row>
    <row r="22" spans="2:14" x14ac:dyDescent="0.25">
      <c r="B22" t="s">
        <v>127</v>
      </c>
      <c r="C22" s="2">
        <f>C15*$C$10</f>
        <v>0</v>
      </c>
      <c r="D22" s="2">
        <f t="shared" ref="D22:N22" si="2">D15*$C$10</f>
        <v>0</v>
      </c>
      <c r="E22" s="2">
        <f t="shared" si="2"/>
        <v>0</v>
      </c>
      <c r="F22" s="2">
        <f t="shared" si="2"/>
        <v>0</v>
      </c>
      <c r="G22" s="2">
        <f t="shared" si="2"/>
        <v>39.499547169811322</v>
      </c>
      <c r="H22" s="2">
        <f t="shared" si="2"/>
        <v>289.49652830188683</v>
      </c>
      <c r="I22" s="2">
        <f t="shared" si="2"/>
        <v>0</v>
      </c>
      <c r="J22" s="2">
        <f t="shared" si="2"/>
        <v>0</v>
      </c>
      <c r="K22" s="2">
        <f t="shared" si="2"/>
        <v>0</v>
      </c>
      <c r="L22" s="2">
        <f t="shared" si="2"/>
        <v>26.699698113207546</v>
      </c>
      <c r="M22" s="2">
        <f t="shared" si="2"/>
        <v>26.699698113207546</v>
      </c>
      <c r="N22" s="2">
        <f t="shared" si="2"/>
        <v>26.699698113207546</v>
      </c>
    </row>
    <row r="23" spans="2:14" x14ac:dyDescent="0.25">
      <c r="H23" s="10"/>
      <c r="I23" s="10"/>
      <c r="J23" s="10"/>
    </row>
    <row r="24" spans="2:14" ht="13.8" thickBot="1" x14ac:dyDescent="0.3">
      <c r="B24" s="7" t="s">
        <v>30</v>
      </c>
      <c r="C24" s="8">
        <f>C15+C22</f>
        <v>0</v>
      </c>
      <c r="D24" s="8">
        <f t="shared" ref="D24:N24" si="3">D15+D22</f>
        <v>0</v>
      </c>
      <c r="E24" s="8">
        <f t="shared" si="3"/>
        <v>0</v>
      </c>
      <c r="F24" s="8">
        <f t="shared" si="3"/>
        <v>0</v>
      </c>
      <c r="G24" s="8">
        <f t="shared" si="3"/>
        <v>236.9972830188679</v>
      </c>
      <c r="H24" s="8">
        <f t="shared" si="3"/>
        <v>1736.9791698113208</v>
      </c>
      <c r="I24" s="8">
        <f t="shared" si="3"/>
        <v>0</v>
      </c>
      <c r="J24" s="8">
        <f t="shared" si="3"/>
        <v>0</v>
      </c>
      <c r="K24" s="8">
        <f t="shared" si="3"/>
        <v>0</v>
      </c>
      <c r="L24" s="8">
        <f t="shared" si="3"/>
        <v>160.19818867924528</v>
      </c>
      <c r="M24" s="8">
        <f t="shared" si="3"/>
        <v>160.19818867924528</v>
      </c>
      <c r="N24" s="8">
        <f t="shared" si="3"/>
        <v>160.19818867924528</v>
      </c>
    </row>
    <row r="25" spans="2:14" ht="13.8" thickTop="1" x14ac:dyDescent="0.25">
      <c r="G25" s="2"/>
      <c r="K25" s="2"/>
    </row>
    <row r="26" spans="2:14" x14ac:dyDescent="0.25">
      <c r="G26" s="2"/>
    </row>
    <row r="27" spans="2:14" x14ac:dyDescent="0.25">
      <c r="H27" s="2">
        <f>+G22+H22+L22+M22+N22</f>
        <v>409.09516981132077</v>
      </c>
      <c r="M27" s="2">
        <f>+L24+M24+N24</f>
        <v>480.59456603773583</v>
      </c>
    </row>
    <row r="28" spans="2:14" x14ac:dyDescent="0.25">
      <c r="H28" s="2">
        <f>+M29-H27</f>
        <v>2045.9048301886792</v>
      </c>
      <c r="M28">
        <v>2045</v>
      </c>
    </row>
    <row r="29" spans="2:14" x14ac:dyDescent="0.25">
      <c r="M29">
        <v>2455</v>
      </c>
    </row>
    <row r="30" spans="2:14" x14ac:dyDescent="0.25">
      <c r="M30" s="2">
        <f>+M29-M27</f>
        <v>1974.4054339622642</v>
      </c>
    </row>
  </sheetData>
  <customSheetViews>
    <customSheetView guid="{3B773845-BEFA-11D4-97C7-004096149E6C}" scale="85" showRuler="0">
      <selection activeCell="C8" sqref="C8"/>
      <pageMargins left="0.75" right="0.75" top="1" bottom="1" header="0.5" footer="0.5"/>
      <pageSetup scale="75" orientation="landscape" r:id="rId1"/>
      <headerFooter alignWithMargins="0"/>
    </customSheetView>
  </customSheetViews>
  <pageMargins left="0.75" right="0.75" top="1" bottom="1" header="0.5" footer="0.5"/>
  <pageSetup scale="75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Revenue</vt:lpstr>
      <vt:lpstr>nCube</vt:lpstr>
      <vt:lpstr>STB Forecast</vt:lpstr>
      <vt:lpstr>STB</vt:lpstr>
      <vt:lpstr>DRM</vt:lpstr>
      <vt:lpstr>Streaming Server</vt:lpstr>
      <vt:lpstr>Summary!Print_Area</vt:lpstr>
    </vt:vector>
  </TitlesOfParts>
  <Company>Enron Broadband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Phase I Cost Model</dc:title>
  <dc:creator>Kevin X Zheng</dc:creator>
  <cp:lastModifiedBy>Havlíček Jan</cp:lastModifiedBy>
  <cp:lastPrinted>2000-11-09T16:25:43Z</cp:lastPrinted>
  <dcterms:created xsi:type="dcterms:W3CDTF">2000-08-17T13:48:25Z</dcterms:created>
  <dcterms:modified xsi:type="dcterms:W3CDTF">2023-09-10T11:43:58Z</dcterms:modified>
</cp:coreProperties>
</file>