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 activeTab="2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<sst xmlns="http://schemas.openxmlformats.org/spreadsheetml/2006/main" count="1571" uniqueCount="579">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</sst>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79" t="s">
        <v>128</v>
      </c>
      <c r="C2" s="279"/>
      <c r="D2" s="279"/>
      <c r="E2" s="27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36888</v>
      </c>
      <c r="D5" s="67" t="s">
        <v>20</v>
      </c>
      <c r="E5" s="68">
        <f>+C5-1</f>
        <v>36887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-297293752.47353792</v>
      </c>
      <c r="D12" s="71">
        <f>+'Daily Position'!S59</f>
        <v>-267573.34567883867</v>
      </c>
      <c r="E12" s="71">
        <f>+C12-D12</f>
        <v>-297026179.12785906</v>
      </c>
      <c r="F12" s="63"/>
    </row>
    <row r="13" spans="1:6" x14ac:dyDescent="0.3">
      <c r="A13" s="62"/>
      <c r="B13" s="64" t="s">
        <v>10</v>
      </c>
      <c r="C13" s="56">
        <f>+C15-C12</f>
        <v>5882130.0943211317</v>
      </c>
      <c r="D13" s="56">
        <f>+D15-D12</f>
        <v>0</v>
      </c>
      <c r="E13" s="56">
        <f>+E15-E12</f>
        <v>5882130.0943211317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-291411622.37921679</v>
      </c>
      <c r="D15" s="57">
        <f>+'Daily Position'!Q59</f>
        <v>-267573.34567883867</v>
      </c>
      <c r="E15" s="57">
        <f>+C15-D15</f>
        <v>-291144049.03353792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21379156.280000001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O1" sqref="O1"/>
    </sheetView>
  </sheetViews>
  <sheetFormatPr defaultRowHeight="15.6" x14ac:dyDescent="0.3"/>
  <cols>
    <col min="1" max="1" width="23.09765625" customWidth="1"/>
    <col min="2" max="2" width="7.8984375" style="272" customWidth="1"/>
    <col min="3" max="3" width="10.8984375" style="272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4" customWidth="1"/>
    <col min="16" max="16" width="14.09765625" customWidth="1"/>
    <col min="17" max="17" width="11.59765625" customWidth="1"/>
    <col min="18" max="18" width="14.5" customWidth="1"/>
    <col min="19" max="19" width="12.59765625" style="4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6" width="9.8984375" bestFit="1" customWidth="1"/>
  </cols>
  <sheetData>
    <row r="1" spans="1:26" s="79" customFormat="1" x14ac:dyDescent="0.3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5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3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3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2.8572894218396732</v>
      </c>
      <c r="O4" s="264">
        <f>+Summary!$C$5</f>
        <v>36888</v>
      </c>
      <c r="P4" s="4">
        <f t="shared" ref="P4:P9" si="1">IF(O4&lt;B4,0,ROUND((+N4*H4),2)-I4-Q4)</f>
        <v>130931.23000000001</v>
      </c>
      <c r="Q4" s="4">
        <v>0</v>
      </c>
      <c r="R4" s="5">
        <f t="shared" ref="R4:R13" si="2">+P4+Q4</f>
        <v>130931.23000000001</v>
      </c>
      <c r="S4" s="4">
        <v>0</v>
      </c>
      <c r="T4" s="4">
        <f>IF(Summary!$E$5&lt;'Daily Position'!B4,0,ROUND(+U4*H4,2)-I4)</f>
        <v>44820.429999999993</v>
      </c>
      <c r="U4" s="2">
        <f>+VLOOKUP(+Summary!$E$5,wtten,2)</f>
        <v>1.7533046970361272</v>
      </c>
      <c r="V4" s="2"/>
      <c r="W4" s="144">
        <f>+N4*H4-'MRP Raptor'!U65</f>
        <v>0</v>
      </c>
    </row>
    <row r="5" spans="1:26" x14ac:dyDescent="0.3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24.5</v>
      </c>
      <c r="O5" s="264">
        <f>+Summary!$C$5</f>
        <v>36888</v>
      </c>
      <c r="P5" s="4">
        <f t="shared" si="1"/>
        <v>-36376915.75</v>
      </c>
      <c r="Q5" s="4">
        <v>0</v>
      </c>
      <c r="R5" s="5">
        <f t="shared" si="2"/>
        <v>-36376915.75</v>
      </c>
      <c r="S5" s="4">
        <v>0</v>
      </c>
      <c r="T5" s="4">
        <f>IF(Summary!$E$5&lt;'Daily Position'!B5,0,ROUND(+U5*H5,2)-I5)</f>
        <v>-41003804.120000005</v>
      </c>
      <c r="U5" s="2">
        <f>+VLOOKUP(+Summary!$E$5,acpw,2)</f>
        <v>20.875</v>
      </c>
      <c r="V5" s="2"/>
      <c r="W5" s="144">
        <f>+N5*H5-'MRP Raptor'!U34</f>
        <v>0</v>
      </c>
      <c r="X5" s="217"/>
    </row>
    <row r="6" spans="1:26" x14ac:dyDescent="0.3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27.5</v>
      </c>
      <c r="O6" s="264">
        <f>+Summary!$C$5</f>
        <v>36888</v>
      </c>
      <c r="P6" s="4">
        <f t="shared" si="1"/>
        <v>-147612510</v>
      </c>
      <c r="Q6" s="4">
        <v>0</v>
      </c>
      <c r="R6" s="5">
        <f>+P6+Q6</f>
        <v>-147612510</v>
      </c>
      <c r="S6" s="4">
        <v>0</v>
      </c>
      <c r="T6" s="4">
        <f>IF(Summary!$E$5&lt;'Daily Position'!B6,0,ROUND(+U6*H6,2)-I6)</f>
        <v>-150072718.5</v>
      </c>
      <c r="U6" s="2">
        <f>+VLOOKUP(+Summary!$E$5,avci,2)</f>
        <v>25.25</v>
      </c>
      <c r="V6" s="2"/>
      <c r="W6" s="144">
        <f>+N6*H6-'MRP Raptor'!U10</f>
        <v>0</v>
      </c>
      <c r="X6" s="217"/>
    </row>
    <row r="7" spans="1:26" x14ac:dyDescent="0.3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5.6930356462311389</v>
      </c>
      <c r="O7" s="264">
        <f>+Summary!$C$5</f>
        <v>36888</v>
      </c>
      <c r="P7" s="4">
        <f t="shared" si="1"/>
        <v>234005.17999999993</v>
      </c>
      <c r="Q7" s="4">
        <v>0</v>
      </c>
      <c r="R7" s="5">
        <f t="shared" si="2"/>
        <v>234005.17999999993</v>
      </c>
      <c r="S7" s="4">
        <v>0</v>
      </c>
      <c r="T7" s="4">
        <f>IF(Summary!$E$5&lt;'Daily Position'!B7,0,ROUND(+U7*H7,2)-I7)</f>
        <v>233387.30999999994</v>
      </c>
      <c r="U7" s="2">
        <f>+VLOOKUP(+Summary!$E$5,wcrzo,2)</f>
        <v>5.6890813099384818</v>
      </c>
      <c r="V7" s="2"/>
      <c r="W7" s="144">
        <f>+N7*H7-'MRP Raptor'!U64</f>
        <v>0</v>
      </c>
      <c r="X7" s="217"/>
    </row>
    <row r="8" spans="1:26" x14ac:dyDescent="0.3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18</v>
      </c>
      <c r="O8" s="264">
        <f>+Summary!$C$5</f>
        <v>36888</v>
      </c>
      <c r="P8" s="4">
        <f t="shared" si="1"/>
        <v>-92392852</v>
      </c>
      <c r="Q8" s="4">
        <v>0</v>
      </c>
      <c r="R8" s="5">
        <f>+P8+Q8</f>
        <v>-92392852</v>
      </c>
      <c r="S8" s="4">
        <v>0</v>
      </c>
      <c r="T8" s="4">
        <f>IF(O8&gt;X8-1,IF(Summary!$E$5&lt;'Daily Position'!B8,0,ROUND(+U8*H8,2)-I8),0)</f>
        <v>-93397316.5</v>
      </c>
      <c r="U8" s="2">
        <f>IF(O8&gt;X8-1,+VLOOKUP(+Summary!$E$5,cesiv,2),0)</f>
        <v>17.25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3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4.5</v>
      </c>
      <c r="O9" s="264">
        <f>+Summary!$C$5</f>
        <v>36888</v>
      </c>
      <c r="P9" s="4">
        <f t="shared" si="1"/>
        <v>-82350.13</v>
      </c>
      <c r="Q9" s="4">
        <v>0</v>
      </c>
      <c r="R9" s="5">
        <f t="shared" si="2"/>
        <v>-82350.13</v>
      </c>
      <c r="S9" s="4">
        <v>0</v>
      </c>
      <c r="T9" s="4">
        <f>IF(Summary!$E$5&lt;'Daily Position'!B9,0,ROUND(+U9*H9,2)-I9)</f>
        <v>-97322.880000000005</v>
      </c>
      <c r="U9" s="2">
        <f>+VLOOKUP(+Summary!$E$5,pgeo,2)</f>
        <v>4.25</v>
      </c>
      <c r="V9" s="2"/>
      <c r="W9" s="144">
        <f>+N9*H9-'MRP Raptor'!U81</f>
        <v>0</v>
      </c>
      <c r="X9" s="217"/>
    </row>
    <row r="10" spans="1:26" x14ac:dyDescent="0.3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1.665001665001665</v>
      </c>
      <c r="O10" s="264">
        <f>+Summary!$C$5</f>
        <v>36888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3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7.9375</v>
      </c>
      <c r="O11" s="264">
        <f>+Summary!$C$5</f>
        <v>36888</v>
      </c>
      <c r="P11" s="4">
        <f>IF(O11&lt;B11,0,ROUND((+N11*(H11-L11)),2)-ROUND(((H11-L11)*G11),2))</f>
        <v>-61844.020000000004</v>
      </c>
      <c r="Q11" s="4">
        <f>IF(J11&lt;(O11+1),(+K11-G11)*L11,0)</f>
        <v>0</v>
      </c>
      <c r="R11" s="5">
        <f t="shared" si="2"/>
        <v>-61844.020000000004</v>
      </c>
      <c r="S11" s="4">
        <f>IF(J11&lt;O11,+Q11,0)</f>
        <v>0</v>
      </c>
      <c r="T11" s="4">
        <f>IF(Summary!$E$5&lt;'Daily Position'!B11,0,ROUND(+U11*H11,2)-I11)</f>
        <v>-63744.260000000009</v>
      </c>
      <c r="U11" s="2">
        <f>IF(O11=(X11+1),+'Stock Prices'!N65/(229391/12234952),+VLOOKUP(+Summary!$E$5,qsri,2))</f>
        <v>7.75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3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7.9375</v>
      </c>
      <c r="O12" s="264">
        <f>+Summary!$C$5</f>
        <v>36888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469725</v>
      </c>
      <c r="U12" s="2">
        <f>IF(O12=(X12+1),+'Stock Prices'!N66/(229391/12234952),+VLOOKUP(+Summary!$E$5,qsri,2))</f>
        <v>7.75</v>
      </c>
      <c r="V12" s="2"/>
      <c r="W12" s="144"/>
      <c r="X12" s="276">
        <v>36824</v>
      </c>
      <c r="Y12" s="3" t="s">
        <v>574</v>
      </c>
      <c r="Z12" s="1"/>
    </row>
    <row r="13" spans="1:26" x14ac:dyDescent="0.3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9.75</v>
      </c>
      <c r="O13" s="264">
        <f>+Summary!$C$5</f>
        <v>36888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653447.4299999997</v>
      </c>
      <c r="U13" s="2">
        <f>+VLOOKUP(+Summary!$E$5,kwk,2)</f>
        <v>8.4375</v>
      </c>
      <c r="V13" s="2"/>
      <c r="W13" s="144">
        <f>+N13*(H13-L13)-'MRP Raptor'!U84</f>
        <v>0</v>
      </c>
      <c r="X13" s="276"/>
    </row>
    <row r="14" spans="1:26" x14ac:dyDescent="0.3">
      <c r="N14" s="2"/>
      <c r="P14" s="4"/>
      <c r="Q14" s="4"/>
      <c r="R14" s="5"/>
      <c r="T14" s="4"/>
      <c r="U14" s="4"/>
      <c r="V14" s="4"/>
    </row>
    <row r="15" spans="1:26" x14ac:dyDescent="0.3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3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36888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3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36888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3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36888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-713159.62999999989</v>
      </c>
      <c r="U18" s="4">
        <f>VLOOKUP(+Summary!$E$5,Privates,V18)</f>
        <v>1423174.37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3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36888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3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36888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3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36888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3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36888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3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36888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-12878050</v>
      </c>
      <c r="U23" s="4">
        <f>VLOOKUP(+Summary!$E$5,Privates,V23)</f>
        <v>0</v>
      </c>
      <c r="V23" s="236">
        <f t="shared" si="6"/>
        <v>9</v>
      </c>
      <c r="W23" s="144">
        <f>+N23-'MRP Raptor'!U29+'Private Cash'!I375</f>
        <v>0</v>
      </c>
    </row>
    <row r="24" spans="1:25" x14ac:dyDescent="0.3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36888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3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23507915.000000209</v>
      </c>
      <c r="O25" s="264">
        <f>+Summary!$C$5</f>
        <v>36888</v>
      </c>
      <c r="P25" s="4">
        <f t="shared" si="4"/>
        <v>2.0861625671386719E-7</v>
      </c>
      <c r="Q25" s="4">
        <v>0</v>
      </c>
      <c r="R25" s="5">
        <f t="shared" si="5"/>
        <v>2.0861625671386719E-7</v>
      </c>
      <c r="S25" s="4">
        <v>0</v>
      </c>
      <c r="T25" s="4">
        <f t="shared" si="7"/>
        <v>2.0489096641540527E-7</v>
      </c>
      <c r="U25" s="4">
        <f>VLOOKUP(+Summary!$E$5,Privates,V25)</f>
        <v>23507915.000000205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3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36888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3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36888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3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36888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3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36888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3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36888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3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36888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3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36888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3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36888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3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36888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3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36888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3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36888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3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36888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3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36888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3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36888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3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36888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3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36888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3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36888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3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36888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3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36888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3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36888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3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36888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3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36888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3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3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3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2.8572894218396732</v>
      </c>
      <c r="O50" s="264">
        <f>+Summary!$C$5</f>
        <v>36888</v>
      </c>
      <c r="P50" s="4">
        <f>IF(O50&lt;B50,0,ROUND((+N50*H50),2)-I50-Q50)</f>
        <v>78820.600000000006</v>
      </c>
      <c r="Q50" s="4">
        <v>0</v>
      </c>
      <c r="R50" s="5">
        <f t="shared" ref="R50:R56" si="8">+P50+Q50</f>
        <v>78820.600000000006</v>
      </c>
      <c r="S50" s="4">
        <v>0</v>
      </c>
      <c r="T50" s="4">
        <f>IF(Summary!$E$5&lt;'Daily Position'!B50,0,ROUND(+U50*H50,2)-I50)</f>
        <v>26981.899999999994</v>
      </c>
      <c r="U50" s="69">
        <f>+U4</f>
        <v>1.7533046970361272</v>
      </c>
      <c r="V50" s="2"/>
      <c r="W50" s="144">
        <f>+N50*H50-'MRP Raptor'!U22</f>
        <v>0</v>
      </c>
    </row>
    <row r="51" spans="1:24" x14ac:dyDescent="0.3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1.665001665001665</v>
      </c>
      <c r="O51" s="264">
        <f>+Summary!$C$5</f>
        <v>36888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3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7.9375</v>
      </c>
      <c r="O52" s="264">
        <f>+Summary!$C$5</f>
        <v>36888</v>
      </c>
      <c r="P52" s="4">
        <f>IF(O52&lt;B52,0,ROUND((+N52*(H52-L52)),2)-ROUND(((H52-L52)*G52),2))</f>
        <v>-37230.100000000006</v>
      </c>
      <c r="Q52" s="4">
        <f>IF(J52&lt;(O52+1),(+K52-G52)*L52,0)</f>
        <v>0</v>
      </c>
      <c r="R52" s="5">
        <f t="shared" si="8"/>
        <v>-37230.100000000006</v>
      </c>
      <c r="S52" s="4">
        <f>IF(J52&lt;O52,+Q52,0)</f>
        <v>0</v>
      </c>
      <c r="T52" s="4">
        <f>IF(Summary!$E$5&lt;'Daily Position'!B52,0,ROUND(+U52*H52,2)-I52)</f>
        <v>-38374.04</v>
      </c>
      <c r="U52" s="69">
        <f>+U11</f>
        <v>7.75</v>
      </c>
      <c r="V52" s="2"/>
      <c r="W52" s="144">
        <f>+N52*(H52+H53-L52-L53)-'MRP Raptor'!U41</f>
        <v>0</v>
      </c>
      <c r="X52" s="217"/>
    </row>
    <row r="53" spans="1:24" x14ac:dyDescent="0.3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7.9375</v>
      </c>
      <c r="O53" s="264">
        <f>+Summary!$C$5</f>
        <v>36888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282774.45</v>
      </c>
      <c r="U53" s="69">
        <f>+U12</f>
        <v>7.75</v>
      </c>
      <c r="V53" s="2"/>
      <c r="W53" s="144"/>
      <c r="X53" s="217"/>
    </row>
    <row r="54" spans="1:24" x14ac:dyDescent="0.3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9.75</v>
      </c>
      <c r="O54" s="264">
        <f>+Summary!$C$5</f>
        <v>36888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393375.35999999987</v>
      </c>
      <c r="U54" s="69">
        <f>+U13</f>
        <v>8.4375</v>
      </c>
      <c r="V54" s="2"/>
      <c r="W54" s="144">
        <f>+N54*(H54-L54)-'MRP Raptor'!U42</f>
        <v>0</v>
      </c>
      <c r="X54" s="217"/>
    </row>
    <row r="55" spans="1:24" x14ac:dyDescent="0.3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36888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3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36888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3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2" thickBot="1" x14ac:dyDescent="0.35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-291144049.03353786</v>
      </c>
      <c r="Q59" s="78">
        <f>SUM(Q3:Q58)</f>
        <v>-267573.34567883867</v>
      </c>
      <c r="R59" s="78">
        <f>SUM(R3:R58)</f>
        <v>-291411622.37921679</v>
      </c>
      <c r="S59" s="243">
        <f>SUM(S3:S58)</f>
        <v>-267573.34567883867</v>
      </c>
      <c r="T59" s="78">
        <f>SUM(T3:T58)</f>
        <v>-297293752.47353792</v>
      </c>
      <c r="U59" s="219"/>
      <c r="V59" s="219"/>
      <c r="W59" s="78">
        <f>SUM(W3:W58)</f>
        <v>-0.19387999922037125</v>
      </c>
    </row>
    <row r="60" spans="1:24" ht="16.2" thickTop="1" x14ac:dyDescent="0.3"/>
    <row r="61" spans="1:24" x14ac:dyDescent="0.3">
      <c r="G61" s="2" t="s">
        <v>571</v>
      </c>
      <c r="W61" s="5"/>
    </row>
    <row r="62" spans="1:24" x14ac:dyDescent="0.3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3">
      <c r="G63" s="2" t="s">
        <v>341</v>
      </c>
      <c r="I63" s="4">
        <f>+I20</f>
        <v>12500000</v>
      </c>
      <c r="W63" s="5"/>
    </row>
    <row r="64" spans="1:24" x14ac:dyDescent="0.3">
      <c r="W64" s="224"/>
    </row>
    <row r="65" spans="7:23" x14ac:dyDescent="0.3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tabSelected="1" workbookViewId="0">
      <pane ySplit="4" topLeftCell="A108" activePane="bottomLeft" state="frozen"/>
      <selection pane="bottomLeft" activeCell="A109" sqref="A109:B109"/>
    </sheetView>
  </sheetViews>
  <sheetFormatPr defaultRowHeight="15.6" x14ac:dyDescent="0.3"/>
  <cols>
    <col min="1" max="1" width="10" style="1" bestFit="1" customWidth="1"/>
    <col min="2" max="2" width="9.69921875" style="128" bestFit="1" customWidth="1"/>
    <col min="3" max="3" width="9.8984375" style="264" bestFit="1" customWidth="1"/>
    <col min="4" max="4" width="9.09765625" style="133" bestFit="1" customWidth="1"/>
    <col min="5" max="5" width="9.8984375" style="264" bestFit="1" customWidth="1"/>
    <col min="6" max="6" width="9.69921875" style="128" bestFit="1" customWidth="1"/>
    <col min="7" max="7" width="9.8984375" style="264" bestFit="1" customWidth="1"/>
    <col min="8" max="8" width="9.09765625" style="128" bestFit="1" customWidth="1"/>
    <col min="9" max="9" width="9.8984375" style="264" bestFit="1" customWidth="1"/>
    <col min="10" max="10" width="11.19921875" style="128" customWidth="1"/>
    <col min="11" max="11" width="9.8984375" style="264" bestFit="1" customWidth="1"/>
    <col min="12" max="12" width="10.3984375" style="131" bestFit="1" customWidth="1"/>
    <col min="13" max="13" width="9.8984375" style="264" bestFit="1" customWidth="1"/>
    <col min="14" max="14" width="9.09765625" style="128" bestFit="1" customWidth="1"/>
    <col min="15" max="15" width="9.8984375" style="264" bestFit="1" customWidth="1"/>
    <col min="16" max="16" width="9.09765625" style="128" bestFit="1" customWidth="1"/>
    <col min="17" max="17" width="9.8984375" style="264" bestFit="1" customWidth="1"/>
    <col min="18" max="18" width="9.09765625" style="128" bestFit="1" customWidth="1"/>
    <col min="19" max="19" width="9.8984375" style="268" bestFit="1" customWidth="1"/>
    <col min="20" max="20" width="9.69921875" style="128" bestFit="1" customWidth="1"/>
    <col min="21" max="21" width="10" style="264" customWidth="1"/>
    <col min="22" max="22" width="11.3984375" style="129" bestFit="1" customWidth="1"/>
    <col min="23" max="23" width="9.8984375" style="264" bestFit="1" customWidth="1"/>
    <col min="24" max="24" width="9.09765625" style="128" bestFit="1" customWidth="1"/>
    <col min="25" max="25" width="9.8984375" style="264" bestFit="1" customWidth="1"/>
    <col min="26" max="26" width="9.09765625" style="128" bestFit="1" customWidth="1"/>
    <col min="27" max="28" width="9.09765625" style="128" customWidth="1"/>
    <col min="30" max="30" width="9.09765625" style="264" bestFit="1" customWidth="1"/>
    <col min="31" max="31" width="10.09765625" bestFit="1" customWidth="1"/>
    <col min="32" max="32" width="9.09765625" style="264" bestFit="1" customWidth="1"/>
    <col min="33" max="33" width="10.69921875" bestFit="1" customWidth="1"/>
    <col min="34" max="34" width="9.09765625" style="264" bestFit="1" customWidth="1"/>
    <col min="35" max="35" width="10.59765625" customWidth="1"/>
  </cols>
  <sheetData>
    <row r="1" spans="1:38" x14ac:dyDescent="0.3">
      <c r="A1" s="265" t="s">
        <v>161</v>
      </c>
      <c r="B1" s="124"/>
      <c r="E1" s="268"/>
      <c r="F1" s="127"/>
    </row>
    <row r="2" spans="1:38" x14ac:dyDescent="0.3">
      <c r="B2" s="125"/>
      <c r="E2" s="268"/>
      <c r="F2" s="127"/>
    </row>
    <row r="3" spans="1:38" x14ac:dyDescent="0.3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3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3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3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3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3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3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3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3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3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3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3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3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3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3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3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3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3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3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3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3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3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3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3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3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3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3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3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3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3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3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3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3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3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3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3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3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3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3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3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3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3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3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3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3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3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3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3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3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3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3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3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3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3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3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3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3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3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3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3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3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3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3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3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3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3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3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3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3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3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3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3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3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3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3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3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3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3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3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3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3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3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3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3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3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3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3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3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3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3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3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3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3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3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3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3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3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3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3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3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3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3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3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106" spans="1:35" x14ac:dyDescent="0.3">
      <c r="A106" s="264">
        <v>36882</v>
      </c>
      <c r="B106" s="128">
        <v>81.188000000000002</v>
      </c>
      <c r="C106" s="264">
        <v>36882</v>
      </c>
      <c r="D106" s="133">
        <v>1.5185</v>
      </c>
      <c r="E106" s="264">
        <v>36882</v>
      </c>
      <c r="F106" s="128">
        <v>24.9375</v>
      </c>
      <c r="G106" s="264">
        <v>36882</v>
      </c>
      <c r="H106" s="128">
        <v>17.4375</v>
      </c>
      <c r="I106" s="264">
        <v>36882</v>
      </c>
      <c r="J106" s="128">
        <v>1.6463615409944024</v>
      </c>
      <c r="K106" s="264">
        <v>36882</v>
      </c>
      <c r="L106" s="128">
        <v>1.3846651569071498</v>
      </c>
      <c r="M106" s="264">
        <v>36882</v>
      </c>
      <c r="N106" s="128">
        <v>7.4375</v>
      </c>
      <c r="O106" s="264">
        <v>36882</v>
      </c>
      <c r="P106" s="128">
        <v>5.2171988717950839</v>
      </c>
      <c r="Q106" s="264">
        <v>36882</v>
      </c>
      <c r="R106" s="128">
        <v>1.6151803860861966</v>
      </c>
      <c r="S106" s="264">
        <v>36882</v>
      </c>
      <c r="T106" s="128">
        <v>1.6151803860861969</v>
      </c>
      <c r="U106" s="264">
        <v>36882</v>
      </c>
      <c r="V106" s="128">
        <v>1.975633849193283</v>
      </c>
      <c r="W106" s="264">
        <v>36882</v>
      </c>
      <c r="X106" s="128">
        <v>4.75</v>
      </c>
      <c r="Y106" s="264">
        <v>36882</v>
      </c>
      <c r="Z106" s="128">
        <v>8.25</v>
      </c>
      <c r="AA106" s="264">
        <v>36882</v>
      </c>
      <c r="AB106" s="128">
        <v>16.4375</v>
      </c>
      <c r="AE106" s="133"/>
      <c r="AI106" s="128"/>
    </row>
    <row r="107" spans="1:35" x14ac:dyDescent="0.3">
      <c r="A107" s="264">
        <v>36886</v>
      </c>
      <c r="B107" s="128">
        <v>83.5</v>
      </c>
      <c r="C107" s="264">
        <v>36886</v>
      </c>
      <c r="D107" s="133">
        <v>1.5185</v>
      </c>
      <c r="E107" s="264">
        <v>36886</v>
      </c>
      <c r="F107" s="128">
        <v>26.25</v>
      </c>
      <c r="G107" s="264">
        <v>36886</v>
      </c>
      <c r="H107" s="128">
        <v>20.375</v>
      </c>
      <c r="I107" s="264">
        <v>36886</v>
      </c>
      <c r="J107" s="128">
        <v>1.6463615409944024</v>
      </c>
      <c r="K107" s="264">
        <v>36886</v>
      </c>
      <c r="L107" s="128">
        <v>1.3846651569071498</v>
      </c>
      <c r="M107" s="264">
        <v>36886</v>
      </c>
      <c r="N107" s="128">
        <v>7.75</v>
      </c>
      <c r="O107" s="264">
        <v>36886</v>
      </c>
      <c r="P107" s="128">
        <v>6.1581972684112198</v>
      </c>
      <c r="Q107" s="264">
        <v>36886</v>
      </c>
      <c r="R107" s="128">
        <v>1.5817003697159118</v>
      </c>
      <c r="S107" s="264">
        <v>36886</v>
      </c>
      <c r="T107" s="128">
        <v>1.581700369715912</v>
      </c>
      <c r="U107" s="264">
        <v>36886</v>
      </c>
      <c r="V107" s="128">
        <v>1.975633849193283</v>
      </c>
      <c r="W107" s="264">
        <v>36886</v>
      </c>
      <c r="X107" s="128">
        <v>4.75</v>
      </c>
      <c r="Y107" s="264">
        <v>36886</v>
      </c>
      <c r="Z107" s="128">
        <v>8.375</v>
      </c>
      <c r="AA107" s="264">
        <v>36886</v>
      </c>
      <c r="AB107" s="128">
        <v>16.25</v>
      </c>
      <c r="AE107" s="133"/>
      <c r="AI107" s="128"/>
    </row>
    <row r="108" spans="1:35" x14ac:dyDescent="0.3">
      <c r="A108" s="264">
        <v>36887</v>
      </c>
      <c r="B108" s="128">
        <v>82.813000000000002</v>
      </c>
      <c r="C108" s="264">
        <v>36887</v>
      </c>
      <c r="D108" s="133">
        <v>1.5125</v>
      </c>
      <c r="E108" s="264">
        <v>36887</v>
      </c>
      <c r="F108" s="128">
        <v>25.25</v>
      </c>
      <c r="G108" s="264">
        <v>36887</v>
      </c>
      <c r="H108" s="128">
        <v>20.875</v>
      </c>
      <c r="I108" s="264">
        <v>36887</v>
      </c>
      <c r="J108" s="128">
        <v>1.6528925619834711</v>
      </c>
      <c r="K108" s="264">
        <v>36887</v>
      </c>
      <c r="L108" s="128">
        <v>1.3846651569071498</v>
      </c>
      <c r="M108" s="264">
        <v>36887</v>
      </c>
      <c r="N108" s="128">
        <v>7.75</v>
      </c>
      <c r="O108" s="264">
        <v>36887</v>
      </c>
      <c r="P108" s="128">
        <v>5.6890813099384818</v>
      </c>
      <c r="Q108" s="264">
        <v>36887</v>
      </c>
      <c r="R108" s="128">
        <v>1.7533046970361272</v>
      </c>
      <c r="S108" s="264">
        <v>36887</v>
      </c>
      <c r="T108" s="128">
        <v>1.7533046970361275</v>
      </c>
      <c r="U108" s="264">
        <v>36887</v>
      </c>
      <c r="V108" s="128">
        <v>1.9834710743801653</v>
      </c>
      <c r="W108" s="264">
        <v>36887</v>
      </c>
      <c r="X108" s="128">
        <v>4.25</v>
      </c>
      <c r="Y108" s="264">
        <v>36887</v>
      </c>
      <c r="Z108" s="128">
        <v>8.4375</v>
      </c>
      <c r="AA108" s="264">
        <v>36887</v>
      </c>
      <c r="AB108" s="128">
        <v>17.25</v>
      </c>
      <c r="AE108" s="133"/>
      <c r="AI108" s="128"/>
    </row>
    <row r="109" spans="1:35" x14ac:dyDescent="0.3">
      <c r="A109" s="264">
        <v>36888</v>
      </c>
      <c r="B109" s="128">
        <v>84.625</v>
      </c>
      <c r="C109" s="264">
        <v>36888</v>
      </c>
      <c r="D109" s="133">
        <v>1.5015000000000001</v>
      </c>
      <c r="E109" s="264">
        <v>36888</v>
      </c>
      <c r="F109" s="128">
        <v>27.5</v>
      </c>
      <c r="G109" s="264">
        <v>36888</v>
      </c>
      <c r="H109" s="128">
        <v>24.5</v>
      </c>
      <c r="I109" s="264">
        <v>36888</v>
      </c>
      <c r="J109" s="128">
        <v>1.665001665001665</v>
      </c>
      <c r="K109" s="264">
        <v>36888</v>
      </c>
      <c r="L109" s="128">
        <v>1.3846651569071498</v>
      </c>
      <c r="M109" s="264">
        <v>36888</v>
      </c>
      <c r="N109" s="128">
        <v>7.9375</v>
      </c>
      <c r="O109" s="264">
        <v>36888</v>
      </c>
      <c r="P109" s="128">
        <v>5.6930356462311389</v>
      </c>
      <c r="Q109" s="264">
        <v>36888</v>
      </c>
      <c r="R109" s="128">
        <v>2.8572894218396732</v>
      </c>
      <c r="S109" s="264">
        <v>36888</v>
      </c>
      <c r="T109" s="128">
        <v>2.8572894218396736</v>
      </c>
      <c r="U109" s="264">
        <v>36888</v>
      </c>
      <c r="V109" s="128">
        <v>1.9380619380619382</v>
      </c>
      <c r="W109" s="264">
        <v>36888</v>
      </c>
      <c r="X109" s="128">
        <v>4.5</v>
      </c>
      <c r="Y109" s="264">
        <v>36888</v>
      </c>
      <c r="Z109" s="128">
        <v>9.75</v>
      </c>
      <c r="AA109" s="264">
        <v>36888</v>
      </c>
      <c r="AB109" s="128">
        <v>18</v>
      </c>
      <c r="AE109" s="133"/>
      <c r="AI109" s="128"/>
    </row>
    <row r="110" spans="1:35" x14ac:dyDescent="0.3">
      <c r="AA110" s="264"/>
    </row>
    <row r="258" ht="14.25" customHeight="1" x14ac:dyDescent="0.3"/>
    <row r="375" spans="1:35" x14ac:dyDescent="0.3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3">
      <c r="A377" s="264">
        <f>+E377</f>
        <v>36888</v>
      </c>
      <c r="C377" s="264">
        <f>+E377</f>
        <v>36888</v>
      </c>
      <c r="E377" s="264">
        <f>+'MRP Raptor'!$U$3</f>
        <v>36888</v>
      </c>
      <c r="F377" s="128">
        <f>INDEX([0]!MPRR, MATCH("Avici EBS Raptor I",'MRP Raptor'!$E$3:$E$140,), MATCH("Per Share",'MRP Raptor'!$E$3:$CM$3,))</f>
        <v>27.5</v>
      </c>
      <c r="G377" s="264">
        <f>+'MRP Raptor'!$U$3</f>
        <v>36888</v>
      </c>
      <c r="H377" s="128">
        <f>INDEX([0]!MPRR, MATCH("Active Power Raptor I",'MRP Raptor'!$E$3:$E$140,), MATCH("Per Share",'MRP Raptor'!$E$3:$CM$3,))</f>
        <v>24.5</v>
      </c>
      <c r="I377" s="264">
        <f>+'MRP Raptor'!$U$3</f>
        <v>36888</v>
      </c>
      <c r="J377" s="128">
        <f>INDEX([0]!MPRR, MATCH("Place Resources Common Raptor I",'MRP Raptor'!$E$3:$E$140,), MATCH("Per Share",'MRP Raptor'!$E$3:$CM$3,))</f>
        <v>1.665001665001665</v>
      </c>
      <c r="K377" s="264">
        <f>+'MRP Raptor'!$U$3</f>
        <v>36888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36888</v>
      </c>
      <c r="N377" s="128">
        <f>INDEX([0]!MPRR, MATCH("DevX Energy Common Raptor I",'MRP Raptor'!$E$3:$E$140,), MATCH("Per Share",'MRP Raptor'!$E$3:$CM$3,))</f>
        <v>7.9375</v>
      </c>
      <c r="O377" s="264">
        <f>+'MRP Raptor'!$U$3</f>
        <v>36888</v>
      </c>
      <c r="P377" s="128">
        <f>INDEX([0]!MPRR, MATCH("Carrizo Warrants Raptor I",'MRP Raptor'!$E$3:$E$140,), MATCH("Per Share",'MRP Raptor'!$E$3:$CM$3,))</f>
        <v>5.6930356462311389</v>
      </c>
      <c r="Q377" s="264">
        <f>+'MRP Raptor'!$U$3</f>
        <v>36888</v>
      </c>
      <c r="R377" s="128">
        <f>INDEX([0]!MPRR, MATCH("3TEC Warrants Raptor I",'MRP Raptor'!$E$3:$E$140,), MATCH("Per Share",'MRP Raptor'!$E$3:$CM$3,))</f>
        <v>2.8572894218396732</v>
      </c>
      <c r="S377" s="264">
        <f>+'MRP Raptor'!$U$3</f>
        <v>36888</v>
      </c>
      <c r="T377" s="128">
        <f>INDEX([0]!MPRR, MATCH("3TEC Warrants EGF Raptor I",'MRP Raptor'!$E$3:$E$140,), MATCH("Per Share",'MRP Raptor'!$E$3:$CM$3,))</f>
        <v>2.8572894218396736</v>
      </c>
      <c r="U377" s="264">
        <f>+'MRP Raptor'!$U$3</f>
        <v>36888</v>
      </c>
      <c r="V377" s="128">
        <f>INDEX([0]!MPRR, MATCH("Bonus Resources Common Raptor I",'MRP Raptor'!$E$3:$E$140,), MATCH("Per Share",'MRP Raptor'!$E$3:$CM$3,))</f>
        <v>1.9380619380619382</v>
      </c>
      <c r="W377" s="264">
        <f>+'MRP Raptor'!$U$3</f>
        <v>36888</v>
      </c>
      <c r="X377" s="128">
        <f>INDEX([0]!MPRR, MATCH("Paradigm Common Raptor I",'MRP Raptor'!$E$3:$E$140,), MATCH("Per Share",'MRP Raptor'!$E$3:$CM$3,))</f>
        <v>4.5</v>
      </c>
      <c r="Y377" s="264">
        <f>+'MRP Raptor'!$U$3</f>
        <v>36888</v>
      </c>
      <c r="Z377" s="128">
        <f>INDEX([0]!MPRR, MATCH("Quicksilver Common Raptor I",'MRP Raptor'!$E$3:$E$140,), MATCH("Per Share",'MRP Raptor'!$E$3:$CM$3,))</f>
        <v>9.75</v>
      </c>
      <c r="AA377" s="264">
        <f>+'MRP Raptor'!$U$3</f>
        <v>36888</v>
      </c>
      <c r="AB377" s="128">
        <f>INDEX([0]!MPRR, MATCH("Catalytica Common Raptor I",'MRP Raptor'!$E$3:$E$140,), MATCH("Per Share",'MRP Raptor'!$E$3:$CM$3,))</f>
        <v>18</v>
      </c>
      <c r="AE377" s="133"/>
      <c r="AI377" s="128"/>
    </row>
    <row r="378" spans="1:35" x14ac:dyDescent="0.3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3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3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3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3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3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3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3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3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3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3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3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3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3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3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3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3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3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3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3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3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3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3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3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3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3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3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3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3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3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3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3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3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3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3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3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3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3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3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3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3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7" workbookViewId="0">
      <selection activeCell="A108" sqref="A108:IV108"/>
    </sheetView>
  </sheetViews>
  <sheetFormatPr defaultRowHeight="15.6" x14ac:dyDescent="0.3"/>
  <cols>
    <col min="1" max="1" width="8.69921875" style="264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1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1" t="s">
        <v>161</v>
      </c>
      <c r="B1" s="124"/>
      <c r="C1" s="2"/>
      <c r="D1" s="127"/>
    </row>
    <row r="2" spans="1:35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3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3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3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3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3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3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3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3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3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3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3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3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3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3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3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3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3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3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3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3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3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3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3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3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3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3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3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3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3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3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3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3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4">
        <v>36882</v>
      </c>
      <c r="B105" s="4">
        <v>1250000</v>
      </c>
      <c r="C105" s="4">
        <v>4563600</v>
      </c>
      <c r="D105" s="4">
        <v>1423174.37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4">
        <v>36886</v>
      </c>
      <c r="B106" s="4">
        <v>1250000</v>
      </c>
      <c r="C106" s="4">
        <v>4563600</v>
      </c>
      <c r="D106" s="4">
        <v>1423174.37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4">
        <v>36887</v>
      </c>
      <c r="B107" s="4">
        <v>1250000</v>
      </c>
      <c r="C107" s="4">
        <v>4563600</v>
      </c>
      <c r="D107" s="4">
        <v>1423174.37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4">
        <v>36888</v>
      </c>
      <c r="B108" s="4">
        <v>1250000</v>
      </c>
      <c r="C108" s="4">
        <v>4563600</v>
      </c>
      <c r="D108" s="4">
        <v>1423174.37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257" ht="14.25" customHeight="1" x14ac:dyDescent="0.3"/>
    <row r="374" spans="1:34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3">
      <c r="A376" s="264">
        <f>+'MRP Raptor'!$U$3</f>
        <v>36888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23507915.000000209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8670514.156580193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7" workbookViewId="0">
      <selection activeCell="A108" sqref="A108:IV108"/>
    </sheetView>
  </sheetViews>
  <sheetFormatPr defaultRowHeight="15.6" x14ac:dyDescent="0.3"/>
  <cols>
    <col min="1" max="1" width="8.69921875" style="264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1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1.0976562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1.0976562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1" t="s">
        <v>161</v>
      </c>
      <c r="B1" s="124"/>
      <c r="C1" s="2"/>
      <c r="D1" s="127"/>
    </row>
    <row r="2" spans="1:34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3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3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3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3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3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3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3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3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3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3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3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3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3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3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3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3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4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4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4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4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257" ht="14.25" customHeight="1" x14ac:dyDescent="0.3"/>
    <row r="374" spans="1:33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3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-2.123415470123291E-7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4">
        <f>+A379</f>
        <v>36888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4" t="s">
        <v>549</v>
      </c>
      <c r="C378" s="275">
        <f>SUM(B377:AG377)</f>
        <v>-3.7252902984619141E-9</v>
      </c>
    </row>
    <row r="379" spans="1:33" x14ac:dyDescent="0.3">
      <c r="A379" s="264">
        <f>+'MRP Raptor'!$U$3</f>
        <v>36888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4">
        <f>+A379-1</f>
        <v>36887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0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4">
        <f>+A379</f>
        <v>36888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0">
        <f>+Summary!C5</f>
        <v>36888</v>
      </c>
      <c r="I2" s="300"/>
      <c r="J2" s="97"/>
      <c r="L2" s="300">
        <f>H2</f>
        <v>36888</v>
      </c>
      <c r="M2" s="300"/>
      <c r="N2" s="300"/>
      <c r="O2" s="300"/>
      <c r="P2" s="300"/>
    </row>
    <row r="3" spans="1:18" ht="16.2" thickBot="1" x14ac:dyDescent="0.35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3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2" thickBot="1" x14ac:dyDescent="0.35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84.625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36888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40456638.261840373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393359322.84018266</v>
      </c>
      <c r="N10" s="18"/>
      <c r="O10" s="7" t="s">
        <v>121</v>
      </c>
      <c r="P10" s="7">
        <f>IF(I20&gt;0,0,-I20)</f>
        <v>291144049.03353786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36888</v>
      </c>
      <c r="J11" s="13"/>
      <c r="L11" s="7" t="s">
        <v>45</v>
      </c>
      <c r="M11" s="7">
        <f>+Amort!B28</f>
        <v>855555.5555555555</v>
      </c>
      <c r="O11" s="7" t="s">
        <v>559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386952177.40689468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2841749.3729514815</v>
      </c>
      <c r="J13" s="29"/>
      <c r="L13" s="7" t="s">
        <v>560</v>
      </c>
      <c r="M13" s="7">
        <f>IF(I19&gt;0,I19,0)</f>
        <v>0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2469444.4444444445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-229491023.78285396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43359322.840182647</v>
      </c>
      <c r="J15" s="33" t="s">
        <v>59</v>
      </c>
      <c r="L15" s="92" t="s">
        <v>7</v>
      </c>
      <c r="M15" s="12">
        <f>SUM(M8:M14)</f>
        <v>484671516.65757859</v>
      </c>
      <c r="N15" s="20"/>
      <c r="O15" s="92" t="s">
        <v>7</v>
      </c>
      <c r="P15" s="12">
        <f>SUM(P8:P14)</f>
        <v>484671516.65757859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-19052639.40689468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66652025.250683889</v>
      </c>
      <c r="L17" s="238" t="s">
        <v>50</v>
      </c>
      <c r="M17" s="237"/>
      <c r="N17" s="237"/>
      <c r="O17" s="237"/>
      <c r="P17" s="237"/>
      <c r="Q17" s="16"/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484671516.65757859</v>
      </c>
      <c r="Q18" s="107" t="s">
        <v>155</v>
      </c>
    </row>
    <row r="19" spans="1:20" ht="16.2" thickTop="1" x14ac:dyDescent="0.3">
      <c r="H19" s="7" t="s">
        <v>558</v>
      </c>
      <c r="I19" s="7">
        <f>IF(I5&lt;81,(81-I5)*(D14+D15),IF(I5&gt;116,(116-I5)*(+D14+D15),0))</f>
        <v>0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2" thickBot="1" x14ac:dyDescent="0.35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-291144049.03353786</v>
      </c>
      <c r="L20" s="7" t="s">
        <v>154</v>
      </c>
      <c r="M20" s="93">
        <f>+'Daily Position'!I59-M19</f>
        <v>640320139.07000005</v>
      </c>
      <c r="N20" s="93"/>
      <c r="O20" s="93">
        <f>-P10</f>
        <v>-291144049.03353786</v>
      </c>
      <c r="P20" s="27">
        <f>+M20+O20</f>
        <v>349176090.03646219</v>
      </c>
    </row>
    <row r="21" spans="1:20" x14ac:dyDescent="0.3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891527882.69404078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-291411622.37921673</v>
      </c>
      <c r="J22" s="13"/>
      <c r="K22" s="7"/>
      <c r="L22" s="7" t="s">
        <v>54</v>
      </c>
      <c r="P22" s="30">
        <f>E27</f>
        <v>3.0200000000000001E-2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-224759597.12853283</v>
      </c>
      <c r="J23" s="39" t="s">
        <v>66</v>
      </c>
      <c r="L23" s="7" t="s">
        <v>57</v>
      </c>
      <c r="P23" s="7">
        <f>P21*P22</f>
        <v>26924142.057360031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-26924142.057360031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562</v>
      </c>
      <c r="I31" s="16">
        <f>I23</f>
        <v>-224759597.12853283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2" thickBot="1" x14ac:dyDescent="0.35">
      <c r="A32" s="44" t="s">
        <v>149</v>
      </c>
      <c r="B32" s="45"/>
      <c r="H32" s="13" t="s">
        <v>561</v>
      </c>
      <c r="I32" s="16">
        <f>(D14+D15)*(I5-E14)</f>
        <v>107575011.25</v>
      </c>
      <c r="J32" s="39"/>
      <c r="L32" s="7" t="s">
        <v>75</v>
      </c>
      <c r="M32" s="27">
        <f>E10</f>
        <v>1000</v>
      </c>
    </row>
    <row r="33" spans="1:14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3">
      <c r="A34" s="49">
        <f>+Summary!C5</f>
        <v>36888</v>
      </c>
      <c r="B34" s="13" t="s">
        <v>84</v>
      </c>
      <c r="C34"/>
      <c r="D34"/>
      <c r="E34"/>
      <c r="H34" s="13" t="s">
        <v>150</v>
      </c>
      <c r="I34" s="16">
        <f>-I15</f>
        <v>-43359322.840182647</v>
      </c>
      <c r="J34" s="33" t="s">
        <v>59</v>
      </c>
      <c r="L34" s="7" t="s">
        <v>78</v>
      </c>
      <c r="M34" s="7">
        <f>I23</f>
        <v>-224759597.12853283</v>
      </c>
    </row>
    <row r="35" spans="1:14" ht="16.2" thickBot="1" x14ac:dyDescent="0.35">
      <c r="A35" s="50">
        <f>A34-A33</f>
        <v>254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21379156.281284526</v>
      </c>
      <c r="J36" s="13"/>
      <c r="L36" s="7" t="s">
        <v>80</v>
      </c>
      <c r="M36" s="7">
        <f>SUM(M33:M35)</f>
        <v>-229758597.12853283</v>
      </c>
    </row>
    <row r="37" spans="1:14" ht="16.5" customHeight="1" thickTop="1" x14ac:dyDescent="0.3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-229491023.78285396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-267573.34567886591</v>
      </c>
      <c r="N39" s="43" t="str">
        <f>IF(ROUND(M39,0)=0,"OK","Not OK")</f>
        <v>Not OK</v>
      </c>
    </row>
    <row r="40" spans="1:14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4" t="s">
        <v>113</v>
      </c>
      <c r="B1" s="304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4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4" t="s">
        <v>108</v>
      </c>
      <c r="B21" s="304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-224759597.12853283</v>
      </c>
    </row>
    <row r="26" spans="1:4" x14ac:dyDescent="0.3">
      <c r="A26" t="s">
        <v>110</v>
      </c>
      <c r="B26" s="7">
        <f>-Financials!I15</f>
        <v>-43359322.840182647</v>
      </c>
    </row>
    <row r="27" spans="1:4" x14ac:dyDescent="0.3">
      <c r="A27" s="7" t="str">
        <f>+Financials!H20</f>
        <v>Unrealized Gains / (Losses)</v>
      </c>
      <c r="B27" s="7">
        <f>-Financials!I20-Financials!I19-Financials!I21</f>
        <v>291411622.37921673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-855555.5555555555</v>
      </c>
    </row>
    <row r="32" spans="1:4" x14ac:dyDescent="0.3">
      <c r="A32" t="s">
        <v>115</v>
      </c>
      <c r="B32" s="7">
        <f>-Financials!E7+Financials!P12</f>
        <v>-13047822.593105316</v>
      </c>
    </row>
    <row r="33" spans="1:6" x14ac:dyDescent="0.3">
      <c r="A33" t="s">
        <v>550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40456638.261840373</v>
      </c>
      <c r="D38" s="7">
        <f>+B23+B15+B16+B41+B19</f>
        <v>40456638.261840366</v>
      </c>
      <c r="E38" s="7"/>
    </row>
    <row r="39" spans="1:6" ht="16.2" thickTop="1" x14ac:dyDescent="0.3"/>
    <row r="40" spans="1:6" ht="16.2" thickBot="1" x14ac:dyDescent="0.35">
      <c r="A40" s="304" t="s">
        <v>159</v>
      </c>
      <c r="B40" s="304"/>
      <c r="C40" s="304"/>
      <c r="D40" s="304"/>
      <c r="E40" s="304"/>
      <c r="F40" s="304"/>
    </row>
    <row r="41" spans="1:6" x14ac:dyDescent="0.3">
      <c r="A41" s="110" t="s">
        <v>118</v>
      </c>
      <c r="B41" s="111">
        <f>+B47+B53+B59</f>
        <v>2841749.3729514815</v>
      </c>
    </row>
    <row r="42" spans="1:6" x14ac:dyDescent="0.3">
      <c r="A42" s="53"/>
      <c r="E42" s="220" t="s">
        <v>82</v>
      </c>
      <c r="F42" s="221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36888</v>
      </c>
      <c r="E57" s="1">
        <v>36845</v>
      </c>
      <c r="F57" s="48"/>
    </row>
    <row r="58" spans="1:6" x14ac:dyDescent="0.3">
      <c r="A58" t="s">
        <v>81</v>
      </c>
      <c r="B58" s="3">
        <f>+B57-B55</f>
        <v>88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742651.55689999997</v>
      </c>
    </row>
    <row r="61" spans="1:6" ht="16.2" thickBot="1" x14ac:dyDescent="0.35">
      <c r="A61" s="304" t="s">
        <v>197</v>
      </c>
      <c r="B61" s="304"/>
      <c r="C61" s="304"/>
      <c r="D61" s="304"/>
      <c r="E61" s="304"/>
      <c r="F61" s="304"/>
    </row>
    <row r="62" spans="1:6" x14ac:dyDescent="0.3">
      <c r="A62" s="110" t="s">
        <v>194</v>
      </c>
      <c r="B62" s="111">
        <f>+B64+B71+B77</f>
        <v>19052639.40689468</v>
      </c>
    </row>
    <row r="63" spans="1:6" x14ac:dyDescent="0.3">
      <c r="A63" s="53"/>
    </row>
    <row r="64" spans="1:6" x14ac:dyDescent="0.3">
      <c r="A64" t="s">
        <v>198</v>
      </c>
      <c r="B64" s="3">
        <f>+Amort!B61</f>
        <v>19420903.040394682</v>
      </c>
      <c r="E64" s="305"/>
      <c r="F64" s="306"/>
    </row>
    <row r="65" spans="1:6" x14ac:dyDescent="0.3">
      <c r="B65" s="3"/>
      <c r="E65" s="220"/>
      <c r="F65" s="221"/>
    </row>
    <row r="66" spans="1:6" x14ac:dyDescent="0.3">
      <c r="A66" t="s">
        <v>506</v>
      </c>
      <c r="B66" s="7"/>
      <c r="E66" s="47"/>
      <c r="F66" s="48"/>
    </row>
    <row r="67" spans="1:6" x14ac:dyDescent="0.3">
      <c r="A67" t="s">
        <v>199</v>
      </c>
      <c r="B67" s="1">
        <v>36741</v>
      </c>
      <c r="E67" s="47"/>
      <c r="F67" s="48"/>
    </row>
    <row r="68" spans="1:6" x14ac:dyDescent="0.3">
      <c r="A68" t="s">
        <v>200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505</v>
      </c>
      <c r="B71" s="54">
        <f>+B68*0.07/360*B70</f>
        <v>45497.135444444444</v>
      </c>
    </row>
    <row r="73" spans="1:6" x14ac:dyDescent="0.3">
      <c r="A73" t="s">
        <v>199</v>
      </c>
      <c r="B73" s="1">
        <f>+D12</f>
        <v>36741</v>
      </c>
    </row>
    <row r="74" spans="1:6" x14ac:dyDescent="0.3">
      <c r="A74" t="s">
        <v>200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505</v>
      </c>
      <c r="B77" s="54">
        <f>+B74*0.07/360*B76</f>
        <v>-413760.76894444448</v>
      </c>
    </row>
    <row r="79" spans="1:6" ht="16.2" thickBot="1" x14ac:dyDescent="0.35">
      <c r="A79" s="304" t="s">
        <v>510</v>
      </c>
      <c r="B79" s="304"/>
      <c r="C79" s="304"/>
      <c r="D79" s="304"/>
      <c r="E79" s="304"/>
      <c r="F79" s="304"/>
    </row>
    <row r="81" spans="1:4" x14ac:dyDescent="0.3">
      <c r="A81" t="s">
        <v>129</v>
      </c>
      <c r="B81" s="1">
        <f>+Summary!C5</f>
        <v>36888</v>
      </c>
    </row>
    <row r="82" spans="1:4" x14ac:dyDescent="0.3">
      <c r="A82" t="s">
        <v>511</v>
      </c>
      <c r="B82" s="1">
        <v>36634</v>
      </c>
      <c r="D82" s="4">
        <f>IF(B81&gt;(B82-1),30000000,0)</f>
        <v>30000000</v>
      </c>
    </row>
    <row r="83" spans="1:4" x14ac:dyDescent="0.3">
      <c r="A83" t="s">
        <v>512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513</v>
      </c>
      <c r="B84" s="1">
        <f>+Summary!C5</f>
        <v>36888</v>
      </c>
      <c r="D84" s="223">
        <f>IF(B84&gt;B83,+(+B84-B83)/365*0.12*D83,0)</f>
        <v>289972.60273972602</v>
      </c>
    </row>
    <row r="85" spans="1:4" x14ac:dyDescent="0.3">
      <c r="A85" t="s">
        <v>514</v>
      </c>
      <c r="D85" s="5">
        <f>SUM(D82:D84)</f>
        <v>36289972.602739729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191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7">
        <f>+Summary!C5</f>
        <v>36888</v>
      </c>
      <c r="B23" s="307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88</v>
      </c>
      <c r="E27" s="117"/>
    </row>
    <row r="28" spans="1:9" s="104" customFormat="1" x14ac:dyDescent="0.3">
      <c r="A28" s="117" t="s">
        <v>30</v>
      </c>
      <c r="B28" s="104">
        <f>F25*B27/(F26-F24)</f>
        <v>855555.5555555555</v>
      </c>
    </row>
    <row r="29" spans="1:9" s="104" customFormat="1" x14ac:dyDescent="0.3">
      <c r="A29" s="117" t="s">
        <v>31</v>
      </c>
      <c r="B29" s="104">
        <f>+B25+B28</f>
        <v>2469444.4444444445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7">
        <f>+Summary!C5</f>
        <v>36888</v>
      </c>
      <c r="B55" s="307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88</v>
      </c>
      <c r="C59" s="104"/>
      <c r="D59" s="104"/>
      <c r="E59" s="117"/>
      <c r="F59" s="104"/>
      <c r="G59" s="104"/>
    </row>
    <row r="60" spans="1:9" x14ac:dyDescent="0.3">
      <c r="A60" s="117" t="s">
        <v>193</v>
      </c>
      <c r="B60" s="104">
        <f>F57*B59/(F58-F56)</f>
        <v>6509791.9292835696</v>
      </c>
      <c r="C60" s="104"/>
      <c r="D60" s="104"/>
      <c r="E60" s="104"/>
      <c r="F60" s="104"/>
      <c r="G60" s="104"/>
    </row>
    <row r="61" spans="1:9" x14ac:dyDescent="0.3">
      <c r="A61" s="117" t="s">
        <v>194</v>
      </c>
      <c r="B61" s="104">
        <f>+B57+B60</f>
        <v>19420903.040394682</v>
      </c>
      <c r="C61" s="104"/>
      <c r="D61" s="104"/>
      <c r="E61" s="104"/>
      <c r="F61" s="104"/>
      <c r="G61" s="104"/>
    </row>
    <row r="63" spans="1:9" x14ac:dyDescent="0.3">
      <c r="A63" s="7" t="s">
        <v>507</v>
      </c>
    </row>
    <row r="64" spans="1:9" x14ac:dyDescent="0.3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E47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" hidden="1" customWidth="1"/>
    <col min="45" max="45" width="16.59765625" hidden="1" customWidth="1"/>
    <col min="46" max="46" width="14.3984375" hidden="1" customWidth="1"/>
    <col min="47" max="47" width="10.59765625" hidden="1" customWidth="1"/>
    <col min="48" max="48" width="13.8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13" t="s">
        <v>266</v>
      </c>
      <c r="S1" s="313"/>
      <c r="T1" s="313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11" t="s">
        <v>268</v>
      </c>
      <c r="AE1" s="311"/>
      <c r="AF1" s="311"/>
      <c r="AG1" s="311"/>
      <c r="AH1" s="311"/>
      <c r="AI1" s="311"/>
      <c r="AJ1" s="311"/>
      <c r="AK1" s="311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11" t="s">
        <v>270</v>
      </c>
      <c r="AU1" s="311"/>
      <c r="AV1" s="311"/>
      <c r="AW1" s="311"/>
      <c r="AX1" s="311"/>
      <c r="AY1" s="311"/>
      <c r="AZ1" s="311"/>
      <c r="BA1" s="311"/>
      <c r="BB1" s="151" t="s">
        <v>261</v>
      </c>
      <c r="BC1" s="151" t="s">
        <v>262</v>
      </c>
      <c r="BD1" s="311" t="s">
        <v>271</v>
      </c>
      <c r="BE1" s="311"/>
      <c r="BF1" s="311"/>
      <c r="BG1" s="311"/>
      <c r="BH1" s="311"/>
      <c r="BI1" s="311"/>
      <c r="BJ1" s="311"/>
      <c r="BK1" s="311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08" t="s">
        <v>278</v>
      </c>
      <c r="CH1" s="308"/>
      <c r="CI1" s="308"/>
      <c r="CJ1" s="308"/>
      <c r="CK1" s="148" t="s">
        <v>279</v>
      </c>
      <c r="CL1" s="148" t="s">
        <v>280</v>
      </c>
    </row>
    <row r="2" spans="1:90" x14ac:dyDescent="0.3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09" t="s">
        <v>289</v>
      </c>
      <c r="AE2" s="309"/>
      <c r="AF2" s="309"/>
      <c r="AG2" s="309"/>
      <c r="AH2" s="310" t="s">
        <v>290</v>
      </c>
      <c r="AI2" s="311"/>
      <c r="AJ2" s="311"/>
      <c r="AK2" s="312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09" t="s">
        <v>296</v>
      </c>
      <c r="AU2" s="309"/>
      <c r="AV2" s="309"/>
      <c r="AW2" s="309"/>
      <c r="AX2" s="309" t="s">
        <v>291</v>
      </c>
      <c r="AY2" s="309"/>
      <c r="AZ2" s="309"/>
      <c r="BA2" s="309"/>
      <c r="BB2" s="156" t="s">
        <v>294</v>
      </c>
      <c r="BC2" s="156" t="s">
        <v>294</v>
      </c>
      <c r="BD2" s="309" t="s">
        <v>296</v>
      </c>
      <c r="BE2" s="309"/>
      <c r="BF2" s="309"/>
      <c r="BG2" s="309"/>
      <c r="BH2" s="309" t="s">
        <v>291</v>
      </c>
      <c r="BI2" s="309"/>
      <c r="BJ2" s="309"/>
      <c r="BK2" s="309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09" t="s">
        <v>304</v>
      </c>
      <c r="CH2" s="309"/>
      <c r="CI2" s="309"/>
      <c r="CJ2" s="309"/>
      <c r="CK2" s="155" t="s">
        <v>305</v>
      </c>
      <c r="CL2" s="155" t="s">
        <v>279</v>
      </c>
    </row>
    <row r="3" spans="1:90" x14ac:dyDescent="0.3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36888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3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3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3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3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1.665001665001665</v>
      </c>
      <c r="P7" s="172">
        <v>1.6528925619834711</v>
      </c>
      <c r="Q7" s="172">
        <v>1.2109103018193901E-2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1.665001665001665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1.665001665001665</v>
      </c>
      <c r="BC7" s="170">
        <v>1.6528925619834711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1.665001665001665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3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3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3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27.5</v>
      </c>
      <c r="P10" s="172">
        <v>25.25</v>
      </c>
      <c r="Q10" s="172">
        <v>2.25</v>
      </c>
      <c r="R10" s="173">
        <v>0</v>
      </c>
      <c r="S10" s="173">
        <v>0</v>
      </c>
      <c r="T10" s="173">
        <v>0</v>
      </c>
      <c r="U10" s="249">
        <v>30069215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27609006.5</v>
      </c>
      <c r="AD10" s="170">
        <v>2460208.5</v>
      </c>
      <c r="AE10" s="170">
        <v>0</v>
      </c>
      <c r="AF10" s="170">
        <v>-2460208.5</v>
      </c>
      <c r="AG10" s="170">
        <v>0</v>
      </c>
      <c r="AH10" s="250">
        <v>-73942933.25</v>
      </c>
      <c r="AI10" s="170">
        <v>0</v>
      </c>
      <c r="AJ10" s="170">
        <v>147612510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30069215</v>
      </c>
      <c r="AS10" s="170">
        <v>27.5</v>
      </c>
      <c r="AT10" s="170">
        <v>6970590.75</v>
      </c>
      <c r="AU10" s="170">
        <v>0</v>
      </c>
      <c r="AV10" s="170">
        <v>-6970590.75</v>
      </c>
      <c r="AW10" s="170">
        <v>0</v>
      </c>
      <c r="AX10" s="170">
        <v>-147612510</v>
      </c>
      <c r="AY10" s="170">
        <v>0</v>
      </c>
      <c r="AZ10" s="170">
        <v>147612510</v>
      </c>
      <c r="BA10" s="170">
        <v>0</v>
      </c>
      <c r="BB10" s="170">
        <v>27.5</v>
      </c>
      <c r="BC10" s="170">
        <v>25.25</v>
      </c>
      <c r="BD10" s="170">
        <v>4510382.25</v>
      </c>
      <c r="BE10" s="170">
        <v>0</v>
      </c>
      <c r="BF10" s="170">
        <v>-4510382.25</v>
      </c>
      <c r="BG10" s="170">
        <v>0</v>
      </c>
      <c r="BH10" s="170">
        <v>-150072718.5</v>
      </c>
      <c r="BI10" s="170">
        <v>0</v>
      </c>
      <c r="BJ10" s="170">
        <v>150072718.5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150072718.5</v>
      </c>
      <c r="BQ10" s="172">
        <v>3</v>
      </c>
      <c r="BR10" s="171">
        <v>3280278</v>
      </c>
      <c r="BS10" s="177">
        <v>58</v>
      </c>
      <c r="BT10" s="171">
        <v>2460208.5</v>
      </c>
      <c r="BU10" s="235">
        <v>0</v>
      </c>
      <c r="BV10" s="171">
        <v>74</v>
      </c>
      <c r="BW10" s="178">
        <v>27.5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-76403141.75</v>
      </c>
      <c r="CH10" s="170">
        <v>0</v>
      </c>
      <c r="CI10" s="170">
        <v>150072718.5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3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30069215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27609006.5</v>
      </c>
      <c r="AD11" s="184">
        <v>2460208.5</v>
      </c>
      <c r="AE11" s="184">
        <v>0</v>
      </c>
      <c r="AF11" s="184">
        <v>-2460208.5</v>
      </c>
      <c r="AG11" s="184">
        <v>0</v>
      </c>
      <c r="AH11" s="253">
        <v>-73942933.25</v>
      </c>
      <c r="AI11" s="184">
        <v>0</v>
      </c>
      <c r="AJ11" s="184">
        <v>147612510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6970590.75</v>
      </c>
      <c r="AU11" s="184">
        <v>0</v>
      </c>
      <c r="AV11" s="184">
        <v>-6970590.75</v>
      </c>
      <c r="AW11" s="184">
        <v>0</v>
      </c>
      <c r="AX11" s="184">
        <v>-147612510</v>
      </c>
      <c r="AY11" s="184">
        <v>0</v>
      </c>
      <c r="AZ11" s="184">
        <v>147612510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3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30069215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27609006.5</v>
      </c>
      <c r="AD12" s="195">
        <v>2460208.5</v>
      </c>
      <c r="AE12" s="195">
        <v>0</v>
      </c>
      <c r="AF12" s="195">
        <v>-2460208.5</v>
      </c>
      <c r="AG12" s="195">
        <v>0</v>
      </c>
      <c r="AH12" s="256">
        <v>-73942933.25</v>
      </c>
      <c r="AI12" s="195">
        <v>0</v>
      </c>
      <c r="AJ12" s="195">
        <v>147612510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6970590.75</v>
      </c>
      <c r="AU12" s="195">
        <v>0</v>
      </c>
      <c r="AV12" s="195">
        <v>-6970590.75</v>
      </c>
      <c r="AW12" s="195">
        <v>0</v>
      </c>
      <c r="AX12" s="195">
        <v>-147612510</v>
      </c>
      <c r="AY12" s="195">
        <v>0</v>
      </c>
      <c r="AZ12" s="195">
        <v>147612510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3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3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3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3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3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3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3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3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3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3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3.1147483952821804E-2</v>
      </c>
      <c r="M22" s="171">
        <v>0</v>
      </c>
      <c r="N22" s="171">
        <v>0.43807888542351447</v>
      </c>
      <c r="O22" s="170">
        <v>2.8572894218396736</v>
      </c>
      <c r="P22" s="171">
        <v>1.7533046970361275</v>
      </c>
      <c r="Q22" s="171">
        <v>1.1039847248035461</v>
      </c>
      <c r="R22" s="173">
        <v>0</v>
      </c>
      <c r="S22" s="173">
        <v>0</v>
      </c>
      <c r="T22" s="173">
        <v>0</v>
      </c>
      <c r="U22" s="249">
        <v>134166.88209190371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82328.175354028397</v>
      </c>
      <c r="AD22" s="170">
        <v>51838.706737875313</v>
      </c>
      <c r="AE22" s="170">
        <v>0</v>
      </c>
      <c r="AF22" s="170">
        <v>-51838.706737875313</v>
      </c>
      <c r="AG22" s="170">
        <v>0</v>
      </c>
      <c r="AH22" s="250">
        <v>49296.496064863444</v>
      </c>
      <c r="AI22" s="170">
        <v>0</v>
      </c>
      <c r="AJ22" s="170">
        <v>-78820.808091903629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26326.102616796612</v>
      </c>
      <c r="AP22" s="170">
        <v>84870.386027040266</v>
      </c>
      <c r="AQ22" s="175">
        <v>1</v>
      </c>
      <c r="AR22" s="170">
        <v>370267.77859103784</v>
      </c>
      <c r="AS22" s="170">
        <v>18</v>
      </c>
      <c r="AT22" s="170">
        <v>57987.164615365167</v>
      </c>
      <c r="AU22" s="170">
        <v>0</v>
      </c>
      <c r="AV22" s="170">
        <v>-57987.164615365167</v>
      </c>
      <c r="AW22" s="170">
        <v>0</v>
      </c>
      <c r="AX22" s="170">
        <v>78820.808091903717</v>
      </c>
      <c r="AY22" s="170">
        <v>0</v>
      </c>
      <c r="AZ22" s="170">
        <v>-78820.808091903629</v>
      </c>
      <c r="BA22" s="170">
        <v>9.4587448984384537E-11</v>
      </c>
      <c r="BB22" s="170">
        <v>18</v>
      </c>
      <c r="BC22" s="170">
        <v>15.1875</v>
      </c>
      <c r="BD22" s="170">
        <v>6148.4578774898546</v>
      </c>
      <c r="BE22" s="170">
        <v>0</v>
      </c>
      <c r="BF22" s="170">
        <v>-6148.4578774898546</v>
      </c>
      <c r="BG22" s="170">
        <v>0</v>
      </c>
      <c r="BH22" s="170">
        <v>26982.101354028404</v>
      </c>
      <c r="BI22" s="170">
        <v>0</v>
      </c>
      <c r="BJ22" s="170">
        <v>-26982.101354028309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-26982.101354028309</v>
      </c>
      <c r="BQ22" s="171">
        <v>0</v>
      </c>
      <c r="BR22" s="171">
        <v>0</v>
      </c>
      <c r="BS22" s="177">
        <v>42</v>
      </c>
      <c r="BT22" s="171">
        <v>0</v>
      </c>
      <c r="BU22" s="235">
        <v>20570.432143946546</v>
      </c>
      <c r="BV22" s="171">
        <v>368</v>
      </c>
      <c r="BW22" s="178">
        <v>18</v>
      </c>
      <c r="BX22" s="178">
        <v>18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-2542.2106730118685</v>
      </c>
      <c r="CH22" s="170">
        <v>0</v>
      </c>
      <c r="CI22" s="170">
        <v>-26982.101354028309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3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134166.88209190371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82328.175354028397</v>
      </c>
      <c r="AD23" s="184">
        <v>51838.706737875313</v>
      </c>
      <c r="AE23" s="184">
        <v>0</v>
      </c>
      <c r="AF23" s="184">
        <v>-51838.706737875313</v>
      </c>
      <c r="AG23" s="184">
        <v>0</v>
      </c>
      <c r="AH23" s="253">
        <v>49296.496064863444</v>
      </c>
      <c r="AI23" s="184">
        <v>0</v>
      </c>
      <c r="AJ23" s="184">
        <v>-78820.808091903629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57987.164615365167</v>
      </c>
      <c r="AU23" s="184">
        <v>0</v>
      </c>
      <c r="AV23" s="184">
        <v>-57987.164615365167</v>
      </c>
      <c r="AW23" s="184">
        <v>0</v>
      </c>
      <c r="AX23" s="184">
        <v>78820.808091903717</v>
      </c>
      <c r="AY23" s="184">
        <v>0</v>
      </c>
      <c r="AZ23" s="184">
        <v>-78820.808091903629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3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134166.88209190371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82328.175354028397</v>
      </c>
      <c r="AD24" s="195">
        <v>51838.706737875313</v>
      </c>
      <c r="AE24" s="195">
        <v>0</v>
      </c>
      <c r="AF24" s="195">
        <v>-51838.706737875313</v>
      </c>
      <c r="AG24" s="195">
        <v>0</v>
      </c>
      <c r="AH24" s="256">
        <v>49296.496064863444</v>
      </c>
      <c r="AI24" s="195">
        <v>0</v>
      </c>
      <c r="AJ24" s="195">
        <v>-78820.808091903629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57987.164615365167</v>
      </c>
      <c r="AU24" s="195">
        <v>0</v>
      </c>
      <c r="AV24" s="195">
        <v>-57987.164615365167</v>
      </c>
      <c r="AW24" s="195">
        <v>0</v>
      </c>
      <c r="AX24" s="195">
        <v>78820.808091903717</v>
      </c>
      <c r="AY24" s="195">
        <v>0</v>
      </c>
      <c r="AZ24" s="195">
        <v>-78820.808091903629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3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3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3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3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3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0</v>
      </c>
      <c r="Q29" s="171">
        <v>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0</v>
      </c>
      <c r="AD29" s="170">
        <v>0</v>
      </c>
      <c r="AE29" s="170">
        <v>0</v>
      </c>
      <c r="AF29" s="170">
        <v>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-13228050</v>
      </c>
      <c r="BE29" s="170">
        <v>0</v>
      </c>
      <c r="BF29" s="170">
        <v>13228050</v>
      </c>
      <c r="BG29" s="170">
        <v>0</v>
      </c>
      <c r="BH29" s="170">
        <v>-13228050</v>
      </c>
      <c r="BI29" s="170">
        <v>0</v>
      </c>
      <c r="BJ29" s="170">
        <v>13228050</v>
      </c>
      <c r="BK29" s="170">
        <v>0</v>
      </c>
      <c r="BL29" s="170">
        <v>0</v>
      </c>
      <c r="BM29" s="170" t="s">
        <v>345</v>
      </c>
      <c r="BN29" s="170">
        <v>0</v>
      </c>
      <c r="BO29" s="170" t="b">
        <v>0</v>
      </c>
      <c r="BP29" s="170">
        <v>13228050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-13228050</v>
      </c>
      <c r="CH29" s="170">
        <v>0</v>
      </c>
      <c r="CI29" s="170">
        <v>13228050</v>
      </c>
      <c r="CJ29" s="170">
        <v>0</v>
      </c>
      <c r="CK29" s="171">
        <v>0</v>
      </c>
      <c r="CL29" s="171">
        <v>0</v>
      </c>
    </row>
    <row r="30" spans="1:90" outlineLevel="3" x14ac:dyDescent="0.3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3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93746588.676477998</v>
      </c>
      <c r="AD31" s="184">
        <v>0</v>
      </c>
      <c r="AE31" s="184">
        <v>0</v>
      </c>
      <c r="AF31" s="184">
        <v>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3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93746588.676477998</v>
      </c>
      <c r="AD32" s="195">
        <v>0</v>
      </c>
      <c r="AE32" s="195">
        <v>0</v>
      </c>
      <c r="AF32" s="195">
        <v>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3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24.5</v>
      </c>
      <c r="P33" s="172">
        <v>20.875</v>
      </c>
      <c r="Q33" s="172">
        <v>3.625</v>
      </c>
      <c r="R33" s="173" t="s">
        <v>398</v>
      </c>
      <c r="S33" s="173">
        <v>0</v>
      </c>
      <c r="T33" s="173">
        <v>0</v>
      </c>
      <c r="U33" s="249">
        <v>31271383.5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26644495.125</v>
      </c>
      <c r="AD33" s="170">
        <v>4626888.375</v>
      </c>
      <c r="AE33" s="170">
        <v>0</v>
      </c>
      <c r="AF33" s="170">
        <v>-4626888.375</v>
      </c>
      <c r="AG33" s="170">
        <v>0</v>
      </c>
      <c r="AH33" s="250">
        <v>-47864362.5</v>
      </c>
      <c r="AI33" s="170">
        <v>0</v>
      </c>
      <c r="AJ33" s="170">
        <v>36376915.75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31271383.5</v>
      </c>
      <c r="AS33" s="170">
        <v>24.5</v>
      </c>
      <c r="AT33" s="170">
        <v>13800891.1875</v>
      </c>
      <c r="AU33" s="170">
        <v>0</v>
      </c>
      <c r="AV33" s="170">
        <v>-13800891.1875</v>
      </c>
      <c r="AW33" s="170">
        <v>0</v>
      </c>
      <c r="AX33" s="170">
        <v>-36376915.75</v>
      </c>
      <c r="AY33" s="170">
        <v>0</v>
      </c>
      <c r="AZ33" s="170">
        <v>36376915.75</v>
      </c>
      <c r="BA33" s="170">
        <v>0</v>
      </c>
      <c r="BB33" s="170">
        <v>24.5</v>
      </c>
      <c r="BC33" s="170">
        <v>20.875</v>
      </c>
      <c r="BD33" s="170">
        <v>9174002.8125</v>
      </c>
      <c r="BE33" s="170">
        <v>0</v>
      </c>
      <c r="BF33" s="170">
        <v>-9174002.8125</v>
      </c>
      <c r="BG33" s="170">
        <v>0</v>
      </c>
      <c r="BH33" s="170">
        <v>-41003804.125</v>
      </c>
      <c r="BI33" s="170">
        <v>0</v>
      </c>
      <c r="BJ33" s="170">
        <v>41003804.125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41003804.125</v>
      </c>
      <c r="BQ33" s="172">
        <v>0</v>
      </c>
      <c r="BR33" s="171">
        <v>0</v>
      </c>
      <c r="BS33" s="177">
        <v>70</v>
      </c>
      <c r="BT33" s="171">
        <v>4626888.375</v>
      </c>
      <c r="BU33" s="235">
        <v>0</v>
      </c>
      <c r="BV33" s="171">
        <v>43</v>
      </c>
      <c r="BW33" s="178">
        <v>24.5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-52491250.875</v>
      </c>
      <c r="CH33" s="170">
        <v>0</v>
      </c>
      <c r="CI33" s="170">
        <v>41003804.125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3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31271383.5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26644495.125</v>
      </c>
      <c r="AD34" s="184">
        <v>4626888.375</v>
      </c>
      <c r="AE34" s="184">
        <v>0</v>
      </c>
      <c r="AF34" s="184">
        <v>-4626888.375</v>
      </c>
      <c r="AG34" s="184">
        <v>0</v>
      </c>
      <c r="AH34" s="253">
        <v>-47864362.5</v>
      </c>
      <c r="AI34" s="184">
        <v>0</v>
      </c>
      <c r="AJ34" s="184">
        <v>36376915.75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13800891.1875</v>
      </c>
      <c r="AU34" s="184">
        <v>0</v>
      </c>
      <c r="AV34" s="184">
        <v>-13800891.1875</v>
      </c>
      <c r="AW34" s="184">
        <v>0</v>
      </c>
      <c r="AX34" s="184">
        <v>-36376915.75</v>
      </c>
      <c r="AY34" s="184">
        <v>0</v>
      </c>
      <c r="AZ34" s="184">
        <v>36376915.75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3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31271383.5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26644495.125</v>
      </c>
      <c r="AD35" s="195">
        <v>4626888.375</v>
      </c>
      <c r="AE35" s="195">
        <v>0</v>
      </c>
      <c r="AF35" s="195">
        <v>-4626888.375</v>
      </c>
      <c r="AG35" s="195">
        <v>0</v>
      </c>
      <c r="AH35" s="256">
        <v>-47864362.5</v>
      </c>
      <c r="AI35" s="195">
        <v>0</v>
      </c>
      <c r="AJ35" s="195">
        <v>36376915.75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13800891.1875</v>
      </c>
      <c r="AU35" s="195">
        <v>0</v>
      </c>
      <c r="AV35" s="195">
        <v>-13800891.1875</v>
      </c>
      <c r="AW35" s="195">
        <v>0</v>
      </c>
      <c r="AX35" s="195">
        <v>-36376915.75</v>
      </c>
      <c r="AY35" s="195">
        <v>0</v>
      </c>
      <c r="AZ35" s="195">
        <v>36376915.75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3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3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1.665001665001665</v>
      </c>
      <c r="P37" s="172">
        <v>1.6528925619834711</v>
      </c>
      <c r="Q37" s="172">
        <v>1.2109103018193901E-2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1.665001665001665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1.665001665001665</v>
      </c>
      <c r="BC37" s="170">
        <v>1.6528925619834711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1.665001665001665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3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3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3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3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7.9375</v>
      </c>
      <c r="P41" s="172">
        <v>7.75</v>
      </c>
      <c r="Q41" s="172">
        <v>0.1875</v>
      </c>
      <c r="R41" s="173">
        <v>0</v>
      </c>
      <c r="S41" s="173">
        <v>0</v>
      </c>
      <c r="T41" s="173">
        <v>0</v>
      </c>
      <c r="U41" s="249">
        <v>48426.919275000037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47282.976300000038</v>
      </c>
      <c r="AD41" s="170">
        <v>1143.9429749999981</v>
      </c>
      <c r="AE41" s="170">
        <v>0</v>
      </c>
      <c r="AF41" s="170">
        <v>-1143.9429749999981</v>
      </c>
      <c r="AG41" s="170">
        <v>0</v>
      </c>
      <c r="AH41" s="250">
        <v>342634.3628430001</v>
      </c>
      <c r="AI41" s="170">
        <v>0</v>
      </c>
      <c r="AJ41" s="170">
        <v>-187959.91927499999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48426.919275000037</v>
      </c>
      <c r="AS41" s="170">
        <v>7.9375</v>
      </c>
      <c r="AT41" s="170">
        <v>21237.220350000003</v>
      </c>
      <c r="AU41" s="170">
        <v>0</v>
      </c>
      <c r="AV41" s="170">
        <v>-21237.220350000003</v>
      </c>
      <c r="AW41" s="170">
        <v>0</v>
      </c>
      <c r="AX41" s="170">
        <v>187959.91927500011</v>
      </c>
      <c r="AY41" s="170">
        <v>0</v>
      </c>
      <c r="AZ41" s="170">
        <v>-187959.91927499999</v>
      </c>
      <c r="BA41" s="170">
        <v>0</v>
      </c>
      <c r="BB41" s="170">
        <v>7.9375</v>
      </c>
      <c r="BC41" s="170">
        <v>7.75</v>
      </c>
      <c r="BD41" s="170">
        <v>20093.277375000005</v>
      </c>
      <c r="BE41" s="170">
        <v>0</v>
      </c>
      <c r="BF41" s="170">
        <v>-20093.277375000005</v>
      </c>
      <c r="BG41" s="170">
        <v>0</v>
      </c>
      <c r="BH41" s="170">
        <v>186815.97630000013</v>
      </c>
      <c r="BI41" s="170">
        <v>0</v>
      </c>
      <c r="BJ41" s="170">
        <v>-186815.97630000001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-186815.97630000001</v>
      </c>
      <c r="BQ41" s="171">
        <v>0</v>
      </c>
      <c r="BR41" s="171">
        <v>0</v>
      </c>
      <c r="BS41" s="177">
        <v>41</v>
      </c>
      <c r="BT41" s="171">
        <v>1143.9429749999981</v>
      </c>
      <c r="BU41" s="235">
        <v>6101.0292000000045</v>
      </c>
      <c r="BV41" s="171">
        <v>355</v>
      </c>
      <c r="BW41" s="178">
        <v>7.9375</v>
      </c>
      <c r="BX41" s="178">
        <v>0</v>
      </c>
      <c r="BY41" s="170">
        <v>0</v>
      </c>
      <c r="BZ41" s="170">
        <v>-537267</v>
      </c>
      <c r="CA41" s="170">
        <v>-537267</v>
      </c>
      <c r="CB41" s="170">
        <v>-139533</v>
      </c>
      <c r="CC41" s="170">
        <v>0</v>
      </c>
      <c r="CD41" s="170">
        <v>0</v>
      </c>
      <c r="CE41" s="170">
        <v>0</v>
      </c>
      <c r="CF41" s="170">
        <v>0</v>
      </c>
      <c r="CG41" s="170">
        <v>341490.41986800008</v>
      </c>
      <c r="CH41" s="170">
        <v>0</v>
      </c>
      <c r="CI41" s="170">
        <v>-186815.97630000001</v>
      </c>
      <c r="CJ41" s="170">
        <v>154674.44356800013</v>
      </c>
      <c r="CK41" s="171">
        <v>0</v>
      </c>
      <c r="CL41" s="171">
        <v>0</v>
      </c>
    </row>
    <row r="42" spans="1:90" outlineLevel="3" x14ac:dyDescent="0.3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9.75</v>
      </c>
      <c r="P42" s="172">
        <v>8.4375</v>
      </c>
      <c r="Q42" s="172">
        <v>1.3125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9.75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9.75</v>
      </c>
      <c r="BC42" s="170">
        <v>8.4375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9.75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3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48426.919275000037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47282.976300000038</v>
      </c>
      <c r="AD43" s="184">
        <v>1143.9429749999981</v>
      </c>
      <c r="AE43" s="184">
        <v>0</v>
      </c>
      <c r="AF43" s="184">
        <v>-1143.9429749999981</v>
      </c>
      <c r="AG43" s="184">
        <v>0</v>
      </c>
      <c r="AH43" s="253">
        <v>-1124353.3404569996</v>
      </c>
      <c r="AI43" s="184">
        <v>0</v>
      </c>
      <c r="AJ43" s="184">
        <v>250199.49552500027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-689259.4110750003</v>
      </c>
      <c r="AU43" s="184">
        <v>0</v>
      </c>
      <c r="AV43" s="184">
        <v>689259.4110750003</v>
      </c>
      <c r="AW43" s="184">
        <v>0</v>
      </c>
      <c r="AX43" s="184">
        <v>-250199.4955249998</v>
      </c>
      <c r="AY43" s="184">
        <v>0</v>
      </c>
      <c r="AZ43" s="184">
        <v>250199.49552500027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-3790783.5852000001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3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3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3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3252509.0897750002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3251365.1468000002</v>
      </c>
      <c r="AD46" s="195">
        <v>1143.9429749999981</v>
      </c>
      <c r="AE46" s="195">
        <v>0</v>
      </c>
      <c r="AF46" s="195">
        <v>-1143.9429749999981</v>
      </c>
      <c r="AG46" s="195">
        <v>0</v>
      </c>
      <c r="AH46" s="256">
        <v>-936721.1240662043</v>
      </c>
      <c r="AI46" s="195">
        <v>0</v>
      </c>
      <c r="AJ46" s="195">
        <v>137799.18567723024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-689259.4110750003</v>
      </c>
      <c r="AU46" s="195">
        <v>0</v>
      </c>
      <c r="AV46" s="195">
        <v>689259.4110750003</v>
      </c>
      <c r="AW46" s="195">
        <v>0</v>
      </c>
      <c r="AX46" s="195">
        <v>-137799.18567722943</v>
      </c>
      <c r="AY46" s="195">
        <v>0</v>
      </c>
      <c r="AZ46" s="195">
        <v>137799.18567723024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-4497289.4146999996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3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0</v>
      </c>
      <c r="Q47" s="171">
        <v>0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0</v>
      </c>
      <c r="AD47" s="170">
        <v>0</v>
      </c>
      <c r="AE47" s="170">
        <v>0</v>
      </c>
      <c r="AF47" s="170">
        <v>0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-713159.63</v>
      </c>
      <c r="BE47" s="170">
        <v>0</v>
      </c>
      <c r="BF47" s="170">
        <v>713159.63</v>
      </c>
      <c r="BG47" s="170">
        <v>0</v>
      </c>
      <c r="BH47" s="170">
        <v>-713159.63</v>
      </c>
      <c r="BI47" s="170">
        <v>0</v>
      </c>
      <c r="BJ47" s="170">
        <v>713159.63</v>
      </c>
      <c r="BK47" s="170">
        <v>0</v>
      </c>
      <c r="BL47" s="170">
        <v>0</v>
      </c>
      <c r="BM47" s="170" t="s">
        <v>345</v>
      </c>
      <c r="BN47" s="170">
        <v>0</v>
      </c>
      <c r="BO47" s="170" t="b">
        <v>0</v>
      </c>
      <c r="BP47" s="170">
        <v>713159.63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-713159.63</v>
      </c>
      <c r="CH47" s="170">
        <v>0</v>
      </c>
      <c r="CI47" s="170">
        <v>713159.63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3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0</v>
      </c>
      <c r="AD48" s="184">
        <v>0</v>
      </c>
      <c r="AE48" s="184">
        <v>0</v>
      </c>
      <c r="AF48" s="184">
        <v>0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3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3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3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3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4.53125</v>
      </c>
      <c r="P52" s="172">
        <v>4.3125</v>
      </c>
      <c r="Q52" s="172">
        <v>0.21875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4.53125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4.53125</v>
      </c>
      <c r="BC52" s="170">
        <v>4.3125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4.53125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3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</v>
      </c>
      <c r="P53" s="172">
        <v>1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</v>
      </c>
      <c r="BC53" s="170">
        <v>1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3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7.9375</v>
      </c>
      <c r="P54" s="172">
        <v>7.75</v>
      </c>
      <c r="Q54" s="172">
        <v>0.1875</v>
      </c>
      <c r="R54" s="173" t="s">
        <v>431</v>
      </c>
      <c r="S54" s="173">
        <v>0</v>
      </c>
      <c r="T54" s="173">
        <v>0</v>
      </c>
      <c r="U54" s="249">
        <v>80443.387500000041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78543.150000000052</v>
      </c>
      <c r="AD54" s="170">
        <v>1900.2374999999884</v>
      </c>
      <c r="AE54" s="170">
        <v>0</v>
      </c>
      <c r="AF54" s="170">
        <v>-1900.2374999999884</v>
      </c>
      <c r="AG54" s="170">
        <v>0</v>
      </c>
      <c r="AH54" s="250">
        <v>569159.97150000138</v>
      </c>
      <c r="AI54" s="170">
        <v>0</v>
      </c>
      <c r="AJ54" s="170">
        <v>-312225.54749999999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80443.387500000041</v>
      </c>
      <c r="AS54" s="170">
        <v>7.9375</v>
      </c>
      <c r="AT54" s="170">
        <v>35277.675000000207</v>
      </c>
      <c r="AU54" s="170">
        <v>0</v>
      </c>
      <c r="AV54" s="170">
        <v>-35277.675000000207</v>
      </c>
      <c r="AW54" s="170">
        <v>0</v>
      </c>
      <c r="AX54" s="170">
        <v>312225.54749999999</v>
      </c>
      <c r="AY54" s="170">
        <v>0</v>
      </c>
      <c r="AZ54" s="170">
        <v>-312225.54749999999</v>
      </c>
      <c r="BA54" s="170">
        <v>0</v>
      </c>
      <c r="BB54" s="170">
        <v>7.9375</v>
      </c>
      <c r="BC54" s="170">
        <v>7.75</v>
      </c>
      <c r="BD54" s="170">
        <v>33377.437500000218</v>
      </c>
      <c r="BE54" s="170">
        <v>0</v>
      </c>
      <c r="BF54" s="170">
        <v>-33377.437500000218</v>
      </c>
      <c r="BG54" s="170">
        <v>0</v>
      </c>
      <c r="BH54" s="170">
        <v>310325.31</v>
      </c>
      <c r="BI54" s="170">
        <v>0</v>
      </c>
      <c r="BJ54" s="170">
        <v>-310325.31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-310325.31</v>
      </c>
      <c r="BQ54" s="172">
        <v>1.1200000000000001</v>
      </c>
      <c r="BR54" s="171">
        <v>11350.752000000008</v>
      </c>
      <c r="BS54" s="177">
        <v>70</v>
      </c>
      <c r="BT54" s="171">
        <v>1900.2374999999884</v>
      </c>
      <c r="BU54" s="235">
        <v>10134.6</v>
      </c>
      <c r="BV54" s="171">
        <v>14</v>
      </c>
      <c r="BW54" s="178">
        <v>7.9375</v>
      </c>
      <c r="BX54" s="178">
        <v>0</v>
      </c>
      <c r="BY54" s="170">
        <v>0</v>
      </c>
      <c r="BZ54" s="170">
        <v>-892470</v>
      </c>
      <c r="CA54" s="170">
        <v>-892470</v>
      </c>
      <c r="CB54" s="170">
        <v>-231782.16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567259.73400000134</v>
      </c>
      <c r="CH54" s="170">
        <v>0</v>
      </c>
      <c r="CI54" s="170">
        <v>-310325.31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3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80443.387500000041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78543.150000000052</v>
      </c>
      <c r="AD55" s="184">
        <v>1900.2374999999884</v>
      </c>
      <c r="AE55" s="184">
        <v>0</v>
      </c>
      <c r="AF55" s="184">
        <v>-1900.2374999999884</v>
      </c>
      <c r="AG55" s="184">
        <v>0</v>
      </c>
      <c r="AH55" s="253">
        <v>569159.97150000138</v>
      </c>
      <c r="AI55" s="184">
        <v>0</v>
      </c>
      <c r="AJ55" s="184">
        <v>-312225.54749999999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35277.675000000207</v>
      </c>
      <c r="AU55" s="184">
        <v>0</v>
      </c>
      <c r="AV55" s="184">
        <v>-35277.675000000207</v>
      </c>
      <c r="AW55" s="184">
        <v>0</v>
      </c>
      <c r="AX55" s="184">
        <v>312225.54749999999</v>
      </c>
      <c r="AY55" s="184">
        <v>0</v>
      </c>
      <c r="AZ55" s="184">
        <v>-312225.54749999999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-892470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3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3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3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3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3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3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3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3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3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1.5066768694349754E-2</v>
      </c>
      <c r="M64" s="171">
        <v>0</v>
      </c>
      <c r="N64" s="171">
        <v>0.94881806237937971</v>
      </c>
      <c r="O64" s="170">
        <v>5.6930356462311389</v>
      </c>
      <c r="P64" s="171">
        <v>5.6890813099384818</v>
      </c>
      <c r="Q64" s="171">
        <v>3.954336292657068E-3</v>
      </c>
      <c r="R64" s="173" t="s">
        <v>445</v>
      </c>
      <c r="S64" s="173">
        <v>0</v>
      </c>
      <c r="T64" s="173">
        <v>0</v>
      </c>
      <c r="U64" s="249">
        <v>889536.81972361542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888918.95467788784</v>
      </c>
      <c r="AD64" s="170">
        <v>617.86504572757985</v>
      </c>
      <c r="AE64" s="170">
        <v>0</v>
      </c>
      <c r="AF64" s="170">
        <v>-617.86504572757985</v>
      </c>
      <c r="AG64" s="170">
        <v>0</v>
      </c>
      <c r="AH64" s="250">
        <v>-822331.56846053223</v>
      </c>
      <c r="AI64" s="170">
        <v>0</v>
      </c>
      <c r="AJ64" s="170">
        <v>-234005.25317813561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20599.097824306304</v>
      </c>
      <c r="AP64" s="170">
        <v>1711868.3881841477</v>
      </c>
      <c r="AQ64" s="175">
        <v>1</v>
      </c>
      <c r="AR64" s="170">
        <v>1297212.1946593083</v>
      </c>
      <c r="AS64" s="170">
        <v>8.75</v>
      </c>
      <c r="AT64" s="170">
        <v>101935.93420072459</v>
      </c>
      <c r="AU64" s="170">
        <v>0</v>
      </c>
      <c r="AV64" s="170">
        <v>-101935.93420072459</v>
      </c>
      <c r="AW64" s="170">
        <v>0</v>
      </c>
      <c r="AX64" s="170">
        <v>234005.25317813526</v>
      </c>
      <c r="AY64" s="170">
        <v>0</v>
      </c>
      <c r="AZ64" s="170">
        <v>-234005.25317813561</v>
      </c>
      <c r="BA64" s="170">
        <v>0</v>
      </c>
      <c r="BB64" s="170">
        <v>8.75</v>
      </c>
      <c r="BC64" s="170">
        <v>8.75</v>
      </c>
      <c r="BD64" s="170">
        <v>101318.06915499701</v>
      </c>
      <c r="BE64" s="170">
        <v>0</v>
      </c>
      <c r="BF64" s="170">
        <v>-101318.06915499701</v>
      </c>
      <c r="BG64" s="170">
        <v>0</v>
      </c>
      <c r="BH64" s="170">
        <v>233387.38813240768</v>
      </c>
      <c r="BI64" s="170">
        <v>0</v>
      </c>
      <c r="BJ64" s="170">
        <v>-233387.38813240803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-233387.38813240803</v>
      </c>
      <c r="BQ64" s="171">
        <v>0</v>
      </c>
      <c r="BR64" s="171">
        <v>0</v>
      </c>
      <c r="BS64" s="177">
        <v>74</v>
      </c>
      <c r="BT64" s="171">
        <v>0</v>
      </c>
      <c r="BU64" s="235">
        <v>148252.82224677809</v>
      </c>
      <c r="BV64" s="171">
        <v>142</v>
      </c>
      <c r="BW64" s="178">
        <v>8.75</v>
      </c>
      <c r="BX64" s="178">
        <v>8.75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-822949.43350625981</v>
      </c>
      <c r="CH64" s="170">
        <v>0</v>
      </c>
      <c r="CI64" s="170">
        <v>-233387.38813240803</v>
      </c>
      <c r="CJ64" s="170">
        <v>-1056336.821638668</v>
      </c>
      <c r="CK64" s="171">
        <v>0</v>
      </c>
      <c r="CL64" s="171">
        <v>0</v>
      </c>
    </row>
    <row r="65" spans="1:90" outlineLevel="3" x14ac:dyDescent="0.3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3.1175786358508362E-2</v>
      </c>
      <c r="M65" s="171">
        <v>0.5</v>
      </c>
      <c r="N65" s="171">
        <v>0.43732751460202723</v>
      </c>
      <c r="O65" s="170">
        <v>2.8572894218396732</v>
      </c>
      <c r="P65" s="171">
        <v>1.7533046970361272</v>
      </c>
      <c r="Q65" s="171">
        <v>1.1039847248035459</v>
      </c>
      <c r="R65" s="173" t="s">
        <v>446</v>
      </c>
      <c r="S65" s="173">
        <v>0</v>
      </c>
      <c r="T65" s="173">
        <v>0</v>
      </c>
      <c r="U65" s="249">
        <v>222868.5749034945</v>
      </c>
      <c r="V65" s="170" t="s">
        <v>344</v>
      </c>
      <c r="W65" s="170">
        <v>307003.91525062313</v>
      </c>
      <c r="X65" s="170">
        <v>0</v>
      </c>
      <c r="Y65" s="170">
        <v>307003.91525062313</v>
      </c>
      <c r="Z65" s="170">
        <v>0</v>
      </c>
      <c r="AA65" s="170">
        <v>0</v>
      </c>
      <c r="AB65" s="170">
        <v>0</v>
      </c>
      <c r="AC65" s="249">
        <v>136757.76636881792</v>
      </c>
      <c r="AD65" s="170">
        <v>86110.808534676587</v>
      </c>
      <c r="AE65" s="170">
        <v>0</v>
      </c>
      <c r="AF65" s="170">
        <v>-86110.808534676587</v>
      </c>
      <c r="AG65" s="170">
        <v>0</v>
      </c>
      <c r="AH65" s="250">
        <v>81887.867217381106</v>
      </c>
      <c r="AI65" s="170">
        <v>0</v>
      </c>
      <c r="AJ65" s="170">
        <v>-130931.51670266243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43770.804047345744</v>
      </c>
      <c r="AP65" s="170">
        <v>140980.7076861134</v>
      </c>
      <c r="AQ65" s="175">
        <v>1</v>
      </c>
      <c r="AR65" s="170">
        <v>614007.83050124627</v>
      </c>
      <c r="AS65" s="170">
        <v>18</v>
      </c>
      <c r="AT65" s="170">
        <v>96324.193713231158</v>
      </c>
      <c r="AU65" s="170">
        <v>0</v>
      </c>
      <c r="AV65" s="170">
        <v>-96324.193713231158</v>
      </c>
      <c r="AW65" s="170">
        <v>0</v>
      </c>
      <c r="AX65" s="170">
        <v>130931.5167026624</v>
      </c>
      <c r="AY65" s="170">
        <v>0</v>
      </c>
      <c r="AZ65" s="170">
        <v>-130931.51670266243</v>
      </c>
      <c r="BA65" s="170">
        <v>0</v>
      </c>
      <c r="BB65" s="170">
        <v>18</v>
      </c>
      <c r="BC65" s="170">
        <v>15.1875</v>
      </c>
      <c r="BD65" s="170">
        <v>10213.38517855457</v>
      </c>
      <c r="BE65" s="170">
        <v>0</v>
      </c>
      <c r="BF65" s="170">
        <v>-10213.38517855457</v>
      </c>
      <c r="BG65" s="170">
        <v>0</v>
      </c>
      <c r="BH65" s="170">
        <v>44820.708167985809</v>
      </c>
      <c r="BI65" s="170">
        <v>0</v>
      </c>
      <c r="BJ65" s="170">
        <v>-44820.708167985846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-44820.708167985846</v>
      </c>
      <c r="BQ65" s="171">
        <v>0</v>
      </c>
      <c r="BR65" s="171">
        <v>0</v>
      </c>
      <c r="BS65" s="177">
        <v>74</v>
      </c>
      <c r="BT65" s="171">
        <v>0</v>
      </c>
      <c r="BU65" s="235">
        <v>34111.546138958125</v>
      </c>
      <c r="BV65" s="171">
        <v>146</v>
      </c>
      <c r="BW65" s="178">
        <v>18</v>
      </c>
      <c r="BX65" s="178">
        <v>18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-4222.941317295481</v>
      </c>
      <c r="CH65" s="170">
        <v>0</v>
      </c>
      <c r="CI65" s="170">
        <v>-44820.708167985846</v>
      </c>
      <c r="CJ65" s="170">
        <v>-49043.649485281327</v>
      </c>
      <c r="CK65" s="171">
        <v>0.5</v>
      </c>
      <c r="CL65" s="171">
        <v>0</v>
      </c>
    </row>
    <row r="66" spans="1:90" outlineLevel="3" x14ac:dyDescent="0.3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4.53125</v>
      </c>
      <c r="BC66" s="170">
        <v>4.3125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4.53125</v>
      </c>
      <c r="BX66" s="178">
        <v>4.53125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3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1112405.3946271099</v>
      </c>
      <c r="V67" s="184"/>
      <c r="W67" s="184">
        <v>796347.81959764718</v>
      </c>
      <c r="X67" s="184">
        <v>0</v>
      </c>
      <c r="Y67" s="184">
        <v>796347.81959764718</v>
      </c>
      <c r="Z67" s="184">
        <v>0</v>
      </c>
      <c r="AA67" s="184">
        <v>0</v>
      </c>
      <c r="AB67" s="184">
        <v>0</v>
      </c>
      <c r="AC67" s="252">
        <v>1025676.7210467057</v>
      </c>
      <c r="AD67" s="184">
        <v>86728.673580404167</v>
      </c>
      <c r="AE67" s="184">
        <v>0</v>
      </c>
      <c r="AF67" s="184">
        <v>-86728.673580404167</v>
      </c>
      <c r="AG67" s="184">
        <v>0</v>
      </c>
      <c r="AH67" s="253">
        <v>-740443.7012431511</v>
      </c>
      <c r="AI67" s="184">
        <v>0</v>
      </c>
      <c r="AJ67" s="184">
        <v>-364936.76988079806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198260.12791395574</v>
      </c>
      <c r="AU67" s="184">
        <v>0</v>
      </c>
      <c r="AV67" s="184">
        <v>-198260.12791395574</v>
      </c>
      <c r="AW67" s="184">
        <v>0</v>
      </c>
      <c r="AX67" s="184">
        <v>364936.76988079766</v>
      </c>
      <c r="AY67" s="184">
        <v>0</v>
      </c>
      <c r="AZ67" s="184">
        <v>-364936.76988079806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3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47814755.072127111</v>
      </c>
      <c r="V68" s="195"/>
      <c r="W68" s="195">
        <v>12550305.319597647</v>
      </c>
      <c r="X68" s="195">
        <v>0</v>
      </c>
      <c r="Y68" s="195">
        <v>12550305.319597647</v>
      </c>
      <c r="Z68" s="195">
        <v>0</v>
      </c>
      <c r="AA68" s="195">
        <v>0</v>
      </c>
      <c r="AB68" s="195">
        <v>0</v>
      </c>
      <c r="AC68" s="255">
        <v>47726126.161046706</v>
      </c>
      <c r="AD68" s="195">
        <v>88628.911080404156</v>
      </c>
      <c r="AE68" s="195">
        <v>0</v>
      </c>
      <c r="AF68" s="195">
        <v>-88628.911080404156</v>
      </c>
      <c r="AG68" s="195">
        <v>0</v>
      </c>
      <c r="AH68" s="256">
        <v>-818935.92974315002</v>
      </c>
      <c r="AI68" s="195">
        <v>0</v>
      </c>
      <c r="AJ68" s="195">
        <v>-29510.117380797717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-479621.82708604413</v>
      </c>
      <c r="AU68" s="195">
        <v>0</v>
      </c>
      <c r="AV68" s="195">
        <v>479621.82708604413</v>
      </c>
      <c r="AW68" s="195">
        <v>0</v>
      </c>
      <c r="AX68" s="195">
        <v>29510.117380797339</v>
      </c>
      <c r="AY68" s="195">
        <v>0</v>
      </c>
      <c r="AZ68" s="195">
        <v>-29510.117380797717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-19369170.170000002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3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3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3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3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3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3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3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3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3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3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3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3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1.9380619380619382</v>
      </c>
      <c r="P80" s="172">
        <v>1.9834710743801653</v>
      </c>
      <c r="Q80" s="172">
        <v>-4.5409136318227183E-2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1.9380619380619382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1.9380619380619382</v>
      </c>
      <c r="BC80" s="170">
        <v>1.9834710743801653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1.9380619380619382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3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4.5</v>
      </c>
      <c r="P81" s="172">
        <v>4.25</v>
      </c>
      <c r="Q81" s="172">
        <v>0.25</v>
      </c>
      <c r="R81" s="173" t="s">
        <v>467</v>
      </c>
      <c r="S81" s="173">
        <v>0</v>
      </c>
      <c r="T81" s="173">
        <v>0</v>
      </c>
      <c r="U81" s="249">
        <v>269509.5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254536.75</v>
      </c>
      <c r="AD81" s="170">
        <v>14972.75</v>
      </c>
      <c r="AE81" s="170">
        <v>0</v>
      </c>
      <c r="AF81" s="170">
        <v>-14972.75</v>
      </c>
      <c r="AG81" s="170">
        <v>0</v>
      </c>
      <c r="AH81" s="250">
        <v>-116038.8125</v>
      </c>
      <c r="AI81" s="170">
        <v>0</v>
      </c>
      <c r="AJ81" s="170">
        <v>82350.75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269509.5</v>
      </c>
      <c r="AS81" s="170">
        <v>4.5</v>
      </c>
      <c r="AT81" s="170">
        <v>-3743.1875</v>
      </c>
      <c r="AU81" s="170">
        <v>0</v>
      </c>
      <c r="AV81" s="170">
        <v>3743.1875</v>
      </c>
      <c r="AW81" s="170">
        <v>0</v>
      </c>
      <c r="AX81" s="170">
        <v>-82350.75</v>
      </c>
      <c r="AY81" s="170">
        <v>0</v>
      </c>
      <c r="AZ81" s="170">
        <v>82350.75</v>
      </c>
      <c r="BA81" s="170">
        <v>0</v>
      </c>
      <c r="BB81" s="170">
        <v>4.5</v>
      </c>
      <c r="BC81" s="170">
        <v>4.25</v>
      </c>
      <c r="BD81" s="170">
        <v>-18715.9375</v>
      </c>
      <c r="BE81" s="170">
        <v>0</v>
      </c>
      <c r="BF81" s="170">
        <v>18715.9375</v>
      </c>
      <c r="BG81" s="170">
        <v>0</v>
      </c>
      <c r="BH81" s="170">
        <v>-97323.5</v>
      </c>
      <c r="BI81" s="170">
        <v>0</v>
      </c>
      <c r="BJ81" s="170">
        <v>97323.5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97323.5</v>
      </c>
      <c r="BQ81" s="172">
        <v>1.1200000000000001</v>
      </c>
      <c r="BR81" s="171">
        <v>67077.919999999998</v>
      </c>
      <c r="BS81" s="177">
        <v>70</v>
      </c>
      <c r="BT81" s="171">
        <v>14972.75</v>
      </c>
      <c r="BU81" s="235">
        <v>59891</v>
      </c>
      <c r="BV81" s="171">
        <v>12</v>
      </c>
      <c r="BW81" s="178">
        <v>4.5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-131011.5625</v>
      </c>
      <c r="CH81" s="170">
        <v>0</v>
      </c>
      <c r="CI81" s="170">
        <v>97323.5</v>
      </c>
      <c r="CJ81" s="170">
        <v>-33688.0625</v>
      </c>
      <c r="CK81" s="171">
        <v>0</v>
      </c>
      <c r="CL81" s="171">
        <v>0</v>
      </c>
    </row>
    <row r="82" spans="1:90" outlineLevel="3" x14ac:dyDescent="0.3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3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18</v>
      </c>
      <c r="P83" s="172">
        <v>17.25</v>
      </c>
      <c r="Q83" s="172">
        <v>0.75</v>
      </c>
      <c r="R83" s="173">
        <v>0</v>
      </c>
      <c r="S83" s="173">
        <v>0</v>
      </c>
      <c r="T83" s="173">
        <v>0</v>
      </c>
      <c r="U83" s="249">
        <v>24107148</v>
      </c>
      <c r="V83" s="170" t="s">
        <v>344</v>
      </c>
      <c r="W83" s="170">
        <v>723214.44</v>
      </c>
      <c r="X83" s="170">
        <v>0</v>
      </c>
      <c r="Y83" s="170">
        <v>723214.44</v>
      </c>
      <c r="Z83" s="170">
        <v>0</v>
      </c>
      <c r="AA83" s="170">
        <v>0</v>
      </c>
      <c r="AB83" s="170">
        <v>0</v>
      </c>
      <c r="AC83" s="249">
        <v>23102683.5</v>
      </c>
      <c r="AD83" s="170">
        <v>1004464.5</v>
      </c>
      <c r="AE83" s="170">
        <v>0</v>
      </c>
      <c r="AF83" s="170">
        <v>-1004464.5</v>
      </c>
      <c r="AG83" s="170">
        <v>0</v>
      </c>
      <c r="AH83" s="250">
        <v>-36492873</v>
      </c>
      <c r="AI83" s="170">
        <v>0</v>
      </c>
      <c r="AJ83" s="170">
        <v>36492873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24107148</v>
      </c>
      <c r="AS83" s="170">
        <v>18</v>
      </c>
      <c r="AT83" s="170">
        <v>-36492873</v>
      </c>
      <c r="AU83" s="170">
        <v>0</v>
      </c>
      <c r="AV83" s="170">
        <v>36492873</v>
      </c>
      <c r="AW83" s="170">
        <v>0</v>
      </c>
      <c r="AX83" s="170">
        <v>-36492873</v>
      </c>
      <c r="AY83" s="170">
        <v>0</v>
      </c>
      <c r="AZ83" s="170">
        <v>36492873</v>
      </c>
      <c r="BA83" s="170">
        <v>0</v>
      </c>
      <c r="BB83" s="170">
        <v>18</v>
      </c>
      <c r="BC83" s="170">
        <v>17.25</v>
      </c>
      <c r="BD83" s="170">
        <v>-37497337.5</v>
      </c>
      <c r="BE83" s="170">
        <v>0</v>
      </c>
      <c r="BF83" s="170">
        <v>37497337.5</v>
      </c>
      <c r="BG83" s="170">
        <v>0</v>
      </c>
      <c r="BH83" s="170">
        <v>-37497337.5</v>
      </c>
      <c r="BI83" s="170">
        <v>0</v>
      </c>
      <c r="BJ83" s="170">
        <v>37497337.5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37497337.5</v>
      </c>
      <c r="BQ83" s="172">
        <v>0</v>
      </c>
      <c r="BR83" s="171">
        <v>0</v>
      </c>
      <c r="BS83" s="177">
        <v>70</v>
      </c>
      <c r="BT83" s="171">
        <v>1004464.5</v>
      </c>
      <c r="BU83" s="235">
        <v>1339286</v>
      </c>
      <c r="BV83" s="171">
        <v>38</v>
      </c>
      <c r="BW83" s="178">
        <v>18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-37497337.5</v>
      </c>
      <c r="CH83" s="170">
        <v>0</v>
      </c>
      <c r="CI83" s="170">
        <v>37497337.5</v>
      </c>
      <c r="CJ83" s="170">
        <v>0</v>
      </c>
      <c r="CK83" s="171">
        <v>0.03</v>
      </c>
      <c r="CL83" s="171">
        <v>0</v>
      </c>
    </row>
    <row r="84" spans="1:90" outlineLevel="3" x14ac:dyDescent="0.3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9.75</v>
      </c>
      <c r="P84" s="172">
        <v>8.4375</v>
      </c>
      <c r="Q84" s="172">
        <v>1.3125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9.75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9.75</v>
      </c>
      <c r="BC84" s="170">
        <v>8.4375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9.75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3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24376657.5</v>
      </c>
      <c r="V85" s="184"/>
      <c r="W85" s="184">
        <v>723214.44</v>
      </c>
      <c r="X85" s="184">
        <v>0</v>
      </c>
      <c r="Y85" s="184">
        <v>723214.44</v>
      </c>
      <c r="Z85" s="184">
        <v>0</v>
      </c>
      <c r="AA85" s="184">
        <v>0</v>
      </c>
      <c r="AB85" s="184">
        <v>0</v>
      </c>
      <c r="AC85" s="252">
        <v>23357220.25</v>
      </c>
      <c r="AD85" s="184">
        <v>1019437.25</v>
      </c>
      <c r="AE85" s="184">
        <v>0</v>
      </c>
      <c r="AF85" s="184">
        <v>-1019437.25</v>
      </c>
      <c r="AG85" s="184">
        <v>0</v>
      </c>
      <c r="AH85" s="253">
        <v>-39045768.462499999</v>
      </c>
      <c r="AI85" s="184">
        <v>0</v>
      </c>
      <c r="AJ85" s="184">
        <v>37303064.212499999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-37676843.149999999</v>
      </c>
      <c r="AU85" s="184">
        <v>0</v>
      </c>
      <c r="AV85" s="184">
        <v>37676843.149999999</v>
      </c>
      <c r="AW85" s="184">
        <v>0</v>
      </c>
      <c r="AX85" s="184">
        <v>-37303064.212499999</v>
      </c>
      <c r="AY85" s="184">
        <v>0</v>
      </c>
      <c r="AZ85" s="184">
        <v>37303064.212499999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3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3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3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3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3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3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145641478.1899839</v>
      </c>
      <c r="V91" s="195"/>
      <c r="W91" s="195">
        <v>723214.44</v>
      </c>
      <c r="X91" s="195">
        <v>0</v>
      </c>
      <c r="Y91" s="195">
        <v>723214.44</v>
      </c>
      <c r="Z91" s="195">
        <v>0</v>
      </c>
      <c r="AA91" s="195">
        <v>0</v>
      </c>
      <c r="AB91" s="195">
        <v>0</v>
      </c>
      <c r="AC91" s="255">
        <v>144622040.9399839</v>
      </c>
      <c r="AD91" s="195">
        <v>1019437.25</v>
      </c>
      <c r="AE91" s="195">
        <v>0</v>
      </c>
      <c r="AF91" s="195">
        <v>-1019437.25</v>
      </c>
      <c r="AG91" s="195">
        <v>0</v>
      </c>
      <c r="AH91" s="256">
        <v>-96221443.094039127</v>
      </c>
      <c r="AI91" s="195">
        <v>0</v>
      </c>
      <c r="AJ91" s="195">
        <v>94298404.028140649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-94863410.63000001</v>
      </c>
      <c r="AU91" s="195">
        <v>0</v>
      </c>
      <c r="AV91" s="195">
        <v>94863410.63000001</v>
      </c>
      <c r="AW91" s="195">
        <v>0</v>
      </c>
      <c r="AX91" s="195">
        <v>-94298404.028140649</v>
      </c>
      <c r="AY91" s="195">
        <v>0</v>
      </c>
      <c r="AZ91" s="195">
        <v>94298404.028140649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3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400927064.00045586</v>
      </c>
      <c r="V92" s="184"/>
      <c r="W92" s="184">
        <v>13273519.759597646</v>
      </c>
      <c r="X92" s="184">
        <v>0</v>
      </c>
      <c r="Y92" s="184">
        <v>13273519.759597646</v>
      </c>
      <c r="Z92" s="184">
        <v>0</v>
      </c>
      <c r="AA92" s="184">
        <v>0</v>
      </c>
      <c r="AB92" s="184">
        <v>0</v>
      </c>
      <c r="AC92" s="252">
        <v>392678918.31466258</v>
      </c>
      <c r="AD92" s="184">
        <v>8248145.6857932787</v>
      </c>
      <c r="AE92" s="184">
        <v>0</v>
      </c>
      <c r="AF92" s="184">
        <v>-8248145.6857932787</v>
      </c>
      <c r="AG92" s="184">
        <v>0</v>
      </c>
      <c r="AH92" s="253">
        <v>-232604001.24920753</v>
      </c>
      <c r="AI92" s="184">
        <v>0</v>
      </c>
      <c r="AJ92" s="184">
        <v>291312542.50094908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-88383406.036045685</v>
      </c>
      <c r="AU92" s="184">
        <v>0</v>
      </c>
      <c r="AV92" s="184">
        <v>88383406.036045685</v>
      </c>
      <c r="AW92" s="184">
        <v>0</v>
      </c>
      <c r="AX92" s="184">
        <v>-291311169.83019263</v>
      </c>
      <c r="AY92" s="184">
        <v>-1372.6707564118635</v>
      </c>
      <c r="AZ92" s="184">
        <v>291312542.50094908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-43852753.249351166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5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400927064.00045586</v>
      </c>
      <c r="V93" s="211"/>
      <c r="W93" s="211">
        <v>13273519.759597646</v>
      </c>
      <c r="X93" s="211">
        <v>0</v>
      </c>
      <c r="Y93" s="211">
        <v>13273519.759597646</v>
      </c>
      <c r="Z93" s="211">
        <v>0</v>
      </c>
      <c r="AA93" s="211">
        <v>0</v>
      </c>
      <c r="AB93" s="211">
        <v>0</v>
      </c>
      <c r="AC93" s="258">
        <v>392678918.31466258</v>
      </c>
      <c r="AD93" s="211">
        <v>8248145.6857932787</v>
      </c>
      <c r="AE93" s="211">
        <v>0</v>
      </c>
      <c r="AF93" s="211">
        <v>-8248145.6857932787</v>
      </c>
      <c r="AG93" s="211">
        <v>0</v>
      </c>
      <c r="AH93" s="259">
        <v>-232604001.24920753</v>
      </c>
      <c r="AI93" s="211">
        <v>0</v>
      </c>
      <c r="AJ93" s="211">
        <v>291312542.50094908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-88383406.036045685</v>
      </c>
      <c r="AU93" s="211">
        <v>0</v>
      </c>
      <c r="AV93" s="211">
        <v>88383406.036045685</v>
      </c>
      <c r="AW93" s="211">
        <v>0</v>
      </c>
      <c r="AX93" s="211">
        <v>-291311169.83019263</v>
      </c>
      <c r="AY93" s="211">
        <v>-1372.6707564118635</v>
      </c>
      <c r="AZ93" s="211">
        <v>291312542.50094908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-43852753.249351166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2023-09-10T11:44:03Z</dcterms:modified>
</cp:coreProperties>
</file>