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88" windowWidth="14628" windowHeight="8640"/>
  </bookViews>
  <sheets>
    <sheet name="Summary" sheetId="1" r:id="rId1"/>
    <sheet name="Daily Position" sheetId="3" r:id="rId2"/>
    <sheet name="Stock Prices" sheetId="2" r:id="rId3"/>
    <sheet name="Financials" sheetId="4" r:id="rId4"/>
    <sheet name="Cash-Int-Trans" sheetId="6" r:id="rId5"/>
    <sheet name="Amort" sheetId="5" r:id="rId6"/>
  </sheets>
  <definedNames>
    <definedName name="_xlnm._FilterDatabase" localSheetId="2" hidden="1">'Stock Prices'!#REF!</definedName>
    <definedName name="Amort">Amort!$A$10:$G$20</definedName>
    <definedName name="ene">'Stock Prices'!$A$5:$B$340</definedName>
    <definedName name="Loan">Amort!$A$42:$I$52</definedName>
    <definedName name="LoanPeriod">Amort!$B$42:$I$52</definedName>
    <definedName name="MPRR">#REF!</definedName>
    <definedName name="Note">Amort!$A$10:$I$20</definedName>
    <definedName name="NotePeriod">Amort!$B$10:$I$20</definedName>
    <definedName name="_xlnm.Print_Area" localSheetId="0">Summary!$A$1:$F$25</definedName>
    <definedName name="Privates">#REF!</definedName>
  </definedNames>
  <calcPr calcId="92512" calcOnSave="0"/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E66" i="5"/>
  <c r="B4" i="6"/>
  <c r="G4" i="6"/>
  <c r="B6" i="6"/>
  <c r="B8" i="6"/>
  <c r="B9" i="6"/>
  <c r="D9" i="6"/>
  <c r="B12" i="6"/>
  <c r="B15" i="6"/>
  <c r="B16" i="6"/>
  <c r="D16" i="6"/>
  <c r="B20" i="6"/>
  <c r="B22" i="6"/>
  <c r="B23" i="6"/>
  <c r="A24" i="6"/>
  <c r="B24" i="6"/>
  <c r="B27" i="6"/>
  <c r="B28" i="6"/>
  <c r="B29" i="6"/>
  <c r="B30" i="6"/>
  <c r="B32" i="6"/>
  <c r="B33" i="6"/>
  <c r="B35" i="6"/>
  <c r="D35" i="6"/>
  <c r="B38" i="6"/>
  <c r="B41" i="6"/>
  <c r="B42" i="6"/>
  <c r="B43" i="6"/>
  <c r="B44" i="6"/>
  <c r="F45" i="6"/>
  <c r="B47" i="6"/>
  <c r="B49" i="6"/>
  <c r="B53" i="6"/>
  <c r="B54" i="6"/>
  <c r="B55" i="6"/>
  <c r="B56" i="6"/>
  <c r="B60" i="6"/>
  <c r="D61" i="6"/>
  <c r="D62" i="6"/>
  <c r="B63" i="6"/>
  <c r="D63" i="6"/>
  <c r="D64" i="6"/>
  <c r="K6" i="3"/>
  <c r="N6" i="3"/>
  <c r="P6" i="3"/>
  <c r="E8" i="3"/>
  <c r="I8" i="3"/>
  <c r="L8" i="3"/>
  <c r="M8" i="3"/>
  <c r="N8" i="3"/>
  <c r="O8" i="3"/>
  <c r="P8" i="3"/>
  <c r="S8" i="3"/>
  <c r="H2" i="4"/>
  <c r="L2" i="4"/>
  <c r="I5" i="4"/>
  <c r="B6" i="4"/>
  <c r="I6" i="4"/>
  <c r="M6" i="4"/>
  <c r="E7" i="4"/>
  <c r="B8" i="4"/>
  <c r="M8" i="4"/>
  <c r="P8" i="4"/>
  <c r="Q8" i="4"/>
  <c r="E9" i="4"/>
  <c r="M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I14" i="4"/>
  <c r="M14" i="4"/>
  <c r="P14" i="4"/>
  <c r="B15" i="4"/>
  <c r="I15" i="4"/>
  <c r="M15" i="4"/>
  <c r="P15" i="4"/>
  <c r="B16" i="4"/>
  <c r="I16" i="4"/>
  <c r="P16" i="4"/>
  <c r="Q16" i="4"/>
  <c r="B17" i="4"/>
  <c r="D17" i="4"/>
  <c r="I17" i="4"/>
  <c r="B18" i="4"/>
  <c r="P18" i="4"/>
  <c r="I19" i="4"/>
  <c r="P19" i="4"/>
  <c r="I20" i="4"/>
  <c r="M20" i="4"/>
  <c r="O20" i="4"/>
  <c r="P20" i="4"/>
  <c r="E21" i="4"/>
  <c r="I21" i="4"/>
  <c r="P21" i="4"/>
  <c r="I22" i="4"/>
  <c r="P22" i="4"/>
  <c r="E23" i="4"/>
  <c r="I23" i="4"/>
  <c r="P23" i="4"/>
  <c r="E24" i="4"/>
  <c r="P24" i="4"/>
  <c r="E25" i="4"/>
  <c r="P25" i="4"/>
  <c r="E26" i="4"/>
  <c r="P26" i="4"/>
  <c r="I27" i="4"/>
  <c r="P27" i="4"/>
  <c r="E28" i="4"/>
  <c r="I28" i="4"/>
  <c r="E29" i="4"/>
  <c r="I29" i="4"/>
  <c r="E30" i="4"/>
  <c r="I31" i="4"/>
  <c r="M31" i="4"/>
  <c r="I32" i="4"/>
  <c r="M32" i="4"/>
  <c r="I33" i="4"/>
  <c r="M33" i="4"/>
  <c r="A34" i="4"/>
  <c r="I34" i="4"/>
  <c r="M34" i="4"/>
  <c r="A35" i="4"/>
  <c r="I35" i="4"/>
  <c r="M35" i="4"/>
  <c r="I36" i="4"/>
  <c r="M36" i="4"/>
  <c r="M37" i="4"/>
  <c r="M38" i="4"/>
  <c r="M39" i="4"/>
  <c r="N39" i="4"/>
  <c r="M40" i="4"/>
  <c r="N40" i="4"/>
  <c r="B42" i="2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sharedStrings.xml><?xml version="1.0" encoding="utf-8"?>
<sst xmlns="http://schemas.openxmlformats.org/spreadsheetml/2006/main" count="285" uniqueCount="211">
  <si>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</si>
  <si>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</si>
  <si>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</si>
  <si>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</si>
  <si>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</si>
  <si>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</si>
  <si>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</si>
  <si>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</si>
  <si>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</si>
  <si>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</si>
  <si>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</si>
  <si>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</si>
  <si>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</si>
  <si>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</si>
  <si>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</si>
  <si>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</si>
  <si>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</si>
  <si>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</si>
  <si>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</si>
  <si>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</si>
  <si>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</si>
  <si>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</si>
  <si>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</si>
  <si>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</si>
  <si>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</si>
  <si>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</si>
  <si>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</si>
  <si>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</si>
  <si>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</si>
  <si>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</si>
  <si>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</si>
  <si>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</si>
  <si>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</si>
  <si>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</si>
  <si>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</si>
  <si>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</si>
  <si>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</si>
  <si>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</si>
  <si>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</si>
  <si>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</si>
  <si>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</si>
  <si>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</si>
  <si>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</si>
  <si>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</si>
  <si>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</si>
  <si>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</si>
  <si>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</si>
  <si>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</si>
  <si>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</si>
  <si>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</si>
  <si>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</si>
  <si>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</si>
  <si>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</si>
  <si>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</si>
  <si>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</si>
  <si>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</si>
  <si>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</si>
  <si>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</si>
  <si>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</si>
  <si>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</si>
  <si>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</si>
  <si>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</si>
  <si>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</si>
  <si>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</si>
  <si>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</si>
  <si>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</si>
  <si>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</si>
  <si>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</si>
  <si>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</si>
  <si>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</si>
  <si>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</si>
  <si>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</si>
  <si>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</si>
  <si>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</si>
  <si>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</si>
  <si>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</si>
  <si>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</si>
  <si>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</si>
  <si>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</si>
  <si>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</si>
  <si>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</si>
  <si>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</si>
  <si>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</si>
  <si>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</si>
  <si>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</si>
  <si>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</si>
  <si>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</si>
  <si>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</si>
  <si>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</si>
  <si>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</si>
  <si>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</si>
  <si>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</si>
  <si>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</si>
  <si>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</si>
  <si>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</si>
  <si>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</si>
  <si>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</si>
  <si>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</si>
  <si>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</si>
  <si>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</si>
  <si>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</si>
  <si>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</si>
  <si>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</si>
  <si>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</si>
  <si>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</si>
  <si>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</si>
  <si>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</si>
  <si>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</si>
  <si>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</si>
  <si>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</si>
  <si>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</si>
  <si>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</si>
  <si>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</si>
  <si>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</si>
  <si>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</si>
  <si>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</si>
  <si>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</si>
  <si>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</si>
  <si>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</si>
  <si>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</si>
  <si>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</si>
  <si>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</si>
  <si>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</si>
  <si>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</si>
  <si>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</si>
  <si>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</si>
  <si>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</si>
  <si>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</si>
  <si>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</si>
  <si>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</si>
  <si>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</si>
  <si>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</si>
  <si>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</si>
  <si>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</si>
  <si>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</si>
  <si>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</si>
  <si>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</si>
  <si>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</si>
  <si>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</si>
  <si>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</si>
  <si>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</si>
  <si>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</si>
  <si>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</si>
  <si>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</si>
  <si>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</si>
  <si>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</si>
  <si>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</si>
  <si>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</si>
  <si>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</si>
  <si>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</si>
  <si>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</si>
  <si>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</si>
  <si>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</si>
  <si>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</si>
  <si>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</si>
  <si>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</si>
  <si>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</si>
  <si>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</si>
  <si>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</si>
  <si>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</si>
  <si>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</si>
  <si>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</si>
  <si>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</si>
  <si>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PRIVATES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</si>
  <si>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</si>
  <si>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</si>
  <si>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</si>
  <si>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</si>
  <si>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</si>
  <si>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</si>
  <si>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</si>
  <si>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</si>
  <si>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</si>
  <si>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</si>
  <si>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</si>
  <si>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Price/Value</t>
  </si>
  <si>
    <t>Increase (+) Decrease (-)</t>
  </si>
  <si>
    <t>increase to loan is settlement of Put option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</si>
  <si>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</si>
  <si>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</si>
  <si>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</si>
  <si>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</si>
  <si>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</si>
  <si>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</si>
  <si>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</si>
  <si>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</si>
  <si>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</si>
  <si>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</si>
  <si>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Column</t>
  </si>
  <si>
    <t>Put Option Exposure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</si>
  <si>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</si>
  <si>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</si>
  <si>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</si>
  <si>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</si>
  <si>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</si>
  <si>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</si>
  <si>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</si>
  <si>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</si>
  <si>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end</t>
  </si>
  <si>
    <t>Raptor II Daily Position Report &amp; Summary</t>
  </si>
  <si>
    <t>Raptor II</t>
  </si>
  <si>
    <t>Talon Balance Sheet as of 6/29/00</t>
  </si>
  <si>
    <t>EI Brazil Gas Holdings and</t>
  </si>
  <si>
    <t>EI Brazil Investments 1997</t>
  </si>
  <si>
    <t>EI Brazil 1997 and</t>
  </si>
  <si>
    <t>(1) Put at $78.875 per share and Call at $111.8633 included</t>
  </si>
  <si>
    <t>Collar Gains / (Losses)</t>
  </si>
  <si>
    <t>Plus:  Talon Earnings (1)</t>
  </si>
  <si>
    <t xml:space="preserve">          ENE share gain (loss) from $68.75</t>
  </si>
  <si>
    <t>Collar Receivable</t>
  </si>
  <si>
    <t>Collar Obligation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</si>
</sst>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26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4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3" fontId="0" fillId="0" borderId="0" xfId="1" applyFont="1"/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65" fontId="25" fillId="0" borderId="0" xfId="1" applyNumberFormat="1" applyFont="1"/>
    <xf numFmtId="44" fontId="0" fillId="0" borderId="0" xfId="0" applyNumberFormat="1"/>
    <xf numFmtId="43" fontId="0" fillId="0" borderId="0" xfId="0" applyNumberForma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172" fontId="0" fillId="0" borderId="0" xfId="0" applyNumberFormat="1"/>
    <xf numFmtId="14" fontId="21" fillId="0" borderId="0" xfId="0" applyNumberFormat="1" applyFont="1"/>
    <xf numFmtId="14" fontId="21" fillId="0" borderId="31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37" fontId="3" fillId="0" borderId="3" xfId="0" applyNumberFormat="1" applyFont="1" applyBorder="1"/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0" fillId="0" borderId="9" xfId="0" applyNumberFormat="1" applyBorder="1" applyAlignment="1"/>
    <xf numFmtId="37" fontId="4" fillId="0" borderId="6" xfId="0" applyNumberFormat="1" applyFont="1" applyBorder="1" applyAlignment="1">
      <alignment horizontal="center"/>
    </xf>
    <xf numFmtId="37" fontId="5" fillId="3" borderId="3" xfId="0" applyNumberFormat="1" applyFont="1" applyFill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0" fontId="21" fillId="0" borderId="6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6" x14ac:dyDescent="0.3"/>
  <cols>
    <col min="2" max="2" width="30.8984375" bestFit="1" customWidth="1"/>
    <col min="3" max="5" width="15.59765625" customWidth="1"/>
  </cols>
  <sheetData>
    <row r="1" spans="1:6" x14ac:dyDescent="0.3">
      <c r="A1" s="59"/>
      <c r="B1" s="60"/>
      <c r="C1" s="60"/>
      <c r="D1" s="60"/>
      <c r="E1" s="60"/>
      <c r="F1" s="61"/>
    </row>
    <row r="2" spans="1:6" ht="17.399999999999999" x14ac:dyDescent="0.3">
      <c r="A2" s="62"/>
      <c r="B2" s="154" t="s">
        <v>199</v>
      </c>
      <c r="C2" s="154"/>
      <c r="D2" s="154"/>
      <c r="E2" s="154"/>
      <c r="F2" s="63"/>
    </row>
    <row r="3" spans="1:6" x14ac:dyDescent="0.3">
      <c r="A3" s="62"/>
      <c r="B3" s="64"/>
      <c r="C3" s="64"/>
      <c r="D3" s="64"/>
      <c r="E3" s="64"/>
      <c r="F3" s="63"/>
    </row>
    <row r="4" spans="1:6" x14ac:dyDescent="0.3">
      <c r="A4" s="62"/>
      <c r="B4" s="75" t="s">
        <v>0</v>
      </c>
      <c r="C4" s="64"/>
      <c r="D4" s="64"/>
      <c r="E4" s="64"/>
      <c r="F4" s="63"/>
    </row>
    <row r="5" spans="1:6" x14ac:dyDescent="0.3">
      <c r="A5" s="62"/>
      <c r="B5" s="64" t="s">
        <v>13</v>
      </c>
      <c r="C5" s="66">
        <v>36888</v>
      </c>
      <c r="D5" s="67" t="s">
        <v>18</v>
      </c>
      <c r="E5" s="68">
        <f>+C5-1</f>
        <v>36887</v>
      </c>
      <c r="F5" s="63"/>
    </row>
    <row r="6" spans="1:6" x14ac:dyDescent="0.3">
      <c r="A6" s="62"/>
      <c r="B6" s="64"/>
      <c r="C6" s="64"/>
      <c r="D6" s="64"/>
      <c r="E6" s="64"/>
      <c r="F6" s="63"/>
    </row>
    <row r="7" spans="1:6" x14ac:dyDescent="0.3">
      <c r="A7" s="62"/>
      <c r="B7" s="64"/>
      <c r="C7" s="64"/>
      <c r="D7" s="64"/>
      <c r="E7" s="64"/>
      <c r="F7" s="63"/>
    </row>
    <row r="8" spans="1:6" x14ac:dyDescent="0.3">
      <c r="A8" s="62"/>
      <c r="B8" s="75" t="s">
        <v>118</v>
      </c>
      <c r="C8" s="64"/>
      <c r="D8" s="64"/>
      <c r="E8" s="64"/>
      <c r="F8" s="63"/>
    </row>
    <row r="9" spans="1:6" x14ac:dyDescent="0.3">
      <c r="A9" s="62"/>
      <c r="B9" s="65"/>
      <c r="C9" s="64"/>
      <c r="D9" s="64"/>
      <c r="E9" s="64"/>
      <c r="F9" s="63"/>
    </row>
    <row r="10" spans="1:6" x14ac:dyDescent="0.3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3">
      <c r="A11" s="62"/>
      <c r="B11" s="64"/>
      <c r="C11" s="69"/>
      <c r="D11" s="69"/>
      <c r="E11" s="69"/>
      <c r="F11" s="63"/>
    </row>
    <row r="12" spans="1:6" x14ac:dyDescent="0.3">
      <c r="A12" s="62"/>
      <c r="B12" s="64" t="s">
        <v>9</v>
      </c>
      <c r="C12" s="70">
        <f>+'Daily Position'!P8</f>
        <v>0</v>
      </c>
      <c r="D12" s="70">
        <f>+'Daily Position'!O8</f>
        <v>0</v>
      </c>
      <c r="E12" s="70">
        <f>+C12-D12</f>
        <v>0</v>
      </c>
      <c r="F12" s="63"/>
    </row>
    <row r="13" spans="1:6" x14ac:dyDescent="0.3">
      <c r="A13" s="62"/>
      <c r="B13" s="64" t="s">
        <v>10</v>
      </c>
      <c r="C13" s="56">
        <f>+C15-C12</f>
        <v>0</v>
      </c>
      <c r="D13" s="56">
        <f>+D15-D12</f>
        <v>0</v>
      </c>
      <c r="E13" s="56">
        <f>+E15-E12</f>
        <v>0</v>
      </c>
      <c r="F13" s="63"/>
    </row>
    <row r="14" spans="1:6" x14ac:dyDescent="0.3">
      <c r="A14" s="62"/>
      <c r="B14" s="64"/>
      <c r="C14" s="70"/>
      <c r="D14" s="70"/>
      <c r="E14" s="70"/>
      <c r="F14" s="63"/>
    </row>
    <row r="15" spans="1:6" ht="16.2" thickBot="1" x14ac:dyDescent="0.35">
      <c r="A15" s="62"/>
      <c r="B15" s="64" t="s">
        <v>11</v>
      </c>
      <c r="C15" s="57">
        <f>+'Daily Position'!N8</f>
        <v>0</v>
      </c>
      <c r="D15" s="57">
        <f>+'Daily Position'!M8</f>
        <v>0</v>
      </c>
      <c r="E15" s="57">
        <f>+C15-D15</f>
        <v>0</v>
      </c>
      <c r="F15" s="63"/>
    </row>
    <row r="16" spans="1:6" ht="16.2" thickTop="1" x14ac:dyDescent="0.3">
      <c r="A16" s="62"/>
      <c r="B16" s="64"/>
      <c r="C16" s="70"/>
      <c r="D16" s="70"/>
      <c r="E16" s="70"/>
      <c r="F16" s="63"/>
    </row>
    <row r="17" spans="1:6" x14ac:dyDescent="0.3">
      <c r="A17" s="62"/>
      <c r="B17" s="64"/>
      <c r="C17" s="64"/>
      <c r="D17" s="64"/>
      <c r="E17" s="64"/>
      <c r="F17" s="63"/>
    </row>
    <row r="18" spans="1:6" x14ac:dyDescent="0.3">
      <c r="A18" s="62"/>
      <c r="B18" s="64" t="s">
        <v>3</v>
      </c>
      <c r="C18" s="70">
        <f>IF(+Financials!P27=0,"No Capacity Available",+Financials!P27)</f>
        <v>104229523.91615976</v>
      </c>
      <c r="D18" s="64"/>
      <c r="E18" s="64"/>
      <c r="F18" s="63"/>
    </row>
    <row r="19" spans="1:6" x14ac:dyDescent="0.3">
      <c r="A19" s="62"/>
      <c r="B19" s="64"/>
      <c r="C19" s="70"/>
      <c r="D19" s="64"/>
      <c r="E19" s="64"/>
      <c r="F19" s="63"/>
    </row>
    <row r="20" spans="1:6" x14ac:dyDescent="0.3">
      <c r="A20" s="62"/>
      <c r="B20" s="64"/>
      <c r="C20" s="70"/>
      <c r="D20" s="64"/>
      <c r="E20" s="64"/>
      <c r="F20" s="63"/>
    </row>
    <row r="21" spans="1:6" x14ac:dyDescent="0.3">
      <c r="A21" s="62"/>
      <c r="B21" s="64" t="s">
        <v>2</v>
      </c>
      <c r="C21" s="70">
        <f>+Financials!I36</f>
        <v>325551212.31795835</v>
      </c>
      <c r="D21" s="64"/>
      <c r="E21" s="64"/>
      <c r="F21" s="63"/>
    </row>
    <row r="22" spans="1:6" x14ac:dyDescent="0.3">
      <c r="A22" s="62"/>
      <c r="B22" s="64"/>
      <c r="C22" s="70"/>
      <c r="D22" s="64"/>
      <c r="E22" s="64"/>
      <c r="F22" s="63"/>
    </row>
    <row r="23" spans="1:6" x14ac:dyDescent="0.3">
      <c r="A23" s="62"/>
      <c r="B23" s="64"/>
      <c r="C23" s="70"/>
      <c r="D23" s="64"/>
      <c r="E23" s="64"/>
      <c r="F23" s="63"/>
    </row>
    <row r="24" spans="1:6" x14ac:dyDescent="0.3">
      <c r="A24" s="62"/>
      <c r="B24" s="71" t="s">
        <v>123</v>
      </c>
      <c r="C24" s="70">
        <f>1500000000-'Daily Position'!I8</f>
        <v>1040000000</v>
      </c>
      <c r="D24" s="64"/>
      <c r="E24" s="64"/>
      <c r="F24" s="63"/>
    </row>
    <row r="25" spans="1:6" ht="16.2" thickBot="1" x14ac:dyDescent="0.35">
      <c r="A25" s="72"/>
      <c r="B25" s="73"/>
      <c r="C25" s="73"/>
      <c r="D25" s="73"/>
      <c r="E25" s="73"/>
      <c r="F25" s="74"/>
    </row>
  </sheetData>
  <mergeCells count="1">
    <mergeCell ref="B2:E2"/>
  </mergeCells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S12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defaultRowHeight="15.6" x14ac:dyDescent="0.3"/>
  <cols>
    <col min="1" max="1" width="23.09765625" customWidth="1"/>
    <col min="2" max="2" width="7.8984375" style="150" customWidth="1"/>
    <col min="3" max="3" width="10.8984375" style="150" customWidth="1"/>
    <col min="4" max="4" width="6.5" style="76" customWidth="1"/>
    <col min="5" max="5" width="12.09765625" style="4" bestFit="1" customWidth="1"/>
    <col min="6" max="6" width="5.8984375" style="76" customWidth="1"/>
    <col min="7" max="7" width="11.09765625" style="2" bestFit="1" customWidth="1"/>
    <col min="8" max="8" width="15" style="3" customWidth="1"/>
    <col min="9" max="9" width="15.59765625" style="4" bestFit="1" customWidth="1"/>
    <col min="10" max="10" width="13.09765625" customWidth="1"/>
    <col min="11" max="11" width="7.8984375" style="145" customWidth="1"/>
    <col min="12" max="12" width="14.09765625" customWidth="1"/>
    <col min="13" max="13" width="11.59765625" customWidth="1"/>
    <col min="14" max="14" width="14.5" customWidth="1"/>
    <col min="15" max="15" width="12.59765625" customWidth="1"/>
    <col min="16" max="16" width="13.5" customWidth="1"/>
    <col min="17" max="17" width="13.3984375" customWidth="1"/>
    <col min="18" max="18" width="7.19921875" customWidth="1"/>
    <col min="19" max="19" width="14.59765625" bestFit="1" customWidth="1"/>
    <col min="20" max="20" width="17.59765625" bestFit="1" customWidth="1"/>
  </cols>
  <sheetData>
    <row r="1" spans="1:19" s="78" customFormat="1" x14ac:dyDescent="0.3">
      <c r="A1" s="78" t="s">
        <v>125</v>
      </c>
      <c r="B1" s="148" t="s">
        <v>126</v>
      </c>
      <c r="C1" s="148" t="s">
        <v>127</v>
      </c>
      <c r="D1" s="78" t="s">
        <v>129</v>
      </c>
      <c r="E1" s="80"/>
      <c r="F1" s="78" t="s">
        <v>131</v>
      </c>
      <c r="G1" s="81" t="s">
        <v>132</v>
      </c>
      <c r="H1" s="157" t="s">
        <v>133</v>
      </c>
      <c r="I1" s="158"/>
      <c r="J1" s="78" t="s">
        <v>134</v>
      </c>
      <c r="K1" s="148"/>
      <c r="L1" s="85" t="s">
        <v>136</v>
      </c>
      <c r="M1" s="89" t="s">
        <v>137</v>
      </c>
      <c r="N1" s="86" t="s">
        <v>138</v>
      </c>
      <c r="O1" s="155" t="s">
        <v>139</v>
      </c>
      <c r="P1" s="156"/>
      <c r="Q1" s="85" t="s">
        <v>139</v>
      </c>
      <c r="R1" s="89"/>
      <c r="S1" s="86"/>
    </row>
    <row r="2" spans="1:19" s="79" customFormat="1" ht="15" customHeight="1" thickBot="1" x14ac:dyDescent="0.35">
      <c r="A2" s="82" t="s">
        <v>140</v>
      </c>
      <c r="B2" s="149" t="s">
        <v>1</v>
      </c>
      <c r="C2" s="149" t="s">
        <v>1</v>
      </c>
      <c r="D2" s="82" t="s">
        <v>128</v>
      </c>
      <c r="E2" s="83" t="s">
        <v>19</v>
      </c>
      <c r="F2" s="82" t="s">
        <v>130</v>
      </c>
      <c r="G2" s="84" t="s">
        <v>45</v>
      </c>
      <c r="H2" s="90" t="s">
        <v>161</v>
      </c>
      <c r="I2" s="143" t="s">
        <v>135</v>
      </c>
      <c r="J2" s="82" t="s">
        <v>175</v>
      </c>
      <c r="K2" s="149" t="s">
        <v>124</v>
      </c>
      <c r="L2" s="87" t="s">
        <v>141</v>
      </c>
      <c r="M2" s="82" t="s">
        <v>141</v>
      </c>
      <c r="N2" s="88" t="s">
        <v>141</v>
      </c>
      <c r="O2" s="87" t="s">
        <v>5</v>
      </c>
      <c r="P2" s="88" t="s">
        <v>7</v>
      </c>
      <c r="Q2" s="82" t="s">
        <v>175</v>
      </c>
      <c r="R2" s="82" t="s">
        <v>188</v>
      </c>
      <c r="S2" s="88" t="s">
        <v>164</v>
      </c>
    </row>
    <row r="3" spans="1:19" x14ac:dyDescent="0.3">
      <c r="A3" s="128" t="s">
        <v>163</v>
      </c>
      <c r="J3" s="2"/>
      <c r="L3" s="4"/>
      <c r="M3" s="4"/>
      <c r="N3" s="5"/>
      <c r="P3" s="4"/>
      <c r="Q3" s="4"/>
      <c r="R3" s="4"/>
    </row>
    <row r="4" spans="1:19" x14ac:dyDescent="0.3">
      <c r="A4" s="130" t="s">
        <v>202</v>
      </c>
      <c r="J4" s="4"/>
      <c r="L4" s="4"/>
      <c r="M4" s="4"/>
      <c r="N4" s="5"/>
      <c r="P4" s="4"/>
      <c r="Q4" s="4"/>
      <c r="R4" s="138"/>
      <c r="S4" s="131"/>
    </row>
    <row r="5" spans="1:19" x14ac:dyDescent="0.3">
      <c r="A5" s="130" t="s">
        <v>204</v>
      </c>
      <c r="J5" s="4"/>
      <c r="L5" s="4"/>
      <c r="M5" s="4"/>
      <c r="N5" s="5"/>
      <c r="P5" s="4"/>
      <c r="Q5" s="4"/>
      <c r="R5" s="138"/>
      <c r="S5" s="131"/>
    </row>
    <row r="6" spans="1:19" x14ac:dyDescent="0.3">
      <c r="A6" s="130" t="s">
        <v>203</v>
      </c>
      <c r="B6" s="150">
        <v>36791</v>
      </c>
      <c r="C6" s="150">
        <v>37801</v>
      </c>
      <c r="D6" s="76" t="s">
        <v>15</v>
      </c>
      <c r="E6" s="4">
        <v>0</v>
      </c>
      <c r="F6" s="76" t="s">
        <v>16</v>
      </c>
      <c r="I6" s="4">
        <v>460000000</v>
      </c>
      <c r="J6" s="4">
        <v>460000000</v>
      </c>
      <c r="K6" s="145">
        <f>+Summary!C5</f>
        <v>36888</v>
      </c>
      <c r="L6" s="4">
        <v>0</v>
      </c>
      <c r="M6" s="4">
        <v>0</v>
      </c>
      <c r="N6" s="5">
        <f>+L6+M6</f>
        <v>0</v>
      </c>
      <c r="O6">
        <v>0</v>
      </c>
      <c r="P6" s="4">
        <f>+Q6-I6</f>
        <v>0</v>
      </c>
      <c r="Q6" s="4">
        <v>460000000</v>
      </c>
      <c r="R6" s="138"/>
      <c r="S6" s="131"/>
    </row>
    <row r="7" spans="1:19" x14ac:dyDescent="0.3">
      <c r="A7" t="s">
        <v>198</v>
      </c>
    </row>
    <row r="8" spans="1:19" ht="16.2" thickBot="1" x14ac:dyDescent="0.35">
      <c r="B8" s="151" t="s">
        <v>17</v>
      </c>
      <c r="E8" s="77">
        <f>SUM(E3:E7)</f>
        <v>0</v>
      </c>
      <c r="I8" s="144">
        <f>SUM(I3:I7)</f>
        <v>460000000</v>
      </c>
      <c r="L8" s="77">
        <f>SUM(L3:L7)</f>
        <v>0</v>
      </c>
      <c r="M8" s="77">
        <f>SUM(M3:M7)</f>
        <v>0</v>
      </c>
      <c r="N8" s="77">
        <f>SUM(N3:N7)</f>
        <v>0</v>
      </c>
      <c r="O8" s="77">
        <f>SUM(O3:O7)</f>
        <v>0</v>
      </c>
      <c r="P8" s="77">
        <f>SUM(P3:P7)</f>
        <v>0</v>
      </c>
      <c r="Q8" s="132"/>
      <c r="R8" s="132"/>
      <c r="S8" s="77">
        <f>SUM(S3:S7)</f>
        <v>0</v>
      </c>
    </row>
    <row r="9" spans="1:19" ht="16.2" thickTop="1" x14ac:dyDescent="0.3"/>
    <row r="10" spans="1:19" x14ac:dyDescent="0.3">
      <c r="S10" s="5"/>
    </row>
    <row r="11" spans="1:19" x14ac:dyDescent="0.3">
      <c r="S11" s="136"/>
    </row>
    <row r="12" spans="1:19" x14ac:dyDescent="0.3">
      <c r="S12" s="137"/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83"/>
  <sheetViews>
    <sheetView workbookViewId="0">
      <pane ySplit="4" topLeftCell="A52" activePane="bottomLeft" state="frozen"/>
      <selection pane="bottomLeft" activeCell="A74" sqref="A74:B74"/>
    </sheetView>
  </sheetViews>
  <sheetFormatPr defaultRowHeight="15.6" x14ac:dyDescent="0.3"/>
  <cols>
    <col min="1" max="1" width="10" style="1" bestFit="1" customWidth="1"/>
    <col min="2" max="2" width="9.69921875" style="126" bestFit="1" customWidth="1"/>
  </cols>
  <sheetData>
    <row r="1" spans="1:2" x14ac:dyDescent="0.3">
      <c r="A1" s="146" t="s">
        <v>156</v>
      </c>
      <c r="B1" s="123"/>
    </row>
    <row r="2" spans="1:2" x14ac:dyDescent="0.3">
      <c r="B2" s="124"/>
    </row>
    <row r="3" spans="1:2" x14ac:dyDescent="0.3">
      <c r="A3" s="159" t="s">
        <v>4</v>
      </c>
      <c r="B3" s="160"/>
    </row>
    <row r="4" spans="1:2" x14ac:dyDescent="0.3">
      <c r="A4" s="147" t="s">
        <v>1</v>
      </c>
      <c r="B4" s="125" t="s">
        <v>12</v>
      </c>
    </row>
    <row r="5" spans="1:2" x14ac:dyDescent="0.3">
      <c r="A5" s="1">
        <v>36789</v>
      </c>
      <c r="B5" s="126">
        <v>82.171999999999997</v>
      </c>
    </row>
    <row r="6" spans="1:2" x14ac:dyDescent="0.3">
      <c r="A6" s="1">
        <v>36790</v>
      </c>
      <c r="B6" s="126">
        <v>80.75</v>
      </c>
    </row>
    <row r="7" spans="1:2" x14ac:dyDescent="0.3">
      <c r="A7" s="1">
        <v>36791</v>
      </c>
      <c r="B7" s="126">
        <v>83</v>
      </c>
    </row>
    <row r="8" spans="1:2" x14ac:dyDescent="0.3">
      <c r="A8" s="1">
        <v>36794</v>
      </c>
      <c r="B8" s="126">
        <v>84.438000000000002</v>
      </c>
    </row>
    <row r="9" spans="1:2" x14ac:dyDescent="0.3">
      <c r="A9" s="1">
        <v>36795</v>
      </c>
      <c r="B9" s="126">
        <v>85.5</v>
      </c>
    </row>
    <row r="10" spans="1:2" x14ac:dyDescent="0.3">
      <c r="A10" s="1">
        <v>36796</v>
      </c>
      <c r="B10" s="126">
        <v>87.453000000000003</v>
      </c>
    </row>
    <row r="11" spans="1:2" x14ac:dyDescent="0.3">
      <c r="A11" s="1">
        <v>36797</v>
      </c>
      <c r="B11" s="126">
        <v>89.25</v>
      </c>
    </row>
    <row r="12" spans="1:2" x14ac:dyDescent="0.3">
      <c r="A12" s="1">
        <v>36798</v>
      </c>
      <c r="B12" s="126">
        <v>87.641000000000005</v>
      </c>
    </row>
    <row r="13" spans="1:2" x14ac:dyDescent="0.3">
      <c r="A13" s="1">
        <v>36801</v>
      </c>
      <c r="B13" s="126">
        <v>86.438000000000002</v>
      </c>
    </row>
    <row r="14" spans="1:2" x14ac:dyDescent="0.3">
      <c r="A14" s="1">
        <v>36802</v>
      </c>
      <c r="B14" s="126">
        <v>85.563000000000002</v>
      </c>
    </row>
    <row r="15" spans="1:2" x14ac:dyDescent="0.3">
      <c r="A15" s="1">
        <v>36803</v>
      </c>
      <c r="B15" s="126">
        <v>83.063000000000002</v>
      </c>
    </row>
    <row r="16" spans="1:2" x14ac:dyDescent="0.3">
      <c r="A16" s="1">
        <v>36804</v>
      </c>
      <c r="B16" s="126">
        <v>83</v>
      </c>
    </row>
    <row r="17" spans="1:2" x14ac:dyDescent="0.3">
      <c r="A17" s="1">
        <v>36805</v>
      </c>
      <c r="B17" s="126">
        <v>81.625</v>
      </c>
    </row>
    <row r="18" spans="1:2" x14ac:dyDescent="0.3">
      <c r="A18" s="1">
        <v>36808</v>
      </c>
      <c r="B18" s="126">
        <v>83</v>
      </c>
    </row>
    <row r="19" spans="1:2" x14ac:dyDescent="0.3">
      <c r="A19" s="1">
        <v>36809</v>
      </c>
      <c r="B19" s="126">
        <v>81.688000000000002</v>
      </c>
    </row>
    <row r="20" spans="1:2" x14ac:dyDescent="0.3">
      <c r="A20" s="1">
        <v>36810</v>
      </c>
      <c r="B20" s="126">
        <v>82.813000000000002</v>
      </c>
    </row>
    <row r="21" spans="1:2" x14ac:dyDescent="0.3">
      <c r="A21" s="1">
        <v>36811</v>
      </c>
      <c r="B21" s="126">
        <v>79.875</v>
      </c>
    </row>
    <row r="22" spans="1:2" x14ac:dyDescent="0.3">
      <c r="A22" s="1">
        <v>36812</v>
      </c>
      <c r="B22" s="126">
        <v>79.5</v>
      </c>
    </row>
    <row r="23" spans="1:2" x14ac:dyDescent="0.3">
      <c r="A23" s="145">
        <v>36815</v>
      </c>
      <c r="B23" s="126">
        <v>80</v>
      </c>
    </row>
    <row r="24" spans="1:2" x14ac:dyDescent="0.3">
      <c r="A24" s="145">
        <v>36816</v>
      </c>
      <c r="B24" s="126">
        <v>79.188000000000002</v>
      </c>
    </row>
    <row r="25" spans="1:2" x14ac:dyDescent="0.3">
      <c r="A25" s="145">
        <v>36817</v>
      </c>
      <c r="B25" s="126">
        <v>78.75</v>
      </c>
    </row>
    <row r="26" spans="1:2" x14ac:dyDescent="0.3">
      <c r="A26" s="145">
        <v>36818</v>
      </c>
      <c r="B26" s="126">
        <v>79</v>
      </c>
    </row>
    <row r="27" spans="1:2" x14ac:dyDescent="0.3">
      <c r="A27" s="145">
        <v>36819</v>
      </c>
      <c r="B27" s="126">
        <v>80.5</v>
      </c>
    </row>
    <row r="28" spans="1:2" x14ac:dyDescent="0.3">
      <c r="A28" s="145">
        <v>36822</v>
      </c>
      <c r="B28" s="126">
        <v>82</v>
      </c>
    </row>
    <row r="29" spans="1:2" x14ac:dyDescent="0.3">
      <c r="A29" s="145">
        <v>36823</v>
      </c>
      <c r="B29" s="126">
        <v>80.1875</v>
      </c>
    </row>
    <row r="30" spans="1:2" x14ac:dyDescent="0.3">
      <c r="A30" s="145">
        <v>36824</v>
      </c>
      <c r="B30" s="126">
        <v>76.125</v>
      </c>
    </row>
    <row r="31" spans="1:2" x14ac:dyDescent="0.3">
      <c r="A31" s="145">
        <v>36825</v>
      </c>
      <c r="B31" s="126">
        <v>77.5</v>
      </c>
    </row>
    <row r="32" spans="1:2" x14ac:dyDescent="0.3">
      <c r="A32" s="145">
        <v>36826</v>
      </c>
      <c r="B32" s="126">
        <v>78.875</v>
      </c>
    </row>
    <row r="33" spans="1:2" x14ac:dyDescent="0.3">
      <c r="A33" s="145">
        <v>36829</v>
      </c>
      <c r="B33" s="126">
        <v>80.688000000000002</v>
      </c>
    </row>
    <row r="34" spans="1:2" x14ac:dyDescent="0.3">
      <c r="A34" s="145">
        <v>36830</v>
      </c>
      <c r="B34" s="126">
        <v>82.063000000000002</v>
      </c>
    </row>
    <row r="35" spans="1:2" x14ac:dyDescent="0.3">
      <c r="A35" s="145">
        <v>36831</v>
      </c>
      <c r="B35" s="126">
        <v>83.25</v>
      </c>
    </row>
    <row r="36" spans="1:2" x14ac:dyDescent="0.3">
      <c r="A36" s="145">
        <v>36832</v>
      </c>
      <c r="B36" s="126">
        <v>81.75</v>
      </c>
    </row>
    <row r="37" spans="1:2" x14ac:dyDescent="0.3">
      <c r="A37" s="145">
        <v>36833</v>
      </c>
      <c r="B37" s="126">
        <v>77.375</v>
      </c>
    </row>
    <row r="38" spans="1:2" x14ac:dyDescent="0.3">
      <c r="A38" s="145">
        <v>36836</v>
      </c>
      <c r="B38" s="126">
        <v>81.563000000000002</v>
      </c>
    </row>
    <row r="39" spans="1:2" x14ac:dyDescent="0.3">
      <c r="A39" s="145">
        <v>36837</v>
      </c>
      <c r="B39" s="126">
        <v>81.813000000000002</v>
      </c>
    </row>
    <row r="40" spans="1:2" x14ac:dyDescent="0.3">
      <c r="A40" s="145">
        <v>36838</v>
      </c>
      <c r="B40" s="126">
        <v>82.125</v>
      </c>
    </row>
    <row r="41" spans="1:2" x14ac:dyDescent="0.3">
      <c r="A41" s="145">
        <v>36839</v>
      </c>
      <c r="B41" s="126">
        <v>82.938000000000002</v>
      </c>
    </row>
    <row r="42" spans="1:2" x14ac:dyDescent="0.3">
      <c r="A42" s="145">
        <v>36840</v>
      </c>
      <c r="B42" s="126">
        <f>82+0.9375</f>
        <v>82.9375</v>
      </c>
    </row>
    <row r="43" spans="1:2" x14ac:dyDescent="0.3">
      <c r="A43" s="145">
        <v>36843</v>
      </c>
      <c r="B43" s="126">
        <v>79.438000000000002</v>
      </c>
    </row>
    <row r="44" spans="1:2" x14ac:dyDescent="0.3">
      <c r="A44" s="145">
        <v>36844</v>
      </c>
      <c r="B44" s="126">
        <v>79.563000000000002</v>
      </c>
    </row>
    <row r="45" spans="1:2" x14ac:dyDescent="0.3">
      <c r="A45" s="145">
        <v>36845</v>
      </c>
      <c r="B45" s="126">
        <v>80.375</v>
      </c>
    </row>
    <row r="46" spans="1:2" x14ac:dyDescent="0.3">
      <c r="A46" s="145">
        <v>36846</v>
      </c>
      <c r="B46" s="126">
        <v>81.25</v>
      </c>
    </row>
    <row r="47" spans="1:2" x14ac:dyDescent="0.3">
      <c r="A47" s="145">
        <v>36847</v>
      </c>
      <c r="B47" s="126">
        <v>81.5</v>
      </c>
    </row>
    <row r="48" spans="1:2" x14ac:dyDescent="0.3">
      <c r="A48" s="145">
        <v>36850</v>
      </c>
      <c r="B48" s="126">
        <v>80.25</v>
      </c>
    </row>
    <row r="49" spans="1:2" x14ac:dyDescent="0.3">
      <c r="A49" s="145">
        <v>36851</v>
      </c>
      <c r="B49" s="126">
        <v>80.375</v>
      </c>
    </row>
    <row r="50" spans="1:2" x14ac:dyDescent="0.3">
      <c r="A50" s="145">
        <v>36852</v>
      </c>
      <c r="B50" s="126">
        <v>75.563000000000002</v>
      </c>
    </row>
    <row r="51" spans="1:2" x14ac:dyDescent="0.3">
      <c r="A51" s="145">
        <v>36854</v>
      </c>
      <c r="B51" s="126">
        <v>77.75</v>
      </c>
    </row>
    <row r="52" spans="1:2" x14ac:dyDescent="0.3">
      <c r="A52" s="145">
        <v>36857</v>
      </c>
      <c r="B52" s="126">
        <v>78.875</v>
      </c>
    </row>
    <row r="53" spans="1:2" x14ac:dyDescent="0.3">
      <c r="A53" s="145">
        <v>36858</v>
      </c>
      <c r="B53" s="126">
        <v>78.438000000000002</v>
      </c>
    </row>
    <row r="54" spans="1:2" x14ac:dyDescent="0.3">
      <c r="A54" s="145">
        <v>36859</v>
      </c>
      <c r="B54" s="126">
        <v>70.25</v>
      </c>
    </row>
    <row r="55" spans="1:2" x14ac:dyDescent="0.3">
      <c r="A55" s="145">
        <v>36860</v>
      </c>
      <c r="B55" s="126">
        <v>64.75</v>
      </c>
    </row>
    <row r="56" spans="1:2" x14ac:dyDescent="0.3">
      <c r="A56" s="145">
        <v>36861</v>
      </c>
      <c r="B56" s="126">
        <v>65.5</v>
      </c>
    </row>
    <row r="57" spans="1:2" x14ac:dyDescent="0.3">
      <c r="A57" s="145">
        <v>36864</v>
      </c>
      <c r="B57" s="126">
        <v>65.938000000000002</v>
      </c>
    </row>
    <row r="58" spans="1:2" x14ac:dyDescent="0.3">
      <c r="A58" s="145">
        <v>36865</v>
      </c>
      <c r="B58" s="126">
        <v>68.25</v>
      </c>
    </row>
    <row r="59" spans="1:2" x14ac:dyDescent="0.3">
      <c r="A59" s="145">
        <v>36866</v>
      </c>
      <c r="B59" s="126">
        <v>71.938000000000002</v>
      </c>
    </row>
    <row r="60" spans="1:2" x14ac:dyDescent="0.3">
      <c r="A60" s="145">
        <v>36867</v>
      </c>
      <c r="B60" s="126">
        <v>72.875</v>
      </c>
    </row>
    <row r="61" spans="1:2" x14ac:dyDescent="0.3">
      <c r="A61" s="145">
        <v>36868</v>
      </c>
      <c r="B61" s="126">
        <v>73.063000000000002</v>
      </c>
    </row>
    <row r="62" spans="1:2" x14ac:dyDescent="0.3">
      <c r="A62" s="145">
        <v>36871</v>
      </c>
      <c r="B62" s="126">
        <v>76.5</v>
      </c>
    </row>
    <row r="63" spans="1:2" x14ac:dyDescent="0.3">
      <c r="A63" s="145">
        <v>36872</v>
      </c>
      <c r="B63" s="126">
        <v>77.188000000000002</v>
      </c>
    </row>
    <row r="64" spans="1:2" x14ac:dyDescent="0.3">
      <c r="A64" s="145">
        <v>36873</v>
      </c>
      <c r="B64" s="126">
        <v>74.5</v>
      </c>
    </row>
    <row r="65" spans="1:2" x14ac:dyDescent="0.3">
      <c r="A65" s="145">
        <v>36874</v>
      </c>
      <c r="B65" s="126">
        <v>76.5</v>
      </c>
    </row>
    <row r="66" spans="1:2" x14ac:dyDescent="0.3">
      <c r="A66" s="145">
        <v>36875</v>
      </c>
      <c r="B66" s="126">
        <v>77.563000000000002</v>
      </c>
    </row>
    <row r="67" spans="1:2" x14ac:dyDescent="0.3">
      <c r="A67" s="145">
        <v>36878</v>
      </c>
      <c r="B67" s="126">
        <v>79.563000000000002</v>
      </c>
    </row>
    <row r="68" spans="1:2" x14ac:dyDescent="0.3">
      <c r="A68" s="145">
        <v>36879</v>
      </c>
      <c r="B68" s="126">
        <v>79.75</v>
      </c>
    </row>
    <row r="69" spans="1:2" x14ac:dyDescent="0.3">
      <c r="A69" s="145">
        <v>36880</v>
      </c>
      <c r="B69" s="126">
        <v>79.75</v>
      </c>
    </row>
    <row r="70" spans="1:2" x14ac:dyDescent="0.3">
      <c r="A70" s="145">
        <v>36881</v>
      </c>
      <c r="B70" s="126">
        <v>79.313000000000002</v>
      </c>
    </row>
    <row r="71" spans="1:2" x14ac:dyDescent="0.3">
      <c r="A71" s="145">
        <v>36882</v>
      </c>
      <c r="B71" s="126">
        <v>81.188000000000002</v>
      </c>
    </row>
    <row r="72" spans="1:2" x14ac:dyDescent="0.3">
      <c r="A72" s="145">
        <v>36886</v>
      </c>
      <c r="B72" s="126">
        <v>83.5</v>
      </c>
    </row>
    <row r="73" spans="1:2" x14ac:dyDescent="0.3">
      <c r="A73" s="145">
        <v>36887</v>
      </c>
      <c r="B73" s="126">
        <v>82.813000000000002</v>
      </c>
    </row>
    <row r="74" spans="1:2" x14ac:dyDescent="0.3">
      <c r="A74" s="145">
        <v>36888</v>
      </c>
      <c r="B74" s="126">
        <v>84.625</v>
      </c>
    </row>
    <row r="223" ht="14.25" customHeight="1" x14ac:dyDescent="0.3"/>
    <row r="340" spans="1:2" x14ac:dyDescent="0.3">
      <c r="A340" s="1" t="s">
        <v>162</v>
      </c>
    </row>
    <row r="342" spans="1:2" x14ac:dyDescent="0.3">
      <c r="A342" s="145"/>
    </row>
    <row r="343" spans="1:2" x14ac:dyDescent="0.3">
      <c r="B343"/>
    </row>
    <row r="344" spans="1:2" x14ac:dyDescent="0.3">
      <c r="B344"/>
    </row>
    <row r="345" spans="1:2" x14ac:dyDescent="0.3">
      <c r="B345"/>
    </row>
    <row r="346" spans="1:2" x14ac:dyDescent="0.3">
      <c r="B346"/>
    </row>
    <row r="347" spans="1:2" x14ac:dyDescent="0.3">
      <c r="B347"/>
    </row>
    <row r="348" spans="1:2" x14ac:dyDescent="0.3">
      <c r="B348"/>
    </row>
    <row r="349" spans="1:2" x14ac:dyDescent="0.3">
      <c r="B349"/>
    </row>
    <row r="350" spans="1:2" x14ac:dyDescent="0.3">
      <c r="B350"/>
    </row>
    <row r="351" spans="1:2" x14ac:dyDescent="0.3">
      <c r="B351"/>
    </row>
    <row r="352" spans="1:2" x14ac:dyDescent="0.3">
      <c r="B352"/>
    </row>
    <row r="353" spans="2:2" x14ac:dyDescent="0.3">
      <c r="B353"/>
    </row>
    <row r="354" spans="2:2" x14ac:dyDescent="0.3">
      <c r="B354"/>
    </row>
    <row r="355" spans="2:2" x14ac:dyDescent="0.3">
      <c r="B355"/>
    </row>
    <row r="356" spans="2:2" x14ac:dyDescent="0.3">
      <c r="B356"/>
    </row>
    <row r="357" spans="2:2" x14ac:dyDescent="0.3">
      <c r="B357"/>
    </row>
    <row r="358" spans="2:2" x14ac:dyDescent="0.3">
      <c r="B358"/>
    </row>
    <row r="359" spans="2:2" x14ac:dyDescent="0.3">
      <c r="B359"/>
    </row>
    <row r="360" spans="2:2" x14ac:dyDescent="0.3">
      <c r="B360"/>
    </row>
    <row r="361" spans="2:2" x14ac:dyDescent="0.3">
      <c r="B361"/>
    </row>
    <row r="362" spans="2:2" x14ac:dyDescent="0.3">
      <c r="B362"/>
    </row>
    <row r="363" spans="2:2" x14ac:dyDescent="0.3">
      <c r="B363"/>
    </row>
    <row r="364" spans="2:2" x14ac:dyDescent="0.3">
      <c r="B364"/>
    </row>
    <row r="365" spans="2:2" x14ac:dyDescent="0.3">
      <c r="B365"/>
    </row>
    <row r="366" spans="2:2" x14ac:dyDescent="0.3">
      <c r="B366"/>
    </row>
    <row r="367" spans="2:2" x14ac:dyDescent="0.3">
      <c r="B367"/>
    </row>
    <row r="368" spans="2:2" x14ac:dyDescent="0.3">
      <c r="B368"/>
    </row>
    <row r="369" spans="2:2" x14ac:dyDescent="0.3">
      <c r="B369"/>
    </row>
    <row r="370" spans="2:2" x14ac:dyDescent="0.3">
      <c r="B370"/>
    </row>
    <row r="371" spans="2:2" x14ac:dyDescent="0.3">
      <c r="B371"/>
    </row>
    <row r="372" spans="2:2" x14ac:dyDescent="0.3">
      <c r="B372"/>
    </row>
    <row r="373" spans="2:2" x14ac:dyDescent="0.3">
      <c r="B373"/>
    </row>
    <row r="374" spans="2:2" x14ac:dyDescent="0.3">
      <c r="B374"/>
    </row>
    <row r="375" spans="2:2" x14ac:dyDescent="0.3">
      <c r="B375"/>
    </row>
    <row r="376" spans="2:2" x14ac:dyDescent="0.3">
      <c r="B376"/>
    </row>
    <row r="377" spans="2:2" x14ac:dyDescent="0.3">
      <c r="B377"/>
    </row>
    <row r="378" spans="2:2" x14ac:dyDescent="0.3">
      <c r="B378"/>
    </row>
    <row r="379" spans="2:2" x14ac:dyDescent="0.3">
      <c r="B379"/>
    </row>
    <row r="380" spans="2:2" x14ac:dyDescent="0.3">
      <c r="B380"/>
    </row>
    <row r="381" spans="2:2" x14ac:dyDescent="0.3">
      <c r="B381"/>
    </row>
    <row r="382" spans="2:2" x14ac:dyDescent="0.3">
      <c r="B382"/>
    </row>
    <row r="383" spans="2:2" x14ac:dyDescent="0.3">
      <c r="B383"/>
    </row>
  </sheetData>
  <mergeCells count="1">
    <mergeCell ref="A3:B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I16" workbookViewId="0">
      <selection activeCell="P1" sqref="P1"/>
    </sheetView>
  </sheetViews>
  <sheetFormatPr defaultColWidth="9" defaultRowHeight="15.6" x14ac:dyDescent="0.3"/>
  <cols>
    <col min="1" max="1" width="23.5" style="7" customWidth="1"/>
    <col min="2" max="2" width="12.09765625" style="7" bestFit="1" customWidth="1"/>
    <col min="3" max="3" width="3" style="7" customWidth="1"/>
    <col min="4" max="4" width="15.59765625" style="7" customWidth="1"/>
    <col min="5" max="5" width="11.5" style="7" bestFit="1" customWidth="1"/>
    <col min="6" max="6" width="1.69921875" style="13" bestFit="1" customWidth="1"/>
    <col min="7" max="7" width="2" style="7" customWidth="1"/>
    <col min="8" max="8" width="41.8984375" style="7" bestFit="1" customWidth="1"/>
    <col min="9" max="9" width="14.59765625" style="14" bestFit="1" customWidth="1"/>
    <col min="10" max="10" width="1.69921875" style="7" bestFit="1" customWidth="1"/>
    <col min="11" max="11" width="1.5" style="13" customWidth="1"/>
    <col min="12" max="12" width="24.19921875" style="7" customWidth="1"/>
    <col min="13" max="13" width="11.5" style="7" bestFit="1" customWidth="1"/>
    <col min="14" max="14" width="3.5" style="7" customWidth="1"/>
    <col min="15" max="15" width="15.3984375" style="7" bestFit="1" customWidth="1"/>
    <col min="16" max="16" width="12.69921875" style="7" customWidth="1"/>
    <col min="17" max="17" width="3.19921875" style="13" bestFit="1" customWidth="1"/>
    <col min="18" max="18" width="12.3984375" style="7" customWidth="1"/>
    <col min="19" max="19" width="10.09765625" style="7" customWidth="1"/>
    <col min="20" max="20" width="10.69921875" style="7" customWidth="1"/>
    <col min="21" max="21" width="10.5" style="7" customWidth="1"/>
    <col min="22" max="22" width="11.09765625" style="7" customWidth="1"/>
    <col min="23" max="23" width="12.5" style="7" customWidth="1"/>
    <col min="24" max="16384" width="9" style="7"/>
  </cols>
  <sheetData>
    <row r="1" spans="1:18" x14ac:dyDescent="0.3">
      <c r="A1" s="6" t="s">
        <v>84</v>
      </c>
    </row>
    <row r="2" spans="1:18" x14ac:dyDescent="0.3">
      <c r="A2" s="7" t="s">
        <v>200</v>
      </c>
      <c r="H2" s="161">
        <f>+Summary!C5</f>
        <v>36888</v>
      </c>
      <c r="I2" s="161"/>
      <c r="J2" s="96"/>
      <c r="L2" s="161">
        <f>H2</f>
        <v>36888</v>
      </c>
      <c r="M2" s="161"/>
      <c r="N2" s="161"/>
      <c r="O2" s="161"/>
      <c r="P2" s="161"/>
    </row>
    <row r="3" spans="1:18" ht="16.2" thickBot="1" x14ac:dyDescent="0.35">
      <c r="H3" s="162" t="s">
        <v>97</v>
      </c>
      <c r="I3" s="162"/>
      <c r="J3" s="97"/>
      <c r="L3" s="162" t="s">
        <v>97</v>
      </c>
      <c r="M3" s="162"/>
      <c r="N3" s="162"/>
      <c r="O3" s="162"/>
      <c r="P3" s="162"/>
    </row>
    <row r="4" spans="1:18" x14ac:dyDescent="0.3">
      <c r="A4" s="163" t="s">
        <v>201</v>
      </c>
      <c r="B4" s="163"/>
      <c r="C4" s="163"/>
      <c r="D4" s="163"/>
      <c r="E4" s="163"/>
      <c r="F4" s="163"/>
      <c r="H4" s="117" t="s">
        <v>98</v>
      </c>
      <c r="I4" s="118"/>
      <c r="J4" s="13"/>
    </row>
    <row r="5" spans="1:18" ht="16.2" thickBot="1" x14ac:dyDescent="0.35">
      <c r="A5" s="167" t="s">
        <v>30</v>
      </c>
      <c r="B5" s="167"/>
      <c r="D5" s="167" t="s">
        <v>31</v>
      </c>
      <c r="E5" s="167"/>
      <c r="H5" s="119" t="s">
        <v>99</v>
      </c>
      <c r="I5" s="127">
        <f>+VLOOKUP(+Summary!C5,ene,2)</f>
        <v>84.625</v>
      </c>
      <c r="J5" s="13"/>
      <c r="L5" s="163" t="s">
        <v>119</v>
      </c>
      <c r="M5" s="163"/>
      <c r="N5" s="163"/>
      <c r="O5" s="163"/>
      <c r="P5" s="163"/>
      <c r="Q5" s="97"/>
    </row>
    <row r="6" spans="1:18" x14ac:dyDescent="0.3">
      <c r="A6" s="7" t="s">
        <v>32</v>
      </c>
      <c r="B6" s="7">
        <f>E6+E9+E10</f>
        <v>71001000</v>
      </c>
      <c r="D6" s="7" t="s">
        <v>33</v>
      </c>
      <c r="E6" s="7">
        <v>41000000</v>
      </c>
      <c r="F6" s="15" t="s">
        <v>34</v>
      </c>
      <c r="H6" s="119" t="s">
        <v>100</v>
      </c>
      <c r="I6" s="120">
        <f>+'Cash-Int-Trans'!F45</f>
        <v>7.2925000000000004E-2</v>
      </c>
      <c r="J6" s="13"/>
      <c r="L6" s="93" t="s">
        <v>142</v>
      </c>
      <c r="M6" s="98">
        <f>H2</f>
        <v>36888</v>
      </c>
      <c r="N6" s="99"/>
      <c r="O6" s="99"/>
      <c r="P6" s="99"/>
      <c r="Q6" s="100"/>
    </row>
    <row r="7" spans="1:18" ht="16.2" thickBot="1" x14ac:dyDescent="0.35">
      <c r="A7" s="7" t="s">
        <v>35</v>
      </c>
      <c r="B7" s="7">
        <v>50000000</v>
      </c>
      <c r="D7" s="7" t="s">
        <v>36</v>
      </c>
      <c r="E7" s="7">
        <f>B11-E6-E9-E10</f>
        <v>400000000</v>
      </c>
      <c r="H7" s="164" t="s">
        <v>157</v>
      </c>
      <c r="I7" s="165"/>
      <c r="J7" s="13"/>
      <c r="L7" s="167" t="s">
        <v>30</v>
      </c>
      <c r="M7" s="167"/>
      <c r="O7" s="167" t="s">
        <v>31</v>
      </c>
      <c r="P7" s="167"/>
    </row>
    <row r="8" spans="1:18" x14ac:dyDescent="0.3">
      <c r="A8" s="7" t="s">
        <v>38</v>
      </c>
      <c r="B8" s="7">
        <f>B18</f>
        <v>350000000</v>
      </c>
      <c r="C8" s="18" t="s">
        <v>39</v>
      </c>
      <c r="H8" s="121" t="s">
        <v>158</v>
      </c>
      <c r="I8" s="122"/>
      <c r="J8" s="13"/>
      <c r="L8" s="7" t="s">
        <v>37</v>
      </c>
      <c r="M8" s="7">
        <f>+'Cash-Int-Trans'!B35</f>
        <v>33895436.649375036</v>
      </c>
      <c r="O8" s="7" t="s">
        <v>107</v>
      </c>
      <c r="P8" s="7">
        <f>+E6-'Cash-Int-Trans'!B4+'Cash-Int-Trans'!B8</f>
        <v>0</v>
      </c>
      <c r="Q8" s="17" t="str">
        <f>IF(P8&lt;&gt;0,"Not OK Check Put Value Table", "OK")</f>
        <v>OK</v>
      </c>
    </row>
    <row r="9" spans="1:18" x14ac:dyDescent="0.3">
      <c r="D9" s="7" t="s">
        <v>40</v>
      </c>
      <c r="E9" s="14">
        <f>30000000</f>
        <v>30000000</v>
      </c>
      <c r="F9" s="19" t="s">
        <v>41</v>
      </c>
      <c r="H9" s="13"/>
      <c r="I9" s="16"/>
      <c r="J9" s="13"/>
      <c r="L9" s="7" t="s">
        <v>35</v>
      </c>
      <c r="M9" s="7">
        <f>+B7-Amort!B24</f>
        <v>50000000</v>
      </c>
      <c r="O9" s="7" t="s">
        <v>33</v>
      </c>
      <c r="P9" s="7">
        <v>0</v>
      </c>
    </row>
    <row r="10" spans="1:18" x14ac:dyDescent="0.3">
      <c r="D10" s="7" t="s">
        <v>4</v>
      </c>
      <c r="E10" s="7">
        <v>1000</v>
      </c>
      <c r="H10" s="168" t="s">
        <v>101</v>
      </c>
      <c r="I10" s="168"/>
      <c r="J10" s="13"/>
      <c r="L10" s="7" t="s">
        <v>38</v>
      </c>
      <c r="M10" s="7">
        <f>B8+I15</f>
        <v>381068490.75342464</v>
      </c>
      <c r="N10" s="18"/>
      <c r="O10" s="7" t="s">
        <v>117</v>
      </c>
      <c r="P10" s="7">
        <f>IF(I20&gt;0,0,-I20)</f>
        <v>0</v>
      </c>
    </row>
    <row r="11" spans="1:18" ht="16.2" thickBot="1" x14ac:dyDescent="0.35">
      <c r="A11" s="91" t="s">
        <v>7</v>
      </c>
      <c r="B11" s="12">
        <f>SUM(B6:B10)</f>
        <v>471001000</v>
      </c>
      <c r="C11" s="20" t="s">
        <v>43</v>
      </c>
      <c r="D11" s="91" t="s">
        <v>7</v>
      </c>
      <c r="E11" s="12">
        <f>SUM(E6:E10)</f>
        <v>471001000</v>
      </c>
      <c r="F11" s="17"/>
      <c r="H11" s="94" t="s">
        <v>143</v>
      </c>
      <c r="I11" s="95">
        <f>H2</f>
        <v>36888</v>
      </c>
      <c r="J11" s="13"/>
      <c r="L11" s="7" t="s">
        <v>42</v>
      </c>
      <c r="M11" s="7">
        <f>+Amort!B28</f>
        <v>1769444.4444444447</v>
      </c>
      <c r="O11" s="7" t="s">
        <v>210</v>
      </c>
      <c r="P11" s="7">
        <f>IF(I19&lt;0,-I19,0)</f>
        <v>0</v>
      </c>
      <c r="R11" s="3"/>
    </row>
    <row r="12" spans="1:18" ht="16.2" thickTop="1" x14ac:dyDescent="0.3">
      <c r="H12" s="13" t="s">
        <v>113</v>
      </c>
      <c r="I12" s="16">
        <f>+'Cash-Int-Trans'!B6</f>
        <v>34266411</v>
      </c>
      <c r="J12" s="29" t="s">
        <v>87</v>
      </c>
      <c r="O12" s="7" t="s">
        <v>36</v>
      </c>
      <c r="P12" s="7">
        <f>E7-I16+'Cash-Int-Trans'!B9</f>
        <v>421016147.52586114</v>
      </c>
    </row>
    <row r="13" spans="1:18" x14ac:dyDescent="0.3">
      <c r="A13" s="21" t="s">
        <v>44</v>
      </c>
      <c r="D13" s="22" t="s">
        <v>14</v>
      </c>
      <c r="E13" s="22" t="s">
        <v>45</v>
      </c>
      <c r="F13" s="23"/>
      <c r="H13" s="13" t="s">
        <v>114</v>
      </c>
      <c r="I13" s="16">
        <f>+'Cash-Int-Trans'!B38</f>
        <v>2794436.6493750005</v>
      </c>
      <c r="J13" s="29"/>
      <c r="L13" s="7" t="s">
        <v>209</v>
      </c>
      <c r="M13" s="7">
        <f>IF(I19&gt;0,I19,0)</f>
        <v>0</v>
      </c>
      <c r="O13" s="7" t="s">
        <v>40</v>
      </c>
      <c r="P13" s="7">
        <f>IF(+I23+I35+'Cash-Int-Trans'!D64-'Cash-Int-Trans'!D63&gt;'Cash-Int-Trans'!D64,'Cash-Int-Trans'!D64,IF(+I23+I35+'Cash-Int-Trans'!D64&lt;0,0,+I23+I35+'Cash-Int-Trans'!D64-'Cash-Int-Trans'!D63))</f>
        <v>31135079.452054795</v>
      </c>
      <c r="Q13" s="107" t="s">
        <v>151</v>
      </c>
    </row>
    <row r="14" spans="1:18" x14ac:dyDescent="0.3">
      <c r="A14" s="7" t="s">
        <v>46</v>
      </c>
      <c r="B14" s="7">
        <f>D14*E14</f>
        <v>0</v>
      </c>
      <c r="C14" s="24"/>
      <c r="D14" s="25">
        <v>0</v>
      </c>
      <c r="E14" s="26">
        <v>0</v>
      </c>
      <c r="H14" s="13" t="s">
        <v>191</v>
      </c>
      <c r="I14" s="16">
        <f>+Amort!B29</f>
        <v>1769444.4444444447</v>
      </c>
      <c r="J14" s="13"/>
      <c r="L14" s="7" t="s">
        <v>122</v>
      </c>
      <c r="M14" s="7">
        <f>IF(I20&gt;0,I20,0)</f>
        <v>0</v>
      </c>
      <c r="O14" s="7" t="s">
        <v>4</v>
      </c>
      <c r="P14" s="7">
        <f>M15-SUM(P8:P13)</f>
        <v>14582144.869328141</v>
      </c>
    </row>
    <row r="15" spans="1:18" ht="16.2" thickBot="1" x14ac:dyDescent="0.35">
      <c r="A15" s="7" t="s">
        <v>48</v>
      </c>
      <c r="B15" s="27">
        <f>+D15*E15</f>
        <v>536923062.5</v>
      </c>
      <c r="D15" s="28">
        <v>7809790</v>
      </c>
      <c r="E15" s="26">
        <v>68.75</v>
      </c>
      <c r="H15" s="13" t="s">
        <v>190</v>
      </c>
      <c r="I15" s="16">
        <f>-B17*A35/(3*365)</f>
        <v>31068490.753424659</v>
      </c>
      <c r="J15" s="33" t="s">
        <v>56</v>
      </c>
      <c r="L15" s="91" t="s">
        <v>7</v>
      </c>
      <c r="M15" s="12">
        <f>SUM(M8:M14)</f>
        <v>466733371.84724408</v>
      </c>
      <c r="N15" s="20"/>
      <c r="O15" s="91" t="s">
        <v>7</v>
      </c>
      <c r="P15" s="12">
        <f>SUM(P8:P14)</f>
        <v>466733371.84724408</v>
      </c>
      <c r="Q15" s="106" t="s">
        <v>150</v>
      </c>
    </row>
    <row r="16" spans="1:18" ht="16.2" thickTop="1" x14ac:dyDescent="0.3">
      <c r="A16" s="7" t="s">
        <v>50</v>
      </c>
      <c r="B16" s="7">
        <f>SUM(B14:B15)</f>
        <v>536923062.5</v>
      </c>
      <c r="H16" s="13" t="s">
        <v>182</v>
      </c>
      <c r="I16" s="40">
        <f>-'Cash-Int-Trans'!B47</f>
        <v>-14282558.525861114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3">
      <c r="A17" s="7" t="s">
        <v>52</v>
      </c>
      <c r="B17" s="7">
        <f>350000000-B16</f>
        <v>-186923062.5</v>
      </c>
      <c r="C17" s="31" t="s">
        <v>53</v>
      </c>
      <c r="D17" s="32">
        <f>-B17/B16</f>
        <v>0.34813751830598633</v>
      </c>
      <c r="I17" s="7">
        <f>SUM(I12:I16)</f>
        <v>55616224.321382999</v>
      </c>
      <c r="L17" s="140" t="s">
        <v>47</v>
      </c>
      <c r="M17" s="139"/>
      <c r="N17" s="139"/>
      <c r="O17" s="139"/>
      <c r="P17" s="139"/>
      <c r="Q17" s="16"/>
    </row>
    <row r="18" spans="1:20" ht="16.2" thickBot="1" x14ac:dyDescent="0.35">
      <c r="A18" s="7" t="s">
        <v>55</v>
      </c>
      <c r="B18" s="12">
        <f>B16+B17</f>
        <v>350000000</v>
      </c>
      <c r="C18" s="18" t="s">
        <v>39</v>
      </c>
      <c r="I18" s="7"/>
      <c r="L18" s="141" t="s">
        <v>49</v>
      </c>
      <c r="M18" s="141"/>
      <c r="P18" s="7">
        <f>M15</f>
        <v>466733371.84724408</v>
      </c>
      <c r="Q18" s="106" t="s">
        <v>150</v>
      </c>
    </row>
    <row r="19" spans="1:20" ht="16.2" thickTop="1" x14ac:dyDescent="0.3">
      <c r="H19" s="7" t="s">
        <v>206</v>
      </c>
      <c r="I19" s="7">
        <f>IF(I5&lt;78.875,(78.875-I5)*(D14+D15),IF(I5&gt;111.8633,(111.8633-I5)*(+D14+D15),0))</f>
        <v>0</v>
      </c>
      <c r="L19" s="7" t="s">
        <v>189</v>
      </c>
      <c r="M19" s="92"/>
      <c r="N19" s="92"/>
      <c r="O19" s="92"/>
      <c r="P19" s="7">
        <f>+M19+O19</f>
        <v>0</v>
      </c>
      <c r="T19" s="142"/>
    </row>
    <row r="20" spans="1:20" ht="16.2" thickBot="1" x14ac:dyDescent="0.35">
      <c r="A20" s="169" t="s">
        <v>59</v>
      </c>
      <c r="B20" s="169"/>
      <c r="C20" s="169"/>
      <c r="D20" s="169"/>
      <c r="E20" s="169"/>
      <c r="H20" s="7" t="s">
        <v>115</v>
      </c>
      <c r="I20" s="7">
        <f>+'Daily Position'!L8</f>
        <v>0</v>
      </c>
      <c r="J20" s="13"/>
      <c r="L20" s="7" t="s">
        <v>149</v>
      </c>
      <c r="M20" s="92">
        <f>+'Daily Position'!I8-M19</f>
        <v>460000000</v>
      </c>
      <c r="N20" s="92"/>
      <c r="O20" s="92">
        <f>-P10</f>
        <v>0</v>
      </c>
      <c r="P20" s="27">
        <f>+M20+O20</f>
        <v>460000000</v>
      </c>
    </row>
    <row r="21" spans="1:20" x14ac:dyDescent="0.3">
      <c r="A21" s="166" t="s">
        <v>49</v>
      </c>
      <c r="B21" s="166"/>
      <c r="E21" s="7">
        <f>B11</f>
        <v>471001000</v>
      </c>
      <c r="F21" s="34" t="s">
        <v>43</v>
      </c>
      <c r="H21" s="7" t="s">
        <v>116</v>
      </c>
      <c r="I21" s="27">
        <f>+'Daily Position'!M8</f>
        <v>0</v>
      </c>
      <c r="L21" s="7" t="s">
        <v>148</v>
      </c>
      <c r="P21" s="7">
        <f>+P18+P19+P20</f>
        <v>926733371.84724402</v>
      </c>
    </row>
    <row r="22" spans="1:20" x14ac:dyDescent="0.3">
      <c r="A22" s="7" t="s">
        <v>61</v>
      </c>
      <c r="B22" s="7" t="s">
        <v>14</v>
      </c>
      <c r="D22" s="7">
        <v>7427536</v>
      </c>
      <c r="H22"/>
      <c r="I22" s="36">
        <f>SUM(I19:I21)</f>
        <v>0</v>
      </c>
      <c r="J22" s="13"/>
      <c r="K22" s="7"/>
      <c r="L22" s="7" t="s">
        <v>51</v>
      </c>
      <c r="P22" s="30">
        <f>E27</f>
        <v>3.0200000000000001E-2</v>
      </c>
    </row>
    <row r="23" spans="1:20" ht="16.2" thickBot="1" x14ac:dyDescent="0.35">
      <c r="A23" s="7" t="s">
        <v>64</v>
      </c>
      <c r="B23" s="7" t="s">
        <v>65</v>
      </c>
      <c r="D23" s="26">
        <v>57.5</v>
      </c>
      <c r="E23" s="27">
        <f>D22*D23</f>
        <v>427083320</v>
      </c>
      <c r="H23" s="37" t="s">
        <v>62</v>
      </c>
      <c r="I23" s="101">
        <f>I22+I17</f>
        <v>55616224.321382999</v>
      </c>
      <c r="J23" s="39" t="s">
        <v>63</v>
      </c>
      <c r="K23" s="7"/>
      <c r="L23" s="7" t="s">
        <v>54</v>
      </c>
      <c r="P23" s="7">
        <f>P21*P22</f>
        <v>27987347.82978677</v>
      </c>
    </row>
    <row r="24" spans="1:20" ht="16.2" thickTop="1" x14ac:dyDescent="0.3">
      <c r="A24" s="7" t="s">
        <v>67</v>
      </c>
      <c r="E24" s="7">
        <f>SUM(E21:E23)</f>
        <v>898084320</v>
      </c>
      <c r="H24" s="13"/>
      <c r="I24" s="16"/>
      <c r="J24" s="13"/>
      <c r="L24" s="7" t="s">
        <v>57</v>
      </c>
      <c r="P24" s="7">
        <f>P13</f>
        <v>31135079.452054795</v>
      </c>
      <c r="Q24" s="107" t="s">
        <v>151</v>
      </c>
    </row>
    <row r="25" spans="1:20" x14ac:dyDescent="0.3">
      <c r="A25" s="7" t="s">
        <v>68</v>
      </c>
      <c r="E25" s="27">
        <f>E6</f>
        <v>41000000</v>
      </c>
      <c r="F25" s="15" t="s">
        <v>34</v>
      </c>
      <c r="H25" s="139" t="s">
        <v>102</v>
      </c>
      <c r="I25" s="139"/>
      <c r="J25" s="13"/>
      <c r="L25" s="35" t="s">
        <v>58</v>
      </c>
      <c r="M25" s="36"/>
      <c r="N25" s="36"/>
      <c r="O25" s="36"/>
      <c r="P25" s="108" t="str">
        <f>IF(P24&gt;=P23,"Test Passed","Test Failed")</f>
        <v>Test Passed</v>
      </c>
      <c r="Q25" s="107"/>
    </row>
    <row r="26" spans="1:20" x14ac:dyDescent="0.3">
      <c r="E26" s="7">
        <f>E24-E25</f>
        <v>857084320</v>
      </c>
      <c r="H26" s="13" t="s">
        <v>69</v>
      </c>
      <c r="I26" s="16"/>
      <c r="J26" s="13"/>
      <c r="L26" s="13" t="s">
        <v>60</v>
      </c>
      <c r="M26" s="13"/>
      <c r="N26" s="13"/>
      <c r="O26" s="13"/>
      <c r="P26" s="13">
        <f>P24-P23</f>
        <v>3147731.6222680248</v>
      </c>
    </row>
    <row r="27" spans="1:20" x14ac:dyDescent="0.3">
      <c r="A27" s="7" t="s">
        <v>51</v>
      </c>
      <c r="E27" s="30">
        <v>3.0200000000000001E-2</v>
      </c>
      <c r="H27" s="13" t="s">
        <v>71</v>
      </c>
      <c r="I27" s="16">
        <f>E9</f>
        <v>30000000</v>
      </c>
      <c r="J27" s="19" t="s">
        <v>41</v>
      </c>
      <c r="K27" s="7"/>
      <c r="L27" s="37" t="s">
        <v>112</v>
      </c>
      <c r="M27" s="37"/>
      <c r="N27" s="37"/>
      <c r="O27" s="37"/>
      <c r="P27" s="37">
        <f>IF(P26&lt;0,0,P26/P22)</f>
        <v>104229523.91615976</v>
      </c>
    </row>
    <row r="28" spans="1:20" x14ac:dyDescent="0.3">
      <c r="A28" s="7" t="s">
        <v>54</v>
      </c>
      <c r="E28" s="7">
        <f>E26*E27</f>
        <v>25883946.464000002</v>
      </c>
      <c r="H28" s="13" t="s">
        <v>73</v>
      </c>
      <c r="I28" s="40">
        <f>-B17</f>
        <v>186923062.5</v>
      </c>
      <c r="J28" s="41" t="s">
        <v>53</v>
      </c>
    </row>
    <row r="29" spans="1:20" x14ac:dyDescent="0.3">
      <c r="A29" s="7" t="s">
        <v>57</v>
      </c>
      <c r="E29" s="7">
        <f>E9</f>
        <v>30000000</v>
      </c>
      <c r="F29" s="19" t="s">
        <v>41</v>
      </c>
      <c r="H29" s="13" t="s">
        <v>74</v>
      </c>
      <c r="I29" s="16">
        <f>SUM(I27:I28)</f>
        <v>216923062.5</v>
      </c>
      <c r="J29" s="13"/>
      <c r="L29" s="55" t="s">
        <v>66</v>
      </c>
      <c r="M29" s="55"/>
    </row>
    <row r="30" spans="1:20" x14ac:dyDescent="0.3">
      <c r="A30" s="35" t="s">
        <v>58</v>
      </c>
      <c r="B30" s="36"/>
      <c r="C30" s="36"/>
      <c r="D30" s="36"/>
      <c r="E30" s="108" t="str">
        <f>IF(E29&gt;=E28,"Test Passed","Test Failed")</f>
        <v>Test Passed</v>
      </c>
      <c r="H30" s="13"/>
      <c r="I30" s="16"/>
      <c r="J30" s="13"/>
      <c r="L30" s="7" t="s">
        <v>160</v>
      </c>
    </row>
    <row r="31" spans="1:20" x14ac:dyDescent="0.3">
      <c r="H31" s="13" t="s">
        <v>207</v>
      </c>
      <c r="I31" s="16">
        <f>I23</f>
        <v>55616224.321382999</v>
      </c>
      <c r="J31" s="39" t="s">
        <v>63</v>
      </c>
      <c r="L31" s="7" t="s">
        <v>70</v>
      </c>
      <c r="M31" s="7">
        <f>E9+'Cash-Int-Trans'!B13</f>
        <v>31100000</v>
      </c>
    </row>
    <row r="32" spans="1:20" ht="16.2" thickBot="1" x14ac:dyDescent="0.35">
      <c r="A32" s="44" t="s">
        <v>144</v>
      </c>
      <c r="B32" s="45"/>
      <c r="H32" s="13" t="s">
        <v>208</v>
      </c>
      <c r="I32" s="16">
        <f>(D14+D15)*(I5-E15)</f>
        <v>123980416.25</v>
      </c>
      <c r="J32" s="39"/>
      <c r="L32" s="7" t="s">
        <v>72</v>
      </c>
      <c r="M32" s="27">
        <f>E10</f>
        <v>1000</v>
      </c>
    </row>
    <row r="33" spans="1:14" x14ac:dyDescent="0.3">
      <c r="A33" s="46">
        <v>36706</v>
      </c>
      <c r="B33" s="13" t="s">
        <v>80</v>
      </c>
      <c r="H33" s="7" t="s">
        <v>159</v>
      </c>
      <c r="I33" s="14">
        <f>+'Cash-Int-Trans'!B13</f>
        <v>1100000</v>
      </c>
      <c r="M33" s="7">
        <f>SUM(M31:M32)</f>
        <v>31101000</v>
      </c>
    </row>
    <row r="34" spans="1:14" x14ac:dyDescent="0.3">
      <c r="A34" s="49">
        <f>+Summary!C5</f>
        <v>36888</v>
      </c>
      <c r="B34" s="13" t="s">
        <v>81</v>
      </c>
      <c r="C34"/>
      <c r="H34" s="13" t="s">
        <v>145</v>
      </c>
      <c r="I34" s="16">
        <f>-I15</f>
        <v>-31068490.753424659</v>
      </c>
      <c r="J34" s="33" t="s">
        <v>56</v>
      </c>
      <c r="L34" s="7" t="s">
        <v>75</v>
      </c>
      <c r="M34" s="7">
        <f>I23</f>
        <v>55616224.321382999</v>
      </c>
    </row>
    <row r="35" spans="1:14" ht="16.2" thickBot="1" x14ac:dyDescent="0.35">
      <c r="A35" s="50">
        <f>A34-A33</f>
        <v>182</v>
      </c>
      <c r="B35" s="13" t="s">
        <v>82</v>
      </c>
      <c r="C35"/>
      <c r="H35" s="13" t="s">
        <v>146</v>
      </c>
      <c r="I35" s="16">
        <f>+'Cash-Int-Trans'!B12</f>
        <v>-41000000</v>
      </c>
      <c r="J35" s="42"/>
      <c r="L35" s="7" t="s">
        <v>76</v>
      </c>
      <c r="M35" s="27">
        <f>I35</f>
        <v>-41000000</v>
      </c>
    </row>
    <row r="36" spans="1:14" ht="16.2" thickBot="1" x14ac:dyDescent="0.35">
      <c r="A36"/>
      <c r="B36"/>
      <c r="C36"/>
      <c r="H36" s="37" t="s">
        <v>103</v>
      </c>
      <c r="I36" s="38">
        <f>SUM(I29:I35)</f>
        <v>325551212.31795835</v>
      </c>
      <c r="J36" s="13"/>
      <c r="L36" s="7" t="s">
        <v>77</v>
      </c>
      <c r="M36" s="7">
        <f>SUM(M33:M35)</f>
        <v>45717224.321382999</v>
      </c>
    </row>
    <row r="37" spans="1:14" ht="16.5" customHeight="1" thickTop="1" x14ac:dyDescent="0.3">
      <c r="A37"/>
      <c r="B37"/>
      <c r="C37"/>
      <c r="D37"/>
      <c r="E37"/>
      <c r="H37" s="7" t="s">
        <v>205</v>
      </c>
      <c r="L37" s="7" t="s">
        <v>152</v>
      </c>
      <c r="M37" s="7">
        <f>P13</f>
        <v>31135079.452054795</v>
      </c>
    </row>
    <row r="38" spans="1:14" ht="15.75" customHeight="1" x14ac:dyDescent="0.3">
      <c r="A38"/>
      <c r="B38"/>
      <c r="C38"/>
      <c r="D38"/>
      <c r="E38"/>
      <c r="K38" s="7"/>
      <c r="L38" s="7" t="s">
        <v>153</v>
      </c>
      <c r="M38" s="27">
        <f>P14</f>
        <v>14582144.869328141</v>
      </c>
    </row>
    <row r="39" spans="1:14" ht="15.75" customHeight="1" x14ac:dyDescent="0.3">
      <c r="A39"/>
      <c r="B39"/>
      <c r="C39"/>
      <c r="D39"/>
      <c r="E39"/>
      <c r="K39" s="7"/>
      <c r="M39" s="7">
        <f>M36-M37-M38</f>
        <v>6.3329935073852539E-8</v>
      </c>
      <c r="N39" s="43" t="str">
        <f>IF(ROUND(M39,0)=0,"OK","Not OK")</f>
        <v>OK</v>
      </c>
    </row>
    <row r="40" spans="1:14" ht="16.5" customHeight="1" x14ac:dyDescent="0.3">
      <c r="A40"/>
      <c r="B40"/>
      <c r="C40"/>
      <c r="D40"/>
      <c r="E40"/>
      <c r="L40" s="7" t="s">
        <v>147</v>
      </c>
      <c r="M40" s="7">
        <f>ROUND(M36-SUM(M37:M38),0)</f>
        <v>0</v>
      </c>
      <c r="N40" s="105" t="str">
        <f>IF(M40=0,"OK","Not OK")</f>
        <v>OK</v>
      </c>
    </row>
    <row r="41" spans="1:14" x14ac:dyDescent="0.3">
      <c r="A41"/>
      <c r="B41"/>
      <c r="C41"/>
      <c r="D41"/>
      <c r="E41"/>
      <c r="I41" s="7"/>
    </row>
    <row r="42" spans="1:14" x14ac:dyDescent="0.3">
      <c r="A42"/>
      <c r="B42"/>
      <c r="C42"/>
      <c r="D42"/>
      <c r="E42"/>
      <c r="I42" s="7"/>
    </row>
    <row r="43" spans="1:14" x14ac:dyDescent="0.3">
      <c r="A43"/>
      <c r="B43"/>
      <c r="C43"/>
      <c r="D43"/>
      <c r="E43"/>
      <c r="I43" s="7"/>
      <c r="L43" s="47"/>
      <c r="M43" s="13"/>
    </row>
    <row r="44" spans="1:14" x14ac:dyDescent="0.3">
      <c r="A44"/>
      <c r="B44"/>
      <c r="C44"/>
      <c r="D44"/>
      <c r="E44"/>
      <c r="F44" s="7"/>
      <c r="H44" s="8"/>
      <c r="L44" s="13"/>
      <c r="M44" s="13"/>
    </row>
    <row r="45" spans="1:14" x14ac:dyDescent="0.3">
      <c r="A45"/>
      <c r="B45"/>
      <c r="C45"/>
      <c r="D45"/>
      <c r="E45"/>
      <c r="F45" s="7"/>
      <c r="I45" s="7"/>
    </row>
    <row r="46" spans="1:14" x14ac:dyDescent="0.3">
      <c r="A46"/>
      <c r="B46"/>
      <c r="C46"/>
      <c r="D46"/>
      <c r="E46"/>
      <c r="F46" s="7"/>
      <c r="I46" s="7"/>
    </row>
    <row r="47" spans="1:14" x14ac:dyDescent="0.3">
      <c r="A47"/>
      <c r="B47"/>
      <c r="C47"/>
      <c r="D47"/>
      <c r="E47"/>
      <c r="F47" s="7"/>
      <c r="I47" s="7"/>
    </row>
    <row r="48" spans="1:14" x14ac:dyDescent="0.3">
      <c r="A48"/>
      <c r="B48"/>
      <c r="C48"/>
      <c r="D48"/>
      <c r="E48"/>
      <c r="F48" s="7"/>
      <c r="I48" s="7"/>
    </row>
    <row r="49" spans="1:9" x14ac:dyDescent="0.3">
      <c r="A49"/>
      <c r="B49"/>
      <c r="C49"/>
      <c r="D49"/>
      <c r="E49"/>
      <c r="F49" s="7"/>
      <c r="I49" s="7"/>
    </row>
    <row r="50" spans="1:9" x14ac:dyDescent="0.3">
      <c r="A50"/>
      <c r="B50"/>
      <c r="C50"/>
      <c r="D50"/>
      <c r="E50"/>
      <c r="F50" s="7"/>
      <c r="I50" s="7"/>
    </row>
    <row r="51" spans="1:9" x14ac:dyDescent="0.3">
      <c r="A51"/>
      <c r="B51"/>
      <c r="C51"/>
      <c r="D51"/>
      <c r="E51"/>
      <c r="F51" s="7"/>
      <c r="I51" s="7"/>
    </row>
    <row r="52" spans="1:9" x14ac:dyDescent="0.3">
      <c r="A52"/>
      <c r="B52"/>
      <c r="C52"/>
      <c r="D52"/>
      <c r="E52"/>
      <c r="F52" s="7"/>
      <c r="I52" s="7"/>
    </row>
    <row r="53" spans="1:9" x14ac:dyDescent="0.3">
      <c r="A53"/>
      <c r="B53"/>
      <c r="C53"/>
      <c r="D53"/>
      <c r="E53"/>
      <c r="F53" s="7"/>
      <c r="I53" s="7"/>
    </row>
    <row r="54" spans="1:9" x14ac:dyDescent="0.3">
      <c r="A54"/>
      <c r="B54"/>
      <c r="C54"/>
      <c r="D54"/>
      <c r="E54"/>
      <c r="F54" s="7"/>
      <c r="I54" s="7"/>
    </row>
    <row r="55" spans="1:9" x14ac:dyDescent="0.3">
      <c r="A55"/>
      <c r="B55"/>
      <c r="C55"/>
      <c r="D55"/>
      <c r="E55"/>
      <c r="I55" s="7"/>
    </row>
    <row r="56" spans="1:9" x14ac:dyDescent="0.3">
      <c r="A56"/>
      <c r="B56"/>
      <c r="C56"/>
      <c r="D56"/>
      <c r="E56"/>
    </row>
    <row r="57" spans="1:9" x14ac:dyDescent="0.3">
      <c r="A57"/>
      <c r="B57"/>
      <c r="C57"/>
      <c r="D57"/>
      <c r="E57"/>
    </row>
    <row r="58" spans="1:9" x14ac:dyDescent="0.3">
      <c r="A58"/>
      <c r="B58"/>
      <c r="C58"/>
      <c r="D58"/>
      <c r="E58"/>
    </row>
    <row r="59" spans="1:9" x14ac:dyDescent="0.3">
      <c r="A59"/>
      <c r="B59"/>
      <c r="C59"/>
      <c r="D59"/>
      <c r="E59"/>
    </row>
    <row r="60" spans="1:9" x14ac:dyDescent="0.3">
      <c r="A60"/>
      <c r="B60"/>
      <c r="C60"/>
      <c r="D60"/>
      <c r="E60"/>
    </row>
    <row r="61" spans="1:9" x14ac:dyDescent="0.3">
      <c r="A61"/>
      <c r="B61"/>
      <c r="C61"/>
    </row>
  </sheetData>
  <mergeCells count="14">
    <mergeCell ref="A21:B21"/>
    <mergeCell ref="L7:M7"/>
    <mergeCell ref="O7:P7"/>
    <mergeCell ref="H10:I10"/>
    <mergeCell ref="A4:F4"/>
    <mergeCell ref="A5:B5"/>
    <mergeCell ref="D5:E5"/>
    <mergeCell ref="A20:E20"/>
    <mergeCell ref="H2:I2"/>
    <mergeCell ref="H3:I3"/>
    <mergeCell ref="L5:P5"/>
    <mergeCell ref="L2:P2"/>
    <mergeCell ref="L3:P3"/>
    <mergeCell ref="H7:I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64"/>
  <sheetViews>
    <sheetView showGridLines="0" topLeftCell="A22" workbookViewId="0">
      <selection activeCell="D48" sqref="D48"/>
    </sheetView>
  </sheetViews>
  <sheetFormatPr defaultRowHeight="15.6" x14ac:dyDescent="0.3"/>
  <cols>
    <col min="1" max="1" width="32.69921875" customWidth="1"/>
    <col min="2" max="2" width="12.59765625" bestFit="1" customWidth="1"/>
    <col min="3" max="3" width="1.69921875" bestFit="1" customWidth="1"/>
    <col min="4" max="4" width="14.59765625" bestFit="1" customWidth="1"/>
    <col min="5" max="5" width="10.5" bestFit="1" customWidth="1"/>
  </cols>
  <sheetData>
    <row r="1" spans="1:7" ht="16.2" thickBot="1" x14ac:dyDescent="0.35">
      <c r="A1" s="170" t="s">
        <v>109</v>
      </c>
      <c r="B1" s="170"/>
    </row>
    <row r="3" spans="1:7" x14ac:dyDescent="0.3">
      <c r="A3" s="13" t="s">
        <v>121</v>
      </c>
      <c r="B3" s="14"/>
      <c r="C3" s="7"/>
    </row>
    <row r="4" spans="1:7" x14ac:dyDescent="0.3">
      <c r="A4" s="8" t="s">
        <v>85</v>
      </c>
      <c r="B4" s="16">
        <f>IF(Summary!C5&lt;'Cash-Int-Trans'!D4,0,+G4)</f>
        <v>34266411</v>
      </c>
      <c r="C4" s="7"/>
      <c r="D4" s="1">
        <v>36791</v>
      </c>
      <c r="E4">
        <v>41000000</v>
      </c>
      <c r="F4">
        <v>6733589</v>
      </c>
      <c r="G4">
        <f>+E4-F4</f>
        <v>34266411</v>
      </c>
    </row>
    <row r="5" spans="1:7" x14ac:dyDescent="0.3">
      <c r="A5" s="7"/>
      <c r="B5" s="14"/>
      <c r="C5" s="7"/>
    </row>
    <row r="6" spans="1:7" ht="16.2" thickBot="1" x14ac:dyDescent="0.35">
      <c r="A6" s="7" t="s">
        <v>86</v>
      </c>
      <c r="B6" s="152">
        <f>SUM(B3:B5)</f>
        <v>34266411</v>
      </c>
      <c r="C6" s="29" t="s">
        <v>87</v>
      </c>
    </row>
    <row r="7" spans="1:7" ht="16.2" thickTop="1" x14ac:dyDescent="0.3">
      <c r="A7" s="7"/>
      <c r="B7" s="14"/>
      <c r="C7" s="7"/>
    </row>
    <row r="8" spans="1:7" x14ac:dyDescent="0.3">
      <c r="A8" s="7" t="s">
        <v>95</v>
      </c>
      <c r="B8" s="14">
        <f>IF(Summary!C5&lt;'Cash-Int-Trans'!D8,0,-Financials!E6+B4)</f>
        <v>-6733589</v>
      </c>
      <c r="C8" s="7"/>
      <c r="D8" s="1">
        <v>36791</v>
      </c>
    </row>
    <row r="9" spans="1:7" x14ac:dyDescent="0.3">
      <c r="A9" s="7" t="s">
        <v>192</v>
      </c>
      <c r="B9" s="14">
        <f>-B8</f>
        <v>6733589</v>
      </c>
      <c r="C9" s="7"/>
      <c r="D9" s="1">
        <f>+D8</f>
        <v>36791</v>
      </c>
    </row>
    <row r="10" spans="1:7" x14ac:dyDescent="0.3">
      <c r="A10" s="7"/>
      <c r="B10" s="7"/>
      <c r="C10" s="7"/>
    </row>
    <row r="11" spans="1:7" x14ac:dyDescent="0.3">
      <c r="A11" s="7" t="s">
        <v>96</v>
      </c>
      <c r="B11" s="14"/>
      <c r="C11" s="7"/>
    </row>
    <row r="12" spans="1:7" x14ac:dyDescent="0.3">
      <c r="A12" s="7" t="s">
        <v>193</v>
      </c>
      <c r="B12" s="14">
        <f>IF(Summary!C5&lt;'Cash-Int-Trans'!D12,0,-41000000)</f>
        <v>-41000000</v>
      </c>
      <c r="C12" s="7"/>
      <c r="D12" s="1">
        <v>36791</v>
      </c>
    </row>
    <row r="13" spans="1:7" x14ac:dyDescent="0.3">
      <c r="A13" s="7" t="s">
        <v>194</v>
      </c>
      <c r="B13" s="14">
        <v>1100000</v>
      </c>
      <c r="C13" s="7"/>
      <c r="D13" s="1">
        <v>36791</v>
      </c>
    </row>
    <row r="14" spans="1:7" x14ac:dyDescent="0.3">
      <c r="A14" s="7"/>
      <c r="B14" s="14"/>
      <c r="C14" s="7"/>
      <c r="D14" s="1"/>
    </row>
    <row r="15" spans="1:7" x14ac:dyDescent="0.3">
      <c r="A15" s="7" t="s">
        <v>197</v>
      </c>
      <c r="B15" s="14">
        <f>IF(Summary!$C$5&lt;'Cash-Int-Trans'!D15,0,-Amort!D11)</f>
        <v>0</v>
      </c>
      <c r="C15" s="7"/>
      <c r="D15" s="1">
        <v>36889</v>
      </c>
    </row>
    <row r="16" spans="1:7" x14ac:dyDescent="0.3">
      <c r="A16" s="7" t="s">
        <v>196</v>
      </c>
      <c r="B16" s="14">
        <f>-B15</f>
        <v>0</v>
      </c>
      <c r="C16" s="7"/>
      <c r="D16" s="1">
        <f>+D15</f>
        <v>36889</v>
      </c>
    </row>
    <row r="17" spans="1:5" x14ac:dyDescent="0.3">
      <c r="A17" s="7"/>
      <c r="B17" s="14"/>
      <c r="C17" s="7"/>
    </row>
    <row r="18" spans="1:5" ht="16.2" thickBot="1" x14ac:dyDescent="0.35">
      <c r="A18" s="170" t="s">
        <v>104</v>
      </c>
      <c r="B18" s="170"/>
    </row>
    <row r="20" spans="1:5" x14ac:dyDescent="0.3">
      <c r="A20" t="s">
        <v>25</v>
      </c>
      <c r="B20" s="7">
        <f>+Financials!B6</f>
        <v>71001000</v>
      </c>
      <c r="D20" s="1">
        <v>36634</v>
      </c>
    </row>
    <row r="22" spans="1:5" x14ac:dyDescent="0.3">
      <c r="A22" t="s">
        <v>105</v>
      </c>
      <c r="B22" s="7">
        <f>+Financials!I23</f>
        <v>55616224.321382999</v>
      </c>
    </row>
    <row r="23" spans="1:5" x14ac:dyDescent="0.3">
      <c r="A23" t="s">
        <v>106</v>
      </c>
      <c r="B23" s="7">
        <f>-Financials!I15</f>
        <v>-31068490.753424659</v>
      </c>
    </row>
    <row r="24" spans="1:5" x14ac:dyDescent="0.3">
      <c r="A24" s="7" t="str">
        <f>+Financials!H20</f>
        <v>Unrealized Gains / (Losses)</v>
      </c>
      <c r="B24" s="7">
        <f>-Financials!I20-Financials!I19</f>
        <v>0</v>
      </c>
    </row>
    <row r="26" spans="1:5" x14ac:dyDescent="0.3">
      <c r="A26" t="s">
        <v>108</v>
      </c>
    </row>
    <row r="27" spans="1:5" x14ac:dyDescent="0.3">
      <c r="A27" t="s">
        <v>110</v>
      </c>
      <c r="B27" s="7">
        <f>+Financials!B7-Financials!M9</f>
        <v>0</v>
      </c>
    </row>
    <row r="28" spans="1:5" x14ac:dyDescent="0.3">
      <c r="A28" t="s">
        <v>42</v>
      </c>
      <c r="B28" s="7">
        <f>0-Financials!M11</f>
        <v>-1769444.4444444447</v>
      </c>
    </row>
    <row r="29" spans="1:5" x14ac:dyDescent="0.3">
      <c r="A29" t="s">
        <v>111</v>
      </c>
      <c r="B29" s="7">
        <f>-Financials!E7+Financials!P12</f>
        <v>21016147.525861144</v>
      </c>
    </row>
    <row r="30" spans="1:5" x14ac:dyDescent="0.3">
      <c r="A30" t="s">
        <v>195</v>
      </c>
      <c r="B30" s="7">
        <f>-Financials!E6+Financials!P8+Financials!P9</f>
        <v>-41000000</v>
      </c>
      <c r="E30" s="7"/>
    </row>
    <row r="32" spans="1:5" x14ac:dyDescent="0.3">
      <c r="A32" t="s">
        <v>96</v>
      </c>
      <c r="B32" s="7">
        <f>+B12</f>
        <v>-41000000</v>
      </c>
    </row>
    <row r="33" spans="1:6" x14ac:dyDescent="0.3">
      <c r="A33" t="s">
        <v>120</v>
      </c>
      <c r="B33" s="7">
        <f>+B13</f>
        <v>1100000</v>
      </c>
    </row>
    <row r="35" spans="1:6" ht="16.2" thickBot="1" x14ac:dyDescent="0.35">
      <c r="A35" t="s">
        <v>27</v>
      </c>
      <c r="B35" s="12">
        <f>SUM(B20:B34)</f>
        <v>33895436.649375036</v>
      </c>
      <c r="D35" s="7">
        <f>+B20+B12+B13+B38+B16</f>
        <v>33895436.649374999</v>
      </c>
      <c r="E35" s="7"/>
    </row>
    <row r="36" spans="1:6" ht="16.2" thickTop="1" x14ac:dyDescent="0.3"/>
    <row r="37" spans="1:6" ht="16.2" thickBot="1" x14ac:dyDescent="0.35">
      <c r="A37" s="170" t="s">
        <v>154</v>
      </c>
      <c r="B37" s="170"/>
      <c r="C37" s="170"/>
      <c r="D37" s="170"/>
      <c r="E37" s="170"/>
      <c r="F37" s="170"/>
    </row>
    <row r="38" spans="1:6" x14ac:dyDescent="0.3">
      <c r="A38" s="109" t="s">
        <v>114</v>
      </c>
      <c r="B38" s="110">
        <f>+B44</f>
        <v>2794436.6493750005</v>
      </c>
    </row>
    <row r="39" spans="1:6" x14ac:dyDescent="0.3">
      <c r="A39" s="53"/>
      <c r="E39" s="133" t="s">
        <v>79</v>
      </c>
      <c r="F39" s="134"/>
    </row>
    <row r="40" spans="1:6" x14ac:dyDescent="0.3">
      <c r="A40" t="s">
        <v>1</v>
      </c>
      <c r="B40" s="1">
        <v>36705</v>
      </c>
      <c r="E40" s="1">
        <v>36692</v>
      </c>
      <c r="F40" s="48">
        <v>7.3999999999999996E-2</v>
      </c>
    </row>
    <row r="41" spans="1:6" x14ac:dyDescent="0.3">
      <c r="A41" t="s">
        <v>25</v>
      </c>
      <c r="B41" s="7">
        <f>+Financials!B6</f>
        <v>71001000</v>
      </c>
      <c r="E41" s="1">
        <v>36722</v>
      </c>
      <c r="F41" s="48">
        <v>7.3300000000000004E-2</v>
      </c>
    </row>
    <row r="42" spans="1:6" x14ac:dyDescent="0.3">
      <c r="A42" t="s">
        <v>1</v>
      </c>
      <c r="B42" s="1">
        <f>IF(Summary!$C$5&lt;'Cash-Int-Trans'!B40,+'Cash-Int-Trans'!B40,Summary!$C$5)</f>
        <v>36888</v>
      </c>
      <c r="E42" s="1">
        <v>36753</v>
      </c>
      <c r="F42" s="48">
        <v>7.2400000000000006E-2</v>
      </c>
    </row>
    <row r="43" spans="1:6" x14ac:dyDescent="0.3">
      <c r="A43" t="s">
        <v>78</v>
      </c>
      <c r="B43" s="3">
        <f>+B42-B40</f>
        <v>183</v>
      </c>
      <c r="E43" s="1">
        <v>36784</v>
      </c>
      <c r="F43" s="48">
        <v>7.1999999999999995E-2</v>
      </c>
    </row>
    <row r="44" spans="1:6" x14ac:dyDescent="0.3">
      <c r="A44" t="s">
        <v>26</v>
      </c>
      <c r="B44" s="54">
        <f>+B41*(F45+0.0045)/360*B43</f>
        <v>2794436.6493750005</v>
      </c>
      <c r="E44" s="1">
        <v>36814</v>
      </c>
      <c r="F44" s="48"/>
    </row>
    <row r="45" spans="1:6" x14ac:dyDescent="0.3">
      <c r="E45" s="51" t="s">
        <v>83</v>
      </c>
      <c r="F45" s="52">
        <f>AVERAGE(F40:F44)</f>
        <v>7.2925000000000004E-2</v>
      </c>
    </row>
    <row r="46" spans="1:6" ht="16.2" thickBot="1" x14ac:dyDescent="0.35">
      <c r="A46" s="170" t="s">
        <v>171</v>
      </c>
      <c r="B46" s="170"/>
      <c r="C46" s="170"/>
      <c r="D46" s="170"/>
      <c r="E46" s="170"/>
      <c r="F46" s="170"/>
    </row>
    <row r="47" spans="1:6" x14ac:dyDescent="0.3">
      <c r="A47" s="109" t="s">
        <v>168</v>
      </c>
      <c r="B47" s="110">
        <f>+B49+B56</f>
        <v>14282558.525861114</v>
      </c>
    </row>
    <row r="48" spans="1:6" x14ac:dyDescent="0.3">
      <c r="A48" s="53"/>
    </row>
    <row r="49" spans="1:6" x14ac:dyDescent="0.3">
      <c r="A49" t="s">
        <v>172</v>
      </c>
      <c r="B49" s="3">
        <f>+Amort!B61</f>
        <v>14155555.555555558</v>
      </c>
      <c r="E49" s="171"/>
      <c r="F49" s="172"/>
    </row>
    <row r="50" spans="1:6" x14ac:dyDescent="0.3">
      <c r="B50" s="3"/>
      <c r="E50" s="133"/>
      <c r="F50" s="134"/>
    </row>
    <row r="51" spans="1:6" x14ac:dyDescent="0.3">
      <c r="A51" t="s">
        <v>179</v>
      </c>
      <c r="B51" s="7"/>
      <c r="E51" s="47"/>
      <c r="F51" s="48"/>
    </row>
    <row r="52" spans="1:6" x14ac:dyDescent="0.3">
      <c r="A52" t="s">
        <v>173</v>
      </c>
      <c r="B52" s="1">
        <v>36791</v>
      </c>
      <c r="E52" s="47"/>
      <c r="F52" s="48"/>
    </row>
    <row r="53" spans="1:6" x14ac:dyDescent="0.3">
      <c r="A53" t="s">
        <v>174</v>
      </c>
      <c r="B53" s="3">
        <f>+B9</f>
        <v>6733589</v>
      </c>
      <c r="E53" s="47"/>
      <c r="F53" s="48"/>
    </row>
    <row r="54" spans="1:6" x14ac:dyDescent="0.3">
      <c r="A54" t="s">
        <v>1</v>
      </c>
      <c r="B54" s="1">
        <f>IF(+Summary!C5&gt;Amort!A43,Amort!A43,Summary!C5)</f>
        <v>36888</v>
      </c>
    </row>
    <row r="55" spans="1:6" x14ac:dyDescent="0.3">
      <c r="A55" t="s">
        <v>78</v>
      </c>
      <c r="B55" s="3">
        <f>+B54-B52</f>
        <v>97</v>
      </c>
    </row>
    <row r="56" spans="1:6" x14ac:dyDescent="0.3">
      <c r="A56" t="s">
        <v>178</v>
      </c>
      <c r="B56" s="54">
        <f>+B53*0.07/360*B55</f>
        <v>127002.97030555557</v>
      </c>
    </row>
    <row r="58" spans="1:6" ht="16.2" thickBot="1" x14ac:dyDescent="0.35">
      <c r="A58" s="170" t="s">
        <v>183</v>
      </c>
      <c r="B58" s="170"/>
      <c r="C58" s="170"/>
      <c r="D58" s="170"/>
      <c r="E58" s="170"/>
      <c r="F58" s="170"/>
    </row>
    <row r="60" spans="1:6" x14ac:dyDescent="0.3">
      <c r="A60" t="s">
        <v>124</v>
      </c>
      <c r="B60" s="1">
        <f>+Summary!C5</f>
        <v>36888</v>
      </c>
    </row>
    <row r="61" spans="1:6" x14ac:dyDescent="0.3">
      <c r="A61" t="s">
        <v>184</v>
      </c>
      <c r="B61" s="1">
        <v>36706</v>
      </c>
      <c r="D61" s="4">
        <f>IF(B60&gt;(B61-1),30000000,0)</f>
        <v>30000000</v>
      </c>
    </row>
    <row r="62" spans="1:6" x14ac:dyDescent="0.3">
      <c r="A62" t="s">
        <v>185</v>
      </c>
      <c r="B62" s="1">
        <v>36791</v>
      </c>
      <c r="D62" s="4">
        <f>IF(B60&gt;(B62-1),1100000,0)</f>
        <v>1100000</v>
      </c>
    </row>
    <row r="63" spans="1:6" ht="17.399999999999999" x14ac:dyDescent="0.45">
      <c r="A63" t="s">
        <v>186</v>
      </c>
      <c r="B63" s="1">
        <f>+Summary!C5</f>
        <v>36888</v>
      </c>
      <c r="D63" s="135">
        <f>IF(B63&gt;B62,+(+B63-B62)/365*0.12*D62,0)</f>
        <v>35079.452054794521</v>
      </c>
    </row>
    <row r="64" spans="1:6" x14ac:dyDescent="0.3">
      <c r="A64" t="s">
        <v>187</v>
      </c>
      <c r="D64" s="5">
        <f>SUM(D61:D63)</f>
        <v>31135079.452054795</v>
      </c>
    </row>
  </sheetData>
  <mergeCells count="6">
    <mergeCell ref="A58:F58"/>
    <mergeCell ref="A1:B1"/>
    <mergeCell ref="A37:F37"/>
    <mergeCell ref="A46:F46"/>
    <mergeCell ref="E49:F49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66"/>
  <sheetViews>
    <sheetView workbookViewId="0">
      <selection activeCell="D11" sqref="D11"/>
    </sheetView>
  </sheetViews>
  <sheetFormatPr defaultColWidth="9" defaultRowHeight="15.6" x14ac:dyDescent="0.3"/>
  <cols>
    <col min="1" max="1" width="17.09765625" style="7" customWidth="1"/>
    <col min="2" max="3" width="11.5" style="7" bestFit="1" customWidth="1"/>
    <col min="4" max="4" width="12.5" style="7" customWidth="1"/>
    <col min="5" max="5" width="12.09765625" style="7" bestFit="1" customWidth="1"/>
    <col min="6" max="8" width="11.5" style="7" bestFit="1" customWidth="1"/>
    <col min="9" max="9" width="10" style="7" customWidth="1"/>
    <col min="10" max="16384" width="9" style="7"/>
  </cols>
  <sheetData>
    <row r="1" spans="1:9" x14ac:dyDescent="0.3">
      <c r="A1" s="6" t="s">
        <v>165</v>
      </c>
      <c r="B1" s="6"/>
      <c r="G1" s="8"/>
      <c r="H1" s="8"/>
    </row>
    <row r="2" spans="1:9" x14ac:dyDescent="0.3">
      <c r="B2" s="111" t="s">
        <v>155</v>
      </c>
    </row>
    <row r="3" spans="1:9" x14ac:dyDescent="0.3">
      <c r="A3" s="7" t="s">
        <v>20</v>
      </c>
      <c r="B3" s="112">
        <v>50000000</v>
      </c>
    </row>
    <row r="4" spans="1:9" x14ac:dyDescent="0.3">
      <c r="A4" s="7" t="s">
        <v>21</v>
      </c>
      <c r="B4" s="113">
        <v>7.0000000000000007E-2</v>
      </c>
    </row>
    <row r="5" spans="1:9" x14ac:dyDescent="0.3">
      <c r="A5" s="7" t="s">
        <v>22</v>
      </c>
      <c r="B5" s="114">
        <f>5*12</f>
        <v>60</v>
      </c>
    </row>
    <row r="6" spans="1:9" x14ac:dyDescent="0.3">
      <c r="A6" s="7" t="s">
        <v>23</v>
      </c>
      <c r="B6" s="115">
        <v>2</v>
      </c>
    </row>
    <row r="7" spans="1:9" x14ac:dyDescent="0.3">
      <c r="A7" s="7" t="s">
        <v>24</v>
      </c>
      <c r="B7" s="7">
        <v>0</v>
      </c>
    </row>
    <row r="9" spans="1:9" s="9" customFormat="1" ht="26.4" x14ac:dyDescent="0.25">
      <c r="B9" s="11" t="s">
        <v>91</v>
      </c>
      <c r="C9" s="10" t="s">
        <v>25</v>
      </c>
      <c r="D9" s="10" t="s">
        <v>24</v>
      </c>
      <c r="E9" s="10" t="s">
        <v>20</v>
      </c>
      <c r="F9" s="10" t="s">
        <v>26</v>
      </c>
      <c r="G9" s="10" t="s">
        <v>27</v>
      </c>
      <c r="H9" s="10" t="s">
        <v>169</v>
      </c>
    </row>
    <row r="10" spans="1:9" x14ac:dyDescent="0.3">
      <c r="A10" s="1">
        <v>36706</v>
      </c>
      <c r="B10" s="104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36706</v>
      </c>
    </row>
    <row r="11" spans="1:9" x14ac:dyDescent="0.3">
      <c r="A11" s="1">
        <v>36889</v>
      </c>
      <c r="B11" s="104">
        <f t="shared" ref="B11:B20" si="3">+B10+1</f>
        <v>1</v>
      </c>
      <c r="C11" s="7">
        <f t="shared" ref="C11:C20" si="4">G10</f>
        <v>50000000</v>
      </c>
      <c r="D11" s="7">
        <f>+F11</f>
        <v>1779166.6666666667</v>
      </c>
      <c r="E11" s="7">
        <f t="shared" si="0"/>
        <v>0</v>
      </c>
      <c r="F11" s="7">
        <f>C11*$B$4/360*(A11-A10)</f>
        <v>1779166.6666666667</v>
      </c>
      <c r="G11" s="7">
        <f t="shared" si="1"/>
        <v>50000000</v>
      </c>
      <c r="H11" s="7">
        <f t="shared" ref="H11:H20" si="5">+H10+F11</f>
        <v>1779166.6666666667</v>
      </c>
      <c r="I11" s="1">
        <f t="shared" si="2"/>
        <v>36889</v>
      </c>
    </row>
    <row r="12" spans="1:9" x14ac:dyDescent="0.3">
      <c r="A12" s="1">
        <v>37071</v>
      </c>
      <c r="B12" s="104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3548611.111111111</v>
      </c>
      <c r="I12" s="1">
        <f t="shared" si="2"/>
        <v>37071</v>
      </c>
    </row>
    <row r="13" spans="1:9" x14ac:dyDescent="0.3">
      <c r="A13" s="1">
        <v>37254</v>
      </c>
      <c r="B13" s="104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5327777.777777778</v>
      </c>
      <c r="I13" s="1">
        <f t="shared" si="2"/>
        <v>37254</v>
      </c>
    </row>
    <row r="14" spans="1:9" x14ac:dyDescent="0.3">
      <c r="A14" s="1">
        <v>37436</v>
      </c>
      <c r="B14" s="104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7097222.222222222</v>
      </c>
      <c r="I14" s="1">
        <f t="shared" si="2"/>
        <v>37436</v>
      </c>
    </row>
    <row r="15" spans="1:9" x14ac:dyDescent="0.3">
      <c r="A15" s="1">
        <v>37619</v>
      </c>
      <c r="B15" s="104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8876388.8888888881</v>
      </c>
      <c r="I15" s="1">
        <f t="shared" si="2"/>
        <v>37619</v>
      </c>
    </row>
    <row r="16" spans="1:9" x14ac:dyDescent="0.3">
      <c r="A16" s="1">
        <v>37801</v>
      </c>
      <c r="B16" s="104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10645833.333333332</v>
      </c>
      <c r="I16" s="1">
        <f t="shared" si="2"/>
        <v>37801</v>
      </c>
    </row>
    <row r="17" spans="1:9" x14ac:dyDescent="0.3">
      <c r="A17" s="1">
        <v>37984</v>
      </c>
      <c r="B17" s="104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12424999.999999998</v>
      </c>
      <c r="I17" s="1">
        <f t="shared" si="2"/>
        <v>37984</v>
      </c>
    </row>
    <row r="18" spans="1:9" x14ac:dyDescent="0.3">
      <c r="A18" s="1">
        <v>38167</v>
      </c>
      <c r="B18" s="104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14204166.666666664</v>
      </c>
      <c r="I18" s="1">
        <f t="shared" si="2"/>
        <v>38167</v>
      </c>
    </row>
    <row r="19" spans="1:9" x14ac:dyDescent="0.3">
      <c r="A19" s="1">
        <v>38350</v>
      </c>
      <c r="B19" s="104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15983333.33333333</v>
      </c>
      <c r="I19" s="1">
        <f t="shared" si="2"/>
        <v>38350</v>
      </c>
    </row>
    <row r="20" spans="1:9" x14ac:dyDescent="0.3">
      <c r="A20" s="1">
        <v>38532</v>
      </c>
      <c r="B20" s="104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17752777.777777776</v>
      </c>
      <c r="I20" s="1">
        <f t="shared" si="2"/>
        <v>38532</v>
      </c>
    </row>
    <row r="21" spans="1:9" ht="16.2" thickBot="1" x14ac:dyDescent="0.35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103" customFormat="1" ht="16.2" thickTop="1" x14ac:dyDescent="0.3">
      <c r="A22" s="116"/>
      <c r="B22" s="116"/>
    </row>
    <row r="23" spans="1:9" s="103" customFormat="1" x14ac:dyDescent="0.3">
      <c r="A23" s="173">
        <f>+Summary!C5</f>
        <v>36888</v>
      </c>
      <c r="B23" s="173"/>
      <c r="E23" s="103" t="s">
        <v>91</v>
      </c>
      <c r="F23" s="103">
        <f>VLOOKUP(+A23,Amort,2)</f>
        <v>0</v>
      </c>
    </row>
    <row r="24" spans="1:9" s="103" customFormat="1" x14ac:dyDescent="0.3">
      <c r="A24" s="103" t="s">
        <v>88</v>
      </c>
      <c r="B24" s="103">
        <v>0</v>
      </c>
      <c r="E24" s="103" t="s">
        <v>1</v>
      </c>
      <c r="F24" s="116">
        <f>VLOOKUP(+A23,Amort,1)</f>
        <v>36706</v>
      </c>
    </row>
    <row r="25" spans="1:9" s="103" customFormat="1" x14ac:dyDescent="0.3">
      <c r="A25" s="103" t="s">
        <v>89</v>
      </c>
      <c r="B25" s="129">
        <f>VLOOKUP(+A23,Note,8)</f>
        <v>0</v>
      </c>
      <c r="E25" s="103" t="s">
        <v>92</v>
      </c>
      <c r="F25" s="103">
        <f>VLOOKUP(+F23+1,NotePeriod,5)</f>
        <v>1779166.6666666667</v>
      </c>
    </row>
    <row r="26" spans="1:9" s="103" customFormat="1" x14ac:dyDescent="0.3">
      <c r="A26" s="116" t="s">
        <v>90</v>
      </c>
      <c r="B26" s="103">
        <f>+B24+B25</f>
        <v>0</v>
      </c>
      <c r="E26" s="103" t="s">
        <v>93</v>
      </c>
      <c r="F26" s="116">
        <f>VLOOKUP(+F23+1,NotePeriod,8)</f>
        <v>36889</v>
      </c>
    </row>
    <row r="27" spans="1:9" s="103" customFormat="1" x14ac:dyDescent="0.3">
      <c r="A27" s="116" t="s">
        <v>94</v>
      </c>
      <c r="B27" s="103">
        <f>A23-F24</f>
        <v>182</v>
      </c>
      <c r="E27" s="116"/>
    </row>
    <row r="28" spans="1:9" s="103" customFormat="1" x14ac:dyDescent="0.3">
      <c r="A28" s="116" t="s">
        <v>28</v>
      </c>
      <c r="B28" s="103">
        <f>F25*B27/(F26-F24)</f>
        <v>1769444.4444444447</v>
      </c>
    </row>
    <row r="29" spans="1:9" s="103" customFormat="1" x14ac:dyDescent="0.3">
      <c r="A29" s="116" t="s">
        <v>29</v>
      </c>
      <c r="B29" s="103">
        <f>+B25+B28</f>
        <v>1769444.4444444447</v>
      </c>
    </row>
    <row r="30" spans="1:9" s="103" customFormat="1" x14ac:dyDescent="0.3"/>
    <row r="31" spans="1:9" s="103" customFormat="1" x14ac:dyDescent="0.3"/>
    <row r="32" spans="1:9" s="103" customFormat="1" x14ac:dyDescent="0.3"/>
    <row r="33" spans="1:9" s="103" customFormat="1" x14ac:dyDescent="0.3"/>
    <row r="34" spans="1:9" s="103" customFormat="1" x14ac:dyDescent="0.3"/>
    <row r="35" spans="1:9" s="103" customFormat="1" x14ac:dyDescent="0.3">
      <c r="A35" s="6" t="s">
        <v>166</v>
      </c>
      <c r="B35" s="6"/>
      <c r="C35" s="7"/>
      <c r="D35" s="7"/>
      <c r="E35" s="7"/>
      <c r="F35" s="7"/>
      <c r="G35" s="8"/>
      <c r="H35" s="102"/>
    </row>
    <row r="36" spans="1:9" s="103" customFormat="1" x14ac:dyDescent="0.3">
      <c r="A36" s="7"/>
      <c r="B36" s="111" t="s">
        <v>155</v>
      </c>
      <c r="C36" s="7"/>
      <c r="D36" s="7"/>
      <c r="E36" s="7"/>
      <c r="F36" s="7"/>
      <c r="G36" s="7"/>
      <c r="H36" s="102"/>
    </row>
    <row r="37" spans="1:9" s="103" customFormat="1" x14ac:dyDescent="0.3">
      <c r="A37" s="7" t="s">
        <v>20</v>
      </c>
      <c r="B37" s="112">
        <v>400000000</v>
      </c>
      <c r="C37" s="7"/>
      <c r="D37" s="7"/>
      <c r="E37" s="7"/>
      <c r="F37" s="7"/>
      <c r="G37" s="7"/>
      <c r="H37" s="102"/>
    </row>
    <row r="38" spans="1:9" s="103" customFormat="1" x14ac:dyDescent="0.3">
      <c r="A38" s="7" t="s">
        <v>21</v>
      </c>
      <c r="B38" s="113">
        <v>7.0000000000000007E-2</v>
      </c>
      <c r="C38" s="7"/>
      <c r="D38" s="7"/>
      <c r="E38" s="7"/>
      <c r="F38" s="7"/>
      <c r="G38" s="7"/>
      <c r="H38" s="102"/>
    </row>
    <row r="39" spans="1:9" s="103" customFormat="1" x14ac:dyDescent="0.3">
      <c r="A39" s="7" t="s">
        <v>23</v>
      </c>
      <c r="B39" s="115">
        <v>2</v>
      </c>
      <c r="C39" s="7"/>
      <c r="D39" s="7"/>
      <c r="E39" s="7"/>
      <c r="F39" s="7"/>
      <c r="G39" s="7"/>
      <c r="H39" s="102"/>
    </row>
    <row r="40" spans="1:9" s="103" customFormat="1" x14ac:dyDescent="0.3">
      <c r="A40" s="7"/>
      <c r="B40" s="7"/>
      <c r="C40" s="7"/>
      <c r="D40" s="7"/>
      <c r="E40" s="7"/>
      <c r="F40" s="7"/>
      <c r="G40" s="7"/>
      <c r="H40" s="102"/>
    </row>
    <row r="41" spans="1:9" s="103" customFormat="1" ht="27" x14ac:dyDescent="0.3">
      <c r="A41" s="9"/>
      <c r="B41" s="11" t="s">
        <v>91</v>
      </c>
      <c r="C41" s="10" t="s">
        <v>25</v>
      </c>
      <c r="D41" s="10" t="s">
        <v>176</v>
      </c>
      <c r="E41" s="10" t="s">
        <v>20</v>
      </c>
      <c r="F41" s="10" t="s">
        <v>26</v>
      </c>
      <c r="G41" s="10" t="s">
        <v>27</v>
      </c>
      <c r="H41" s="10" t="s">
        <v>169</v>
      </c>
    </row>
    <row r="42" spans="1:9" s="103" customFormat="1" x14ac:dyDescent="0.3">
      <c r="A42" s="1">
        <v>36706</v>
      </c>
      <c r="B42" s="104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36706</v>
      </c>
    </row>
    <row r="43" spans="1:9" s="103" customFormat="1" x14ac:dyDescent="0.3">
      <c r="A43" s="1">
        <v>36889</v>
      </c>
      <c r="B43" s="104">
        <f t="shared" ref="B43:B52" si="9">+B42+1</f>
        <v>1</v>
      </c>
      <c r="C43" s="7">
        <f t="shared" ref="C43:C52" si="10">G42</f>
        <v>400000000</v>
      </c>
      <c r="D43" s="7">
        <f>+E66</f>
        <v>6733589</v>
      </c>
      <c r="E43" s="7">
        <v>0</v>
      </c>
      <c r="F43" s="7">
        <f>C43*$B$38/360*(A43-A42)</f>
        <v>14233333.333333334</v>
      </c>
      <c r="G43" s="7">
        <f>+C43+D43+E43+F43</f>
        <v>420966922.33333331</v>
      </c>
      <c r="H43" s="7">
        <f t="shared" ref="H43:H52" si="11">+H42+F43</f>
        <v>14233333.333333334</v>
      </c>
      <c r="I43" s="1">
        <f t="shared" si="8"/>
        <v>36889</v>
      </c>
    </row>
    <row r="44" spans="1:9" s="103" customFormat="1" x14ac:dyDescent="0.3">
      <c r="A44" s="1">
        <v>37071</v>
      </c>
      <c r="B44" s="104">
        <f t="shared" si="9"/>
        <v>2</v>
      </c>
      <c r="C44" s="7">
        <f t="shared" si="10"/>
        <v>420966922.33333331</v>
      </c>
      <c r="D44" s="7">
        <v>0</v>
      </c>
      <c r="E44" s="7">
        <v>0</v>
      </c>
      <c r="F44" s="7">
        <f t="shared" ref="F44:F52" si="12">C44*$B$38/360*(A44-A43)</f>
        <v>14897551.640351854</v>
      </c>
      <c r="G44" s="7">
        <f t="shared" ref="G44:G52" si="13">+C44+D44+E44+F44</f>
        <v>435864473.97368515</v>
      </c>
      <c r="H44" s="7">
        <f t="shared" si="11"/>
        <v>29130884.97368519</v>
      </c>
      <c r="I44" s="1">
        <f t="shared" si="8"/>
        <v>37071</v>
      </c>
    </row>
    <row r="45" spans="1:9" s="103" customFormat="1" x14ac:dyDescent="0.3">
      <c r="A45" s="1">
        <v>37254</v>
      </c>
      <c r="B45" s="104">
        <f t="shared" si="9"/>
        <v>3</v>
      </c>
      <c r="C45" s="7">
        <f t="shared" si="10"/>
        <v>435864473.97368515</v>
      </c>
      <c r="D45" s="7">
        <v>0</v>
      </c>
      <c r="E45" s="7">
        <v>0</v>
      </c>
      <c r="F45" s="7">
        <f t="shared" si="12"/>
        <v>15509510.865563629</v>
      </c>
      <c r="G45" s="7">
        <f t="shared" si="13"/>
        <v>451373984.83924878</v>
      </c>
      <c r="H45" s="7">
        <f t="shared" si="11"/>
        <v>44640395.839248821</v>
      </c>
      <c r="I45" s="1">
        <f t="shared" si="8"/>
        <v>37254</v>
      </c>
    </row>
    <row r="46" spans="1:9" s="103" customFormat="1" x14ac:dyDescent="0.3">
      <c r="A46" s="1">
        <v>37436</v>
      </c>
      <c r="B46" s="104">
        <f t="shared" si="9"/>
        <v>4</v>
      </c>
      <c r="C46" s="7">
        <f t="shared" si="10"/>
        <v>451373984.83924878</v>
      </c>
      <c r="D46" s="7">
        <v>0</v>
      </c>
      <c r="E46" s="7">
        <v>0</v>
      </c>
      <c r="F46" s="7">
        <f t="shared" si="12"/>
        <v>15973623.796811195</v>
      </c>
      <c r="G46" s="7">
        <f t="shared" si="13"/>
        <v>467347608.63606</v>
      </c>
      <c r="H46" s="7">
        <f t="shared" si="11"/>
        <v>60614019.636060014</v>
      </c>
      <c r="I46" s="1">
        <f t="shared" si="8"/>
        <v>37436</v>
      </c>
    </row>
    <row r="47" spans="1:9" s="103" customFormat="1" x14ac:dyDescent="0.3">
      <c r="A47" s="1">
        <v>37619</v>
      </c>
      <c r="B47" s="104">
        <f t="shared" si="9"/>
        <v>5</v>
      </c>
      <c r="C47" s="7">
        <f t="shared" si="10"/>
        <v>467347608.63606</v>
      </c>
      <c r="D47" s="7">
        <v>0</v>
      </c>
      <c r="E47" s="7">
        <v>0</v>
      </c>
      <c r="F47" s="7">
        <f t="shared" si="12"/>
        <v>16629785.740633136</v>
      </c>
      <c r="G47" s="7">
        <f t="shared" si="13"/>
        <v>483977394.37669313</v>
      </c>
      <c r="H47" s="7">
        <f t="shared" si="11"/>
        <v>77243805.376693144</v>
      </c>
      <c r="I47" s="1">
        <f t="shared" si="8"/>
        <v>37619</v>
      </c>
    </row>
    <row r="48" spans="1:9" s="103" customFormat="1" x14ac:dyDescent="0.3">
      <c r="A48" s="1">
        <v>37801</v>
      </c>
      <c r="B48" s="104">
        <f t="shared" si="9"/>
        <v>6</v>
      </c>
      <c r="C48" s="7">
        <f t="shared" si="10"/>
        <v>483977394.37669313</v>
      </c>
      <c r="D48" s="7">
        <v>0</v>
      </c>
      <c r="E48" s="7">
        <v>0</v>
      </c>
      <c r="F48" s="7">
        <f t="shared" si="12"/>
        <v>17127422.234330751</v>
      </c>
      <c r="G48" s="7">
        <f t="shared" si="13"/>
        <v>501104816.6110239</v>
      </c>
      <c r="H48" s="7">
        <f t="shared" si="11"/>
        <v>94371227.611023903</v>
      </c>
      <c r="I48" s="1">
        <f t="shared" si="8"/>
        <v>37801</v>
      </c>
    </row>
    <row r="49" spans="1:9" s="103" customFormat="1" x14ac:dyDescent="0.3">
      <c r="A49" s="1">
        <v>37984</v>
      </c>
      <c r="B49" s="104">
        <f t="shared" si="9"/>
        <v>7</v>
      </c>
      <c r="C49" s="7">
        <f t="shared" si="10"/>
        <v>501104816.6110239</v>
      </c>
      <c r="D49" s="7">
        <v>0</v>
      </c>
      <c r="E49" s="7">
        <v>0</v>
      </c>
      <c r="F49" s="7">
        <f t="shared" si="12"/>
        <v>17830979.724408936</v>
      </c>
      <c r="G49" s="7">
        <f t="shared" si="13"/>
        <v>518935796.33543283</v>
      </c>
      <c r="H49" s="7">
        <f t="shared" si="11"/>
        <v>112202207.33543284</v>
      </c>
      <c r="I49" s="1">
        <f t="shared" si="8"/>
        <v>37984</v>
      </c>
    </row>
    <row r="50" spans="1:9" s="103" customFormat="1" x14ac:dyDescent="0.3">
      <c r="A50" s="1">
        <v>38167</v>
      </c>
      <c r="B50" s="104">
        <f t="shared" si="9"/>
        <v>8</v>
      </c>
      <c r="C50" s="7">
        <f t="shared" si="10"/>
        <v>518935796.33543283</v>
      </c>
      <c r="D50" s="7">
        <v>0</v>
      </c>
      <c r="E50" s="7">
        <v>0</v>
      </c>
      <c r="F50" s="7">
        <f t="shared" si="12"/>
        <v>18465465.419602487</v>
      </c>
      <c r="G50" s="7">
        <f t="shared" si="13"/>
        <v>537401261.75503528</v>
      </c>
      <c r="H50" s="7">
        <f t="shared" si="11"/>
        <v>130667672.75503533</v>
      </c>
      <c r="I50" s="1">
        <f t="shared" si="8"/>
        <v>38167</v>
      </c>
    </row>
    <row r="51" spans="1:9" s="103" customFormat="1" x14ac:dyDescent="0.3">
      <c r="A51" s="1">
        <v>38350</v>
      </c>
      <c r="B51" s="104">
        <f t="shared" si="9"/>
        <v>9</v>
      </c>
      <c r="C51" s="7">
        <f t="shared" si="10"/>
        <v>537401261.75503528</v>
      </c>
      <c r="D51" s="7">
        <v>0</v>
      </c>
      <c r="E51" s="7">
        <v>0</v>
      </c>
      <c r="F51" s="7">
        <f t="shared" si="12"/>
        <v>19122528.23078334</v>
      </c>
      <c r="G51" s="7">
        <f t="shared" si="13"/>
        <v>556523789.98581862</v>
      </c>
      <c r="H51" s="7">
        <f t="shared" si="11"/>
        <v>149790200.98581865</v>
      </c>
      <c r="I51" s="1">
        <f t="shared" si="8"/>
        <v>38350</v>
      </c>
    </row>
    <row r="52" spans="1:9" s="103" customFormat="1" x14ac:dyDescent="0.3">
      <c r="A52" s="1">
        <v>38532</v>
      </c>
      <c r="B52" s="104">
        <f t="shared" si="9"/>
        <v>10</v>
      </c>
      <c r="C52" s="7">
        <f t="shared" si="10"/>
        <v>556523789.98581862</v>
      </c>
      <c r="D52" s="7">
        <v>0</v>
      </c>
      <c r="E52" s="7">
        <v>0</v>
      </c>
      <c r="F52" s="7">
        <f t="shared" si="12"/>
        <v>19694758.567831472</v>
      </c>
      <c r="G52" s="7">
        <f t="shared" si="13"/>
        <v>576218548.55365014</v>
      </c>
      <c r="H52" s="7">
        <f t="shared" si="11"/>
        <v>169484959.55365014</v>
      </c>
      <c r="I52" s="1">
        <f t="shared" si="8"/>
        <v>38532</v>
      </c>
    </row>
    <row r="53" spans="1:9" s="103" customFormat="1" ht="16.2" thickBot="1" x14ac:dyDescent="0.35">
      <c r="A53" s="1"/>
      <c r="B53" s="1"/>
      <c r="C53" s="7"/>
      <c r="D53" s="12">
        <f>SUM(D43:D52)</f>
        <v>6733589</v>
      </c>
      <c r="E53" s="12">
        <f>SUM(E43:E52)</f>
        <v>0</v>
      </c>
      <c r="F53" s="12">
        <f>SUM(F43:F52)</f>
        <v>169484959.55365014</v>
      </c>
      <c r="G53" s="7"/>
      <c r="H53" s="13"/>
    </row>
    <row r="54" spans="1:9" s="103" customFormat="1" ht="16.2" thickTop="1" x14ac:dyDescent="0.3">
      <c r="A54" s="116"/>
      <c r="B54" s="116"/>
    </row>
    <row r="55" spans="1:9" s="103" customFormat="1" x14ac:dyDescent="0.3">
      <c r="A55" s="173">
        <f>+Summary!C5</f>
        <v>36888</v>
      </c>
      <c r="B55" s="173"/>
      <c r="E55" s="103" t="s">
        <v>91</v>
      </c>
      <c r="F55" s="103">
        <f>VLOOKUP(+A55,Note,2)</f>
        <v>0</v>
      </c>
    </row>
    <row r="56" spans="1:9" x14ac:dyDescent="0.3">
      <c r="A56" s="103"/>
      <c r="B56" s="103"/>
      <c r="C56" s="103"/>
      <c r="D56" s="103"/>
      <c r="E56" s="103" t="s">
        <v>1</v>
      </c>
      <c r="F56" s="116">
        <f>VLOOKUP(+A55,Note,1)</f>
        <v>36706</v>
      </c>
      <c r="G56" s="103"/>
    </row>
    <row r="57" spans="1:9" x14ac:dyDescent="0.3">
      <c r="A57" s="103" t="s">
        <v>170</v>
      </c>
      <c r="B57" s="129">
        <f>VLOOKUP(+A55,Loan,8)</f>
        <v>0</v>
      </c>
      <c r="C57" s="103"/>
      <c r="D57" s="103"/>
      <c r="E57" s="103" t="s">
        <v>92</v>
      </c>
      <c r="F57" s="103">
        <f>VLOOKUP(+F55+1,LoanPeriod,5)</f>
        <v>14233333.333333334</v>
      </c>
      <c r="G57" s="103"/>
    </row>
    <row r="58" spans="1:9" x14ac:dyDescent="0.3">
      <c r="A58" s="116" t="s">
        <v>7</v>
      </c>
      <c r="B58" s="103">
        <f>+B56+B57</f>
        <v>0</v>
      </c>
      <c r="C58" s="103"/>
      <c r="D58" s="103"/>
      <c r="E58" s="103" t="s">
        <v>93</v>
      </c>
      <c r="F58" s="116">
        <f>VLOOKUP(+F55+1,NotePeriod,8)</f>
        <v>36889</v>
      </c>
      <c r="G58" s="103"/>
    </row>
    <row r="59" spans="1:9" x14ac:dyDescent="0.3">
      <c r="A59" s="116" t="s">
        <v>94</v>
      </c>
      <c r="B59" s="103">
        <f>A55-F56</f>
        <v>182</v>
      </c>
      <c r="C59" s="103"/>
      <c r="D59" s="103"/>
      <c r="E59" s="116"/>
      <c r="F59" s="103"/>
      <c r="G59" s="103"/>
    </row>
    <row r="60" spans="1:9" x14ac:dyDescent="0.3">
      <c r="A60" s="116" t="s">
        <v>167</v>
      </c>
      <c r="B60" s="103">
        <f>F57*B59/(F58-F56)</f>
        <v>14155555.555555558</v>
      </c>
      <c r="C60" s="103"/>
      <c r="D60" s="103"/>
      <c r="E60" s="103"/>
      <c r="F60" s="103"/>
      <c r="G60" s="103"/>
    </row>
    <row r="61" spans="1:9" x14ac:dyDescent="0.3">
      <c r="A61" s="116" t="s">
        <v>168</v>
      </c>
      <c r="B61" s="103">
        <f>+B57+B60</f>
        <v>14155555.555555558</v>
      </c>
      <c r="C61" s="103"/>
      <c r="D61" s="103"/>
      <c r="E61" s="103"/>
      <c r="F61" s="103"/>
      <c r="G61" s="103"/>
    </row>
    <row r="63" spans="1:9" x14ac:dyDescent="0.3">
      <c r="A63" s="7" t="s">
        <v>180</v>
      </c>
    </row>
    <row r="64" spans="1:9" x14ac:dyDescent="0.3">
      <c r="A64" s="1">
        <f>+'Cash-Int-Trans'!B52</f>
        <v>36791</v>
      </c>
      <c r="B64" s="7" t="s">
        <v>177</v>
      </c>
      <c r="E64" s="7">
        <f>+'Cash-Int-Trans'!B53</f>
        <v>6733589</v>
      </c>
    </row>
    <row r="65" spans="1:5" x14ac:dyDescent="0.3">
      <c r="A65" s="1">
        <f>+A64</f>
        <v>36791</v>
      </c>
      <c r="B65" s="7" t="s">
        <v>181</v>
      </c>
      <c r="C65" s="1"/>
      <c r="D65" s="1">
        <f>+'Cash-Int-Trans'!B54</f>
        <v>36888</v>
      </c>
      <c r="E65" s="153">
        <f>+'Cash-Int-Trans'!B56</f>
        <v>127002.97030555557</v>
      </c>
    </row>
    <row r="66" spans="1:5" x14ac:dyDescent="0.3">
      <c r="B66" s="7" t="s">
        <v>7</v>
      </c>
      <c r="E66" s="7">
        <f>SUM(E64:E64)</f>
        <v>6733589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Summary</vt:lpstr>
      <vt:lpstr>Daily Position</vt:lpstr>
      <vt:lpstr>Stock Prices</vt:lpstr>
      <vt:lpstr>Financials</vt:lpstr>
      <vt:lpstr>Cash-Int-Trans</vt:lpstr>
      <vt:lpstr>Amort</vt:lpstr>
      <vt:lpstr>Amort</vt:lpstr>
      <vt:lpstr>ene</vt:lpstr>
      <vt:lpstr>Loan</vt:lpstr>
      <vt:lpstr>LoanPeriod</vt:lpstr>
      <vt:lpstr>Note</vt:lpstr>
      <vt:lpstr>NotePeriod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Havlíček Jan</cp:lastModifiedBy>
  <cp:lastPrinted>2000-11-07T19:45:10Z</cp:lastPrinted>
  <dcterms:created xsi:type="dcterms:W3CDTF">2000-08-10T21:11:42Z</dcterms:created>
  <dcterms:modified xsi:type="dcterms:W3CDTF">2023-09-10T11:44:04Z</dcterms:modified>
</cp:coreProperties>
</file>