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<sst xmlns="http://schemas.openxmlformats.org/spreadsheetml/2006/main" count="434" uniqueCount="183">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</sst>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6.0000000000000053E-2</v>
          </cell>
          <cell r="P28">
            <v>6.0000000000000053E-2</v>
          </cell>
          <cell r="R28">
            <v>7.0000000000000007E-2</v>
          </cell>
          <cell r="V28">
            <v>0.16200000000000001</v>
          </cell>
          <cell r="AB28">
            <v>0.16142857142857145</v>
          </cell>
          <cell r="AH28">
            <v>0.32</v>
          </cell>
        </row>
        <row r="29">
          <cell r="M29">
            <v>-3.0000000000000249E-2</v>
          </cell>
          <cell r="P29">
            <v>9.9999999999997868E-3</v>
          </cell>
          <cell r="R29">
            <v>-0.04</v>
          </cell>
          <cell r="S29">
            <v>-2.5000000000000001E-2</v>
          </cell>
          <cell r="V29">
            <v>3.5999999999999997E-2</v>
          </cell>
          <cell r="W29">
            <v>-1.2000000000000004E-2</v>
          </cell>
          <cell r="Y29">
            <v>4.6000000000000006E-2</v>
          </cell>
          <cell r="AB29">
            <v>-3.8571428571428576E-2</v>
          </cell>
          <cell r="AC29">
            <v>-1.6428571428571428E-2</v>
          </cell>
          <cell r="AE29">
            <v>3.2857142857142863E-2</v>
          </cell>
          <cell r="AH29">
            <v>0.12</v>
          </cell>
        </row>
        <row r="30">
          <cell r="M30">
            <v>-0.14000000000000012</v>
          </cell>
          <cell r="P30">
            <v>-0.16000000000000014</v>
          </cell>
          <cell r="R30">
            <v>-0.115</v>
          </cell>
          <cell r="S30">
            <v>-2.5000000000000008E-2</v>
          </cell>
          <cell r="V30">
            <v>-2.8000000000000004E-2</v>
          </cell>
          <cell r="W30">
            <v>-3.2000000000000001E-2</v>
          </cell>
          <cell r="Y30">
            <v>-1.0000000000000026E-3</v>
          </cell>
          <cell r="AB30">
            <v>-8.2142857142857156E-2</v>
          </cell>
          <cell r="AC30">
            <v>-1.5000000000000013E-2</v>
          </cell>
          <cell r="AE30">
            <v>-3.214285714285714E-2</v>
          </cell>
          <cell r="AH30">
            <v>0.08</v>
          </cell>
        </row>
        <row r="31">
          <cell r="M31">
            <v>-6.0000000000000053E-2</v>
          </cell>
          <cell r="P31">
            <v>-3.0000000000000249E-2</v>
          </cell>
          <cell r="R31">
            <v>-2.5000000000000001E-2</v>
          </cell>
          <cell r="S31">
            <v>-0.04</v>
          </cell>
          <cell r="V31">
            <v>-4.0000000000000001E-3</v>
          </cell>
          <cell r="W31">
            <v>-4.1999999999999996E-2</v>
          </cell>
          <cell r="Y31">
            <v>9.3333333333333393E-3</v>
          </cell>
          <cell r="AB31">
            <v>0.10214285714285716</v>
          </cell>
          <cell r="AC31">
            <v>-9.9999999999999811E-3</v>
          </cell>
          <cell r="AE31">
            <v>0.16928571428571429</v>
          </cell>
          <cell r="AH31">
            <v>0.11099999999999999</v>
          </cell>
        </row>
        <row r="33">
          <cell r="M33">
            <v>-0.28000000000000025</v>
          </cell>
          <cell r="P33">
            <v>-0.28000000000000025</v>
          </cell>
          <cell r="R33">
            <v>-0.255</v>
          </cell>
          <cell r="S33">
            <v>5.0000000000000044E-3</v>
          </cell>
          <cell r="V33">
            <v>-0.24299999999999997</v>
          </cell>
          <cell r="W33">
            <v>0</v>
          </cell>
          <cell r="Y33">
            <v>-0.24800000000000003</v>
          </cell>
          <cell r="AB33">
            <v>-0.315</v>
          </cell>
          <cell r="AC33">
            <v>7.1428571428572285E-4</v>
          </cell>
          <cell r="AE33">
            <v>-0.29999999999999993</v>
          </cell>
          <cell r="AH33">
            <v>-0.19500000000000001</v>
          </cell>
        </row>
        <row r="34">
          <cell r="M34">
            <v>-0.20000000000000018</v>
          </cell>
          <cell r="P34">
            <v>-0.2200000000000002</v>
          </cell>
          <cell r="R34">
            <v>-0.18</v>
          </cell>
          <cell r="S34">
            <v>-5.0000000000000044E-3</v>
          </cell>
          <cell r="V34">
            <v>-0.16499999999999998</v>
          </cell>
          <cell r="W34">
            <v>-4.9999999999999767E-3</v>
          </cell>
          <cell r="Y34">
            <v>-0.15833333333333333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-0.16999999999999993</v>
          </cell>
          <cell r="P35">
            <v>-0.20999999999999996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-0.14999999999999991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-0.35000000000000009</v>
          </cell>
          <cell r="P39">
            <v>-0.38000000000000034</v>
          </cell>
          <cell r="R39">
            <v>-0.34499999999999997</v>
          </cell>
          <cell r="S39">
            <v>-4.9999999999999489E-3</v>
          </cell>
          <cell r="V39">
            <v>-0.308</v>
          </cell>
          <cell r="W39">
            <v>4.0000000000000036E-3</v>
          </cell>
          <cell r="Y39">
            <v>-0.30799999999999994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-9.0000000000000302E-2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-9.0000000000000302E-2</v>
          </cell>
          <cell r="P41">
            <v>-0.24000000000000021</v>
          </cell>
          <cell r="R41">
            <v>-0.115</v>
          </cell>
          <cell r="S41">
            <v>-5.5000000000000007E-2</v>
          </cell>
          <cell r="V41">
            <v>-1.7000000000000005E-2</v>
          </cell>
          <cell r="W41">
            <v>-5.9999999999999984E-2</v>
          </cell>
          <cell r="Y41">
            <v>-5.8333333333333327E-2</v>
          </cell>
          <cell r="AB41">
            <v>-0.33000000000000007</v>
          </cell>
          <cell r="AC41">
            <v>-1.0000000000000064E-2</v>
          </cell>
          <cell r="AE41">
            <v>-0.36999999999999994</v>
          </cell>
          <cell r="AH41">
            <v>7.0000000000000021E-2</v>
          </cell>
        </row>
        <row r="42">
          <cell r="M42">
            <v>-0.37800000000000011</v>
          </cell>
          <cell r="P42">
            <v>-0.34799999999999986</v>
          </cell>
          <cell r="R42">
            <v>-0.41237773703716002</v>
          </cell>
          <cell r="S42">
            <v>-2.3759744745459999E-2</v>
          </cell>
          <cell r="V42">
            <v>-0.43047554740743205</v>
          </cell>
          <cell r="W42">
            <v>-7.5194894909202947E-4</v>
          </cell>
          <cell r="Y42">
            <v>-0.44666666666666671</v>
          </cell>
          <cell r="AB42">
            <v>-0.49800000000000011</v>
          </cell>
          <cell r="AC42">
            <v>1.9999999999998908E-3</v>
          </cell>
          <cell r="AE42">
            <v>-0.498</v>
          </cell>
          <cell r="AH42">
            <v>-0.41499999999999992</v>
          </cell>
        </row>
        <row r="43">
          <cell r="M43">
            <v>-0.37000000000000011</v>
          </cell>
          <cell r="P43">
            <v>-0.44000000000000017</v>
          </cell>
          <cell r="R43">
            <v>-0.38500000000000001</v>
          </cell>
          <cell r="S43">
            <v>-5.0000000000000044E-3</v>
          </cell>
          <cell r="V43">
            <v>-0.36399999999999999</v>
          </cell>
          <cell r="W43">
            <v>4.0000000000000036E-3</v>
          </cell>
          <cell r="Y43">
            <v>-0.36799999999999999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2.39</v>
          </cell>
          <cell r="O49">
            <v>2.39</v>
          </cell>
          <cell r="R49">
            <v>2.4860000000000002</v>
          </cell>
          <cell r="V49">
            <v>2.8475999999999999</v>
          </cell>
          <cell r="AB49">
            <v>2.9972857142857143</v>
          </cell>
          <cell r="AH49">
            <v>3.4478</v>
          </cell>
        </row>
        <row r="60">
          <cell r="O60">
            <v>10.599266204647371</v>
          </cell>
          <cell r="R60">
            <v>10.754955714888233</v>
          </cell>
          <cell r="V60">
            <v>10.959001276776847</v>
          </cell>
          <cell r="AB60">
            <v>11.540723316671569</v>
          </cell>
          <cell r="AH60">
            <v>9.1889184950016052</v>
          </cell>
        </row>
        <row r="61">
          <cell r="O61">
            <v>9.9999999999999982</v>
          </cell>
          <cell r="R61">
            <v>9.8693759071117544</v>
          </cell>
          <cell r="V61">
            <v>9.9358175473579262</v>
          </cell>
          <cell r="AB61">
            <v>11.292586448896261</v>
          </cell>
          <cell r="AH61">
            <v>8.6109850966950621</v>
          </cell>
        </row>
        <row r="62">
          <cell r="O62">
            <v>10.223048327137546</v>
          </cell>
          <cell r="R62">
            <v>9.5306341812970263</v>
          </cell>
          <cell r="V62">
            <v>9.6798588353919861</v>
          </cell>
          <cell r="AB62">
            <v>11.37215696075981</v>
          </cell>
          <cell r="AH62">
            <v>8.7537715147774797</v>
          </cell>
        </row>
        <row r="63">
          <cell r="O63">
            <v>10.93886462882096</v>
          </cell>
          <cell r="R63">
            <v>10.511129431162406</v>
          </cell>
          <cell r="V63">
            <v>10.31185327909798</v>
          </cell>
          <cell r="AB63">
            <v>13.855983918443533</v>
          </cell>
          <cell r="AH63">
            <v>9.1855480710349049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36" sqref="A36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142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37183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2.4449999999999998</v>
      </c>
      <c r="L28" s="62">
        <f>LOOKUP($K$15+1,CurveFetch!D$8:D$1000,CurveFetch!F$8:F$1000)</f>
        <v>2.085</v>
      </c>
      <c r="M28" s="62">
        <f>L28-$L$49</f>
        <v>-0.22999999999999998</v>
      </c>
      <c r="N28" s="128">
        <f>M28-'[15]Gas Average Basis'!M28</f>
        <v>-0.29000000000000004</v>
      </c>
      <c r="O28" s="62">
        <f>LOOKUP($K$15+2,CurveFetch!$D$8:$D$1000,CurveFetch!$F$8:$F$1000)</f>
        <v>2.085</v>
      </c>
      <c r="P28" s="62">
        <f t="shared" ref="P28:P43" ca="1" si="0">IF(P$22,AveragePrices($F$21,P$23,P$24,$AJ28:$AJ28)-INDIRECT(ADDRESS(P$23,$G$23,,,$F$21)),AveragePrices($F$15,P$23,P$24,$AL28:$AL28))</f>
        <v>0</v>
      </c>
      <c r="Q28" s="128">
        <f ca="1">P28-'[15]Gas Average Basis'!P28</f>
        <v>-6.0000000000000053E-2</v>
      </c>
      <c r="R28" s="62">
        <f ca="1">IF(R$22,AveragePrices($F$21,R$23,R$24,$AJ28:$AJ28),AveragePrices($F$15,R$23,R$24,$AL28:$AL28))</f>
        <v>6.5000000000000002E-2</v>
      </c>
      <c r="S28" s="128">
        <f ca="1">R28-'[15]Gas Average Basis'!R28</f>
        <v>-5.0000000000000044E-3</v>
      </c>
      <c r="T28" s="62">
        <f ca="1">IF(T$22,AveragePrices($F$21,T$23,T$24,$AJ28:$AJ28),AveragePrices($F$15,T$23,T$24,$AL28:$AL28))</f>
        <v>8.1666666666666665E-2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0.16299999999999998</v>
      </c>
      <c r="W28" s="128">
        <f ca="1">V28-'[15]Gas Average Basis'!V28</f>
        <v>9.9999999999997313E-4</v>
      </c>
      <c r="X28" s="62">
        <f ca="1">IF(X$22,AveragePrices($F$21,X$23,X$24,$AJ28:$AJ28),AveragePrices($F$15,X$23,X$24,$AL28:$AL28))</f>
        <v>0.18000000000000002</v>
      </c>
      <c r="Y28" s="128">
        <v>-4.8300000000000003E-2</v>
      </c>
      <c r="Z28" s="62">
        <f ca="1">IF(Z$22,AveragePrices($F$21,Z$23,Z$24,$AJ28:$AJ28),AveragePrices($F$15,Z$23,Z$24,$AL28:$AL28))</f>
        <v>8.666666666666667E-2</v>
      </c>
      <c r="AA28" s="128">
        <v>-0.01</v>
      </c>
      <c r="AB28" s="62">
        <f ca="1">IF(AB$22,AveragePrices($F$21,AB$23,AB$24,$AJ28:$AJ28),AveragePrices($F$15,AB$23,AB$24,$AL28:$AL28))</f>
        <v>0.16142857142857145</v>
      </c>
      <c r="AC28" s="128">
        <f ca="1">AB28-'[15]Gas Average Basis'!AB28</f>
        <v>0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0.25166666666666665</v>
      </c>
      <c r="AG28" s="128">
        <v>-0.03</v>
      </c>
      <c r="AH28" s="62">
        <f ca="1">IF(AH$22,AveragePrices($F$21,AH$23,AH$24,$AJ28:$AJ28),AveragePrices($F$15,AH$23,AH$24,$AL28:$AL28))</f>
        <v>0.31</v>
      </c>
      <c r="AI28" s="92">
        <f ca="1">AH28-'[15]Gas Average Basis'!AH28</f>
        <v>-1.0000000000000009E-2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2.35</v>
      </c>
      <c r="L29" s="62">
        <f>LOOKUP($K$15+1,CurveFetch!D$8:D$1000,CurveFetch!Q$8:Q$1000)</f>
        <v>2.0699999999999998</v>
      </c>
      <c r="M29" s="62">
        <f>L29-$L$49</f>
        <v>-0.24500000000000011</v>
      </c>
      <c r="N29" s="128">
        <f>M29-'[15]Gas Average Basis'!M29</f>
        <v>-0.21499999999999986</v>
      </c>
      <c r="O29" s="62">
        <f>LOOKUP($K$15+2,CurveFetch!$D$8:$D$1000,CurveFetch!$Q$8:$Q$1000)</f>
        <v>2.0699999999999998</v>
      </c>
      <c r="P29" s="62">
        <f t="shared" ca="1" si="0"/>
        <v>-0.18000000000000016</v>
      </c>
      <c r="Q29" s="128">
        <f ca="1">P29-'[15]Gas Average Basis'!P29</f>
        <v>-0.18999999999999995</v>
      </c>
      <c r="R29" s="62">
        <f ca="1">IF(R$22,AveragePrices($F$21,R$23,R$24,$AJ29:$AJ29),AveragePrices($F$15,R$23,R$24,$AL29:$AL29))</f>
        <v>-4.4999999999999998E-2</v>
      </c>
      <c r="S29" s="128">
        <f ca="1">R29-'[15]Gas Average Basis'!R29</f>
        <v>-4.9999999999999975E-3</v>
      </c>
      <c r="T29" s="62">
        <f ca="1">IF(T$22,AveragePrices($F$21,T$23,T$24,$AJ29:$AJ29),AveragePrices($F$15,T$23,T$24,$AL29:$AL29))</f>
        <v>-2.8333333333333325E-2</v>
      </c>
      <c r="U29" s="128">
        <f ca="1">T29-'[15]Gas Average Basis'!S29</f>
        <v>-3.3333333333333236E-3</v>
      </c>
      <c r="V29" s="62">
        <f t="shared" ca="1" si="1"/>
        <v>3.6999999999999998E-2</v>
      </c>
      <c r="W29" s="128">
        <f ca="1">V29-'[15]Gas Average Basis'!V29</f>
        <v>1.0000000000000009E-3</v>
      </c>
      <c r="X29" s="62">
        <f ca="1">IF(X$22,AveragePrices($F$21,X$23,X$24,$AJ29:$AJ29),AveragePrices($F$15,X$23,X$24,$AL29:$AL29))</f>
        <v>5.000000000000001E-2</v>
      </c>
      <c r="Y29" s="128">
        <f ca="1">X29-'[15]Gas Average Basis'!W29</f>
        <v>6.2000000000000013E-2</v>
      </c>
      <c r="Z29" s="62">
        <f ca="1">IF(Z$22,AveragePrices($F$21,Z$23,Z$24,$AJ29:$AJ29),AveragePrices($F$15,Z$23,Z$24,$AL29:$AL29))</f>
        <v>-0.11333333333333334</v>
      </c>
      <c r="AA29" s="128">
        <f ca="1">Z29-'[15]Gas Average Basis'!Y29</f>
        <v>-0.15933333333333335</v>
      </c>
      <c r="AB29" s="62">
        <f ca="1">IF(AB$22,AveragePrices($F$21,AB$23,AB$24,$AJ29:$AJ29),AveragePrices($F$15,AB$23,AB$24,$AL29:$AL29))</f>
        <v>-3.8571428571428576E-2</v>
      </c>
      <c r="AC29" s="128">
        <f ca="1">AB29-'[15]Gas Average Basis'!AB29</f>
        <v>0</v>
      </c>
      <c r="AD29" s="62">
        <f ca="1">IF(AD$22,AveragePrices($F$21,AD$23,AD$24,$AJ29:$AJ29),AveragePrices($F$15,AD$23,AD$24,$AL29:$AL29))</f>
        <v>4.5000000000000005E-2</v>
      </c>
      <c r="AE29" s="128">
        <f ca="1">AD29-'[15]Gas Average Basis'!AC29</f>
        <v>6.142857142857143E-2</v>
      </c>
      <c r="AF29" s="62">
        <f ca="1">IF(AF$22,AveragePrices($F$21,AF$23,AF$24,$AJ29:$AJ29),AveragePrices($F$15,AF$23,AF$24,$AL29:$AL29))</f>
        <v>5.1666666666666666E-2</v>
      </c>
      <c r="AG29" s="128">
        <f ca="1">AF29-'[15]Gas Average Basis'!AE29</f>
        <v>1.8809523809523804E-2</v>
      </c>
      <c r="AH29" s="62">
        <f ca="1">IF(AH$22,AveragePrices($F$21,AH$23,AH$24,$AJ29:$AJ29),AveragePrices($F$15,AH$23,AH$24,$AL29:$AL29))</f>
        <v>0.11000000000000001</v>
      </c>
      <c r="AI29" s="92">
        <f ca="1">AH29-'[15]Gas Average Basis'!AH29</f>
        <v>-9.9999999999999811E-3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2.25</v>
      </c>
      <c r="L30" s="62">
        <f>LOOKUP($K$15+1,CurveFetch!D$8:D$1000,CurveFetch!G$8:G$1000)</f>
        <v>1.99</v>
      </c>
      <c r="M30" s="62">
        <f>L30-$L$49</f>
        <v>-0.32499999999999996</v>
      </c>
      <c r="N30" s="128">
        <f>M30-'[15]Gas Average Basis'!M30</f>
        <v>-0.18499999999999983</v>
      </c>
      <c r="O30" s="62">
        <f>LOOKUP($K$15+2,CurveFetch!$D$8:$D$1000,CurveFetch!$G$8:$G$1000)</f>
        <v>1.99</v>
      </c>
      <c r="P30" s="62">
        <f t="shared" ca="1" si="0"/>
        <v>-0.18000000000000016</v>
      </c>
      <c r="Q30" s="128">
        <f ca="1">P30-'[15]Gas Average Basis'!P30</f>
        <v>-2.0000000000000018E-2</v>
      </c>
      <c r="R30" s="62">
        <f ca="1">IF(R$22,AveragePrices($F$21,R$23,R$24,$AJ30:$AJ30),AveragePrices($F$15,R$23,R$24,$AL30:$AL30))</f>
        <v>-0.1</v>
      </c>
      <c r="S30" s="128">
        <f ca="1">R30-'[15]Gas Average Basis'!R30</f>
        <v>1.4999999999999999E-2</v>
      </c>
      <c r="T30" s="62">
        <f ca="1">IF(T$22,AveragePrices($F$21,T$23,T$24,$AJ30:$AJ30),AveragePrices($F$15,T$23,T$24,$AL30:$AL30))</f>
        <v>-0.12</v>
      </c>
      <c r="U30" s="128">
        <f ca="1">T30-'[15]Gas Average Basis'!S30</f>
        <v>-9.4999999999999987E-2</v>
      </c>
      <c r="V30" s="62">
        <f t="shared" ca="1" si="1"/>
        <v>-1.9E-2</v>
      </c>
      <c r="W30" s="128">
        <f ca="1">V30-'[15]Gas Average Basis'!V30</f>
        <v>9.0000000000000045E-3</v>
      </c>
      <c r="X30" s="62">
        <f ca="1">IF(X$22,AveragePrices($F$21,X$23,X$24,$AJ30:$AJ30),AveragePrices($F$15,X$23,X$24,$AL30:$AL30))</f>
        <v>-5.0000000000000001E-3</v>
      </c>
      <c r="Y30" s="128">
        <f ca="1">X30-'[15]Gas Average Basis'!W30</f>
        <v>2.7E-2</v>
      </c>
      <c r="Z30" s="62">
        <f ca="1">IF(Z$22,AveragePrices($F$21,Z$23,Z$24,$AJ30:$AJ30),AveragePrices($F$15,Z$23,Z$24,$AL30:$AL30))</f>
        <v>-0.155</v>
      </c>
      <c r="AA30" s="128">
        <f ca="1">Z30-'[15]Gas Average Basis'!Y30</f>
        <v>-0.154</v>
      </c>
      <c r="AB30" s="62">
        <f ca="1">IF(AB$22,AveragePrices($F$21,AB$23,AB$24,$AJ30:$AJ30),AveragePrices($F$15,AB$23,AB$24,$AL30:$AL30))</f>
        <v>-7.7142857142857152E-2</v>
      </c>
      <c r="AC30" s="128">
        <f ca="1">AB30-'[15]Gas Average Basis'!AB30</f>
        <v>5.0000000000000044E-3</v>
      </c>
      <c r="AD30" s="62">
        <f ca="1">IF(AD$22,AveragePrices($F$21,AD$23,AD$24,$AJ30:$AJ30),AveragePrices($F$15,AD$23,AD$24,$AL30:$AL30))</f>
        <v>-0.01</v>
      </c>
      <c r="AE30" s="128">
        <f ca="1">AD30-'[15]Gas Average Basis'!AC30</f>
        <v>5.0000000000000131E-3</v>
      </c>
      <c r="AF30" s="62">
        <f ca="1">IF(AF$22,AveragePrices($F$21,AF$23,AF$24,$AJ30:$AJ30),AveragePrices($F$15,AF$23,AF$24,$AL30:$AL30))</f>
        <v>3.1666666666666669E-2</v>
      </c>
      <c r="AG30" s="128">
        <f ca="1">AF30-'[15]Gas Average Basis'!AE30</f>
        <v>6.3809523809523816E-2</v>
      </c>
      <c r="AH30" s="62">
        <f ca="1">IF(AH$22,AveragePrices($F$21,AH$23,AH$24,$AJ30:$AJ30),AveragePrices($F$15,AH$23,AH$24,$AL30:$AL30))</f>
        <v>7.0000000000000007E-2</v>
      </c>
      <c r="AI30" s="92">
        <f ca="1">AH30-'[15]Gas Average Basis'!AH30</f>
        <v>-9.999999999999995E-3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2.34</v>
      </c>
      <c r="L31" s="62">
        <f>LOOKUP($K$15+1,CurveFetch!D$8:D$1000,CurveFetch!H$8:H$1000)</f>
        <v>2.14</v>
      </c>
      <c r="M31" s="62">
        <f>L31-$L$49</f>
        <v>-0.17499999999999982</v>
      </c>
      <c r="N31" s="128">
        <f>M31-'[15]Gas Average Basis'!M31</f>
        <v>-0.11499999999999977</v>
      </c>
      <c r="O31" s="62">
        <f>LOOKUP($K$15+2,CurveFetch!$D$8:$D$1000,CurveFetch!$H$8:$H$1000)</f>
        <v>2.14</v>
      </c>
      <c r="P31" s="62">
        <f t="shared" ca="1" si="0"/>
        <v>-8.9999999999999858E-2</v>
      </c>
      <c r="Q31" s="128">
        <f ca="1">P31-'[15]Gas Average Basis'!P31</f>
        <v>-5.9999999999999609E-2</v>
      </c>
      <c r="R31" s="62">
        <f ca="1">IF(R$22,AveragePrices($F$21,R$23,R$24,$AJ31:$AJ31),AveragePrices($F$15,R$23,R$24,$AL31:$AL31))</f>
        <v>-0.02</v>
      </c>
      <c r="S31" s="128">
        <f ca="1">R31-'[15]Gas Average Basis'!R31</f>
        <v>5.000000000000001E-3</v>
      </c>
      <c r="T31" s="62">
        <f ca="1">IF(T$22,AveragePrices($F$21,T$23,T$24,$AJ31:$AJ31),AveragePrices($F$15,T$23,T$24,$AL31:$AL31))</f>
        <v>-2.0000000000000004E-2</v>
      </c>
      <c r="U31" s="128">
        <f ca="1">T31-'[15]Gas Average Basis'!S31</f>
        <v>1.9999999999999997E-2</v>
      </c>
      <c r="V31" s="62">
        <f t="shared" ca="1" si="1"/>
        <v>7.000000000000001E-3</v>
      </c>
      <c r="W31" s="128">
        <f ca="1">V31-'[15]Gas Average Basis'!V31</f>
        <v>1.1000000000000001E-2</v>
      </c>
      <c r="X31" s="62">
        <f ca="1">IF(X$22,AveragePrices($F$21,X$23,X$24,$AJ31:$AJ31),AveragePrices($F$15,X$23,X$24,$AL31:$AL31))</f>
        <v>8.3333333333333332E-3</v>
      </c>
      <c r="Y31" s="128">
        <f ca="1">X31-'[15]Gas Average Basis'!W31</f>
        <v>5.0333333333333327E-2</v>
      </c>
      <c r="Z31" s="62">
        <f ca="1">IF(Z$22,AveragePrices($F$21,Z$23,Z$24,$AJ31:$AJ31),AveragePrices($F$15,Z$23,Z$24,$AL31:$AL31))</f>
        <v>4.8333333333333339E-2</v>
      </c>
      <c r="AA31" s="128">
        <f ca="1">Z31-'[15]Gas Average Basis'!Y31</f>
        <v>3.9E-2</v>
      </c>
      <c r="AB31" s="62">
        <f ca="1">IF(AB$22,AveragePrices($F$21,AB$23,AB$24,$AJ31:$AJ31),AveragePrices($F$15,AB$23,AB$24,$AL31:$AL31))</f>
        <v>0.10857142857142857</v>
      </c>
      <c r="AC31" s="128">
        <f ca="1">AB31-'[15]Gas Average Basis'!AB31</f>
        <v>6.4285714285714085E-3</v>
      </c>
      <c r="AD31" s="62">
        <f ca="1">IF(AD$22,AveragePrices($F$21,AD$23,AD$24,$AJ31:$AJ31),AveragePrices($F$15,AD$23,AD$24,$AL31:$AL31))</f>
        <v>0.18499999999999997</v>
      </c>
      <c r="AE31" s="128">
        <f ca="1">AD31-'[15]Gas Average Basis'!AC31</f>
        <v>0.19499999999999995</v>
      </c>
      <c r="AF31" s="62">
        <f ca="1">IF(AF$22,AveragePrices($F$21,AF$23,AF$24,$AJ31:$AJ31),AveragePrices($F$15,AF$23,AF$24,$AL31:$AL31))</f>
        <v>9.9999999999999992E-2</v>
      </c>
      <c r="AG31" s="128">
        <f ca="1">AF31-'[15]Gas Average Basis'!AE31</f>
        <v>-6.9285714285714298E-2</v>
      </c>
      <c r="AH31" s="62">
        <f ca="1">IF(AH$22,AveragePrices($F$21,AH$23,AH$24,$AJ31:$AJ31),AveragePrices($F$15,AH$23,AH$24,$AL31:$AL31))</f>
        <v>0.11099999999999999</v>
      </c>
      <c r="AI31" s="92">
        <f ca="1">AH31-'[15]Gas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2.12</v>
      </c>
      <c r="L33" s="62">
        <f>LOOKUP($K$15+1,CurveFetch!D$8:D$1000,CurveFetch!K$8:K$1000)</f>
        <v>1.89</v>
      </c>
      <c r="M33" s="62">
        <f>L33-$L$49</f>
        <v>-0.42500000000000004</v>
      </c>
      <c r="N33" s="128">
        <f>M33-'[15]Gas Average Basis'!M33</f>
        <v>-0.1449999999999998</v>
      </c>
      <c r="O33" s="62">
        <f>LOOKUP($K$15+2,CurveFetch!$D$8:$D$1000,CurveFetch!$K$8:$K$1000)</f>
        <v>1.89</v>
      </c>
      <c r="P33" s="62">
        <f t="shared" ca="1" si="0"/>
        <v>-0.28000000000000025</v>
      </c>
      <c r="Q33" s="128">
        <f ca="1">P33-'[15]Gas Average Basis'!P33</f>
        <v>0</v>
      </c>
      <c r="R33" s="62">
        <f ca="1">IF(R$22,AveragePrices($F$21,R$23,R$24,$AJ33:$AJ33),AveragePrices($F$15,R$23,R$24,$AL33:$AL33))</f>
        <v>-0.28499999999999998</v>
      </c>
      <c r="S33" s="128">
        <f ca="1">R33-'[15]Gas Average Basis'!R33</f>
        <v>-2.9999999999999971E-2</v>
      </c>
      <c r="T33" s="62">
        <f ca="1">IF(T$22,AveragePrices($F$21,T$23,T$24,$AJ33:$AJ33),AveragePrices($F$15,T$23,T$24,$AL33:$AL33))</f>
        <v>-0.33333333333333331</v>
      </c>
      <c r="U33" s="128">
        <f ca="1">T33-'[15]Gas Average Basis'!S33</f>
        <v>-0.33833333333333332</v>
      </c>
      <c r="V33" s="62">
        <f t="shared" ca="1" si="1"/>
        <v>-0.24900000000000003</v>
      </c>
      <c r="W33" s="128">
        <f ca="1">V33-'[15]Gas Average Basis'!V33</f>
        <v>-6.0000000000000608E-3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-0.245</v>
      </c>
      <c r="Z33" s="62">
        <f ca="1">IF(Z$22,AveragePrices($F$21,Z$23,Z$24,$AJ33:$AJ33),AveragePrices($F$15,Z$23,Z$24,$AL33:$AL33))</f>
        <v>-0.34499999999999997</v>
      </c>
      <c r="AA33" s="128">
        <f ca="1">Z33-'[15]Gas Average Basis'!Y33</f>
        <v>-9.6999999999999947E-2</v>
      </c>
      <c r="AB33" s="62">
        <f ca="1">IF(AB$22,AveragePrices($F$21,AB$23,AB$24,$AJ33:$AJ33),AveragePrices($F$15,AB$23,AB$24,$AL33:$AL33))</f>
        <v>-0.31999999999999995</v>
      </c>
      <c r="AC33" s="128">
        <f ca="1">AB33-'[15]Gas Average Basis'!AB33</f>
        <v>-4.9999999999999489E-3</v>
      </c>
      <c r="AD33" s="62">
        <f ca="1">IF(AD$22,AveragePrices($F$21,AD$23,AD$24,$AJ33:$AJ33),AveragePrices($F$15,AD$23,AD$24,$AL33:$AL33))</f>
        <v>-0.29499999999999998</v>
      </c>
      <c r="AE33" s="128">
        <f ca="1">AD33-'[15]Gas Average Basis'!AC33</f>
        <v>-0.29571428571428571</v>
      </c>
      <c r="AF33" s="62">
        <f ca="1">IF(AF$22,AveragePrices($F$21,AF$23,AF$24,$AJ33:$AJ33),AveragePrices($F$15,AF$23,AF$24,$AL33:$AL33))</f>
        <v>-0.23666666666666666</v>
      </c>
      <c r="AG33" s="128">
        <f ca="1">AF33-'[15]Gas Average Basis'!AE33</f>
        <v>6.3333333333333269E-2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2.1949999999999998</v>
      </c>
      <c r="L34" s="62">
        <f>LOOKUP($K$15+1,CurveFetch!D$8:D$1000,CurveFetch!R$8:R$1000)</f>
        <v>2</v>
      </c>
      <c r="M34" s="62">
        <f>L34-$L$49</f>
        <v>-0.31499999999999995</v>
      </c>
      <c r="N34" s="128">
        <f>M34-'[15]Gas Average Basis'!M34</f>
        <v>-0.11499999999999977</v>
      </c>
      <c r="O34" s="62">
        <f>LOOKUP($K$15+2,CurveFetch!$D$8:$D$1000,CurveFetch!$R$8:$R$1000)</f>
        <v>2</v>
      </c>
      <c r="P34" s="62">
        <f t="shared" ca="1" si="0"/>
        <v>-0.22500000000000009</v>
      </c>
      <c r="Q34" s="128">
        <f ca="1">P34-'[15]Gas Average Basis'!P34</f>
        <v>-4.9999999999998934E-3</v>
      </c>
      <c r="R34" s="62">
        <f ca="1">IF(R$22,AveragePrices($F$21,R$23,R$24,$AJ34:$AJ34),AveragePrices($F$15,R$23,R$24,$AL34:$AL34))</f>
        <v>-0.18</v>
      </c>
      <c r="S34" s="128">
        <f ca="1">R34-'[15]Gas Average Basis'!R34</f>
        <v>0</v>
      </c>
      <c r="T34" s="62">
        <f ca="1">IF(T$22,AveragePrices($F$21,T$23,T$24,$AJ34:$AJ34),AveragePrices($F$15,T$23,T$24,$AL34:$AL34))</f>
        <v>-0.18333333333333335</v>
      </c>
      <c r="U34" s="128">
        <f ca="1">T34-'[15]Gas Average Basis'!S34</f>
        <v>-0.17833333333333334</v>
      </c>
      <c r="V34" s="62">
        <f t="shared" ca="1" si="1"/>
        <v>-0.16499999999999998</v>
      </c>
      <c r="W34" s="128">
        <f ca="1">V34-'[15]Gas Average Basis'!V34</f>
        <v>0</v>
      </c>
      <c r="X34" s="62">
        <f ca="1">IF(X$22,AveragePrices($F$21,X$23,X$24,$AJ34:$AJ34),AveragePrices($F$15,X$23,X$24,$AL34:$AL34))</f>
        <v>-0.15833333333333333</v>
      </c>
      <c r="Y34" s="128">
        <f ca="1">X34-'[15]Gas Average Basis'!W34</f>
        <v>-0.15333333333333335</v>
      </c>
      <c r="Z34" s="62">
        <f ca="1">IF(Z$22,AveragePrices($F$21,Z$23,Z$24,$AJ34:$AJ34),AveragePrices($F$15,Z$23,Z$24,$AL34:$AL34))</f>
        <v>-0.14583333333333334</v>
      </c>
      <c r="AA34" s="128">
        <f ca="1">Z34-'[15]Gas Average Basis'!Y34</f>
        <v>1.2499999999999983E-2</v>
      </c>
      <c r="AB34" s="62">
        <f ca="1">IF(AB$22,AveragePrices($F$21,AB$23,AB$24,$AJ34:$AJ34),AveragePrices($F$15,AB$23,AB$24,$AL34:$AL34))</f>
        <v>-0.13250000000000001</v>
      </c>
      <c r="AC34" s="128">
        <f ca="1">AB34-'[15]Gas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AD34-'[15]Gas Average Basis'!AC34</f>
        <v>-0.11083333333333334</v>
      </c>
      <c r="AF34" s="62">
        <f ca="1">IF(AF$22,AveragePrices($F$21,AF$23,AF$24,$AJ34:$AJ34),AveragePrices($F$15,AF$23,AF$24,$AL34:$AL34))</f>
        <v>-0.14583333333333334</v>
      </c>
      <c r="AG34" s="128">
        <f ca="1">AF34-'[15]Gas Average Basis'!AE34</f>
        <v>-3.5000000000000003E-2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2.21</v>
      </c>
      <c r="L35" s="62">
        <f>LOOKUP($K$15+1,CurveFetch!D$8:D$1000,CurveFetch!L$8:L$1000)</f>
        <v>2.0950000000000002</v>
      </c>
      <c r="M35" s="62">
        <f>L35-$L$49</f>
        <v>-0.21999999999999975</v>
      </c>
      <c r="N35" s="128">
        <f>M35-'[15]Gas Average Basis'!M35</f>
        <v>-4.9999999999999822E-2</v>
      </c>
      <c r="O35" s="62">
        <f>LOOKUP($K$15+2,CurveFetch!$D$8:$D$1000,CurveFetch!$L$8:$L$1000)</f>
        <v>2.0950000000000002</v>
      </c>
      <c r="P35" s="62">
        <f t="shared" ca="1" si="0"/>
        <v>-0.19500000000000028</v>
      </c>
      <c r="Q35" s="128">
        <f ca="1">P35-'[15]Gas Average Basis'!P35</f>
        <v>1.499999999999968E-2</v>
      </c>
      <c r="R35" s="62">
        <f ca="1">IF(R$22,AveragePrices($F$21,R$23,R$24,$AJ35:$AJ35),AveragePrices($F$15,R$23,R$24,$AL35:$AL35))</f>
        <v>-0.155</v>
      </c>
      <c r="S35" s="128">
        <f ca="1">R35-'[15]Gas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T35-'[15]Gas Average Basis'!S35</f>
        <v>-0.14000000000000001</v>
      </c>
      <c r="V35" s="62">
        <f t="shared" ca="1" si="1"/>
        <v>-0.13999999999999999</v>
      </c>
      <c r="W35" s="128">
        <f ca="1">V35-'[15]Gas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-0.10999999999999999</v>
      </c>
      <c r="AA35" s="128">
        <f ca="1">Z35-'[15]Gas Average Basis'!Y35</f>
        <v>2.3333333333333345E-2</v>
      </c>
      <c r="AB35" s="62">
        <f ca="1">IF(AB$22,AveragePrices($F$21,AB$23,AB$24,$AJ35:$AJ35),AveragePrices($F$15,AB$23,AB$24,$AL35:$AL35))</f>
        <v>-9.5000000000000001E-2</v>
      </c>
      <c r="AC35" s="128">
        <f ca="1">AB35-'[15]Gas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AD35-'[15]Gas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AF35-'[15]Gas Average Basis'!AE35</f>
        <v>-4.9999999999999989E-2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2.2549999999999999</v>
      </c>
      <c r="L36" s="62">
        <f>LOOKUP($K$15+1,CurveFetch!D$8:D$1000,CurveFetch!P$8:P$1000)</f>
        <v>2.4300000000000002</v>
      </c>
      <c r="M36" s="62">
        <f>L36-$L$49</f>
        <v>0.11500000000000021</v>
      </c>
      <c r="N36" s="128">
        <f>M36-'[15]Gas Average Basis'!M36</f>
        <v>0.26500000000000012</v>
      </c>
      <c r="O36" s="62">
        <f>LOOKUP($K$15+2,CurveFetch!$D$8:$D$1000,CurveFetch!$P$8:$P$1000)</f>
        <v>2.4300000000000002</v>
      </c>
      <c r="P36" s="62">
        <f t="shared" ca="1" si="0"/>
        <v>-0.14999999999999991</v>
      </c>
      <c r="Q36" s="128">
        <f ca="1">P36-'[15]Gas Average Basis'!P36</f>
        <v>0</v>
      </c>
      <c r="R36" s="62">
        <f ca="1">IF(R$22,AveragePrices($F$21,R$23,R$24,$AJ36:$AJ36),AveragePrices($F$15,R$23,R$24,$AL36:$AL36))</f>
        <v>-0.13</v>
      </c>
      <c r="S36" s="128">
        <f ca="1">R36-'[15]Gas Average Basis'!R36</f>
        <v>1.0000000000000009E-2</v>
      </c>
      <c r="T36" s="62">
        <f ca="1">IF(T$22,AveragePrices($F$21,T$23,T$24,$AJ36:$AJ36),AveragePrices($F$15,T$23,T$24,$AL36:$AL36))</f>
        <v>-0.13083333333333333</v>
      </c>
      <c r="U36" s="128">
        <f ca="1">T36-'[15]Gas Average Basis'!S36</f>
        <v>-0.13083333333333333</v>
      </c>
      <c r="V36" s="62">
        <f t="shared" ca="1" si="1"/>
        <v>-0.13</v>
      </c>
      <c r="W36" s="128">
        <f ca="1">V36-'[15]Gas Average Basis'!V36</f>
        <v>9.9999999999999811E-3</v>
      </c>
      <c r="X36" s="62">
        <f ca="1">IF(X$22,AveragePrices($F$21,X$23,X$24,$AJ36:$AJ36),AveragePrices($F$15,X$23,X$24,$AL36:$AL36))</f>
        <v>-0.12916666666666668</v>
      </c>
      <c r="Y36" s="128">
        <f ca="1">X36-'[15]Gas Average Basis'!W36</f>
        <v>-0.12916666666666668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4.1666666666666519E-3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5.0000000000000044E-3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-0.13500000000000001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8.3333333333335258E-4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2.0049999999999999</v>
      </c>
      <c r="L39" s="62">
        <f>LOOKUP($K$15+1,CurveFetch!D$8:D$1000,CurveFetch!I$8:I$1000)</f>
        <v>1.85</v>
      </c>
      <c r="M39" s="62">
        <f>L39-$L$49</f>
        <v>-0.46499999999999986</v>
      </c>
      <c r="N39" s="128">
        <f>M39-'[15]Gas Average Basis'!M39</f>
        <v>-0.11499999999999977</v>
      </c>
      <c r="O39" s="62">
        <f>LOOKUP($K$15+2,CurveFetch!$D$8:$D$1000,CurveFetch!$I$8:$I$1000)</f>
        <v>1.85</v>
      </c>
      <c r="P39" s="62">
        <f ca="1">IF(P$22,AveragePrices($F$21,P$23,P$24,$AJ39:$AJ39)-INDIRECT(ADDRESS(P$23,$G$23,,,$F$21)),AveragePrices($F$15,P$23,P$24,$AL39:$AL39))</f>
        <v>-0.37999999999999989</v>
      </c>
      <c r="Q39" s="128">
        <f ca="1">P39-'[15]Gas Average Basis'!P39</f>
        <v>4.4408920985006262E-16</v>
      </c>
      <c r="R39" s="62">
        <f ca="1">IF(R$22,AveragePrices($F$21,R$23,R$24,$AJ39:$AJ39),AveragePrices($F$15,R$23,R$24,$AL39:$AL39))</f>
        <v>-0.36</v>
      </c>
      <c r="S39" s="128">
        <f ca="1">R39-'[15]Gas Average Basis'!R39</f>
        <v>-1.5000000000000013E-2</v>
      </c>
      <c r="T39" s="62">
        <f ca="1">IF(T$22,AveragePrices($F$21,T$23,T$24,$AJ39:$AJ39),AveragePrices($F$15,T$23,T$24,$AL39:$AL39))</f>
        <v>-0.41</v>
      </c>
      <c r="U39" s="128">
        <f ca="1">T39-'[15]Gas Average Basis'!S39</f>
        <v>-0.40500000000000003</v>
      </c>
      <c r="V39" s="62">
        <f ca="1">IF(V$22,AveragePrices($F$21,V$23,V$24,$AJ39:$AJ39),AveragePrices($F$15,V$23,V$24,$AL39:$AL39))</f>
        <v>-0.31399999999999995</v>
      </c>
      <c r="W39" s="128">
        <f ca="1">V39-'[15]Gas Average Basis'!V39</f>
        <v>-5.9999999999999498E-3</v>
      </c>
      <c r="X39" s="62">
        <f ca="1">IF(X$22,AveragePrices($F$21,X$23,X$24,$AJ39:$AJ39),AveragePrices($F$15,X$23,X$24,$AL39:$AL39))</f>
        <v>-0.31</v>
      </c>
      <c r="Y39" s="128">
        <f ca="1">X39-'[15]Gas Average Basis'!W39</f>
        <v>-0.314</v>
      </c>
      <c r="Z39" s="62">
        <f ca="1">IF(Z$22,AveragePrices($F$21,Z$23,Z$24,$AJ39:$AJ39),AveragePrices($F$15,Z$23,Z$24,$AL39:$AL39))</f>
        <v>-0.52500000000000002</v>
      </c>
      <c r="AA39" s="128">
        <f ca="1">Z39-'[15]Gas Average Basis'!Y39</f>
        <v>-0.21700000000000008</v>
      </c>
      <c r="AB39" s="62">
        <f ca="1">IF(AB$22,AveragePrices($F$21,AB$23,AB$24,$AJ39:$AJ39),AveragePrices($F$15,AB$23,AB$24,$AL39:$AL39))</f>
        <v>-0.52500000000000002</v>
      </c>
      <c r="AC39" s="128">
        <f ca="1">AB39-'[15]Gas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AD39-'[15]Gas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AF39-'[15]Gas Average Basis'!AE39</f>
        <v>0.17666666666666669</v>
      </c>
      <c r="AH39" s="62">
        <f ca="1">IF(AH$22,AveragePrices($F$21,AH$23,AH$24,$AJ39:$AJ39),AveragePrices($F$15,AH$23,AH$24,$AL39:$AL39))</f>
        <v>-0.26</v>
      </c>
      <c r="AI39" s="92">
        <f ca="1">AH39-'[15]Gas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2.085</v>
      </c>
      <c r="L40" s="62">
        <f>LOOKUP($K$15+1,CurveFetch!D$8:D$1000,CurveFetch!M$8:M$1000)</f>
        <v>2.0299999999999998</v>
      </c>
      <c r="M40" s="62">
        <f>L40-$L$49</f>
        <v>-0.28500000000000014</v>
      </c>
      <c r="N40" s="128">
        <f>M40-'[15]Gas Average Basis'!M40</f>
        <v>-0.19499999999999984</v>
      </c>
      <c r="O40" s="62">
        <f>LOOKUP($K$15+2,CurveFetch!$D$8:$D$1000,CurveFetch!$M$8:$M$1000)</f>
        <v>2.0299999999999998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2.085</v>
      </c>
      <c r="L41" s="62">
        <f>LOOKUP($K$15+1,CurveFetch!D$8:D$1000,CurveFetch!M$8:M$1000)</f>
        <v>2.0299999999999998</v>
      </c>
      <c r="M41" s="62">
        <f>L41-$L$49</f>
        <v>-0.28500000000000014</v>
      </c>
      <c r="N41" s="128">
        <f>M41-'[15]Gas Average Basis'!M41</f>
        <v>-0.19499999999999984</v>
      </c>
      <c r="O41" s="62">
        <f>LOOKUP($K$15+2,CurveFetch!$D$8:$D$1000,CurveFetch!$M$8:$M$1000)</f>
        <v>2.0299999999999998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-6.500000000000003E-2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1.6666666666666566E-3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-0.26166666666666666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-0.35999999999999988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0.37666666666666659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2.0199000000000003</v>
      </c>
      <c r="L42" s="62">
        <f>LOOKUP($K$15+1,CurveFetch!D$8:D$1000,CurveFetch!N$8:N$1000)</f>
        <v>2.0209999999999999</v>
      </c>
      <c r="M42" s="62">
        <f>L42-$L$49</f>
        <v>-0.29400000000000004</v>
      </c>
      <c r="N42" s="128">
        <f>M42-'[15]Gas Average Basis'!M42</f>
        <v>8.4000000000000075E-2</v>
      </c>
      <c r="O42" s="62">
        <f>LOOKUP($K$15+2,CurveFetch!$D$8:$D$1000,CurveFetch!$N$8:$N$1000)</f>
        <v>2.0209999999999999</v>
      </c>
      <c r="P42" s="62">
        <f t="shared" ca="1" si="0"/>
        <v>-0.50800000000000001</v>
      </c>
      <c r="Q42" s="128">
        <f ca="1">P42-'[15]Gas Average Basis'!P42</f>
        <v>-0.16000000000000014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-0.30104970643531337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-0.44591471771757468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-5.1333333333333286E-2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-0.49999999999999989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5.533333333333329E-2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1.9950000000000001</v>
      </c>
      <c r="L43" s="62">
        <f>LOOKUP($K$15+1,CurveFetch!D$8:D$1000,CurveFetch!O$8:O$1000)</f>
        <v>1.82</v>
      </c>
      <c r="M43" s="62">
        <f>L43-$L$49</f>
        <v>-0.49499999999999988</v>
      </c>
      <c r="N43" s="128">
        <f>M43-'[15]Gas Average Basis'!M43</f>
        <v>-0.12499999999999978</v>
      </c>
      <c r="O43" s="62">
        <f>LOOKUP($K$15+2,CurveFetch!$D$8:$D$1000,CurveFetch!$O$8:$O$1000)</f>
        <v>1.82</v>
      </c>
      <c r="P43" s="62">
        <f t="shared" ca="1" si="0"/>
        <v>-0.45999999999999996</v>
      </c>
      <c r="Q43" s="128">
        <f ca="1">P43-'[15]Gas Average Basis'!P43</f>
        <v>-1.9999999999999796E-2</v>
      </c>
      <c r="R43" s="62">
        <f ca="1">IF(R$22,AveragePrices($F$21,R$23,R$24,$AJ43:$AJ43),AveragePrices($F$15,R$23,R$24,$AL43:$AL43))</f>
        <v>-0.4</v>
      </c>
      <c r="S43" s="128">
        <f ca="1">R43-'[15]Gas Average Basis'!R43</f>
        <v>-1.5000000000000013E-2</v>
      </c>
      <c r="T43" s="62">
        <f ca="1">IF(T$22,AveragePrices($F$21,T$23,T$24,$AJ43:$AJ43),AveragePrices($F$15,T$23,T$24,$AL43:$AL43))</f>
        <v>-0.50666666666666671</v>
      </c>
      <c r="U43" s="128">
        <f ca="1">T43-'[15]Gas Average Basis'!S43</f>
        <v>-0.50166666666666671</v>
      </c>
      <c r="V43" s="62">
        <f t="shared" ca="1" si="1"/>
        <v>-0.37</v>
      </c>
      <c r="W43" s="128">
        <f ca="1">V43-'[15]Gas Average Basis'!V43</f>
        <v>-6.0000000000000053E-3</v>
      </c>
      <c r="X43" s="62">
        <f ca="1">IF(X$22,AveragePrices($F$21,X$23,X$24,$AJ43:$AJ43),AveragePrices($F$15,X$23,X$24,$AL43:$AL43))</f>
        <v>-0.36999999999999994</v>
      </c>
      <c r="Y43" s="128">
        <f ca="1">X43-'[15]Gas Average Basis'!W43</f>
        <v>-0.37399999999999994</v>
      </c>
      <c r="Z43" s="62">
        <f ca="1">IF(Z$22,AveragePrices($F$21,Z$23,Z$24,$AJ43:$AJ43),AveragePrices($F$15,Z$23,Z$24,$AL43:$AL43))</f>
        <v>-0.63500000000000001</v>
      </c>
      <c r="AA43" s="128">
        <f ca="1">Z43-'[15]Gas Average Basis'!Y43</f>
        <v>-0.26700000000000002</v>
      </c>
      <c r="AB43" s="62">
        <f ca="1">IF(AB$22,AveragePrices($F$21,AB$23,AB$24,$AJ43:$AJ43),AveragePrices($F$15,AB$23,AB$24,$AL43:$AL43))</f>
        <v>-0.6349999999999999</v>
      </c>
      <c r="AC43" s="128">
        <f ca="1">AB43-'[15]Gas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AD43-'[15]Gas Average Basis'!AC43</f>
        <v>-0.63500000000000001</v>
      </c>
      <c r="AF43" s="62">
        <f ca="1">IF(AF$22,AveragePrices($F$21,AF$23,AF$24,$AJ43:$AJ43),AveragePrices($F$15,AF$23,AF$24,$AL43:$AL43))</f>
        <v>-0.41166666666666668</v>
      </c>
      <c r="AG43" s="128">
        <f ca="1">AF43-'[15]Gas Average Basis'!AE43</f>
        <v>0.22333333333333333</v>
      </c>
      <c r="AH43" s="62">
        <f ca="1">IF(AH$22,AveragePrices($F$21,AH$23,AH$24,$AJ43:$AJ43),AveragePrices($F$15,AH$23,AH$24,$AL43:$AL43))</f>
        <v>-0.3</v>
      </c>
      <c r="AI43" s="92">
        <f ca="1">AH43-'[15]Gas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2.58</v>
      </c>
      <c r="K49" s="80">
        <f>LOOKUP($K$15,CurveFetch!$D$8:$D$1000,CurveFetch!$E$8:$E$1000)</f>
        <v>2.4</v>
      </c>
      <c r="L49" s="62">
        <f>LOOKUP($K$15+1,CurveFetch!D$8:D$1000,CurveFetch!E$8:E$1000)</f>
        <v>2.3149999999999999</v>
      </c>
      <c r="M49" s="62"/>
      <c r="N49" s="128">
        <f>L49-'[15]Gas Average Basis'!L49</f>
        <v>-7.5000000000000178E-2</v>
      </c>
      <c r="O49" s="62">
        <f>LOOKUP($K$15+2,CurveFetch!$D$8:$D$1000,CurveFetch!$E$8:$E$1000)</f>
        <v>2.3149999999999999</v>
      </c>
      <c r="P49" s="62"/>
      <c r="Q49" s="128">
        <f>O49-'[15]Gas Average Basis'!O49</f>
        <v>-7.5000000000000178E-2</v>
      </c>
      <c r="R49" s="62">
        <f ca="1">IF(R$22,AveragePrices($F$21,R$23,R$24,$AJ49:$AJ49),AveragePrices($F$15,R$23,R$24,$AL49:$AL49))</f>
        <v>2.681</v>
      </c>
      <c r="S49" s="128">
        <f ca="1">R49-'[15]Gas Average Basis'!R49</f>
        <v>0.19499999999999984</v>
      </c>
      <c r="T49" s="62">
        <f ca="1">IF(T$22,AveragePrices($F$21,T$23,T$24,$AJ49:$AJ49),AveragePrices($F$15,T$23,T$24,$AL49:$AL49))</f>
        <v>2.5003333333333333</v>
      </c>
      <c r="U49" s="129"/>
      <c r="V49" s="62">
        <f ca="1">IF(V$22,AveragePrices($F$21,V$23,V$24,$AJ49:$AJ49),AveragePrices($F$15,V$23,V$24,$AL49:$AL49))</f>
        <v>3.0282</v>
      </c>
      <c r="W49" s="128">
        <f ca="1">V49-'[15]Gas Average Basis'!V49</f>
        <v>0.18060000000000009</v>
      </c>
      <c r="X49" s="62">
        <f ca="1">IF(X$22,AveragePrices($F$21,X$23,X$24,$AJ49:$AJ49),AveragePrices($F$15,X$23,X$24,$AL49:$AL49))</f>
        <v>3.1566666666666663</v>
      </c>
      <c r="Y49" s="128"/>
      <c r="Z49" s="62">
        <f ca="1">IF(Z$22,AveragePrices($F$21,Z$23,Z$24,$AJ49:$AJ49),AveragePrices($F$15,Z$23,Z$24,$AL49:$AL49))</f>
        <v>3.0663333333333331</v>
      </c>
      <c r="AA49" s="128"/>
      <c r="AB49" s="62">
        <f ca="1">IF(AB$22,AveragePrices($F$21,AB$23,AB$24,$AJ49:$AJ49),AveragePrices($F$15,AB$23,AB$24,$AL49:$AL49))</f>
        <v>3.1351428571428568</v>
      </c>
      <c r="AC49" s="128">
        <f ca="1">AB49-'[15]Gas Average Basis'!AB49</f>
        <v>0.13785714285714246</v>
      </c>
      <c r="AD49" s="62">
        <f ca="1">IF(AD$22,AveragePrices($F$21,AD$23,AD$24,$AJ49:$AJ49),AveragePrices($F$15,AD$23,AD$24,$AL49:$AL49))</f>
        <v>3.1776666666666666</v>
      </c>
      <c r="AE49" s="128"/>
      <c r="AF49" s="62">
        <f ca="1">IF(AF$22,AveragePrices($F$21,AF$23,AF$24,$AJ49:$AJ49),AveragePrices($F$15,AF$23,AF$24,$AL49:$AL49))</f>
        <v>3.404666666666667</v>
      </c>
      <c r="AG49" s="128"/>
      <c r="AH49" s="62">
        <f ca="1">IF(AH$22,AveragePrices($F$21,AH$23,AH$24,$AJ49:$AJ49),AveragePrices($F$15,AH$23,AH$24,$AL49:$AL49))</f>
        <v>3.5773999999999999</v>
      </c>
      <c r="AI49" s="92">
        <f ca="1">AH49-'[15]Gas Average Basis'!AH49</f>
        <v>0.12959999999999994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37182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2.4449999999999998</v>
      </c>
      <c r="L60" s="62"/>
      <c r="M60" s="62"/>
      <c r="N60" s="128"/>
      <c r="O60" s="62">
        <f>(PowerPrices!C9-2)/O30</f>
        <v>11.87756966651439</v>
      </c>
      <c r="P60" s="62"/>
      <c r="Q60" s="128">
        <f>O60-'[15]Gas Average Basis'!O60</f>
        <v>1.2783034618670186</v>
      </c>
      <c r="R60" s="62">
        <f ca="1">(PowerPrices!D9-2)/(R$49+R30)</f>
        <v>9.8798915149166984</v>
      </c>
      <c r="S60" s="128">
        <f ca="1">R60-'[15]Gas Average Basis'!R60</f>
        <v>-0.87506419997153451</v>
      </c>
      <c r="T60" s="62"/>
      <c r="U60" s="128"/>
      <c r="V60" s="62">
        <f ca="1">(AVERAGE(PowerPrices!D9,PowerPrices!E9,PowerPrices!H9,PowerPrices!I9,PowerPrices!K9)-2)/(V$49+V30)</f>
        <v>10.268509902964244</v>
      </c>
      <c r="W60" s="128">
        <f ca="1">V60-'[15]Gas Average Basis'!V60</f>
        <v>-0.69049137381260373</v>
      </c>
      <c r="X60" s="62">
        <f ca="1">(AVERAGE(PowerPrices!H9,PowerPrices!I9,PowerPrices!K9)-2)/(X$49+X30)</f>
        <v>10.021152829190905</v>
      </c>
      <c r="Y60" s="128"/>
      <c r="Z60" s="62">
        <f ca="1">(AVERAGE(PowerPrices!L9,PowerPrices!M9,PowerPrices!N9)-2)/(Z$49+Z30)</f>
        <v>8.7588733684451565</v>
      </c>
      <c r="AA60" s="128"/>
      <c r="AB60" s="62">
        <f ca="1">(AVERAGE(PowerPrices!L9,PowerPrices!M9,PowerPrices!N9,PowerPrices!P9,PowerPrices!Q9,PowerPrices!R9,PowerPrices!T9)-2)/(AB$49+AB30)</f>
        <v>11.001588339717838</v>
      </c>
      <c r="AC60" s="128">
        <f ca="1">AB60-'[15]Gas Average Basis'!AB60</f>
        <v>-0.53913497695373103</v>
      </c>
      <c r="AD60" s="62">
        <f ca="1">(AVERAGE(PowerPrices!P9,PowerPrices!Q9,PowerPrices!R9)-2)/(AD$49+AD30)</f>
        <v>13.153740923918761</v>
      </c>
      <c r="AE60" s="128"/>
      <c r="AF60" s="62">
        <f ca="1">(PowerPrices!S9-2)/(AF$49+AF30)</f>
        <v>9.6760112523038107</v>
      </c>
      <c r="AG60" s="128"/>
      <c r="AH60" s="62">
        <f ca="1">(AVERAGE(PowerPrices!T9,PowerPrices!U9,PowerPrices!V9,PowerPrices!AG9,PowerPrices!AH9,PowerPrices!AI9)-2)/(AH$49+AH30)</f>
        <v>8.8876094386869191</v>
      </c>
      <c r="AI60" s="128">
        <f ca="1">AH60-'[15]Gas Average Basis'!AH60</f>
        <v>-0.30130905631468607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2.35</v>
      </c>
      <c r="L61" s="62"/>
      <c r="M61" s="62"/>
      <c r="N61" s="128"/>
      <c r="O61" s="62">
        <f>(PowerPrices!C11-2)/(O28+0.2)</f>
        <v>11.597374179431071</v>
      </c>
      <c r="P61" s="62"/>
      <c r="Q61" s="128">
        <f>O61-'[15]Gas Average Basis'!O61</f>
        <v>1.597374179431073</v>
      </c>
      <c r="R61" s="62">
        <f ca="1">(PowerPrices!D11-2)/(R$49+R28+0.2)</f>
        <v>9.2498302783435165</v>
      </c>
      <c r="S61" s="128">
        <f ca="1">R61-'[15]Gas Average Basis'!R61</f>
        <v>-0.61954562876823793</v>
      </c>
      <c r="T61" s="62"/>
      <c r="U61" s="128"/>
      <c r="V61" s="62">
        <f ca="1">(AVERAGE(PowerPrices!D11,PowerPrices!E11,PowerPrices!H11,PowerPrices!I11,PowerPrices!K11)-2)/(V$49+V28+0.2)</f>
        <v>9.4066996933238975</v>
      </c>
      <c r="W61" s="128">
        <f ca="1">V61-'[15]Gas Average Basis'!V61</f>
        <v>-0.52911785403402867</v>
      </c>
      <c r="X61" s="62">
        <f ca="1">(AVERAGE(PowerPrices!H11,PowerPrices!I11,PowerPrices!K11)-2)/(X$49+X28+0.2)</f>
        <v>9.2601319509896332</v>
      </c>
      <c r="Y61" s="128"/>
      <c r="Z61" s="62">
        <f ca="1">(AVERAGE(PowerPrices!L11,PowerPrices!M11,PowerPrices!N11)-2)/(Z$49+Z28+0.2)</f>
        <v>9.1460383735957844</v>
      </c>
      <c r="AA61" s="128"/>
      <c r="AB61" s="62">
        <f ca="1">(AVERAGE(PowerPrices!L11,PowerPrices!M11,PowerPrices!N11,PowerPrices!P11,PowerPrices!Q11,PowerPrices!R11,PowerPrices!T11)-2)/(AB$49+AB28+0.2)</f>
        <v>10.84736067984965</v>
      </c>
      <c r="AC61" s="128">
        <f ca="1">AB61-'[15]Gas Average Basis'!AB61</f>
        <v>-0.44522576904661015</v>
      </c>
      <c r="AD61" s="62">
        <f ca="1">(AVERAGE(PowerPrices!P11,PowerPrices!Q11,PowerPrices!R11)-2)/(AD$49+AD28+0.2)</f>
        <v>12.651821862348179</v>
      </c>
      <c r="AE61" s="128"/>
      <c r="AF61" s="62">
        <f ca="1">(PowerPrices!S11-2)/(AF$49+AF28+0.2)</f>
        <v>9.2272452243063352</v>
      </c>
      <c r="AG61" s="128"/>
      <c r="AH61" s="62">
        <f ca="1">(AVERAGE(PowerPrices!T11,PowerPrices!U11,PowerPrices!V11,PowerPrices!AG11,PowerPrices!AH11,PowerPrices!AI11)-2)/(AH$49+AH28+0.2)</f>
        <v>8.359022035197599</v>
      </c>
      <c r="AI61" s="128">
        <f ca="1">AH61-'[15]Gas Average Basis'!AH61</f>
        <v>-0.25196306149746306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2.25</v>
      </c>
      <c r="L62" s="62"/>
      <c r="M62" s="62"/>
      <c r="N62" s="128"/>
      <c r="O62" s="62">
        <f>(PowerPrices!C13-2)/(O31+0.33)</f>
        <v>11.133603238866396</v>
      </c>
      <c r="P62" s="62"/>
      <c r="Q62" s="128">
        <f>O62-'[15]Gas Average Basis'!O62</f>
        <v>0.91055491172885006</v>
      </c>
      <c r="R62" s="62">
        <f ca="1">(PowerPrices!D13-2)/(R$49+R31+0.33)</f>
        <v>8.8933467067870282</v>
      </c>
      <c r="S62" s="128">
        <f ca="1">R62-'[15]Gas Average Basis'!R62</f>
        <v>-0.63728747450999812</v>
      </c>
      <c r="T62" s="62"/>
      <c r="U62" s="128"/>
      <c r="V62" s="62">
        <f ca="1">(AVERAGE(PowerPrices!D13,PowerPrices!E13,PowerPrices!H13,PowerPrices!I13,PowerPrices!K13)-2)/(V$49+V31+0.33)</f>
        <v>9.1287293474384867</v>
      </c>
      <c r="W62" s="128">
        <f ca="1">V62-'[15]Gas Average Basis'!V62</f>
        <v>-0.55112948795349936</v>
      </c>
      <c r="X62" s="62">
        <f ca="1">(AVERAGE(PowerPrices!H13,PowerPrices!I13,PowerPrices!K13)-2)/(X$49+X31+0.33)</f>
        <v>9.0844062947067243</v>
      </c>
      <c r="Y62" s="128"/>
      <c r="Z62" s="62">
        <f ca="1">(AVERAGE(PowerPrices!L13,PowerPrices!M13,PowerPrices!N13)-2)/(Z$49+Z31+0.33)</f>
        <v>9.434875169343913</v>
      </c>
      <c r="AA62" s="128"/>
      <c r="AB62" s="62">
        <f ca="1">(AVERAGE(PowerPrices!L13,PowerPrices!M13,PowerPrices!N13,PowerPrices!P13,PowerPrices!Q13,PowerPrices!R13,PowerPrices!T13)-2)/(AB$49+AB31+0.33)</f>
        <v>10.91301566997122</v>
      </c>
      <c r="AC62" s="128">
        <f ca="1">AB62-'[15]Gas Average Basis'!AB62</f>
        <v>-0.45914129078859034</v>
      </c>
      <c r="AD62" s="62">
        <f ca="1">(AVERAGE(PowerPrices!P13,PowerPrices!Q13,PowerPrices!R13)-2)/(AD$49+AD31+0.33)</f>
        <v>12.592525726665462</v>
      </c>
      <c r="AE62" s="128"/>
      <c r="AF62" s="62">
        <f ca="1">(PowerPrices!S13-2)/(AF$49+AF31+0.33)</f>
        <v>9.4749652294853952</v>
      </c>
      <c r="AG62" s="128"/>
      <c r="AH62" s="62">
        <f ca="1">(AVERAGE(PowerPrices!T13,PowerPrices!U13,PowerPrices!V13,PowerPrices!AG13,PowerPrices!AH13,PowerPrices!AI13)-2)/(AH$49+AH31+0.33)</f>
        <v>8.4714480058398038</v>
      </c>
      <c r="AI62" s="128">
        <f ca="1">AH62-'[15]Gas Average Basis'!AH62</f>
        <v>-0.28232350893767588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2.34</v>
      </c>
      <c r="L63" s="62"/>
      <c r="M63" s="62"/>
      <c r="N63" s="128"/>
      <c r="O63" s="62">
        <f>(PowerPrices!C14-2)/(O34+0.12)</f>
        <v>11.816037735849056</v>
      </c>
      <c r="P63" s="62"/>
      <c r="Q63" s="128">
        <f>O63-'[15]Gas Average Basis'!O63</f>
        <v>0.8771731070280957</v>
      </c>
      <c r="R63" s="62">
        <f ca="1">(PowerPrices!D14-2)/(R$49+R34+0.12)</f>
        <v>9.72911102632583</v>
      </c>
      <c r="S63" s="128">
        <f ca="1">R63-'[15]Gas Average Basis'!R63</f>
        <v>-0.7820184048365757</v>
      </c>
      <c r="T63" s="62"/>
      <c r="U63" s="128"/>
      <c r="V63" s="62">
        <f ca="1">(AVERAGE(PowerPrices!D14,PowerPrices!E14,PowerPrices!H14,PowerPrices!I14,PowerPrices!K14)-2)/(V$49+V34+0.12)</f>
        <v>9.6875838026280494</v>
      </c>
      <c r="W63" s="128">
        <f ca="1">V63-'[15]Gas Average Basis'!V63</f>
        <v>-0.62426947646993014</v>
      </c>
      <c r="X63" s="62">
        <f ca="1">(AVERAGE(PowerPrices!H14,PowerPrices!I14,PowerPrices!K14)-2)/(X$49+X34+0.12)</f>
        <v>9.5403527525387499</v>
      </c>
      <c r="Y63" s="128"/>
      <c r="Z63" s="62">
        <f ca="1">(AVERAGE(PowerPrices!L14,PowerPrices!M14,PowerPrices!N14)-2)/(Z$49+Z34+0.12)</f>
        <v>11.292002411884011</v>
      </c>
      <c r="AA63" s="128"/>
      <c r="AB63" s="62">
        <f ca="1">(AVERAGE(PowerPrices!L14,PowerPrices!M14,PowerPrices!N14,PowerPrices!P14,PowerPrices!Q14,PowerPrices!R14,PowerPrices!T14)-2)/(AB$49+AB34+0.12)</f>
        <v>13.244275682228881</v>
      </c>
      <c r="AC63" s="128">
        <f ca="1">AB63-'[15]Gas Average Basis'!AB63</f>
        <v>-0.61170823621465154</v>
      </c>
      <c r="AD63" s="62">
        <f ca="1">(AVERAGE(PowerPrices!P14,PowerPrices!Q14,PowerPrices!R14)-2)/(AD$49+AD34+0.12)</f>
        <v>15.951048585325037</v>
      </c>
      <c r="AE63" s="128"/>
      <c r="AF63" s="62">
        <f ca="1">(PowerPrices!S14-2)/(AF$49+AF34+0.12)</f>
        <v>9.8406747891283963</v>
      </c>
      <c r="AG63" s="128"/>
      <c r="AH63" s="62">
        <f ca="1">(AVERAGE(PowerPrices!T14,PowerPrices!U14,PowerPrices!V14,PowerPrices!AG14,PowerPrices!AH14,PowerPrices!AI14)-2)/(AH$49+AH34+0.12)</f>
        <v>8.8510494815813878</v>
      </c>
      <c r="AI63" s="128">
        <f ca="1">AH63-'[15]Gas Average Basis'!AH63</f>
        <v>-0.33449858945351707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20" t="s">
        <v>176</v>
      </c>
      <c r="M66" s="220"/>
    </row>
    <row r="67" spans="3:13" x14ac:dyDescent="0.2">
      <c r="C67" s="65"/>
      <c r="L67" s="221" t="s">
        <v>175</v>
      </c>
      <c r="M67" s="221"/>
    </row>
    <row r="68" spans="3:13" x14ac:dyDescent="0.2">
      <c r="C68" s="65"/>
      <c r="L68" s="221" t="s">
        <v>177</v>
      </c>
      <c r="M68" s="221"/>
    </row>
    <row r="69" spans="3:13" x14ac:dyDescent="0.2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37183</v>
      </c>
      <c r="F2" s="6">
        <f t="shared" ref="F2:AE2" si="1">E2</f>
        <v>37183</v>
      </c>
      <c r="G2" s="6">
        <f t="shared" si="1"/>
        <v>37183</v>
      </c>
      <c r="H2" s="6">
        <f t="shared" si="1"/>
        <v>37183</v>
      </c>
      <c r="I2" s="6">
        <f t="shared" si="1"/>
        <v>37183</v>
      </c>
      <c r="J2" s="6">
        <f t="shared" si="1"/>
        <v>37183</v>
      </c>
      <c r="K2" s="6">
        <f t="shared" si="1"/>
        <v>37183</v>
      </c>
      <c r="L2" s="6">
        <f t="shared" si="1"/>
        <v>37183</v>
      </c>
      <c r="M2" s="6">
        <f t="shared" si="1"/>
        <v>37183</v>
      </c>
      <c r="N2" s="6">
        <f t="shared" si="1"/>
        <v>37183</v>
      </c>
      <c r="O2" s="6">
        <f t="shared" si="1"/>
        <v>37183</v>
      </c>
      <c r="P2" s="6">
        <f t="shared" si="1"/>
        <v>37183</v>
      </c>
      <c r="Q2" s="6">
        <f t="shared" si="1"/>
        <v>37183</v>
      </c>
      <c r="R2" s="6">
        <f t="shared" si="1"/>
        <v>37183</v>
      </c>
      <c r="S2" s="6">
        <f t="shared" si="1"/>
        <v>37183</v>
      </c>
      <c r="T2" s="6">
        <f t="shared" si="1"/>
        <v>37183</v>
      </c>
      <c r="U2" s="6">
        <f t="shared" si="1"/>
        <v>37183</v>
      </c>
      <c r="V2" s="6">
        <f t="shared" si="1"/>
        <v>37183</v>
      </c>
      <c r="W2" s="6">
        <f t="shared" si="1"/>
        <v>37183</v>
      </c>
      <c r="X2" s="6">
        <f t="shared" si="1"/>
        <v>37183</v>
      </c>
      <c r="Y2" s="6">
        <f t="shared" si="1"/>
        <v>37183</v>
      </c>
      <c r="Z2" s="6">
        <f t="shared" si="1"/>
        <v>37183</v>
      </c>
      <c r="AA2" s="6">
        <f t="shared" si="1"/>
        <v>37183</v>
      </c>
      <c r="AB2" s="25">
        <f t="shared" si="1"/>
        <v>37183</v>
      </c>
      <c r="AC2" s="25">
        <f t="shared" si="1"/>
        <v>37183</v>
      </c>
      <c r="AD2" s="25">
        <f t="shared" si="1"/>
        <v>37183</v>
      </c>
      <c r="AE2" s="25">
        <f t="shared" si="1"/>
        <v>37183</v>
      </c>
      <c r="AF2" s="25">
        <f>AE2</f>
        <v>37183</v>
      </c>
      <c r="AG2" s="25">
        <f>AE2</f>
        <v>37183</v>
      </c>
      <c r="AH2" s="25">
        <f>AF2</f>
        <v>37183</v>
      </c>
      <c r="AI2" s="25">
        <f>AH2</f>
        <v>37183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2.3149999999999999</v>
      </c>
      <c r="F27" s="10">
        <v>2.085</v>
      </c>
      <c r="G27" s="10">
        <v>1.99</v>
      </c>
      <c r="H27" s="10">
        <v>2.14</v>
      </c>
      <c r="I27" s="10">
        <v>1.85</v>
      </c>
      <c r="J27" s="10">
        <v>2.085</v>
      </c>
      <c r="K27" s="10">
        <v>1.89</v>
      </c>
      <c r="L27" s="10">
        <v>2.0950000000000002</v>
      </c>
      <c r="M27" s="10">
        <v>2.0299999999999998</v>
      </c>
      <c r="N27" s="10">
        <v>2.0209999999999999</v>
      </c>
      <c r="O27" s="10">
        <v>1.82</v>
      </c>
      <c r="P27" s="10">
        <v>2.4300000000000002</v>
      </c>
      <c r="Q27" s="10">
        <v>2.0699999999999998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2.3149999999999999</v>
      </c>
      <c r="F28" s="10">
        <v>2.085</v>
      </c>
      <c r="G28" s="10">
        <v>1.99</v>
      </c>
      <c r="H28" s="10">
        <v>2.14</v>
      </c>
      <c r="I28" s="10">
        <v>1.85</v>
      </c>
      <c r="J28" s="10">
        <v>2.085</v>
      </c>
      <c r="K28" s="10">
        <v>1.89</v>
      </c>
      <c r="L28" s="10">
        <v>2.0950000000000002</v>
      </c>
      <c r="M28" s="10">
        <v>2.0299999999999998</v>
      </c>
      <c r="N28" s="10">
        <v>2.0209999999999999</v>
      </c>
      <c r="O28" s="10">
        <v>1.82</v>
      </c>
      <c r="P28" s="10">
        <v>2.4300000000000002</v>
      </c>
      <c r="Q28" s="10">
        <v>2.0699999999999998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2.3149999999999999</v>
      </c>
      <c r="F29" s="10">
        <v>2.085</v>
      </c>
      <c r="G29" s="10">
        <v>1.99</v>
      </c>
      <c r="H29" s="10">
        <v>2.14</v>
      </c>
      <c r="I29" s="10">
        <v>1.85</v>
      </c>
      <c r="J29" s="10">
        <v>2.085</v>
      </c>
      <c r="K29" s="10">
        <v>1.89</v>
      </c>
      <c r="L29" s="10">
        <v>2.0950000000000002</v>
      </c>
      <c r="M29" s="10">
        <v>2.0299999999999998</v>
      </c>
      <c r="N29" s="10">
        <v>2.0209999999999999</v>
      </c>
      <c r="O29" s="10">
        <v>1.82</v>
      </c>
      <c r="P29" s="10">
        <v>2.4300000000000002</v>
      </c>
      <c r="Q29" s="10">
        <v>2.0699999999999998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2.58</v>
      </c>
      <c r="F30" s="10">
        <v>2.58</v>
      </c>
      <c r="G30" s="10">
        <v>2.4</v>
      </c>
      <c r="H30" s="10">
        <v>2.4900000000000002</v>
      </c>
      <c r="I30" s="10">
        <v>2.2000000000000002</v>
      </c>
      <c r="J30" s="10">
        <v>2.34</v>
      </c>
      <c r="K30" s="10">
        <v>2.2999999999999998</v>
      </c>
      <c r="L30" s="10">
        <v>2.3849999999999998</v>
      </c>
      <c r="M30" s="10">
        <v>2.34</v>
      </c>
      <c r="N30" s="10">
        <v>2.0720000000000001</v>
      </c>
      <c r="O30" s="10">
        <v>2.12</v>
      </c>
      <c r="P30" s="10">
        <v>2.4300000000000002</v>
      </c>
      <c r="Q30" s="10">
        <v>2.4</v>
      </c>
      <c r="R30" s="10">
        <v>2.355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2.58</v>
      </c>
      <c r="F31" s="10">
        <v>2.58</v>
      </c>
      <c r="G31" s="10">
        <v>2.4</v>
      </c>
      <c r="H31" s="10">
        <v>2.4900000000000002</v>
      </c>
      <c r="I31" s="10">
        <v>2.2000000000000002</v>
      </c>
      <c r="J31" s="10">
        <v>2.34</v>
      </c>
      <c r="K31" s="10">
        <v>2.2999999999999998</v>
      </c>
      <c r="L31" s="10">
        <v>2.3849999999999998</v>
      </c>
      <c r="M31" s="10">
        <v>2.34</v>
      </c>
      <c r="N31" s="10">
        <v>2.0720000000000001</v>
      </c>
      <c r="O31" s="10">
        <v>2.12</v>
      </c>
      <c r="P31" s="10">
        <v>2.4300000000000002</v>
      </c>
      <c r="Q31" s="10">
        <v>2.4</v>
      </c>
      <c r="R31" s="10">
        <v>2.355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2.58</v>
      </c>
      <c r="F32" s="10">
        <v>2.58</v>
      </c>
      <c r="G32" s="10">
        <v>2.4</v>
      </c>
      <c r="H32" s="10">
        <v>2.4900000000000002</v>
      </c>
      <c r="I32" s="10">
        <v>2.2000000000000002</v>
      </c>
      <c r="J32" s="10">
        <v>2.34</v>
      </c>
      <c r="K32" s="10">
        <v>2.2999999999999998</v>
      </c>
      <c r="L32" s="10">
        <v>2.3849999999999998</v>
      </c>
      <c r="M32" s="10">
        <v>2.34</v>
      </c>
      <c r="N32" s="10">
        <v>2.0720000000000001</v>
      </c>
      <c r="O32" s="10">
        <v>2.12</v>
      </c>
      <c r="P32" s="10">
        <v>2.4300000000000002</v>
      </c>
      <c r="Q32" s="10">
        <v>2.4</v>
      </c>
      <c r="R32" s="10">
        <v>2.355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2.58</v>
      </c>
      <c r="F33" s="10">
        <v>2.58</v>
      </c>
      <c r="G33" s="10">
        <v>2.4</v>
      </c>
      <c r="H33" s="10">
        <v>2.4900000000000002</v>
      </c>
      <c r="I33" s="10">
        <v>2.2000000000000002</v>
      </c>
      <c r="J33" s="10">
        <v>2.34</v>
      </c>
      <c r="K33" s="10">
        <v>2.2999999999999998</v>
      </c>
      <c r="L33" s="10">
        <v>2.3849999999999998</v>
      </c>
      <c r="M33" s="10">
        <v>2.34</v>
      </c>
      <c r="N33" s="10">
        <v>2.0720000000000001</v>
      </c>
      <c r="O33" s="10">
        <v>2.12</v>
      </c>
      <c r="P33" s="10">
        <v>2.4300000000000002</v>
      </c>
      <c r="Q33" s="10">
        <v>2.4</v>
      </c>
      <c r="R33" s="10">
        <v>2.355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2.58</v>
      </c>
      <c r="F34" s="10">
        <v>2.58</v>
      </c>
      <c r="G34" s="10">
        <v>2.4</v>
      </c>
      <c r="H34" s="10">
        <v>2.4900000000000002</v>
      </c>
      <c r="I34" s="10">
        <v>2.2000000000000002</v>
      </c>
      <c r="J34" s="10">
        <v>2.34</v>
      </c>
      <c r="K34" s="10">
        <v>2.2999999999999998</v>
      </c>
      <c r="L34" s="10">
        <v>2.3849999999999998</v>
      </c>
      <c r="M34" s="10">
        <v>2.34</v>
      </c>
      <c r="N34" s="10">
        <v>2.0720000000000001</v>
      </c>
      <c r="O34" s="10">
        <v>2.12</v>
      </c>
      <c r="P34" s="10">
        <v>2.4300000000000002</v>
      </c>
      <c r="Q34" s="10">
        <v>2.4</v>
      </c>
      <c r="R34" s="10">
        <v>2.355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2.58</v>
      </c>
      <c r="F35" s="10">
        <v>2.58</v>
      </c>
      <c r="G35" s="10">
        <v>2.4</v>
      </c>
      <c r="H35" s="10">
        <v>2.4900000000000002</v>
      </c>
      <c r="I35" s="10">
        <v>2.2000000000000002</v>
      </c>
      <c r="J35" s="10">
        <v>2.34</v>
      </c>
      <c r="K35" s="10">
        <v>2.2999999999999998</v>
      </c>
      <c r="L35" s="10">
        <v>2.3849999999999998</v>
      </c>
      <c r="M35" s="10">
        <v>2.34</v>
      </c>
      <c r="N35" s="10">
        <v>2.0720000000000001</v>
      </c>
      <c r="O35" s="10">
        <v>2.12</v>
      </c>
      <c r="P35" s="10">
        <v>2.4300000000000002</v>
      </c>
      <c r="Q35" s="10">
        <v>2.4</v>
      </c>
      <c r="R35" s="10">
        <v>2.355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2.58</v>
      </c>
      <c r="F36" s="10">
        <v>2.58</v>
      </c>
      <c r="G36" s="10">
        <v>2.4</v>
      </c>
      <c r="H36" s="10">
        <v>2.4900000000000002</v>
      </c>
      <c r="I36" s="10">
        <v>2.2000000000000002</v>
      </c>
      <c r="J36" s="10">
        <v>2.34</v>
      </c>
      <c r="K36" s="10">
        <v>2.2999999999999998</v>
      </c>
      <c r="L36" s="10">
        <v>2.3849999999999998</v>
      </c>
      <c r="M36" s="10">
        <v>2.34</v>
      </c>
      <c r="N36" s="10">
        <v>2.0720000000000001</v>
      </c>
      <c r="O36" s="10">
        <v>2.12</v>
      </c>
      <c r="P36" s="10">
        <v>2.4300000000000002</v>
      </c>
      <c r="Q36" s="10">
        <v>2.4</v>
      </c>
      <c r="R36" s="10">
        <v>2.355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2.58</v>
      </c>
      <c r="F37" s="10">
        <v>2.58</v>
      </c>
      <c r="G37" s="10">
        <v>2.4</v>
      </c>
      <c r="H37" s="10">
        <v>2.4900000000000002</v>
      </c>
      <c r="I37" s="10">
        <v>2.2000000000000002</v>
      </c>
      <c r="J37" s="10">
        <v>2.34</v>
      </c>
      <c r="K37" s="10">
        <v>2.2999999999999998</v>
      </c>
      <c r="L37" s="10">
        <v>2.3849999999999998</v>
      </c>
      <c r="M37" s="10">
        <v>2.34</v>
      </c>
      <c r="N37" s="10">
        <v>2.0720000000000001</v>
      </c>
      <c r="O37" s="10">
        <v>2.12</v>
      </c>
      <c r="P37" s="10">
        <v>2.4300000000000002</v>
      </c>
      <c r="Q37" s="10">
        <v>2.4</v>
      </c>
      <c r="R37" s="10">
        <v>2.355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2.58</v>
      </c>
      <c r="F38" s="10">
        <v>2.58</v>
      </c>
      <c r="G38" s="10">
        <v>2.4</v>
      </c>
      <c r="H38" s="10">
        <v>2.4900000000000002</v>
      </c>
      <c r="I38" s="10">
        <v>2.2000000000000002</v>
      </c>
      <c r="J38" s="10">
        <v>2.34</v>
      </c>
      <c r="K38" s="10">
        <v>2.2999999999999998</v>
      </c>
      <c r="L38" s="10">
        <v>2.3849999999999998</v>
      </c>
      <c r="M38" s="10">
        <v>2.34</v>
      </c>
      <c r="N38" s="10">
        <v>2.0720000000000001</v>
      </c>
      <c r="O38" s="10">
        <v>2.12</v>
      </c>
      <c r="P38" s="10">
        <v>2.4300000000000002</v>
      </c>
      <c r="Q38" s="10">
        <v>2.4</v>
      </c>
      <c r="R38" s="10">
        <v>2.355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2.58</v>
      </c>
      <c r="F39" s="10">
        <v>2.58</v>
      </c>
      <c r="G39" s="10">
        <v>2.4</v>
      </c>
      <c r="H39" s="10">
        <v>2.4900000000000002</v>
      </c>
      <c r="I39" s="10">
        <v>2.2000000000000002</v>
      </c>
      <c r="J39" s="10">
        <v>2.34</v>
      </c>
      <c r="K39" s="10">
        <v>2.2999999999999998</v>
      </c>
      <c r="L39" s="10"/>
      <c r="M39" s="10">
        <v>2.34</v>
      </c>
      <c r="N39" s="10">
        <v>2.0720000000000001</v>
      </c>
      <c r="O39" s="10">
        <v>2.12</v>
      </c>
      <c r="P39" s="10">
        <v>2.4300000000000002</v>
      </c>
      <c r="Q39" s="10">
        <v>2.4</v>
      </c>
      <c r="R39" s="10">
        <v>2.355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2.58</v>
      </c>
      <c r="F40" s="10">
        <v>2.58</v>
      </c>
      <c r="G40" s="10">
        <v>2.4</v>
      </c>
      <c r="H40" s="10">
        <v>2.4900000000000002</v>
      </c>
      <c r="I40" s="10">
        <v>2.2000000000000002</v>
      </c>
      <c r="J40" s="10">
        <v>2.34</v>
      </c>
      <c r="K40" s="10">
        <v>2.2999999999999998</v>
      </c>
      <c r="L40" s="10"/>
      <c r="M40" s="10">
        <v>2.34</v>
      </c>
      <c r="N40" s="10">
        <v>2.0720000000000001</v>
      </c>
      <c r="O40" s="10">
        <v>2.12</v>
      </c>
      <c r="P40" s="10">
        <v>2.4300000000000002</v>
      </c>
      <c r="Q40" s="10">
        <v>2.4</v>
      </c>
      <c r="R40" s="10">
        <v>2.355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2.58</v>
      </c>
      <c r="F41" s="10">
        <v>2.58</v>
      </c>
      <c r="G41" s="10">
        <v>2.4</v>
      </c>
      <c r="H41" s="10">
        <v>2.4900000000000002</v>
      </c>
      <c r="I41" s="10">
        <v>2.2000000000000002</v>
      </c>
      <c r="J41" s="10">
        <v>2.34</v>
      </c>
      <c r="K41" s="10">
        <v>2.2999999999999998</v>
      </c>
      <c r="L41" s="10"/>
      <c r="M41" s="10">
        <v>2.34</v>
      </c>
      <c r="N41" s="10">
        <v>2.0720000000000001</v>
      </c>
      <c r="O41" s="10">
        <v>2.12</v>
      </c>
      <c r="P41" s="10">
        <v>2.4300000000000002</v>
      </c>
      <c r="Q41" s="10">
        <v>2.4</v>
      </c>
      <c r="R41" s="10">
        <v>2.355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2.58</v>
      </c>
      <c r="F42" s="10">
        <v>2.58</v>
      </c>
      <c r="G42" s="10">
        <v>2.4</v>
      </c>
      <c r="H42" s="10">
        <v>2.4900000000000002</v>
      </c>
      <c r="I42" s="10">
        <v>2.2000000000000002</v>
      </c>
      <c r="J42" s="10">
        <v>2.34</v>
      </c>
      <c r="K42" s="10">
        <v>2.2999999999999998</v>
      </c>
      <c r="L42" s="10"/>
      <c r="M42" s="10">
        <v>2.34</v>
      </c>
      <c r="N42" s="10">
        <v>2.0720000000000001</v>
      </c>
      <c r="O42" s="10">
        <v>2.12</v>
      </c>
      <c r="P42" s="10">
        <v>2.4300000000000002</v>
      </c>
      <c r="Q42" s="10">
        <v>2.4</v>
      </c>
      <c r="R42" s="10">
        <v>2.355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2.58</v>
      </c>
      <c r="F43" s="10">
        <v>2.58</v>
      </c>
      <c r="G43" s="10">
        <v>2.4</v>
      </c>
      <c r="H43" s="10">
        <v>2.4900000000000002</v>
      </c>
      <c r="I43" s="10">
        <v>2.2000000000000002</v>
      </c>
      <c r="J43" s="10">
        <v>2.34</v>
      </c>
      <c r="K43" s="10">
        <v>2.2999999999999998</v>
      </c>
      <c r="L43" s="10"/>
      <c r="M43" s="10">
        <v>2.34</v>
      </c>
      <c r="N43" s="10">
        <v>2.0720000000000001</v>
      </c>
      <c r="O43" s="10">
        <v>2.12</v>
      </c>
      <c r="P43" s="10">
        <v>2.4300000000000002</v>
      </c>
      <c r="Q43" s="10">
        <v>2.4</v>
      </c>
      <c r="R43" s="10">
        <v>2.355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2.58</v>
      </c>
      <c r="F44" s="10">
        <v>2.58</v>
      </c>
      <c r="G44" s="10">
        <v>2.4</v>
      </c>
      <c r="H44" s="10">
        <v>2.4900000000000002</v>
      </c>
      <c r="I44" s="10">
        <v>2.2000000000000002</v>
      </c>
      <c r="J44" s="10">
        <v>2.34</v>
      </c>
      <c r="K44" s="10">
        <v>2.2999999999999998</v>
      </c>
      <c r="L44" s="10"/>
      <c r="M44" s="10">
        <v>2.34</v>
      </c>
      <c r="N44" s="10">
        <v>2.0720000000000001</v>
      </c>
      <c r="O44" s="10">
        <v>2.12</v>
      </c>
      <c r="P44" s="10">
        <v>2.4300000000000002</v>
      </c>
      <c r="Q44" s="10">
        <v>2.4</v>
      </c>
      <c r="R44" s="10">
        <v>2.355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2.58</v>
      </c>
      <c r="F45" s="10">
        <v>2.58</v>
      </c>
      <c r="G45" s="10">
        <v>2.4</v>
      </c>
      <c r="H45" s="10">
        <v>2.4900000000000002</v>
      </c>
      <c r="I45" s="10">
        <v>2.2000000000000002</v>
      </c>
      <c r="J45" s="10">
        <v>2.34</v>
      </c>
      <c r="K45" s="10">
        <v>2.2999999999999998</v>
      </c>
      <c r="L45" s="10"/>
      <c r="M45" s="10">
        <v>2.34</v>
      </c>
      <c r="N45" s="10">
        <v>2.0720000000000001</v>
      </c>
      <c r="O45" s="10">
        <v>2.12</v>
      </c>
      <c r="P45" s="10">
        <v>2.4300000000000002</v>
      </c>
      <c r="Q45" s="10">
        <v>2.4</v>
      </c>
      <c r="R45" s="10">
        <v>2.355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2.58</v>
      </c>
      <c r="F46" s="10">
        <v>2.58</v>
      </c>
      <c r="G46" s="10">
        <v>2.4</v>
      </c>
      <c r="H46" s="10">
        <v>2.4900000000000002</v>
      </c>
      <c r="I46" s="10">
        <v>2.2000000000000002</v>
      </c>
      <c r="J46" s="10">
        <v>2.34</v>
      </c>
      <c r="K46" s="10">
        <v>2.2999999999999998</v>
      </c>
      <c r="L46" s="10"/>
      <c r="M46" s="10">
        <v>2.34</v>
      </c>
      <c r="N46" s="10">
        <v>2.0720000000000001</v>
      </c>
      <c r="O46" s="10">
        <v>2.12</v>
      </c>
      <c r="P46" s="10">
        <v>2.4300000000000002</v>
      </c>
      <c r="Q46" s="10">
        <v>2.4</v>
      </c>
      <c r="R46" s="10">
        <v>2.355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2.58</v>
      </c>
      <c r="F47" s="10">
        <v>2.58</v>
      </c>
      <c r="G47" s="10">
        <v>2.4</v>
      </c>
      <c r="H47" s="10">
        <v>2.4900000000000002</v>
      </c>
      <c r="I47" s="10">
        <v>2.2000000000000002</v>
      </c>
      <c r="J47" s="10">
        <v>2.34</v>
      </c>
      <c r="K47" s="10">
        <v>2.2999999999999998</v>
      </c>
      <c r="L47" s="10"/>
      <c r="M47" s="10">
        <v>2.34</v>
      </c>
      <c r="N47" s="10">
        <v>2.0720000000000001</v>
      </c>
      <c r="O47" s="10">
        <v>2.12</v>
      </c>
      <c r="P47" s="10">
        <v>2.4300000000000002</v>
      </c>
      <c r="Q47" s="10">
        <v>2.4</v>
      </c>
      <c r="R47" s="10">
        <v>2.355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2.58</v>
      </c>
      <c r="F48" s="10">
        <v>2.58</v>
      </c>
      <c r="G48" s="10">
        <v>2.4</v>
      </c>
      <c r="H48" s="10">
        <v>2.4900000000000002</v>
      </c>
      <c r="I48" s="10">
        <v>2.2000000000000002</v>
      </c>
      <c r="J48" s="10">
        <v>2.34</v>
      </c>
      <c r="K48" s="10">
        <v>2.2999999999999998</v>
      </c>
      <c r="L48" s="10"/>
      <c r="M48" s="10">
        <v>2.34</v>
      </c>
      <c r="N48" s="10">
        <v>2.0720000000000001</v>
      </c>
      <c r="O48" s="10">
        <v>2.12</v>
      </c>
      <c r="P48" s="10">
        <v>2.4300000000000002</v>
      </c>
      <c r="Q48" s="10">
        <v>2.4</v>
      </c>
      <c r="R48" s="10">
        <v>2.355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2.58</v>
      </c>
      <c r="F49" s="10">
        <v>2.58</v>
      </c>
      <c r="G49" s="10">
        <v>2.4</v>
      </c>
      <c r="H49" s="10">
        <v>2.4900000000000002</v>
      </c>
      <c r="I49" s="10">
        <v>2.2000000000000002</v>
      </c>
      <c r="J49" s="10">
        <v>2.34</v>
      </c>
      <c r="K49" s="10">
        <v>2.2999999999999998</v>
      </c>
      <c r="L49" s="10"/>
      <c r="M49" s="10">
        <v>2.34</v>
      </c>
      <c r="N49" s="10">
        <v>2.0720000000000001</v>
      </c>
      <c r="O49" s="10">
        <v>2.12</v>
      </c>
      <c r="P49" s="10">
        <v>2.4300000000000002</v>
      </c>
      <c r="Q49" s="10">
        <v>2.4</v>
      </c>
      <c r="R49" s="10">
        <v>2.355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2.58</v>
      </c>
      <c r="F50" s="10">
        <v>2.58</v>
      </c>
      <c r="G50" s="10">
        <v>2.4</v>
      </c>
      <c r="H50" s="10">
        <v>2.4900000000000002</v>
      </c>
      <c r="I50" s="10">
        <v>2.2000000000000002</v>
      </c>
      <c r="J50" s="10">
        <v>2.34</v>
      </c>
      <c r="K50" s="10">
        <v>2.2999999999999998</v>
      </c>
      <c r="L50" s="10"/>
      <c r="M50" s="10">
        <v>2.34</v>
      </c>
      <c r="N50" s="10">
        <v>2.0720000000000001</v>
      </c>
      <c r="O50" s="10">
        <v>2.12</v>
      </c>
      <c r="P50" s="10">
        <v>2.4300000000000002</v>
      </c>
      <c r="Q50" s="10">
        <v>2.4</v>
      </c>
      <c r="R50" s="10">
        <v>2.355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2.58</v>
      </c>
      <c r="F51" s="10">
        <v>2.58</v>
      </c>
      <c r="G51" s="10">
        <v>2.4</v>
      </c>
      <c r="H51" s="10">
        <v>2.4900000000000002</v>
      </c>
      <c r="I51" s="10">
        <v>2.2000000000000002</v>
      </c>
      <c r="J51" s="10">
        <v>2.34</v>
      </c>
      <c r="K51" s="10">
        <v>2.2999999999999998</v>
      </c>
      <c r="L51" s="10"/>
      <c r="M51" s="10">
        <v>2.34</v>
      </c>
      <c r="N51" s="10">
        <v>2.0720000000000001</v>
      </c>
      <c r="O51" s="10">
        <v>2.12</v>
      </c>
      <c r="P51" s="10">
        <v>2.4300000000000002</v>
      </c>
      <c r="Q51" s="10">
        <v>2.4</v>
      </c>
      <c r="R51" s="10">
        <v>2.355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2.58</v>
      </c>
      <c r="F52" s="10">
        <v>2.58</v>
      </c>
      <c r="G52" s="10">
        <v>2.4</v>
      </c>
      <c r="H52" s="10">
        <v>2.4900000000000002</v>
      </c>
      <c r="I52" s="10">
        <v>2.2000000000000002</v>
      </c>
      <c r="J52" s="10">
        <v>2.34</v>
      </c>
      <c r="K52" s="10">
        <v>2.2999999999999998</v>
      </c>
      <c r="L52" s="10"/>
      <c r="M52" s="10">
        <v>2.34</v>
      </c>
      <c r="N52" s="10">
        <v>2.0720000000000001</v>
      </c>
      <c r="O52" s="10">
        <v>2.12</v>
      </c>
      <c r="P52" s="10">
        <v>2.4300000000000002</v>
      </c>
      <c r="Q52" s="10">
        <v>2.4</v>
      </c>
      <c r="R52" s="10">
        <v>2.355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2.58</v>
      </c>
      <c r="F53" s="10">
        <v>2.58</v>
      </c>
      <c r="G53" s="10">
        <v>2.4</v>
      </c>
      <c r="H53" s="10">
        <v>2.4900000000000002</v>
      </c>
      <c r="I53" s="10">
        <v>2.2000000000000002</v>
      </c>
      <c r="J53" s="10">
        <v>2.34</v>
      </c>
      <c r="K53" s="10">
        <v>2.2999999999999998</v>
      </c>
      <c r="L53" s="10"/>
      <c r="M53" s="10">
        <v>2.34</v>
      </c>
      <c r="N53" s="10">
        <v>2.0720000000000001</v>
      </c>
      <c r="O53" s="10">
        <v>2.12</v>
      </c>
      <c r="P53" s="10">
        <v>2.4300000000000002</v>
      </c>
      <c r="Q53" s="10">
        <v>2.4</v>
      </c>
      <c r="R53" s="10">
        <v>2.355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2.58</v>
      </c>
      <c r="F54" s="10">
        <v>2.58</v>
      </c>
      <c r="G54" s="10">
        <v>2.4</v>
      </c>
      <c r="H54" s="10">
        <v>2.4900000000000002</v>
      </c>
      <c r="I54" s="10">
        <v>2.2000000000000002</v>
      </c>
      <c r="J54" s="10">
        <v>2.34</v>
      </c>
      <c r="K54" s="10">
        <v>2.2999999999999998</v>
      </c>
      <c r="L54" s="10"/>
      <c r="M54" s="10">
        <v>2.34</v>
      </c>
      <c r="N54" s="10">
        <v>2.0720000000000001</v>
      </c>
      <c r="O54" s="10">
        <v>2.12</v>
      </c>
      <c r="P54" s="10">
        <v>2.4300000000000002</v>
      </c>
      <c r="Q54" s="10">
        <v>2.4</v>
      </c>
      <c r="R54" s="10">
        <v>2.355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2.58</v>
      </c>
      <c r="F55" s="10">
        <v>2.58</v>
      </c>
      <c r="G55" s="10">
        <v>2.4</v>
      </c>
      <c r="H55" s="10">
        <v>2.4900000000000002</v>
      </c>
      <c r="I55" s="10">
        <v>2.2000000000000002</v>
      </c>
      <c r="J55" s="10">
        <v>2.34</v>
      </c>
      <c r="K55" s="10">
        <v>2.2999999999999998</v>
      </c>
      <c r="L55" s="10"/>
      <c r="M55" s="10">
        <v>2.34</v>
      </c>
      <c r="N55" s="10">
        <v>2.0720000000000001</v>
      </c>
      <c r="O55" s="10">
        <v>2.12</v>
      </c>
      <c r="P55" s="10">
        <v>2.4300000000000002</v>
      </c>
      <c r="Q55" s="10">
        <v>2.4</v>
      </c>
      <c r="R55" s="10">
        <v>2.355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2.58</v>
      </c>
      <c r="F56" s="10">
        <v>2.58</v>
      </c>
      <c r="G56" s="10">
        <v>2.4</v>
      </c>
      <c r="H56" s="10">
        <v>2.4900000000000002</v>
      </c>
      <c r="I56" s="10">
        <v>2.2000000000000002</v>
      </c>
      <c r="J56" s="10">
        <v>2.34</v>
      </c>
      <c r="K56" s="10">
        <v>2.2999999999999998</v>
      </c>
      <c r="L56" s="10"/>
      <c r="M56" s="10">
        <v>2.34</v>
      </c>
      <c r="N56" s="10">
        <v>2.0720000000000001</v>
      </c>
      <c r="O56" s="10">
        <v>2.12</v>
      </c>
      <c r="P56" s="10">
        <v>2.4300000000000002</v>
      </c>
      <c r="Q56" s="10">
        <v>2.4</v>
      </c>
      <c r="R56" s="10">
        <v>2.355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2.58</v>
      </c>
      <c r="F57" s="10">
        <v>2.58</v>
      </c>
      <c r="G57" s="10">
        <v>2.4</v>
      </c>
      <c r="H57" s="10">
        <v>2.4900000000000002</v>
      </c>
      <c r="I57" s="10">
        <v>2.2000000000000002</v>
      </c>
      <c r="J57" s="10">
        <v>2.34</v>
      </c>
      <c r="K57" s="10">
        <v>2.2999999999999998</v>
      </c>
      <c r="L57" s="10"/>
      <c r="M57" s="10">
        <v>2.34</v>
      </c>
      <c r="N57" s="10">
        <v>2.0720000000000001</v>
      </c>
      <c r="O57" s="10">
        <v>2.12</v>
      </c>
      <c r="P57" s="10">
        <v>2.4300000000000002</v>
      </c>
      <c r="Q57" s="10">
        <v>2.4</v>
      </c>
      <c r="R57" s="10">
        <v>2.355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2.58</v>
      </c>
      <c r="F58" s="10">
        <v>2.58</v>
      </c>
      <c r="G58" s="10">
        <v>2.4</v>
      </c>
      <c r="H58" s="10">
        <v>2.4900000000000002</v>
      </c>
      <c r="I58" s="10">
        <v>2.2000000000000002</v>
      </c>
      <c r="J58" s="10">
        <v>2.34</v>
      </c>
      <c r="K58" s="10">
        <v>2.2999999999999998</v>
      </c>
      <c r="L58" s="10"/>
      <c r="M58" s="10">
        <v>2.34</v>
      </c>
      <c r="N58" s="10">
        <v>2.0720000000000001</v>
      </c>
      <c r="O58" s="10">
        <v>2.12</v>
      </c>
      <c r="P58" s="10">
        <v>2.4300000000000002</v>
      </c>
      <c r="Q58" s="10">
        <v>2.4</v>
      </c>
      <c r="R58" s="10">
        <v>2.355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2.58</v>
      </c>
      <c r="F59" s="10">
        <v>2.58</v>
      </c>
      <c r="G59" s="10">
        <v>2.4</v>
      </c>
      <c r="H59" s="10">
        <v>2.4900000000000002</v>
      </c>
      <c r="I59" s="10">
        <v>2.2000000000000002</v>
      </c>
      <c r="J59" s="10">
        <v>2.34</v>
      </c>
      <c r="K59" s="10">
        <v>2.2999999999999998</v>
      </c>
      <c r="L59" s="10"/>
      <c r="M59" s="10">
        <v>2.34</v>
      </c>
      <c r="N59" s="10">
        <v>2.0720000000000001</v>
      </c>
      <c r="O59" s="10">
        <v>2.12</v>
      </c>
      <c r="P59" s="10">
        <v>2.4300000000000002</v>
      </c>
      <c r="Q59" s="10">
        <v>2.4</v>
      </c>
      <c r="R59" s="10">
        <v>2.355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2.58</v>
      </c>
      <c r="F60" s="10">
        <v>2.58</v>
      </c>
      <c r="G60" s="10">
        <v>2.4</v>
      </c>
      <c r="H60" s="10">
        <v>2.4900000000000002</v>
      </c>
      <c r="I60" s="10">
        <v>2.2000000000000002</v>
      </c>
      <c r="J60" s="10">
        <v>2.34</v>
      </c>
      <c r="K60" s="10">
        <v>2.2999999999999998</v>
      </c>
      <c r="L60" s="10"/>
      <c r="M60" s="10">
        <v>2.34</v>
      </c>
      <c r="N60" s="10">
        <v>2.0720000000000001</v>
      </c>
      <c r="O60" s="10">
        <v>2.12</v>
      </c>
      <c r="P60" s="10">
        <v>2.4300000000000002</v>
      </c>
      <c r="Q60" s="10">
        <v>2.4</v>
      </c>
      <c r="R60" s="10">
        <v>2.355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2.58</v>
      </c>
      <c r="F61" s="10">
        <v>2.58</v>
      </c>
      <c r="G61" s="10">
        <v>2.4</v>
      </c>
      <c r="H61" s="10">
        <v>2.4900000000000002</v>
      </c>
      <c r="I61" s="10">
        <v>2.2000000000000002</v>
      </c>
      <c r="J61" s="10">
        <v>2.34</v>
      </c>
      <c r="K61" s="10">
        <v>2.2999999999999998</v>
      </c>
      <c r="L61" s="10"/>
      <c r="M61" s="10">
        <v>2.34</v>
      </c>
      <c r="N61" s="10">
        <v>2.0720000000000001</v>
      </c>
      <c r="O61" s="10">
        <v>2.12</v>
      </c>
      <c r="P61" s="10">
        <v>2.4300000000000002</v>
      </c>
      <c r="Q61" s="10">
        <v>2.4</v>
      </c>
      <c r="R61" s="10">
        <v>2.355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2.58</v>
      </c>
      <c r="F62" s="10">
        <v>2.58</v>
      </c>
      <c r="G62" s="10">
        <v>2.4</v>
      </c>
      <c r="H62" s="10">
        <v>2.4900000000000002</v>
      </c>
      <c r="I62" s="10">
        <v>2.2000000000000002</v>
      </c>
      <c r="J62" s="10">
        <v>2.34</v>
      </c>
      <c r="K62" s="10">
        <v>2.2999999999999998</v>
      </c>
      <c r="L62" s="10"/>
      <c r="M62" s="10">
        <v>2.34</v>
      </c>
      <c r="N62" s="10">
        <v>2.0720000000000001</v>
      </c>
      <c r="O62" s="10">
        <v>2.12</v>
      </c>
      <c r="P62" s="10">
        <v>2.4300000000000002</v>
      </c>
      <c r="Q62" s="10">
        <v>2.4</v>
      </c>
      <c r="R62" s="10">
        <v>2.355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2.58</v>
      </c>
      <c r="F63" s="10">
        <v>2.58</v>
      </c>
      <c r="G63" s="10">
        <v>2.4</v>
      </c>
      <c r="H63" s="10">
        <v>2.4900000000000002</v>
      </c>
      <c r="I63" s="10">
        <v>2.2000000000000002</v>
      </c>
      <c r="J63" s="10">
        <v>2.34</v>
      </c>
      <c r="K63" s="10">
        <v>2.2999999999999998</v>
      </c>
      <c r="L63" s="10"/>
      <c r="M63" s="10">
        <v>2.34</v>
      </c>
      <c r="N63" s="10">
        <v>2.0720000000000001</v>
      </c>
      <c r="O63" s="10">
        <v>2.12</v>
      </c>
      <c r="P63" s="10">
        <v>2.4300000000000002</v>
      </c>
      <c r="Q63" s="10">
        <v>2.4</v>
      </c>
      <c r="R63" s="10">
        <v>2.355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2.58</v>
      </c>
      <c r="F64" s="10">
        <v>2.58</v>
      </c>
      <c r="G64" s="10">
        <v>2.4</v>
      </c>
      <c r="H64" s="10">
        <v>2.4900000000000002</v>
      </c>
      <c r="I64" s="10">
        <v>2.2000000000000002</v>
      </c>
      <c r="J64" s="10">
        <v>2.34</v>
      </c>
      <c r="K64" s="10">
        <v>2.2999999999999998</v>
      </c>
      <c r="L64" s="10"/>
      <c r="M64" s="10">
        <v>2.34</v>
      </c>
      <c r="N64" s="10">
        <v>2.0720000000000001</v>
      </c>
      <c r="O64" s="10">
        <v>2.12</v>
      </c>
      <c r="P64" s="10">
        <v>2.4300000000000002</v>
      </c>
      <c r="Q64" s="10">
        <v>2.4</v>
      </c>
      <c r="R64" s="10">
        <v>2.355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2.58</v>
      </c>
      <c r="F65" s="10">
        <v>2.58</v>
      </c>
      <c r="G65" s="10">
        <v>2.4</v>
      </c>
      <c r="H65" s="10">
        <v>2.4900000000000002</v>
      </c>
      <c r="I65" s="10">
        <v>2.2000000000000002</v>
      </c>
      <c r="J65" s="10">
        <v>2.34</v>
      </c>
      <c r="K65" s="10">
        <v>2.2999999999999998</v>
      </c>
      <c r="L65" s="10"/>
      <c r="M65" s="10">
        <v>2.34</v>
      </c>
      <c r="N65" s="10">
        <v>2.0720000000000001</v>
      </c>
      <c r="O65" s="10">
        <v>2.12</v>
      </c>
      <c r="P65" s="10">
        <v>2.4300000000000002</v>
      </c>
      <c r="Q65" s="10">
        <v>2.4</v>
      </c>
      <c r="R65" s="10">
        <v>2.355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2.58</v>
      </c>
      <c r="F66" s="10">
        <v>2.58</v>
      </c>
      <c r="G66" s="10">
        <v>2.4</v>
      </c>
      <c r="H66" s="10">
        <v>2.4900000000000002</v>
      </c>
      <c r="I66" s="10">
        <v>2.2000000000000002</v>
      </c>
      <c r="J66" s="10">
        <v>2.34</v>
      </c>
      <c r="K66" s="10">
        <v>2.2999999999999998</v>
      </c>
      <c r="L66" s="10"/>
      <c r="M66" s="10">
        <v>2.34</v>
      </c>
      <c r="N66" s="10">
        <v>2.0720000000000001</v>
      </c>
      <c r="O66" s="10">
        <v>2.12</v>
      </c>
      <c r="P66" s="10">
        <v>2.4300000000000002</v>
      </c>
      <c r="Q66" s="10">
        <v>2.4</v>
      </c>
      <c r="R66" s="10">
        <v>2.355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2.58</v>
      </c>
      <c r="F67" s="10">
        <v>2.58</v>
      </c>
      <c r="G67" s="10">
        <v>2.4</v>
      </c>
      <c r="H67" s="10">
        <v>2.4900000000000002</v>
      </c>
      <c r="I67" s="10">
        <v>2.2000000000000002</v>
      </c>
      <c r="J67" s="10">
        <v>2.34</v>
      </c>
      <c r="K67" s="10">
        <v>2.2999999999999998</v>
      </c>
      <c r="L67" s="10"/>
      <c r="M67" s="10">
        <v>2.34</v>
      </c>
      <c r="N67" s="10">
        <v>2.0720000000000001</v>
      </c>
      <c r="O67" s="10">
        <v>2.12</v>
      </c>
      <c r="P67" s="10">
        <v>2.4300000000000002</v>
      </c>
      <c r="Q67" s="10">
        <v>2.4</v>
      </c>
      <c r="R67" s="10">
        <v>2.355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2.58</v>
      </c>
      <c r="F68" s="10">
        <v>2.58</v>
      </c>
      <c r="G68" s="10">
        <v>2.4</v>
      </c>
      <c r="H68" s="10">
        <v>2.4900000000000002</v>
      </c>
      <c r="I68" s="10">
        <v>2.2000000000000002</v>
      </c>
      <c r="J68" s="10">
        <v>2.34</v>
      </c>
      <c r="K68" s="10">
        <v>2.2999999999999998</v>
      </c>
      <c r="L68" s="10"/>
      <c r="M68" s="10">
        <v>2.34</v>
      </c>
      <c r="N68" s="10">
        <v>2.0720000000000001</v>
      </c>
      <c r="O68" s="10">
        <v>2.12</v>
      </c>
      <c r="P68" s="10">
        <v>2.4300000000000002</v>
      </c>
      <c r="Q68" s="10">
        <v>2.4</v>
      </c>
      <c r="R68" s="10">
        <v>2.355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37183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37183</v>
      </c>
      <c r="D11" s="15">
        <f>EffDt</f>
        <v>37183</v>
      </c>
      <c r="E11" s="15">
        <f t="shared" ref="E11:Q11" si="0">EffDt</f>
        <v>37183</v>
      </c>
      <c r="F11" s="15">
        <f t="shared" si="0"/>
        <v>37183</v>
      </c>
      <c r="G11" s="15">
        <f t="shared" si="0"/>
        <v>37183</v>
      </c>
      <c r="H11" s="15">
        <f t="shared" si="0"/>
        <v>37183</v>
      </c>
      <c r="I11" s="15">
        <f t="shared" si="0"/>
        <v>37183</v>
      </c>
      <c r="J11" s="15">
        <f t="shared" si="0"/>
        <v>37183</v>
      </c>
      <c r="K11" s="23">
        <f t="shared" si="0"/>
        <v>37183</v>
      </c>
      <c r="L11" s="15">
        <f t="shared" si="0"/>
        <v>37183</v>
      </c>
      <c r="M11" s="15">
        <f t="shared" si="0"/>
        <v>37183</v>
      </c>
      <c r="N11" s="15">
        <f t="shared" si="0"/>
        <v>37183</v>
      </c>
      <c r="O11" s="15">
        <f t="shared" si="0"/>
        <v>37183</v>
      </c>
      <c r="P11" s="15">
        <f t="shared" si="0"/>
        <v>37183</v>
      </c>
      <c r="Q11" s="15">
        <f t="shared" si="0"/>
        <v>37183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2.681</v>
      </c>
      <c r="D18" s="12">
        <v>1.4999999999999999E-2</v>
      </c>
      <c r="E18" s="12">
        <v>6.5000000000000002E-2</v>
      </c>
      <c r="F18" s="12">
        <v>-0.1</v>
      </c>
      <c r="G18" s="12">
        <v>-0.02</v>
      </c>
      <c r="H18" s="12">
        <v>-0.36</v>
      </c>
      <c r="I18" s="12">
        <v>-0.14000000000000001</v>
      </c>
      <c r="J18" s="12">
        <v>-0.28499999999999998</v>
      </c>
      <c r="K18" s="22">
        <v>-0.155</v>
      </c>
      <c r="L18" s="12">
        <v>-0.115</v>
      </c>
      <c r="M18" s="12">
        <v>-0.41237773703716002</v>
      </c>
      <c r="N18" s="12">
        <v>-0.4</v>
      </c>
      <c r="O18" s="12">
        <v>-0.13</v>
      </c>
      <c r="P18" s="12">
        <v>-4.4999999999999998E-2</v>
      </c>
      <c r="Q18" s="12">
        <v>-0.18</v>
      </c>
    </row>
    <row r="19" spans="1:17" x14ac:dyDescent="0.25">
      <c r="A19" s="12">
        <v>4</v>
      </c>
      <c r="B19" s="13">
        <f t="shared" si="2"/>
        <v>37226</v>
      </c>
      <c r="C19" s="12">
        <v>2.99</v>
      </c>
      <c r="D19" s="12">
        <v>7.4999999999999997E-3</v>
      </c>
      <c r="E19" s="12">
        <v>0.21</v>
      </c>
      <c r="F19" s="12">
        <v>0.02</v>
      </c>
      <c r="G19" s="12">
        <v>0.03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-0.13250000000000001</v>
      </c>
      <c r="P19" s="12">
        <v>0.08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3.1709999999999998</v>
      </c>
      <c r="D20" s="12">
        <v>5.0000000000000001E-3</v>
      </c>
      <c r="E20" s="12">
        <v>0.255</v>
      </c>
      <c r="F20" s="12">
        <v>6.5000000000000002E-2</v>
      </c>
      <c r="G20" s="12">
        <v>5.5E-2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-0.13500000000000001</v>
      </c>
      <c r="P20" s="12">
        <v>0.125</v>
      </c>
      <c r="Q20" s="12">
        <v>-0.16750000000000001</v>
      </c>
    </row>
    <row r="21" spans="1:17" x14ac:dyDescent="0.25">
      <c r="A21" s="12">
        <v>4</v>
      </c>
      <c r="B21" s="13">
        <f t="shared" si="2"/>
        <v>37288</v>
      </c>
      <c r="C21" s="12">
        <v>3.173</v>
      </c>
      <c r="D21" s="12">
        <v>5.0000000000000001E-3</v>
      </c>
      <c r="E21" s="12">
        <v>0.215</v>
      </c>
      <c r="F21" s="12">
        <v>-2.5000000000000001E-2</v>
      </c>
      <c r="G21" s="12">
        <v>-5.0000000000000001E-3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-0.35</v>
      </c>
      <c r="O21" s="12">
        <v>-0.1275</v>
      </c>
      <c r="P21" s="12">
        <v>8.5000000000000006E-2</v>
      </c>
      <c r="Q21" s="12">
        <v>-0.1575</v>
      </c>
    </row>
    <row r="22" spans="1:17" x14ac:dyDescent="0.25">
      <c r="A22" s="12">
        <v>4</v>
      </c>
      <c r="B22" s="13">
        <f t="shared" si="2"/>
        <v>37316</v>
      </c>
      <c r="C22" s="12">
        <v>3.1259999999999999</v>
      </c>
      <c r="D22" s="12">
        <v>5.0000000000000001E-3</v>
      </c>
      <c r="E22" s="12">
        <v>7.0000000000000007E-2</v>
      </c>
      <c r="F22" s="12">
        <v>-5.5E-2</v>
      </c>
      <c r="G22" s="12">
        <v>-2.5000000000000001E-2</v>
      </c>
      <c r="H22" s="12">
        <v>-0.36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-0.42</v>
      </c>
      <c r="O22" s="12">
        <v>-0.125</v>
      </c>
      <c r="P22" s="12">
        <v>-0.06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3.0310000000000001</v>
      </c>
      <c r="D23" s="12">
        <v>2.5000000000000001E-3</v>
      </c>
      <c r="E23" s="12">
        <v>0.06</v>
      </c>
      <c r="F23" s="12">
        <v>-0.155</v>
      </c>
      <c r="G23" s="12">
        <v>0.01</v>
      </c>
      <c r="H23" s="12">
        <v>-0.52500000000000002</v>
      </c>
      <c r="I23" s="12">
        <v>-0.115</v>
      </c>
      <c r="J23" s="12">
        <v>-0.34499999999999997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-0.13500000000000001</v>
      </c>
      <c r="P23" s="12">
        <v>-0.14000000000000001</v>
      </c>
      <c r="Q23" s="12">
        <v>-0.1525</v>
      </c>
    </row>
    <row r="24" spans="1:17" x14ac:dyDescent="0.25">
      <c r="A24" s="12">
        <v>5</v>
      </c>
      <c r="B24" s="13">
        <f t="shared" si="2"/>
        <v>37377</v>
      </c>
      <c r="C24" s="12">
        <v>3.0590000000000002</v>
      </c>
      <c r="D24" s="12">
        <v>2.5000000000000001E-3</v>
      </c>
      <c r="E24" s="12">
        <v>0.08</v>
      </c>
      <c r="F24" s="12">
        <v>-0.155</v>
      </c>
      <c r="G24" s="12">
        <v>0.04</v>
      </c>
      <c r="H24" s="12">
        <v>-0.52500000000000002</v>
      </c>
      <c r="I24" s="12">
        <v>-0.115</v>
      </c>
      <c r="J24" s="12">
        <v>-0.34499999999999997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-0.13500000000000001</v>
      </c>
      <c r="P24" s="12">
        <v>-0.12</v>
      </c>
      <c r="Q24" s="12">
        <v>-0.14749999999999999</v>
      </c>
    </row>
    <row r="25" spans="1:17" x14ac:dyDescent="0.25">
      <c r="A25" s="12">
        <v>5</v>
      </c>
      <c r="B25" s="13">
        <f t="shared" si="2"/>
        <v>37408</v>
      </c>
      <c r="C25" s="12">
        <v>3.109</v>
      </c>
      <c r="D25" s="12">
        <v>2.5000000000000001E-3</v>
      </c>
      <c r="E25" s="12">
        <v>0.12</v>
      </c>
      <c r="F25" s="12">
        <v>-0.155</v>
      </c>
      <c r="G25" s="12">
        <v>9.5000000000000001E-2</v>
      </c>
      <c r="H25" s="12">
        <v>-0.52500000000000002</v>
      </c>
      <c r="I25" s="12">
        <v>-0.115</v>
      </c>
      <c r="J25" s="12">
        <v>-0.34499999999999997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-0.13500000000000001</v>
      </c>
      <c r="P25" s="12">
        <v>-0.08</v>
      </c>
      <c r="Q25" s="12">
        <v>-0.13750000000000001</v>
      </c>
    </row>
    <row r="26" spans="1:17" x14ac:dyDescent="0.25">
      <c r="A26" s="12">
        <v>5</v>
      </c>
      <c r="B26" s="13">
        <f t="shared" si="2"/>
        <v>37438</v>
      </c>
      <c r="C26" s="16">
        <v>3.1509999999999998</v>
      </c>
      <c r="D26" s="12">
        <v>2.5000000000000001E-3</v>
      </c>
      <c r="E26" s="12">
        <v>0.27</v>
      </c>
      <c r="F26" s="12">
        <v>-0.01</v>
      </c>
      <c r="G26" s="12">
        <v>0.18</v>
      </c>
      <c r="H26" s="12">
        <v>-0.52500000000000002</v>
      </c>
      <c r="I26" s="12">
        <v>-0.115</v>
      </c>
      <c r="J26" s="12">
        <v>-0.29499999999999998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-0.13500000000000001</v>
      </c>
      <c r="P26" s="12">
        <v>7.0000000000000007E-2</v>
      </c>
      <c r="Q26" s="12">
        <v>-0.1125</v>
      </c>
    </row>
    <row r="27" spans="1:17" x14ac:dyDescent="0.25">
      <c r="A27" s="12">
        <v>5</v>
      </c>
      <c r="B27" s="13">
        <f t="shared" si="2"/>
        <v>37469</v>
      </c>
      <c r="C27" s="12">
        <v>3.1909999999999998</v>
      </c>
      <c r="D27" s="12">
        <v>2.5000000000000001E-3</v>
      </c>
      <c r="E27" s="12">
        <v>0.28000000000000003</v>
      </c>
      <c r="F27" s="12">
        <v>-0.01</v>
      </c>
      <c r="G27" s="12">
        <v>0.19500000000000001</v>
      </c>
      <c r="H27" s="12">
        <v>-0.52500000000000002</v>
      </c>
      <c r="I27" s="12">
        <v>-0.115</v>
      </c>
      <c r="J27" s="12">
        <v>-0.29499999999999998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-0.13500000000000001</v>
      </c>
      <c r="P27" s="12">
        <v>0.08</v>
      </c>
      <c r="Q27" s="12">
        <v>-0.105</v>
      </c>
    </row>
    <row r="28" spans="1:17" x14ac:dyDescent="0.25">
      <c r="A28" s="12">
        <v>5</v>
      </c>
      <c r="B28" s="13">
        <f t="shared" si="2"/>
        <v>37500</v>
      </c>
      <c r="C28" s="12">
        <v>3.1909999999999998</v>
      </c>
      <c r="D28" s="12">
        <v>2.5000000000000001E-3</v>
      </c>
      <c r="E28" s="12">
        <v>0.185</v>
      </c>
      <c r="F28" s="12">
        <v>-0.01</v>
      </c>
      <c r="G28" s="12">
        <v>0.18</v>
      </c>
      <c r="H28" s="12">
        <v>-0.52500000000000002</v>
      </c>
      <c r="I28" s="12">
        <v>-0.115</v>
      </c>
      <c r="J28" s="12">
        <v>-0.29499999999999998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-0.13500000000000001</v>
      </c>
      <c r="P28" s="12">
        <v>-1.4999999999999999E-2</v>
      </c>
      <c r="Q28" s="12">
        <v>-0.115</v>
      </c>
    </row>
    <row r="29" spans="1:17" x14ac:dyDescent="0.25">
      <c r="A29" s="12">
        <v>5</v>
      </c>
      <c r="B29" s="13">
        <f t="shared" si="2"/>
        <v>37530</v>
      </c>
      <c r="C29" s="12">
        <v>3.214</v>
      </c>
      <c r="D29" s="12">
        <v>2.5000000000000001E-3</v>
      </c>
      <c r="E29" s="12">
        <v>0.13500000000000001</v>
      </c>
      <c r="F29" s="12">
        <v>-4.4999999999999998E-2</v>
      </c>
      <c r="G29" s="12">
        <v>0.06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-0.13500000000000001</v>
      </c>
      <c r="P29" s="12">
        <v>-6.5000000000000002E-2</v>
      </c>
      <c r="Q29" s="12">
        <v>-0.1575</v>
      </c>
    </row>
    <row r="30" spans="1:17" x14ac:dyDescent="0.25">
      <c r="A30" s="12">
        <v>5</v>
      </c>
      <c r="B30" s="13">
        <f t="shared" si="2"/>
        <v>37561</v>
      </c>
      <c r="C30" s="12">
        <v>3.3940000000000001</v>
      </c>
      <c r="D30" s="12">
        <v>2.5000000000000001E-3</v>
      </c>
      <c r="E30" s="12">
        <v>0.31</v>
      </c>
      <c r="F30" s="12">
        <v>7.0000000000000007E-2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0.11</v>
      </c>
      <c r="Q30" s="12">
        <v>-0.14000000000000001</v>
      </c>
    </row>
    <row r="31" spans="1:17" x14ac:dyDescent="0.25">
      <c r="B31" s="13">
        <f t="shared" si="2"/>
        <v>37591</v>
      </c>
      <c r="C31" s="12">
        <v>3.6059999999999999</v>
      </c>
      <c r="D31" s="12">
        <v>2.5000000000000001E-3</v>
      </c>
      <c r="E31" s="12">
        <v>0.31</v>
      </c>
      <c r="F31" s="12">
        <v>7.0000000000000007E-2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0.11</v>
      </c>
      <c r="Q31" s="12">
        <v>-0.14000000000000001</v>
      </c>
    </row>
    <row r="32" spans="1:17" x14ac:dyDescent="0.25">
      <c r="B32" s="13">
        <f t="shared" si="2"/>
        <v>37622</v>
      </c>
      <c r="C32" s="12">
        <v>3.7240000000000002</v>
      </c>
      <c r="D32" s="12">
        <v>2.5000000000000001E-3</v>
      </c>
      <c r="E32" s="12">
        <v>0.31</v>
      </c>
      <c r="F32" s="12">
        <v>7.0000000000000007E-2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0.11</v>
      </c>
      <c r="Q32" s="12">
        <v>-0.13750000000000001</v>
      </c>
    </row>
    <row r="33" spans="2:17" x14ac:dyDescent="0.25">
      <c r="B33" s="13">
        <f t="shared" si="2"/>
        <v>37653</v>
      </c>
      <c r="C33" s="12">
        <v>3.6339999999999999</v>
      </c>
      <c r="D33" s="12">
        <v>2.5000000000000001E-3</v>
      </c>
      <c r="E33" s="12">
        <v>0.31</v>
      </c>
      <c r="F33" s="12">
        <v>7.0000000000000007E-2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0.11</v>
      </c>
      <c r="Q33" s="12">
        <v>-0.13750000000000001</v>
      </c>
    </row>
    <row r="34" spans="2:17" x14ac:dyDescent="0.25">
      <c r="B34" s="13">
        <f t="shared" si="2"/>
        <v>37681</v>
      </c>
      <c r="C34" s="12">
        <v>3.5289999999999999</v>
      </c>
      <c r="D34" s="12">
        <v>2.5000000000000001E-3</v>
      </c>
      <c r="E34" s="12">
        <v>0.31</v>
      </c>
      <c r="F34" s="12">
        <v>7.0000000000000007E-2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0.11</v>
      </c>
      <c r="Q34" s="12">
        <v>-0.13750000000000001</v>
      </c>
    </row>
    <row r="35" spans="2:17" x14ac:dyDescent="0.25">
      <c r="B35" s="13">
        <f t="shared" si="2"/>
        <v>37712</v>
      </c>
      <c r="C35" s="12">
        <v>3.4039999999999999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3.4140000000000001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3.4390000000000001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3.464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3.496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3.4940000000000002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3.5059999999999998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3.6720000000000002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3.81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3.85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3.7450000000000001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3.609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3.4550000000000001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3.47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3.508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3.5529999999999999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3.5910000000000002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3.585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3.585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3.7370000000000001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3.8849999999999998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3.9474999999999998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3.8424999999999998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3.7065000000000001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3.5525000000000002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3.5674999999999999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3.6055000000000001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3.6505000000000001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3.6884999999999999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3.6825000000000001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3.6825000000000001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3.8344999999999998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3.9824999999999999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4.0475000000000003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3.9424999999999999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3.8065000000000002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3.6524999999999999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3.6675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3.7054999999999998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3.7505000000000002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3.7885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3.7825000000000002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3.7825000000000002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3.9344999999999999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4.0824999999999996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4.1500000000000004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4.0449999999999999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3.9089999999999998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3.7549999999999999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3.77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3.8079999999999998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3.8530000000000002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3.891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3.8849999999999998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3.8849999999999998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4.0369999999999999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4.1849999999999996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4.2549999999999999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4.1500000000000004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4.0140000000000002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3.86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3.875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3.9129999999999998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3.9580000000000002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3.996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4.1420000000000003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4.29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4.3624999999999998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4.2575000000000003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4.1215000000000002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3.9674999999999998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3.9824999999999999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4.0205000000000002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4.0655000000000001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4.1035000000000004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4.0975000000000001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4.0975000000000001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4.2495000000000003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4.3975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4.4725000000000001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4.3674999999999997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4.2314999999999996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4.0774999999999997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4.0925000000000002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4.1304999999999996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4.1755000000000004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4.2134999999999998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4.2074999999999996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4.2074999999999996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4.3594999999999997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4.5075000000000003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4.585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4.4800000000000004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4.3440000000000003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4.1900000000000004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4.2050000000000001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4.2430000000000003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4.2880000000000003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4.3259999999999996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4.32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4.32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4.4720000000000004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4.62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4.5949999999999998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4.4589999999999996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4.3049999999999997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4.32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4.3579999999999997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4.4029999999999996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4.4409999999999998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4.4349999999999996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4.4349999999999996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4.5869999999999997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4.7350000000000003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4.8174999999999999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4.7125000000000004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4.5765000000000002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4.4225000000000003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4.4375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4.4755000000000003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4.5205000000000002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4.5585000000000004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4.5525000000000002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4.5525000000000002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4.7045000000000003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4.8525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4.9375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4.8324999999999996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4.6965000000000003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4.5425000000000004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4.5575000000000001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4.5955000000000004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4.6405000000000003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4.6784999999999997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4.6725000000000003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4.6725000000000003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4.8244999999999996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4.9725000000000001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5.0599999999999996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4.9550000000000001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4.819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4.665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4.68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4.718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4.7629999999999999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4.8010000000000002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4.7949999999999999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4.7949999999999999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4.9470000000000001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5.0949999999999998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5.1849999999999996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5.08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4.944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4.79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4.8049999999999997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4.843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4.8879999999999999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4.9260000000000002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4.92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4.92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5.0720000000000001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5.22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5.3125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5.2074999999999996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5.0715000000000003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4.9175000000000004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4.9325000000000001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4.9705000000000004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5.0155000000000003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5.0534999999999997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5.0475000000000003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5.0475000000000003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5.1994999999999996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5.3475000000000001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5.4424999999999999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5.3375000000000004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5.2015000000000002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5.0475000000000003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5.0625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5.1005000000000003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5.1455000000000002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5.1835000000000004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5.1775000000000002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5.1775000000000002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5.3295000000000003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5.4775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5.5750000000000002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5.47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5.3339999999999996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5.18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5.1950000000000003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5.2329999999999997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5.2779999999999996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5.3159999999999998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5.31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5.31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5.4619999999999997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5.61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5.7074999999999996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5.6025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5.4664999999999999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5.3125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5.3274999999999997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5.3654999999999999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5.4104999999999999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5.4485000000000001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5.4424999999999999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5.4424999999999999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5.5945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5.7424999999999997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5.84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5.7350000000000003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5.5990000000000002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5.4450000000000003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5.46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5.4980000000000002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5.5430000000000001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5.5810000000000004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5.5750000000000002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5.5750000000000002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5.7270000000000003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5.875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5.9725000000000001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5.8674999999999997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5.7314999999999996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5.5774999999999997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5.5925000000000002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5.6304999999999996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5.6755000000000004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5.7134999999999998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5.7074999999999996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5.7074999999999996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5.8594999999999997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6.0075000000000003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6.1050000000000004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5.8639999999999999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5.71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5.7249999999999996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5.7629999999999999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5.8079999999999998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5.8460000000000001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5.84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5.84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5.992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6.14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6.2374999999999998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6.1325000000000003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5.9965000000000002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5.8425000000000002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5.8574999999999999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5.8955000000000002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5.9405000000000001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5.9785000000000004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5.9725000000000001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5.9725000000000001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6.1245000000000003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6.2725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'[14]Power Desk Daily Price'!$AC9</f>
        <v>25.636363636363637</v>
      </c>
      <c r="D9" s="134">
        <f ca="1">IF(ISERROR((AVERAGE(OFFSET('[14]Curve Summary'!$D$6,12,0,15,1))*15+ 10* '[14]Curve Summary Backup'!$D$38)/25), '[14]Curve Summary Backup'!$D$38,(AVERAGE(OFFSET('[14]Curve Summary'!$D$6,12,0,15,1))*15+ 10* '[14]Curve Summary Backup'!$D$38)/25)</f>
        <v>27.5</v>
      </c>
      <c r="E9" s="134">
        <f>VLOOKUP(E$7,'[14]Curve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VLOOKUP(AG$7,'[14]Curve Summary'!$A$7:$AG$161,4)</f>
        <v>36.25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33.5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34.5</v>
      </c>
      <c r="BD9" s="132">
        <f>VLOOKUP(BD$7,'[14]Curve Summary'!$A$7:$AG$161,4)</f>
        <v>37.5</v>
      </c>
      <c r="BE9" s="132">
        <f>VLOOKUP(BE$7,'[14]Curve Summary'!$A$7:$AG$161,4)</f>
        <v>40.15</v>
      </c>
      <c r="BF9" s="132">
        <f>VLOOKUP(BF$7,'[14]Curve Summary'!$A$7:$AG$161,4)</f>
        <v>38.86</v>
      </c>
      <c r="BG9" s="132">
        <f>VLOOKUP(BG$7,'[14]Curve Summary'!$A$7:$AG$161,4)</f>
        <v>35</v>
      </c>
      <c r="BH9" s="132">
        <f>VLOOKUP(BH$7,'[14]Curve Summary'!$A$7:$AG$161,4)</f>
        <v>32.42</v>
      </c>
      <c r="BI9" s="132">
        <f>VLOOKUP(BI$7,'[14]Curve Summary'!$A$7:$AG$161,4)</f>
        <v>29.42</v>
      </c>
      <c r="BJ9" s="132">
        <f>VLOOKUP(BJ$7,'[14]Curve Summary'!$A$7:$AG$161,4)</f>
        <v>30.49</v>
      </c>
      <c r="BK9" s="132">
        <f>VLOOKUP(BK$7,'[14]Curve Summary'!$A$7:$AG$161,4)</f>
        <v>46.17</v>
      </c>
      <c r="BL9" s="132">
        <f>VLOOKUP(BL$7,'[14]Curve Summary'!$A$7:$AG$161,4)</f>
        <v>53.04</v>
      </c>
      <c r="BM9" s="132">
        <f>VLOOKUP(BM$7,'[14]Curve Summary'!$A$7:$AG$161,4)</f>
        <v>44.88</v>
      </c>
      <c r="BN9" s="132">
        <f>VLOOKUP(BN$7,'[14]Curve Summary'!$A$7:$AG$161,4)</f>
        <v>39.299999999999997</v>
      </c>
      <c r="BO9" s="132">
        <f>VLOOKUP(BO$7,'[14]Curve Summary'!$A$7:$AG$161,4)</f>
        <v>35.369999999999997</v>
      </c>
      <c r="BP9" s="132">
        <f>VLOOKUP(BP$7,'[14]Curve Summary'!$A$7:$AG$161,4)</f>
        <v>38.01</v>
      </c>
      <c r="BQ9" s="132">
        <f>VLOOKUP(BQ$7,'[14]Curve Summary'!$A$7:$AG$161,4)</f>
        <v>40.380000000000003</v>
      </c>
      <c r="BR9" s="132">
        <f>VLOOKUP(BR$7,'[14]Curve Summary'!$A$7:$AG$161,4)</f>
        <v>39.270000000000003</v>
      </c>
      <c r="BS9" s="132">
        <f>VLOOKUP(BS$7,'[14]Curve Summary'!$A$7:$AG$161,4)</f>
        <v>35.950000000000003</v>
      </c>
      <c r="BT9" s="132">
        <f>VLOOKUP(BT$7,'[14]Curve Summary'!$A$7:$AG$161,4)</f>
        <v>33.74</v>
      </c>
      <c r="BU9" s="132">
        <f>VLOOKUP(BU$7,'[14]Curve Summary'!$A$7:$AG$161,4)</f>
        <v>31.16</v>
      </c>
      <c r="BV9" s="132">
        <f>VLOOKUP(BV$7,'[14]Curve Summary'!$A$7:$AG$161,4)</f>
        <v>32.08</v>
      </c>
      <c r="BW9" s="132">
        <f>VLOOKUP(BW$7,'[14]Curve Summary'!$A$7:$AG$161,4)</f>
        <v>45.56</v>
      </c>
      <c r="BX9" s="132">
        <f>VLOOKUP(BX$7,'[14]Curve Summary'!$A$7:$AG$161,4)</f>
        <v>51.47</v>
      </c>
      <c r="BY9" s="132">
        <f>VLOOKUP(BY$7,'[14]Curve Summary'!$A$7:$AG$161,4)</f>
        <v>44.46</v>
      </c>
      <c r="BZ9" s="132">
        <f>VLOOKUP(BZ$7,'[14]Curve Summary'!$A$7:$AG$161,4)</f>
        <v>39.659999999999997</v>
      </c>
      <c r="CA9" s="132">
        <f>VLOOKUP(CA$7,'[14]Curve Summary'!$A$7:$AG$161,4)</f>
        <v>36.21</v>
      </c>
      <c r="CB9" s="132">
        <f>VLOOKUP(CB$7,'[14]Curve Summary'!$A$7:$AG$161,4)</f>
        <v>38.56</v>
      </c>
      <c r="CC9" s="132">
        <f>VLOOKUP(CC$7,'[14]Curve Summary'!$A$7:$AG$161,4)</f>
        <v>40.71</v>
      </c>
      <c r="CD9" s="132">
        <f>VLOOKUP(CD$7,'[14]Curve Summary'!$A$7:$AG$161,4)</f>
        <v>39.700000000000003</v>
      </c>
      <c r="CE9" s="132">
        <f>VLOOKUP(CE$7,'[14]Curve Summary'!$A$7:$AG$161,4)</f>
        <v>36.68</v>
      </c>
      <c r="CF9" s="132">
        <f>VLOOKUP(CF$7,'[14]Curve Summary'!$A$7:$AG$161,4)</f>
        <v>34.67</v>
      </c>
      <c r="CG9" s="132">
        <f>VLOOKUP(CG$7,'[14]Curve Summary'!$A$7:$AG$161,4)</f>
        <v>32.31</v>
      </c>
      <c r="CH9" s="132">
        <f>VLOOKUP(CH$7,'[14]Curve Summary'!$A$7:$AG$161,4)</f>
        <v>33.159999999999997</v>
      </c>
      <c r="CI9" s="132">
        <f>VLOOKUP(CI$7,'[14]Curve Summary'!$A$7:$AG$161,4)</f>
        <v>45.43</v>
      </c>
      <c r="CJ9" s="132">
        <f>VLOOKUP(CJ$7,'[14]Curve Summary'!$A$7:$AG$161,4)</f>
        <v>50.81</v>
      </c>
      <c r="CK9" s="132">
        <f>VLOOKUP(CK$7,'[14]Curve Summary'!$A$7:$AG$161,4)</f>
        <v>44.43</v>
      </c>
      <c r="CL9" s="132">
        <f>VLOOKUP(CL$7,'[14]Curve Summary'!$A$7:$AG$161,4)</f>
        <v>40.06</v>
      </c>
      <c r="CM9" s="132">
        <f>VLOOKUP(CM$7,'[14]Curve Summary'!$A$7:$AG$161,4)</f>
        <v>36.869999999999997</v>
      </c>
      <c r="CN9" s="132">
        <f>VLOOKUP(CN$7,'[14]Curve Summary'!$A$7:$AG$161,4)</f>
        <v>39.06</v>
      </c>
      <c r="CO9" s="132">
        <f>VLOOKUP(CO$7,'[14]Curve Summary'!$A$7:$AG$161,4)</f>
        <v>41.05</v>
      </c>
      <c r="CP9" s="132">
        <f>VLOOKUP(CP$7,'[14]Curve Summary'!$A$7:$AG$161,4)</f>
        <v>40.130000000000003</v>
      </c>
      <c r="CQ9" s="132">
        <f>VLOOKUP(CQ$7,'[14]Curve Summary'!$A$7:$AG$161,4)</f>
        <v>37.380000000000003</v>
      </c>
      <c r="CR9" s="132">
        <f>VLOOKUP(CR$7,'[14]Curve Summary'!$A$7:$AG$161,4)</f>
        <v>35.549999999999997</v>
      </c>
      <c r="CS9" s="132">
        <f>VLOOKUP(CS$7,'[14]Curve Summary'!$A$7:$AG$161,4)</f>
        <v>33.409999999999997</v>
      </c>
      <c r="CT9" s="132">
        <f>VLOOKUP(CT$7,'[14]Curve Summary'!$A$7:$AG$161,4)</f>
        <v>34.18</v>
      </c>
      <c r="CU9" s="132">
        <f>VLOOKUP(CU$7,'[14]Curve Summary'!$A$7:$AG$161,4)</f>
        <v>45.35</v>
      </c>
      <c r="CV9" s="132">
        <f>VLOOKUP(CV$7,'[14]Curve Summary'!$A$7:$AG$161,4)</f>
        <v>50.25</v>
      </c>
      <c r="CW9" s="132">
        <f>VLOOKUP(CW$7,'[14]Curve Summary'!$A$7:$AG$161,4)</f>
        <v>44.44</v>
      </c>
      <c r="CX9" s="132">
        <f>VLOOKUP(CX$7,'[14]Curve Summary'!$A$7:$AG$161,4)</f>
        <v>40.47</v>
      </c>
      <c r="CY9" s="132">
        <f>VLOOKUP(CY$7,'[14]Curve Summary'!$A$7:$AG$161,4)</f>
        <v>37.520000000000003</v>
      </c>
      <c r="CZ9" s="132">
        <f>VLOOKUP(CZ$7,'[14]Curve Summary'!$A$7:$AG$161,4)</f>
        <v>39.56</v>
      </c>
      <c r="DA9" s="132">
        <f>VLOOKUP(DA$7,'[14]Curve Summary'!$A$7:$AG$161,4)</f>
        <v>41.47</v>
      </c>
      <c r="DB9" s="132">
        <f>VLOOKUP(DB$7,'[14]Curve Summary'!$A$7:$AG$161,4)</f>
        <v>40.619999999999997</v>
      </c>
      <c r="DC9" s="132">
        <f>VLOOKUP(DC$7,'[14]Curve Summary'!$A$7:$AG$161,4)</f>
        <v>38.06</v>
      </c>
      <c r="DD9" s="132">
        <f>VLOOKUP(DD$7,'[14]Curve Summary'!$A$7:$AG$161,4)</f>
        <v>36.35</v>
      </c>
      <c r="DE9" s="132">
        <f>VLOOKUP(DE$7,'[14]Curve Summary'!$A$7:$AG$161,4)</f>
        <v>34.36</v>
      </c>
      <c r="DF9" s="132">
        <f>VLOOKUP(DF$7,'[14]Curve Summary'!$A$7:$AG$161,4)</f>
        <v>35.08</v>
      </c>
      <c r="DG9" s="132">
        <f>VLOOKUP(DG$7,'[14]Curve Summary'!$A$7:$AG$161,4)</f>
        <v>45.49</v>
      </c>
      <c r="DH9" s="132">
        <f>VLOOKUP(DH$7,'[14]Curve Summary'!$A$7:$AG$161,4)</f>
        <v>50.05</v>
      </c>
      <c r="DI9" s="132">
        <f>VLOOKUP(DI$7,'[14]Curve Summary'!$A$7:$AG$161,4)</f>
        <v>44.64</v>
      </c>
      <c r="DJ9" s="132">
        <f>VLOOKUP(DJ$7,'[14]Curve Summary'!$A$7:$AG$161,4)</f>
        <v>40.94</v>
      </c>
      <c r="DK9" s="132">
        <f>VLOOKUP(DK$7,'[14]Curve Summary'!$A$7:$AG$161,4)</f>
        <v>38.159999999999997</v>
      </c>
      <c r="DL9" s="132">
        <f>VLOOKUP(DL$7,'[14]Curve Summary'!$A$7:$AG$161,4)</f>
        <v>40.090000000000003</v>
      </c>
      <c r="DM9" s="132">
        <f>VLOOKUP(DM$7,'[14]Curve Summary'!$A$7:$AG$161,4)</f>
        <v>41.9</v>
      </c>
      <c r="DN9" s="132">
        <f>VLOOKUP(DN$7,'[14]Curve Summary'!$A$7:$AG$161,4)</f>
        <v>41.11</v>
      </c>
      <c r="DO9" s="132">
        <f>VLOOKUP(DO$7,'[14]Curve Summary'!$A$7:$AG$161,4)</f>
        <v>38.72</v>
      </c>
      <c r="DP9" s="132">
        <f>VLOOKUP(DP$7,'[14]Curve Summary'!$A$7:$AG$161,4)</f>
        <v>37.130000000000003</v>
      </c>
      <c r="DQ9" s="132">
        <f>VLOOKUP(DQ$7,'[14]Curve Summary'!$A$7:$AG$161,4)</f>
        <v>35.28</v>
      </c>
      <c r="DR9" s="132">
        <f>VLOOKUP(DR$7,'[14]Curve Summary'!$A$7:$AG$161,4)</f>
        <v>35.950000000000003</v>
      </c>
      <c r="DS9" s="132">
        <f>VLOOKUP(DS$7,'[14]Curve Summary'!$A$7:$AG$161,4)</f>
        <v>45.64</v>
      </c>
      <c r="DT9" s="132">
        <f>VLOOKUP(DT$7,'[14]Curve Summary'!$A$7:$AG$161,4)</f>
        <v>49.9</v>
      </c>
      <c r="DU9" s="132">
        <f>VLOOKUP(DU$7,'[14]Curve Summary'!$A$7:$AG$161,4)</f>
        <v>44.85</v>
      </c>
      <c r="DV9" s="132">
        <f>VLOOKUP(DV$7,'[14]Curve Summary'!$A$7:$AG$161,4)</f>
        <v>41.41</v>
      </c>
      <c r="DW9" s="132">
        <f>VLOOKUP(DW$7,'[14]Curve Summary'!$A$7:$AG$161,4)</f>
        <v>38.79</v>
      </c>
      <c r="DX9" s="132">
        <f>VLOOKUP(DX$7,'[14]Curve Summary'!$A$7:$AG$161,4)</f>
        <v>40.619999999999997</v>
      </c>
      <c r="DY9" s="132">
        <f>VLOOKUP(DY$7,'[14]Curve Summary'!$A$7:$AG$161,4)</f>
        <v>42.34</v>
      </c>
      <c r="DZ9" s="132">
        <f>VLOOKUP(DZ$7,'[14]Curve Summary'!$A$7:$AG$161,4)</f>
        <v>41.6</v>
      </c>
      <c r="EA9" s="132">
        <f>VLOOKUP(EA$7,'[14]Curve Summary'!$A$7:$AG$161,4)</f>
        <v>39.380000000000003</v>
      </c>
      <c r="EB9" s="132">
        <f>VLOOKUP(EB$7,'[14]Curve Summary'!$A$7:$AG$161,4)</f>
        <v>37.9</v>
      </c>
      <c r="EC9" s="132">
        <f>VLOOKUP(EC$7,'[14]Curve Summary'!$A$7:$AG$161,4)</f>
        <v>36.17</v>
      </c>
      <c r="ED9" s="132">
        <f>VLOOKUP(ED$7,'[14]Curve Summary'!$A$7:$AG$161,4)</f>
        <v>36.79</v>
      </c>
      <c r="EE9" s="132">
        <f>VLOOKUP(EE$7,'[14]Curve Summary'!$A$7:$AG$161,4)</f>
        <v>45.82</v>
      </c>
      <c r="EF9" s="132">
        <f>VLOOKUP(EF$7,'[14]Curve Summary'!$A$7:$AG$161,4)</f>
        <v>49.78</v>
      </c>
      <c r="EG9" s="132">
        <f>VLOOKUP(EG$7,'[14]Curve Summary'!$A$7:$AG$161,4)</f>
        <v>45.09</v>
      </c>
      <c r="EH9" s="132">
        <f>VLOOKUP(EH$7,'[14]Curve Summary'!$A$7:$AG$161,4)</f>
        <v>41.88</v>
      </c>
      <c r="EI9" s="132">
        <f>VLOOKUP(EI$7,'[14]Curve Summary'!$A$7:$AG$161,4)</f>
        <v>39.409999999999997</v>
      </c>
      <c r="EJ9" s="132">
        <f>VLOOKUP(EJ$7,'[14]Curve Summary'!$A$7:$AG$161,4)</f>
        <v>41.15</v>
      </c>
    </row>
    <row r="10" spans="1:140" ht="13.65" customHeight="1" x14ac:dyDescent="0.2">
      <c r="A10" s="165" t="s">
        <v>134</v>
      </c>
      <c r="B10" s="166" t="s">
        <v>165</v>
      </c>
      <c r="C10" s="132">
        <f>'[14]Power Desk Daily Price'!$AC10</f>
        <v>27.509090909090911</v>
      </c>
      <c r="D10" s="132">
        <f ca="1">IF(ISERROR((AVERAGE(OFFSET('[14]Curve Summary'!$C$6,12,0,15,1))*15+ 10* '[14]Curve Summary Backup'!$C$38)/25), '[14]Curve Summary Backup'!$C$38,(AVERAGE(OFFSET('[14]Curve Summary'!$C$6,12,0,15,1))*15+ 10* '[14]Curve Summary Backup'!$C$38)/25)</f>
        <v>28.25</v>
      </c>
      <c r="E10" s="132">
        <f>VLOOKUP(E$7,'[14]Curve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VLOOKUP(AG$7,'[14]Curve Summary'!$A$8:$AG$161,3)</f>
        <v>36.25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34.25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35.479999999999997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36.61</v>
      </c>
      <c r="CB10" s="169">
        <f>VLOOKUP(CB$7,'[14]Curve Summary'!$A$8:$AG$161,3)</f>
        <v>38.97</v>
      </c>
      <c r="CC10" s="169">
        <f>VLOOKUP(CC$7,'[14]Curve Summary'!$A$8:$AG$161,3)</f>
        <v>41.52</v>
      </c>
      <c r="CD10" s="169">
        <f>VLOOKUP(CD$7,'[14]Curve Summary'!$A$8:$AG$161,3)</f>
        <v>40.51</v>
      </c>
      <c r="CE10" s="169">
        <f>VLOOKUP(CE$7,'[14]Curve Summary'!$A$8:$AG$161,3)</f>
        <v>37.630000000000003</v>
      </c>
      <c r="CF10" s="169">
        <f>VLOOKUP(CF$7,'[14]Curve Summary'!$A$8:$AG$161,3)</f>
        <v>37.81</v>
      </c>
      <c r="CG10" s="169">
        <f>VLOOKUP(CG$7,'[14]Curve Summary'!$A$8:$AG$161,3)</f>
        <v>35.44</v>
      </c>
      <c r="CH10" s="169">
        <f>VLOOKUP(CH$7,'[14]Curve Summary'!$A$8:$AG$161,3)</f>
        <v>36.29</v>
      </c>
      <c r="CI10" s="169">
        <f>VLOOKUP(CI$7,'[14]Curve Summary'!$A$8:$AG$161,3)</f>
        <v>49.53</v>
      </c>
      <c r="CJ10" s="169">
        <f>VLOOKUP(CJ$7,'[14]Curve Summary'!$A$8:$AG$161,3)</f>
        <v>54.29</v>
      </c>
      <c r="CK10" s="169">
        <f>VLOOKUP(CK$7,'[14]Curve Summary'!$A$8:$AG$161,3)</f>
        <v>47.85</v>
      </c>
      <c r="CL10" s="169">
        <f>VLOOKUP(CL$7,'[14]Curve Summary'!$A$8:$AG$161,3)</f>
        <v>40.89</v>
      </c>
      <c r="CM10" s="169">
        <f>VLOOKUP(CM$7,'[14]Curve Summary'!$A$8:$AG$161,3)</f>
        <v>37.68</v>
      </c>
      <c r="CN10" s="169">
        <f>VLOOKUP(CN$7,'[14]Curve Summary'!$A$8:$AG$161,3)</f>
        <v>39.89</v>
      </c>
      <c r="CO10" s="169">
        <f>VLOOKUP(CO$7,'[14]Curve Summary'!$A$8:$AG$161,3)</f>
        <v>42.27</v>
      </c>
      <c r="CP10" s="169">
        <f>VLOOKUP(CP$7,'[14]Curve Summary'!$A$8:$AG$161,3)</f>
        <v>41.35</v>
      </c>
      <c r="CQ10" s="169">
        <f>VLOOKUP(CQ$7,'[14]Curve Summary'!$A$8:$AG$161,3)</f>
        <v>38.71</v>
      </c>
      <c r="CR10" s="169">
        <f>VLOOKUP(CR$7,'[14]Curve Summary'!$A$8:$AG$161,3)</f>
        <v>38.869999999999997</v>
      </c>
      <c r="CS10" s="169">
        <f>VLOOKUP(CS$7,'[14]Curve Summary'!$A$8:$AG$161,3)</f>
        <v>36.700000000000003</v>
      </c>
      <c r="CT10" s="169">
        <f>VLOOKUP(CT$7,'[14]Curve Summary'!$A$8:$AG$161,3)</f>
        <v>37.49</v>
      </c>
      <c r="CU10" s="169">
        <f>VLOOKUP(CU$7,'[14]Curve Summary'!$A$8:$AG$161,3)</f>
        <v>49.62</v>
      </c>
      <c r="CV10" s="169">
        <f>VLOOKUP(CV$7,'[14]Curve Summary'!$A$8:$AG$161,3)</f>
        <v>53.99</v>
      </c>
      <c r="CW10" s="169">
        <f>VLOOKUP(CW$7,'[14]Curve Summary'!$A$8:$AG$161,3)</f>
        <v>48.09</v>
      </c>
      <c r="CX10" s="169">
        <f>VLOOKUP(CX$7,'[14]Curve Summary'!$A$8:$AG$161,3)</f>
        <v>41.72</v>
      </c>
      <c r="CY10" s="169">
        <f>VLOOKUP(CY$7,'[14]Curve Summary'!$A$8:$AG$161,3)</f>
        <v>38.729999999999997</v>
      </c>
      <c r="CZ10" s="169">
        <f>VLOOKUP(CZ$7,'[14]Curve Summary'!$A$8:$AG$161,3)</f>
        <v>40.799999999999997</v>
      </c>
      <c r="DA10" s="169">
        <f>VLOOKUP(DA$7,'[14]Curve Summary'!$A$8:$AG$161,3)</f>
        <v>43.12</v>
      </c>
      <c r="DB10" s="169">
        <f>VLOOKUP(DB$7,'[14]Curve Summary'!$A$8:$AG$161,3)</f>
        <v>42.25</v>
      </c>
      <c r="DC10" s="169">
        <f>VLOOKUP(DC$7,'[14]Curve Summary'!$A$8:$AG$161,3)</f>
        <v>39.78</v>
      </c>
      <c r="DD10" s="169">
        <f>VLOOKUP(DD$7,'[14]Curve Summary'!$A$8:$AG$161,3)</f>
        <v>39.94</v>
      </c>
      <c r="DE10" s="169">
        <f>VLOOKUP(DE$7,'[14]Curve Summary'!$A$8:$AG$161,3)</f>
        <v>37.9</v>
      </c>
      <c r="DF10" s="169">
        <f>VLOOKUP(DF$7,'[14]Curve Summary'!$A$8:$AG$161,3)</f>
        <v>38.64</v>
      </c>
      <c r="DG10" s="169">
        <f>VLOOKUP(DG$7,'[14]Curve Summary'!$A$8:$AG$161,3)</f>
        <v>50.03</v>
      </c>
      <c r="DH10" s="169">
        <f>VLOOKUP(DH$7,'[14]Curve Summary'!$A$8:$AG$161,3)</f>
        <v>54.13</v>
      </c>
      <c r="DI10" s="169">
        <f>VLOOKUP(DI$7,'[14]Curve Summary'!$A$8:$AG$161,3)</f>
        <v>48.59</v>
      </c>
      <c r="DJ10" s="169">
        <f>VLOOKUP(DJ$7,'[14]Curve Summary'!$A$8:$AG$161,3)</f>
        <v>42.62</v>
      </c>
      <c r="DK10" s="169">
        <f>VLOOKUP(DK$7,'[14]Curve Summary'!$A$8:$AG$161,3)</f>
        <v>39.79</v>
      </c>
      <c r="DL10" s="169">
        <f>VLOOKUP(DL$7,'[14]Curve Summary'!$A$8:$AG$161,3)</f>
        <v>41.76</v>
      </c>
      <c r="DM10" s="169">
        <f>VLOOKUP(DM$7,'[14]Curve Summary'!$A$8:$AG$161,3)</f>
        <v>44.07</v>
      </c>
      <c r="DN10" s="169">
        <f>VLOOKUP(DN$7,'[14]Curve Summary'!$A$8:$AG$161,3)</f>
        <v>43.26</v>
      </c>
      <c r="DO10" s="169">
        <f>VLOOKUP(DO$7,'[14]Curve Summary'!$A$8:$AG$161,3)</f>
        <v>40.93</v>
      </c>
      <c r="DP10" s="169">
        <f>VLOOKUP(DP$7,'[14]Curve Summary'!$A$8:$AG$161,3)</f>
        <v>41.08</v>
      </c>
      <c r="DQ10" s="169">
        <f>VLOOKUP(DQ$7,'[14]Curve Summary'!$A$8:$AG$161,3)</f>
        <v>39.17</v>
      </c>
      <c r="DR10" s="169">
        <f>VLOOKUP(DR$7,'[14]Curve Summary'!$A$8:$AG$161,3)</f>
        <v>39.869999999999997</v>
      </c>
      <c r="DS10" s="169">
        <f>VLOOKUP(DS$7,'[14]Curve Summary'!$A$8:$AG$161,3)</f>
        <v>50.58</v>
      </c>
      <c r="DT10" s="169">
        <f>VLOOKUP(DT$7,'[14]Curve Summary'!$A$8:$AG$161,3)</f>
        <v>54.43</v>
      </c>
      <c r="DU10" s="169">
        <f>VLOOKUP(DU$7,'[14]Curve Summary'!$A$8:$AG$161,3)</f>
        <v>49.23</v>
      </c>
      <c r="DV10" s="169">
        <f>VLOOKUP(DV$7,'[14]Curve Summary'!$A$8:$AG$161,3)</f>
        <v>43.61</v>
      </c>
      <c r="DW10" s="169">
        <f>VLOOKUP(DW$7,'[14]Curve Summary'!$A$8:$AG$161,3)</f>
        <v>40.92</v>
      </c>
      <c r="DX10" s="169">
        <f>VLOOKUP(DX$7,'[14]Curve Summary'!$A$8:$AG$161,3)</f>
        <v>42.81</v>
      </c>
      <c r="DY10" s="169">
        <f>VLOOKUP(DY$7,'[14]Curve Summary'!$A$8:$AG$161,3)</f>
        <v>45.07</v>
      </c>
      <c r="DZ10" s="169">
        <f>VLOOKUP(DZ$7,'[14]Curve Summary'!$A$8:$AG$161,3)</f>
        <v>44.31</v>
      </c>
      <c r="EA10" s="169">
        <f>VLOOKUP(EA$7,'[14]Curve Summary'!$A$8:$AG$161,3)</f>
        <v>42.12</v>
      </c>
      <c r="EB10" s="169">
        <f>VLOOKUP(EB$7,'[14]Curve Summary'!$A$8:$AG$161,3)</f>
        <v>42.26</v>
      </c>
      <c r="EC10" s="169">
        <f>VLOOKUP(EC$7,'[14]Curve Summary'!$A$8:$AG$161,3)</f>
        <v>40.47</v>
      </c>
      <c r="ED10" s="169">
        <f>VLOOKUP(ED$7,'[14]Curve Summary'!$A$8:$AG$161,3)</f>
        <v>41.12</v>
      </c>
      <c r="EE10" s="169">
        <f>VLOOKUP(EE$7,'[14]Curve Summary'!$A$8:$AG$161,3)</f>
        <v>51.2</v>
      </c>
      <c r="EF10" s="169">
        <f>VLOOKUP(EF$7,'[14]Curve Summary'!$A$8:$AG$161,3)</f>
        <v>54.83</v>
      </c>
      <c r="EG10" s="169">
        <f>VLOOKUP(EG$7,'[14]Curve Summary'!$A$8:$AG$161,3)</f>
        <v>49.93</v>
      </c>
      <c r="EH10" s="169">
        <f>VLOOKUP(EH$7,'[14]Curve Summary'!$A$8:$AG$161,3)</f>
        <v>44.65</v>
      </c>
      <c r="EI10" s="169">
        <f>VLOOKUP(EI$7,'[14]Curve Summary'!$A$8:$AG$161,3)</f>
        <v>42.09</v>
      </c>
      <c r="EJ10" s="169">
        <f>VLOOKUP(EJ$7,'[14]Curve Summary'!$A$8:$AG$161,3)</f>
        <v>43.89</v>
      </c>
    </row>
    <row r="11" spans="1:140" ht="13.65" customHeight="1" x14ac:dyDescent="0.2">
      <c r="A11" s="165" t="s">
        <v>135</v>
      </c>
      <c r="B11" s="142"/>
      <c r="C11" s="132">
        <f>'[14]Power Desk Daily Price'!$AC11</f>
        <v>28.5</v>
      </c>
      <c r="D11" s="132">
        <f ca="1">IF(ISERROR((AVERAGE(OFFSET('[14]Curve Summary'!$E$6,12,0,15,1))*15+ 10* '[14]Curve Summary Backup'!$E$38)/25), '[14]Curve Summary Backup'!$E$38,(AVERAGE(OFFSET('[14]Curve Summary'!$E$6,12,0,15,1))*15+ 10* '[14]Curve Summary Backup'!$E$38)/25)</f>
        <v>29.25</v>
      </c>
      <c r="E11" s="132">
        <f>VLOOKUP(E$7,'[14]Curve Summary'!$A$7:$AG$55,5)</f>
        <v>36</v>
      </c>
      <c r="F11" s="167">
        <f t="shared" ca="1" si="0"/>
        <v>31.815000000000001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43.030264054514483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36.5</v>
      </c>
      <c r="AR11" s="169">
        <f>VLOOKUP(AR$7,'[14]Curve Summary'!$A$8:$AG$161,5)</f>
        <v>38.25</v>
      </c>
      <c r="AS11" s="169">
        <f>VLOOKUP(AS$7,'[14]Curve Summary'!$A$8:$AG$161,5)</f>
        <v>40.25</v>
      </c>
      <c r="AT11" s="169">
        <f>VLOOKUP(AT$7,'[14]Curve Summary'!$A$8:$AG$161,5)</f>
        <v>39.25</v>
      </c>
      <c r="AU11" s="169">
        <f>VLOOKUP(AU$7,'[14]Curve Summary'!$A$8:$AG$161,5)</f>
        <v>37.5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49.75</v>
      </c>
      <c r="AZ11" s="169">
        <f>VLOOKUP(AZ$7,'[14]Curve Summary'!$A$8:$AG$161,5)</f>
        <v>59</v>
      </c>
      <c r="BA11" s="169">
        <f>VLOOKUP(BA$7,'[14]Curve Summary'!$A$8:$AG$161,5)</f>
        <v>54</v>
      </c>
      <c r="BB11" s="169">
        <f>VLOOKUP(BB$7,'[14]Curve Summary'!$A$8:$AG$161,5)</f>
        <v>40</v>
      </c>
      <c r="BC11" s="169">
        <f>VLOOKUP(BC$7,'[14]Curve Summary'!$A$8:$AG$161,5)</f>
        <v>39</v>
      </c>
      <c r="BD11" s="169">
        <f>VLOOKUP(BD$7,'[14]Curve Summary'!$A$8:$AG$161,5)</f>
        <v>40.25</v>
      </c>
      <c r="BE11" s="169">
        <f>VLOOKUP(BE$7,'[14]Curve Summary'!$A$8:$AG$161,5)</f>
        <v>40.99</v>
      </c>
      <c r="BF11" s="169">
        <f>VLOOKUP(BF$7,'[14]Curve Summary'!$A$8:$AG$161,5)</f>
        <v>40.130000000000003</v>
      </c>
      <c r="BG11" s="169">
        <f>VLOOKUP(BG$7,'[14]Curve Summary'!$A$8:$AG$161,5)</f>
        <v>38.630000000000003</v>
      </c>
      <c r="BH11" s="169">
        <f>VLOOKUP(BH$7,'[14]Curve Summary'!$A$8:$AG$161,5)</f>
        <v>36.479999999999997</v>
      </c>
      <c r="BI11" s="169">
        <f>VLOOKUP(BI$7,'[14]Curve Summary'!$A$8:$AG$161,5)</f>
        <v>36.479999999999997</v>
      </c>
      <c r="BJ11" s="169">
        <f>VLOOKUP(BJ$7,'[14]Curve Summary'!$A$8:$AG$161,5)</f>
        <v>40.35</v>
      </c>
      <c r="BK11" s="169">
        <f>VLOOKUP(BK$7,'[14]Curve Summary'!$A$8:$AG$161,5)</f>
        <v>49.16</v>
      </c>
      <c r="BL11" s="169">
        <f>VLOOKUP(BL$7,'[14]Curve Summary'!$A$8:$AG$161,5)</f>
        <v>57.1</v>
      </c>
      <c r="BM11" s="169">
        <f>VLOOKUP(BM$7,'[14]Curve Summary'!$A$8:$AG$161,5)</f>
        <v>52.81</v>
      </c>
      <c r="BN11" s="169">
        <f>VLOOKUP(BN$7,'[14]Curve Summary'!$A$8:$AG$161,5)</f>
        <v>40.78</v>
      </c>
      <c r="BO11" s="169">
        <f>VLOOKUP(BO$7,'[14]Curve Summary'!$A$8:$AG$161,5)</f>
        <v>40.03</v>
      </c>
      <c r="BP11" s="169">
        <f>VLOOKUP(BP$7,'[14]Curve Summary'!$A$8:$AG$161,5)</f>
        <v>41</v>
      </c>
      <c r="BQ11" s="169">
        <f>VLOOKUP(BQ$7,'[14]Curve Summary'!$A$8:$AG$161,5)</f>
        <v>41.69</v>
      </c>
      <c r="BR11" s="169">
        <f>VLOOKUP(BR$7,'[14]Curve Summary'!$A$8:$AG$161,5)</f>
        <v>40.950000000000003</v>
      </c>
      <c r="BS11" s="169">
        <f>VLOOKUP(BS$7,'[14]Curve Summary'!$A$8:$AG$161,5)</f>
        <v>39.659999999999997</v>
      </c>
      <c r="BT11" s="169">
        <f>VLOOKUP(BT$7,'[14]Curve Summary'!$A$8:$AG$161,5)</f>
        <v>37.82</v>
      </c>
      <c r="BU11" s="169">
        <f>VLOOKUP(BU$7,'[14]Curve Summary'!$A$8:$AG$161,5)</f>
        <v>37.82</v>
      </c>
      <c r="BV11" s="169">
        <f>VLOOKUP(BV$7,'[14]Curve Summary'!$A$8:$AG$161,5)</f>
        <v>41.14</v>
      </c>
      <c r="BW11" s="169">
        <f>VLOOKUP(BW$7,'[14]Curve Summary'!$A$8:$AG$161,5)</f>
        <v>48.71</v>
      </c>
      <c r="BX11" s="169">
        <f>VLOOKUP(BX$7,'[14]Curve Summary'!$A$8:$AG$161,5)</f>
        <v>55.53</v>
      </c>
      <c r="BY11" s="169">
        <f>VLOOKUP(BY$7,'[14]Curve Summary'!$A$8:$AG$161,5)</f>
        <v>51.85</v>
      </c>
      <c r="BZ11" s="169">
        <f>VLOOKUP(BZ$7,'[14]Curve Summary'!$A$8:$AG$161,5)</f>
        <v>41.52</v>
      </c>
      <c r="CA11" s="169">
        <f>VLOOKUP(CA$7,'[14]Curve Summary'!$A$8:$AG$161,5)</f>
        <v>40.98</v>
      </c>
      <c r="CB11" s="169">
        <f>VLOOKUP(CB$7,'[14]Curve Summary'!$A$8:$AG$161,5)</f>
        <v>41.7</v>
      </c>
      <c r="CC11" s="169">
        <f>VLOOKUP(CC$7,'[14]Curve Summary'!$A$8:$AG$161,5)</f>
        <v>42.27</v>
      </c>
      <c r="CD11" s="169">
        <f>VLOOKUP(CD$7,'[14]Curve Summary'!$A$8:$AG$161,5)</f>
        <v>41.6</v>
      </c>
      <c r="CE11" s="169">
        <f>VLOOKUP(CE$7,'[14]Curve Summary'!$A$8:$AG$161,5)</f>
        <v>40.43</v>
      </c>
      <c r="CF11" s="169">
        <f>VLOOKUP(CF$7,'[14]Curve Summary'!$A$8:$AG$161,5)</f>
        <v>38.75</v>
      </c>
      <c r="CG11" s="169">
        <f>VLOOKUP(CG$7,'[14]Curve Summary'!$A$8:$AG$161,5)</f>
        <v>38.76</v>
      </c>
      <c r="CH11" s="169">
        <f>VLOOKUP(CH$7,'[14]Curve Summary'!$A$8:$AG$161,5)</f>
        <v>41.78</v>
      </c>
      <c r="CI11" s="169">
        <f>VLOOKUP(CI$7,'[14]Curve Summary'!$A$8:$AG$161,5)</f>
        <v>48.66</v>
      </c>
      <c r="CJ11" s="169">
        <f>VLOOKUP(CJ$7,'[14]Curve Summary'!$A$8:$AG$161,5)</f>
        <v>54.87</v>
      </c>
      <c r="CK11" s="169">
        <f>VLOOKUP(CK$7,'[14]Curve Summary'!$A$8:$AG$161,5)</f>
        <v>51.51</v>
      </c>
      <c r="CL11" s="169">
        <f>VLOOKUP(CL$7,'[14]Curve Summary'!$A$8:$AG$161,5)</f>
        <v>42.12</v>
      </c>
      <c r="CM11" s="169">
        <f>VLOOKUP(CM$7,'[14]Curve Summary'!$A$8:$AG$161,5)</f>
        <v>41.7</v>
      </c>
      <c r="CN11" s="169">
        <f>VLOOKUP(CN$7,'[14]Curve Summary'!$A$8:$AG$161,5)</f>
        <v>42.29</v>
      </c>
      <c r="CO11" s="169">
        <f>VLOOKUP(CO$7,'[14]Curve Summary'!$A$8:$AG$161,5)</f>
        <v>42.85</v>
      </c>
      <c r="CP11" s="169">
        <f>VLOOKUP(CP$7,'[14]Curve Summary'!$A$8:$AG$161,5)</f>
        <v>42.24</v>
      </c>
      <c r="CQ11" s="169">
        <f>VLOOKUP(CQ$7,'[14]Curve Summary'!$A$8:$AG$161,5)</f>
        <v>41.17</v>
      </c>
      <c r="CR11" s="169">
        <f>VLOOKUP(CR$7,'[14]Curve Summary'!$A$8:$AG$161,5)</f>
        <v>39.65</v>
      </c>
      <c r="CS11" s="169">
        <f>VLOOKUP(CS$7,'[14]Curve Summary'!$A$8:$AG$161,5)</f>
        <v>39.65</v>
      </c>
      <c r="CT11" s="169">
        <f>VLOOKUP(CT$7,'[14]Curve Summary'!$A$8:$AG$161,5)</f>
        <v>42.4</v>
      </c>
      <c r="CU11" s="169">
        <f>VLOOKUP(CU$7,'[14]Curve Summary'!$A$8:$AG$161,5)</f>
        <v>48.65</v>
      </c>
      <c r="CV11" s="169">
        <f>VLOOKUP(CV$7,'[14]Curve Summary'!$A$8:$AG$161,5)</f>
        <v>54.3</v>
      </c>
      <c r="CW11" s="169">
        <f>VLOOKUP(CW$7,'[14]Curve Summary'!$A$8:$AG$161,5)</f>
        <v>51.25</v>
      </c>
      <c r="CX11" s="169">
        <f>VLOOKUP(CX$7,'[14]Curve Summary'!$A$8:$AG$161,5)</f>
        <v>42.71</v>
      </c>
      <c r="CY11" s="169">
        <f>VLOOKUP(CY$7,'[14]Curve Summary'!$A$8:$AG$161,5)</f>
        <v>42.4</v>
      </c>
      <c r="CZ11" s="169">
        <f>VLOOKUP(CZ$7,'[14]Curve Summary'!$A$8:$AG$161,5)</f>
        <v>42.87</v>
      </c>
      <c r="DA11" s="169">
        <f>VLOOKUP(DA$7,'[14]Curve Summary'!$A$8:$AG$161,5)</f>
        <v>43.34</v>
      </c>
      <c r="DB11" s="169">
        <f>VLOOKUP(DB$7,'[14]Curve Summary'!$A$8:$AG$161,5)</f>
        <v>42.77</v>
      </c>
      <c r="DC11" s="169">
        <f>VLOOKUP(DC$7,'[14]Curve Summary'!$A$8:$AG$161,5)</f>
        <v>41.78</v>
      </c>
      <c r="DD11" s="169">
        <f>VLOOKUP(DD$7,'[14]Curve Summary'!$A$8:$AG$161,5)</f>
        <v>40.369999999999997</v>
      </c>
      <c r="DE11" s="169">
        <f>VLOOKUP(DE$7,'[14]Curve Summary'!$A$8:$AG$161,5)</f>
        <v>40.369999999999997</v>
      </c>
      <c r="DF11" s="169">
        <f>VLOOKUP(DF$7,'[14]Curve Summary'!$A$8:$AG$161,5)</f>
        <v>42.92</v>
      </c>
      <c r="DG11" s="169">
        <f>VLOOKUP(DG$7,'[14]Curve Summary'!$A$8:$AG$161,5)</f>
        <v>48.73</v>
      </c>
      <c r="DH11" s="169">
        <f>VLOOKUP(DH$7,'[14]Curve Summary'!$A$8:$AG$161,5)</f>
        <v>53.97</v>
      </c>
      <c r="DI11" s="169">
        <f>VLOOKUP(DI$7,'[14]Curve Summary'!$A$8:$AG$161,5)</f>
        <v>51.14</v>
      </c>
      <c r="DJ11" s="169">
        <f>VLOOKUP(DJ$7,'[14]Curve Summary'!$A$8:$AG$161,5)</f>
        <v>43.21</v>
      </c>
      <c r="DK11" s="169">
        <f>VLOOKUP(DK$7,'[14]Curve Summary'!$A$8:$AG$161,5)</f>
        <v>42.97</v>
      </c>
      <c r="DL11" s="169">
        <f>VLOOKUP(DL$7,'[14]Curve Summary'!$A$8:$AG$161,5)</f>
        <v>43.35</v>
      </c>
      <c r="DM11" s="169">
        <f>VLOOKUP(DM$7,'[14]Curve Summary'!$A$8:$AG$161,5)</f>
        <v>43.77</v>
      </c>
      <c r="DN11" s="169">
        <f>VLOOKUP(DN$7,'[14]Curve Summary'!$A$8:$AG$161,5)</f>
        <v>43.25</v>
      </c>
      <c r="DO11" s="169">
        <f>VLOOKUP(DO$7,'[14]Curve Summary'!$A$8:$AG$161,5)</f>
        <v>42.33</v>
      </c>
      <c r="DP11" s="169">
        <f>VLOOKUP(DP$7,'[14]Curve Summary'!$A$8:$AG$161,5)</f>
        <v>41.02</v>
      </c>
      <c r="DQ11" s="169">
        <f>VLOOKUP(DQ$7,'[14]Curve Summary'!$A$8:$AG$161,5)</f>
        <v>41.02</v>
      </c>
      <c r="DR11" s="169">
        <f>VLOOKUP(DR$7,'[14]Curve Summary'!$A$8:$AG$161,5)</f>
        <v>43.39</v>
      </c>
      <c r="DS11" s="169">
        <f>VLOOKUP(DS$7,'[14]Curve Summary'!$A$8:$AG$161,5)</f>
        <v>48.77</v>
      </c>
      <c r="DT11" s="169">
        <f>VLOOKUP(DT$7,'[14]Curve Summary'!$A$8:$AG$161,5)</f>
        <v>53.63</v>
      </c>
      <c r="DU11" s="169">
        <f>VLOOKUP(DU$7,'[14]Curve Summary'!$A$8:$AG$161,5)</f>
        <v>51.01</v>
      </c>
      <c r="DV11" s="169">
        <f>VLOOKUP(DV$7,'[14]Curve Summary'!$A$8:$AG$161,5)</f>
        <v>43.66</v>
      </c>
      <c r="DW11" s="169">
        <f>VLOOKUP(DW$7,'[14]Curve Summary'!$A$8:$AG$161,5)</f>
        <v>43.49</v>
      </c>
      <c r="DX11" s="169">
        <f>VLOOKUP(DX$7,'[14]Curve Summary'!$A$8:$AG$161,5)</f>
        <v>43.79</v>
      </c>
      <c r="DY11" s="169">
        <f>VLOOKUP(DY$7,'[14]Curve Summary'!$A$8:$AG$161,5)</f>
        <v>44.2</v>
      </c>
      <c r="DZ11" s="169">
        <f>VLOOKUP(DZ$7,'[14]Curve Summary'!$A$8:$AG$161,5)</f>
        <v>43.72</v>
      </c>
      <c r="EA11" s="169">
        <f>VLOOKUP(EA$7,'[14]Curve Summary'!$A$8:$AG$161,5)</f>
        <v>42.87</v>
      </c>
      <c r="EB11" s="169">
        <f>VLOOKUP(EB$7,'[14]Curve Summary'!$A$8:$AG$161,5)</f>
        <v>41.65</v>
      </c>
      <c r="EC11" s="169">
        <f>VLOOKUP(EC$7,'[14]Curve Summary'!$A$8:$AG$161,5)</f>
        <v>41.65</v>
      </c>
      <c r="ED11" s="169">
        <f>VLOOKUP(ED$7,'[14]Curve Summary'!$A$8:$AG$161,5)</f>
        <v>43.84</v>
      </c>
      <c r="EE11" s="169">
        <f>VLOOKUP(EE$7,'[14]Curve Summary'!$A$8:$AG$161,5)</f>
        <v>48.84</v>
      </c>
      <c r="EF11" s="169">
        <f>VLOOKUP(EF$7,'[14]Curve Summary'!$A$8:$AG$161,5)</f>
        <v>53.34</v>
      </c>
      <c r="EG11" s="169">
        <f>VLOOKUP(EG$7,'[14]Curve Summary'!$A$8:$AG$161,5)</f>
        <v>50.91</v>
      </c>
      <c r="EH11" s="169">
        <f>VLOOKUP(EH$7,'[14]Curve Summary'!$A$8:$AG$161,5)</f>
        <v>44.1</v>
      </c>
      <c r="EI11" s="169">
        <f>VLOOKUP(EI$7,'[14]Curve Summary'!$A$8:$AG$161,5)</f>
        <v>44</v>
      </c>
      <c r="EJ11" s="169">
        <f>VLOOKUP(EJ$7,'[14]Curve Summary'!$A$8:$AG$161,5)</f>
        <v>44.22</v>
      </c>
    </row>
    <row r="12" spans="1:140" ht="13.65" customHeight="1" x14ac:dyDescent="0.2">
      <c r="A12" s="165" t="s">
        <v>136</v>
      </c>
      <c r="B12" s="142"/>
      <c r="C12" s="132">
        <f>'[14]Power Desk Daily Price'!$AC12</f>
        <v>26.763636363636362</v>
      </c>
      <c r="D12" s="132">
        <f ca="1">IF(ISERROR((AVERAGE(OFFSET('[14]Curve Summary'!$I$6,12,0,15,1))*15+ 10* '[14]Curve Summary Backup'!$I$38)/25), '[14]Curve Summary Backup'!$I$38,(AVERAGE(OFFSET('[14]Curve Summary'!$I$6,12,0,15,1))*15+ 10* '[14]Curve Summary Backup'!$I$38)/25)</f>
        <v>26</v>
      </c>
      <c r="E12" s="132">
        <f>VLOOKUP(E$7,'[14]Curve Summary'!$A$7:$AG$55,9)</f>
        <v>32.5</v>
      </c>
      <c r="F12" s="167">
        <f t="shared" ca="1" si="0"/>
        <v>28.737454545454547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33.561721774818018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'[14]Power Desk Daily Price'!$AC13</f>
        <v>29.5</v>
      </c>
      <c r="D13" s="132">
        <f ca="1">IF(ISERROR((AVERAGE(OFFSET('[14]Curve Summary'!$F$6,12,0,15,1))*15+ 10* '[14]Curve Summary Backup'!$F$38)/25), '[14]Curve Summary Backup'!$F$38,(AVERAGE(OFFSET('[14]Curve Summary'!$F$6,12,0,15,1))*15+ 10* '[14]Curve Summary Backup'!$F$38)/25)</f>
        <v>28.6</v>
      </c>
      <c r="E13" s="132">
        <f>VLOOKUP(E$7,'[14]Curve Summary'!$A$7:$AG$59,6)</f>
        <v>33.75</v>
      </c>
      <c r="F13" s="167">
        <f t="shared" ca="1" si="0"/>
        <v>30.821999999999999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VLOOKUP(AG$7,'[14]Curve Summary'!$A$9:$AG$161,6)</f>
        <v>34.5</v>
      </c>
      <c r="AH13" s="169">
        <f>VLOOKUP(AH$7,'[14]Curve Summary'!$A$9:$AG$161,6)</f>
        <v>33.75</v>
      </c>
      <c r="AI13" s="169">
        <f>VLOOKUP(AI$7,'[14]Curve Summary'!$A$9:$AG$161,6)</f>
        <v>33</v>
      </c>
      <c r="AJ13" s="169">
        <f>VLOOKUP(AJ$7,'[14]Curve Summary'!$A$9:$AG$161,6)</f>
        <v>31.5</v>
      </c>
      <c r="AK13" s="169">
        <f>VLOOKUP(AK$7,'[14]Curve Summary'!$A$9:$AG$161,6)</f>
        <v>33</v>
      </c>
      <c r="AL13" s="169">
        <f>VLOOKUP(AL$7,'[14]Curve Summary'!$A$9:$AG$161,6)</f>
        <v>39</v>
      </c>
      <c r="AM13" s="169">
        <f>VLOOKUP(AM$7,'[14]Curve Summary'!$A$9:$AG$161,6)</f>
        <v>46</v>
      </c>
      <c r="AN13" s="169">
        <f>VLOOKUP(AN$7,'[14]Curve Summary'!$A$9:$AG$161,6)</f>
        <v>54</v>
      </c>
      <c r="AO13" s="169">
        <f>VLOOKUP(AO$7,'[14]Curve Summary'!$A$9:$AG$161,6)</f>
        <v>45.5</v>
      </c>
      <c r="AP13" s="169">
        <f>VLOOKUP(AP$7,'[14]Curve Summary'!$A$9:$AG$161,6)</f>
        <v>38</v>
      </c>
      <c r="AQ13" s="169">
        <f>VLOOKUP(AQ$7,'[14]Curve Summary'!$A$9:$AG$161,6)</f>
        <v>37.5</v>
      </c>
      <c r="AR13" s="169">
        <f>VLOOKUP(AR$7,'[14]Curve Summary'!$A$9:$AG$161,6)</f>
        <v>39.5</v>
      </c>
      <c r="AS13" s="169">
        <f>VLOOKUP(AS$7,'[14]Curve Summary'!$A$9:$AG$161,6)</f>
        <v>39.75</v>
      </c>
      <c r="AT13" s="169">
        <f>VLOOKUP(AT$7,'[14]Curve Summary'!$A$9:$AG$161,6)</f>
        <v>38.25</v>
      </c>
      <c r="AU13" s="169">
        <f>VLOOKUP(AU$7,'[14]Curve Summary'!$A$9:$AG$161,6)</f>
        <v>36.75</v>
      </c>
      <c r="AV13" s="169">
        <f>VLOOKUP(AV$7,'[14]Curve Summary'!$A$9:$AG$161,6)</f>
        <v>36.25</v>
      </c>
      <c r="AW13" s="169">
        <f>VLOOKUP(AW$7,'[14]Curve Summary'!$A$9:$AG$161,6)</f>
        <v>36.75</v>
      </c>
      <c r="AX13" s="169">
        <f>VLOOKUP(AX$7,'[14]Curve Summary'!$A$9:$AG$161,6)</f>
        <v>41.25</v>
      </c>
      <c r="AY13" s="169">
        <f>VLOOKUP(AY$7,'[14]Curve Summary'!$A$9:$AG$161,6)</f>
        <v>55.25</v>
      </c>
      <c r="AZ13" s="169">
        <f>VLOOKUP(AZ$7,'[14]Curve Summary'!$A$9:$AG$161,6)</f>
        <v>61.5</v>
      </c>
      <c r="BA13" s="169">
        <f>VLOOKUP(BA$7,'[14]Curve Summary'!$A$9:$AG$161,6)</f>
        <v>48.5</v>
      </c>
      <c r="BB13" s="169">
        <f>VLOOKUP(BB$7,'[14]Curve Summary'!$A$9:$AG$161,6)</f>
        <v>38.25</v>
      </c>
      <c r="BC13" s="169">
        <f>VLOOKUP(BC$7,'[14]Curve Summary'!$A$9:$AG$161,6)</f>
        <v>38.5</v>
      </c>
      <c r="BD13" s="169">
        <f>VLOOKUP(BD$7,'[14]Curve Summary'!$A$9:$AG$161,6)</f>
        <v>39.25</v>
      </c>
      <c r="BE13" s="169">
        <f>VLOOKUP(BE$7,'[14]Curve Summary'!$A$9:$AG$161,6)</f>
        <v>40.25</v>
      </c>
      <c r="BF13" s="169">
        <f>VLOOKUP(BF$7,'[14]Curve Summary'!$A$9:$AG$161,6)</f>
        <v>38.86</v>
      </c>
      <c r="BG13" s="169">
        <f>VLOOKUP(BG$7,'[14]Curve Summary'!$A$9:$AG$161,6)</f>
        <v>37.479999999999997</v>
      </c>
      <c r="BH13" s="169">
        <f>VLOOKUP(BH$7,'[14]Curve Summary'!$A$9:$AG$161,6)</f>
        <v>37.01</v>
      </c>
      <c r="BI13" s="169">
        <f>VLOOKUP(BI$7,'[14]Curve Summary'!$A$9:$AG$161,6)</f>
        <v>37.479999999999997</v>
      </c>
      <c r="BJ13" s="169">
        <f>VLOOKUP(BJ$7,'[14]Curve Summary'!$A$9:$AG$161,6)</f>
        <v>41.65</v>
      </c>
      <c r="BK13" s="169">
        <f>VLOOKUP(BK$7,'[14]Curve Summary'!$A$9:$AG$161,6)</f>
        <v>54.62</v>
      </c>
      <c r="BL13" s="169">
        <f>VLOOKUP(BL$7,'[14]Curve Summary'!$A$9:$AG$161,6)</f>
        <v>60.41</v>
      </c>
      <c r="BM13" s="169">
        <f>VLOOKUP(BM$7,'[14]Curve Summary'!$A$9:$AG$161,6)</f>
        <v>48.36</v>
      </c>
      <c r="BN13" s="169">
        <f>VLOOKUP(BN$7,'[14]Curve Summary'!$A$9:$AG$161,6)</f>
        <v>38.869999999999997</v>
      </c>
      <c r="BO13" s="169">
        <f>VLOOKUP(BO$7,'[14]Curve Summary'!$A$9:$AG$161,6)</f>
        <v>39.1</v>
      </c>
      <c r="BP13" s="169">
        <f>VLOOKUP(BP$7,'[14]Curve Summary'!$A$9:$AG$161,6)</f>
        <v>39.79</v>
      </c>
      <c r="BQ13" s="169">
        <f>VLOOKUP(BQ$7,'[14]Curve Summary'!$A$9:$AG$161,6)</f>
        <v>40.54</v>
      </c>
      <c r="BR13" s="169">
        <f>VLOOKUP(BR$7,'[14]Curve Summary'!$A$9:$AG$161,6)</f>
        <v>39.14</v>
      </c>
      <c r="BS13" s="169">
        <f>VLOOKUP(BS$7,'[14]Curve Summary'!$A$9:$AG$161,6)</f>
        <v>37.74</v>
      </c>
      <c r="BT13" s="169">
        <f>VLOOKUP(BT$7,'[14]Curve Summary'!$A$9:$AG$161,6)</f>
        <v>37.270000000000003</v>
      </c>
      <c r="BU13" s="169">
        <f>VLOOKUP(BU$7,'[14]Curve Summary'!$A$9:$AG$161,6)</f>
        <v>37.74</v>
      </c>
      <c r="BV13" s="169">
        <f>VLOOKUP(BV$7,'[14]Curve Summary'!$A$9:$AG$161,6)</f>
        <v>41.94</v>
      </c>
      <c r="BW13" s="169">
        <f>VLOOKUP(BW$7,'[14]Curve Summary'!$A$9:$AG$161,6)</f>
        <v>55</v>
      </c>
      <c r="BX13" s="169">
        <f>VLOOKUP(BX$7,'[14]Curve Summary'!$A$9:$AG$161,6)</f>
        <v>60.83</v>
      </c>
      <c r="BY13" s="169">
        <f>VLOOKUP(BY$7,'[14]Curve Summary'!$A$9:$AG$161,6)</f>
        <v>48.7</v>
      </c>
      <c r="BZ13" s="169">
        <f>VLOOKUP(BZ$7,'[14]Curve Summary'!$A$9:$AG$161,6)</f>
        <v>39.14</v>
      </c>
      <c r="CA13" s="169">
        <f>VLOOKUP(CA$7,'[14]Curve Summary'!$A$9:$AG$161,6)</f>
        <v>39.369999999999997</v>
      </c>
      <c r="CB13" s="169">
        <f>VLOOKUP(CB$7,'[14]Curve Summary'!$A$9:$AG$161,6)</f>
        <v>40.07</v>
      </c>
      <c r="CC13" s="169">
        <f>VLOOKUP(CC$7,'[14]Curve Summary'!$A$9:$AG$161,6)</f>
        <v>40.82</v>
      </c>
      <c r="CD13" s="169">
        <f>VLOOKUP(CD$7,'[14]Curve Summary'!$A$9:$AG$161,6)</f>
        <v>39.409999999999997</v>
      </c>
      <c r="CE13" s="169">
        <f>VLOOKUP(CE$7,'[14]Curve Summary'!$A$9:$AG$161,6)</f>
        <v>38</v>
      </c>
      <c r="CF13" s="169">
        <f>VLOOKUP(CF$7,'[14]Curve Summary'!$A$9:$AG$161,6)</f>
        <v>37.53</v>
      </c>
      <c r="CG13" s="169">
        <f>VLOOKUP(CG$7,'[14]Curve Summary'!$A$9:$AG$161,6)</f>
        <v>38</v>
      </c>
      <c r="CH13" s="169">
        <f>VLOOKUP(CH$7,'[14]Curve Summary'!$A$9:$AG$161,6)</f>
        <v>42.23</v>
      </c>
      <c r="CI13" s="169">
        <f>VLOOKUP(CI$7,'[14]Curve Summary'!$A$9:$AG$161,6)</f>
        <v>55.38</v>
      </c>
      <c r="CJ13" s="169">
        <f>VLOOKUP(CJ$7,'[14]Curve Summary'!$A$9:$AG$161,6)</f>
        <v>61.26</v>
      </c>
      <c r="CK13" s="169">
        <f>VLOOKUP(CK$7,'[14]Curve Summary'!$A$9:$AG$161,6)</f>
        <v>49.04</v>
      </c>
      <c r="CL13" s="169">
        <f>VLOOKUP(CL$7,'[14]Curve Summary'!$A$9:$AG$161,6)</f>
        <v>39.409999999999997</v>
      </c>
      <c r="CM13" s="169">
        <f>VLOOKUP(CM$7,'[14]Curve Summary'!$A$9:$AG$161,6)</f>
        <v>39.65</v>
      </c>
      <c r="CN13" s="169">
        <f>VLOOKUP(CN$7,'[14]Curve Summary'!$A$9:$AG$161,6)</f>
        <v>40.35</v>
      </c>
      <c r="CO13" s="169">
        <f>VLOOKUP(CO$7,'[14]Curve Summary'!$A$9:$AG$161,6)</f>
        <v>41.1</v>
      </c>
      <c r="CP13" s="169">
        <f>VLOOKUP(CP$7,'[14]Curve Summary'!$A$9:$AG$161,6)</f>
        <v>39.68</v>
      </c>
      <c r="CQ13" s="169">
        <f>VLOOKUP(CQ$7,'[14]Curve Summary'!$A$9:$AG$161,6)</f>
        <v>38.26</v>
      </c>
      <c r="CR13" s="169">
        <f>VLOOKUP(CR$7,'[14]Curve Summary'!$A$9:$AG$161,6)</f>
        <v>37.79</v>
      </c>
      <c r="CS13" s="169">
        <f>VLOOKUP(CS$7,'[14]Curve Summary'!$A$9:$AG$161,6)</f>
        <v>38.26</v>
      </c>
      <c r="CT13" s="169">
        <f>VLOOKUP(CT$7,'[14]Curve Summary'!$A$9:$AG$161,6)</f>
        <v>42.52</v>
      </c>
      <c r="CU13" s="169">
        <f>VLOOKUP(CU$7,'[14]Curve Summary'!$A$9:$AG$161,6)</f>
        <v>55.77</v>
      </c>
      <c r="CV13" s="169">
        <f>VLOOKUP(CV$7,'[14]Curve Summary'!$A$9:$AG$161,6)</f>
        <v>61.68</v>
      </c>
      <c r="CW13" s="169">
        <f>VLOOKUP(CW$7,'[14]Curve Summary'!$A$9:$AG$161,6)</f>
        <v>49.38</v>
      </c>
      <c r="CX13" s="169">
        <f>VLOOKUP(CX$7,'[14]Curve Summary'!$A$9:$AG$161,6)</f>
        <v>39.68</v>
      </c>
      <c r="CY13" s="169">
        <f>VLOOKUP(CY$7,'[14]Curve Summary'!$A$9:$AG$161,6)</f>
        <v>39.92</v>
      </c>
      <c r="CZ13" s="169">
        <f>VLOOKUP(CZ$7,'[14]Curve Summary'!$A$9:$AG$161,6)</f>
        <v>40.630000000000003</v>
      </c>
      <c r="DA13" s="169">
        <f>VLOOKUP(DA$7,'[14]Curve Summary'!$A$9:$AG$161,6)</f>
        <v>41.38</v>
      </c>
      <c r="DB13" s="169">
        <f>VLOOKUP(DB$7,'[14]Curve Summary'!$A$9:$AG$161,6)</f>
        <v>39.950000000000003</v>
      </c>
      <c r="DC13" s="169">
        <f>VLOOKUP(DC$7,'[14]Curve Summary'!$A$9:$AG$161,6)</f>
        <v>38.53</v>
      </c>
      <c r="DD13" s="169">
        <f>VLOOKUP(DD$7,'[14]Curve Summary'!$A$9:$AG$161,6)</f>
        <v>38.049999999999997</v>
      </c>
      <c r="DE13" s="169">
        <f>VLOOKUP(DE$7,'[14]Curve Summary'!$A$9:$AG$161,6)</f>
        <v>38.53</v>
      </c>
      <c r="DF13" s="169">
        <f>VLOOKUP(DF$7,'[14]Curve Summary'!$A$9:$AG$161,6)</f>
        <v>42.81</v>
      </c>
      <c r="DG13" s="169">
        <f>VLOOKUP(DG$7,'[14]Curve Summary'!$A$9:$AG$161,6)</f>
        <v>56.15</v>
      </c>
      <c r="DH13" s="169">
        <f>VLOOKUP(DH$7,'[14]Curve Summary'!$A$9:$AG$161,6)</f>
        <v>62.1</v>
      </c>
      <c r="DI13" s="169">
        <f>VLOOKUP(DI$7,'[14]Curve Summary'!$A$9:$AG$161,6)</f>
        <v>49.72</v>
      </c>
      <c r="DJ13" s="169">
        <f>VLOOKUP(DJ$7,'[14]Curve Summary'!$A$9:$AG$161,6)</f>
        <v>39.96</v>
      </c>
      <c r="DK13" s="169">
        <f>VLOOKUP(DK$7,'[14]Curve Summary'!$A$9:$AG$161,6)</f>
        <v>40.19</v>
      </c>
      <c r="DL13" s="169">
        <f>VLOOKUP(DL$7,'[14]Curve Summary'!$A$9:$AG$161,6)</f>
        <v>40.909999999999997</v>
      </c>
      <c r="DM13" s="169">
        <f>VLOOKUP(DM$7,'[14]Curve Summary'!$A$9:$AG$161,6)</f>
        <v>41.67</v>
      </c>
      <c r="DN13" s="169">
        <f>VLOOKUP(DN$7,'[14]Curve Summary'!$A$9:$AG$161,6)</f>
        <v>40.229999999999997</v>
      </c>
      <c r="DO13" s="169">
        <f>VLOOKUP(DO$7,'[14]Curve Summary'!$A$9:$AG$161,6)</f>
        <v>38.79</v>
      </c>
      <c r="DP13" s="169">
        <f>VLOOKUP(DP$7,'[14]Curve Summary'!$A$9:$AG$161,6)</f>
        <v>38.31</v>
      </c>
      <c r="DQ13" s="169">
        <f>VLOOKUP(DQ$7,'[14]Curve Summary'!$A$9:$AG$161,6)</f>
        <v>38.79</v>
      </c>
      <c r="DR13" s="169">
        <f>VLOOKUP(DR$7,'[14]Curve Summary'!$A$9:$AG$161,6)</f>
        <v>43.1</v>
      </c>
      <c r="DS13" s="169">
        <f>VLOOKUP(DS$7,'[14]Curve Summary'!$A$9:$AG$161,6)</f>
        <v>56.53</v>
      </c>
      <c r="DT13" s="169">
        <f>VLOOKUP(DT$7,'[14]Curve Summary'!$A$9:$AG$161,6)</f>
        <v>62.52</v>
      </c>
      <c r="DU13" s="169">
        <f>VLOOKUP(DU$7,'[14]Curve Summary'!$A$9:$AG$161,6)</f>
        <v>50.06</v>
      </c>
      <c r="DV13" s="169">
        <f>VLOOKUP(DV$7,'[14]Curve Summary'!$A$9:$AG$161,6)</f>
        <v>40.229999999999997</v>
      </c>
      <c r="DW13" s="169">
        <f>VLOOKUP(DW$7,'[14]Curve Summary'!$A$9:$AG$161,6)</f>
        <v>40.47</v>
      </c>
      <c r="DX13" s="169">
        <f>VLOOKUP(DX$7,'[14]Curve Summary'!$A$9:$AG$161,6)</f>
        <v>41.19</v>
      </c>
      <c r="DY13" s="169">
        <f>VLOOKUP(DY$7,'[14]Curve Summary'!$A$9:$AG$161,6)</f>
        <v>41.95</v>
      </c>
      <c r="DZ13" s="169">
        <f>VLOOKUP(DZ$7,'[14]Curve Summary'!$A$9:$AG$161,6)</f>
        <v>40.5</v>
      </c>
      <c r="EA13" s="169">
        <f>VLOOKUP(EA$7,'[14]Curve Summary'!$A$9:$AG$161,6)</f>
        <v>39.049999999999997</v>
      </c>
      <c r="EB13" s="169">
        <f>VLOOKUP(EB$7,'[14]Curve Summary'!$A$9:$AG$161,6)</f>
        <v>38.57</v>
      </c>
      <c r="EC13" s="169">
        <f>VLOOKUP(EC$7,'[14]Curve Summary'!$A$9:$AG$161,6)</f>
        <v>39.049999999999997</v>
      </c>
      <c r="ED13" s="169">
        <f>VLOOKUP(ED$7,'[14]Curve Summary'!$A$9:$AG$161,6)</f>
        <v>43.4</v>
      </c>
      <c r="EE13" s="169">
        <f>VLOOKUP(EE$7,'[14]Curve Summary'!$A$9:$AG$161,6)</f>
        <v>56.91</v>
      </c>
      <c r="EF13" s="169">
        <f>VLOOKUP(EF$7,'[14]Curve Summary'!$A$9:$AG$161,6)</f>
        <v>62.95</v>
      </c>
      <c r="EG13" s="169">
        <f>VLOOKUP(EG$7,'[14]Curve Summary'!$A$9:$AG$161,6)</f>
        <v>50.4</v>
      </c>
      <c r="EH13" s="169">
        <f>VLOOKUP(EH$7,'[14]Curve Summary'!$A$9:$AG$161,6)</f>
        <v>40.5</v>
      </c>
      <c r="EI13" s="169">
        <f>VLOOKUP(EI$7,'[14]Curve Summary'!$A$9:$AG$161,6)</f>
        <v>40.74</v>
      </c>
      <c r="EJ13" s="169">
        <f>VLOOKUP(EJ$7,'[14]Curve Summary'!$A$9:$AG$161,6)</f>
        <v>41.47</v>
      </c>
    </row>
    <row r="14" spans="1:140" ht="13.65" customHeight="1" x14ac:dyDescent="0.2">
      <c r="A14" s="165" t="s">
        <v>138</v>
      </c>
      <c r="B14" s="166" t="s">
        <v>166</v>
      </c>
      <c r="C14" s="132">
        <f>'[14]Power Desk Daily Price'!$AC14</f>
        <v>27.05</v>
      </c>
      <c r="D14" s="132">
        <f ca="1">IF(ISERROR((AVERAGE(OFFSET('[14]Curve Summary'!$B$6,12,0,15,1))*15+ 10* '[14]Curve Summary Backup'!$B$38)/25), '[14]Curve Summary Backup'!$B$38,(AVERAGE(OFFSET('[14]Curve Summary'!$B$6,12,0,15,1))*15+ 10* '[14]Curve Summary Backup'!$B$38)/25)</f>
        <v>27.5</v>
      </c>
      <c r="E14" s="132">
        <f>VLOOKUP(E$7,'[14]Curve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VLOOKUP(AG$7,'[14]Curve Summary'!$A$9:$AG$161,2)</f>
        <v>32.25</v>
      </c>
      <c r="AH14" s="169">
        <f>VLOOKUP(AH$7,'[14]Curve Summary'!$A$9:$AG$161,2)</f>
        <v>31.75</v>
      </c>
      <c r="AI14" s="169">
        <f>VLOOKUP(AI$7,'[14]Curve Summary'!$A$9:$AG$161,2)</f>
        <v>31.25</v>
      </c>
      <c r="AJ14" s="169">
        <f>VLOOKUP(AJ$7,'[14]Curve Summary'!$A$9:$AG$161,2)</f>
        <v>31</v>
      </c>
      <c r="AK14" s="169">
        <f>VLOOKUP(AK$7,'[14]Curve Summary'!$A$9:$AG$161,2)</f>
        <v>35</v>
      </c>
      <c r="AL14" s="169">
        <f>VLOOKUP(AL$7,'[14]Curve Summary'!$A$9:$AG$161,2)</f>
        <v>43</v>
      </c>
      <c r="AM14" s="169">
        <f>VLOOKUP(AM$7,'[14]Curve Summary'!$A$9:$AG$161,2)</f>
        <v>50.25</v>
      </c>
      <c r="AN14" s="169">
        <f>VLOOKUP(AN$7,'[14]Curve Summary'!$A$9:$AG$161,2)</f>
        <v>59.5</v>
      </c>
      <c r="AO14" s="169">
        <f>VLOOKUP(AO$7,'[14]Curve Summary'!$A$9:$AG$161,2)</f>
        <v>48.75</v>
      </c>
      <c r="AP14" s="169">
        <f>VLOOKUP(AP$7,'[14]Curve Summary'!$A$9:$AG$161,2)</f>
        <v>36</v>
      </c>
      <c r="AQ14" s="169">
        <f>VLOOKUP(AQ$7,'[14]Curve Summary'!$A$9:$AG$161,2)</f>
        <v>34.5</v>
      </c>
      <c r="AR14" s="169">
        <f>VLOOKUP(AR$7,'[14]Curve Summary'!$A$9:$AG$161,2)</f>
        <v>35.25</v>
      </c>
      <c r="AS14" s="169">
        <f>VLOOKUP(AS$7,'[14]Curve Summary'!$A$9:$AG$161,2)</f>
        <v>35.5</v>
      </c>
      <c r="AT14" s="169">
        <f>VLOOKUP(AT$7,'[14]Curve Summary'!$A$9:$AG$161,2)</f>
        <v>35</v>
      </c>
      <c r="AU14" s="169">
        <f>VLOOKUP(AU$7,'[14]Curve Summary'!$A$9:$AG$161,2)</f>
        <v>35</v>
      </c>
      <c r="AV14" s="169">
        <f>VLOOKUP(AV$7,'[14]Curve Summary'!$A$9:$AG$161,2)</f>
        <v>34.5</v>
      </c>
      <c r="AW14" s="169">
        <f>VLOOKUP(AW$7,'[14]Curve Summary'!$A$9:$AG$161,2)</f>
        <v>34.5</v>
      </c>
      <c r="AX14" s="169">
        <f>VLOOKUP(AX$7,'[14]Curve Summary'!$A$9:$AG$161,2)</f>
        <v>39</v>
      </c>
      <c r="AY14" s="169">
        <f>VLOOKUP(AY$7,'[14]Curve Summary'!$A$9:$AG$161,2)</f>
        <v>53.5</v>
      </c>
      <c r="AZ14" s="169">
        <f>VLOOKUP(AZ$7,'[14]Curve Summary'!$A$9:$AG$161,2)</f>
        <v>60</v>
      </c>
      <c r="BA14" s="169">
        <f>VLOOKUP(BA$7,'[14]Curve Summary'!$A$9:$AG$161,2)</f>
        <v>47.5</v>
      </c>
      <c r="BB14" s="169">
        <f>VLOOKUP(BB$7,'[14]Curve Summary'!$A$9:$AG$161,2)</f>
        <v>37</v>
      </c>
      <c r="BC14" s="169">
        <f>VLOOKUP(BC$7,'[14]Curve Summary'!$A$9:$AG$161,2)</f>
        <v>35.5</v>
      </c>
      <c r="BD14" s="169">
        <f>VLOOKUP(BD$7,'[14]Curve Summary'!$A$9:$AG$161,2)</f>
        <v>35.5</v>
      </c>
      <c r="BE14" s="169">
        <f>VLOOKUP(BE$7,'[14]Curve Summary'!$A$9:$AG$161,2)</f>
        <v>36.15</v>
      </c>
      <c r="BF14" s="169">
        <f>VLOOKUP(BF$7,'[14]Curve Summary'!$A$9:$AG$161,2)</f>
        <v>35.68</v>
      </c>
      <c r="BG14" s="169">
        <f>VLOOKUP(BG$7,'[14]Curve Summary'!$A$9:$AG$161,2)</f>
        <v>35.68</v>
      </c>
      <c r="BH14" s="169">
        <f>VLOOKUP(BH$7,'[14]Curve Summary'!$A$9:$AG$161,2)</f>
        <v>35.22</v>
      </c>
      <c r="BI14" s="169">
        <f>VLOOKUP(BI$7,'[14]Curve Summary'!$A$9:$AG$161,2)</f>
        <v>35.22</v>
      </c>
      <c r="BJ14" s="169">
        <f>VLOOKUP(BJ$7,'[14]Curve Summary'!$A$9:$AG$161,2)</f>
        <v>39.39</v>
      </c>
      <c r="BK14" s="169">
        <f>VLOOKUP(BK$7,'[14]Curve Summary'!$A$9:$AG$161,2)</f>
        <v>52.83</v>
      </c>
      <c r="BL14" s="169">
        <f>VLOOKUP(BL$7,'[14]Curve Summary'!$A$9:$AG$161,2)</f>
        <v>58.86</v>
      </c>
      <c r="BM14" s="169">
        <f>VLOOKUP(BM$7,'[14]Curve Summary'!$A$9:$AG$161,2)</f>
        <v>47.27</v>
      </c>
      <c r="BN14" s="169">
        <f>VLOOKUP(BN$7,'[14]Curve Summary'!$A$9:$AG$161,2)</f>
        <v>37.54</v>
      </c>
      <c r="BO14" s="169">
        <f>VLOOKUP(BO$7,'[14]Curve Summary'!$A$9:$AG$161,2)</f>
        <v>36.15</v>
      </c>
      <c r="BP14" s="169">
        <f>VLOOKUP(BP$7,'[14]Curve Summary'!$A$9:$AG$161,2)</f>
        <v>36.15</v>
      </c>
      <c r="BQ14" s="169">
        <f>VLOOKUP(BQ$7,'[14]Curve Summary'!$A$9:$AG$161,2)</f>
        <v>36.409999999999997</v>
      </c>
      <c r="BR14" s="169">
        <f>VLOOKUP(BR$7,'[14]Curve Summary'!$A$9:$AG$161,2)</f>
        <v>35.950000000000003</v>
      </c>
      <c r="BS14" s="169">
        <f>VLOOKUP(BS$7,'[14]Curve Summary'!$A$9:$AG$161,2)</f>
        <v>35.950000000000003</v>
      </c>
      <c r="BT14" s="169">
        <f>VLOOKUP(BT$7,'[14]Curve Summary'!$A$9:$AG$161,2)</f>
        <v>35.479999999999997</v>
      </c>
      <c r="BU14" s="169">
        <f>VLOOKUP(BU$7,'[14]Curve Summary'!$A$9:$AG$161,2)</f>
        <v>35.479999999999997</v>
      </c>
      <c r="BV14" s="169">
        <f>VLOOKUP(BV$7,'[14]Curve Summary'!$A$9:$AG$161,2)</f>
        <v>39.68</v>
      </c>
      <c r="BW14" s="169">
        <f>VLOOKUP(BW$7,'[14]Curve Summary'!$A$9:$AG$161,2)</f>
        <v>53.22</v>
      </c>
      <c r="BX14" s="169">
        <f>VLOOKUP(BX$7,'[14]Curve Summary'!$A$9:$AG$161,2)</f>
        <v>59.29</v>
      </c>
      <c r="BY14" s="169">
        <f>VLOOKUP(BY$7,'[14]Curve Summary'!$A$9:$AG$161,2)</f>
        <v>47.62</v>
      </c>
      <c r="BZ14" s="169">
        <f>VLOOKUP(BZ$7,'[14]Curve Summary'!$A$9:$AG$161,2)</f>
        <v>37.82</v>
      </c>
      <c r="CA14" s="169">
        <f>VLOOKUP(CA$7,'[14]Curve Summary'!$A$9:$AG$161,2)</f>
        <v>36.42</v>
      </c>
      <c r="CB14" s="169">
        <f>VLOOKUP(CB$7,'[14]Curve Summary'!$A$9:$AG$161,2)</f>
        <v>36.42</v>
      </c>
      <c r="CC14" s="169">
        <f>VLOOKUP(CC$7,'[14]Curve Summary'!$A$9:$AG$161,2)</f>
        <v>36.68</v>
      </c>
      <c r="CD14" s="169">
        <f>VLOOKUP(CD$7,'[14]Curve Summary'!$A$9:$AG$161,2)</f>
        <v>36.21</v>
      </c>
      <c r="CE14" s="169">
        <f>VLOOKUP(CE$7,'[14]Curve Summary'!$A$9:$AG$161,2)</f>
        <v>36.21</v>
      </c>
      <c r="CF14" s="169">
        <f>VLOOKUP(CF$7,'[14]Curve Summary'!$A$9:$AG$161,2)</f>
        <v>35.74</v>
      </c>
      <c r="CG14" s="169">
        <f>VLOOKUP(CG$7,'[14]Curve Summary'!$A$9:$AG$161,2)</f>
        <v>35.74</v>
      </c>
      <c r="CH14" s="169">
        <f>VLOOKUP(CH$7,'[14]Curve Summary'!$A$9:$AG$161,2)</f>
        <v>39.97</v>
      </c>
      <c r="CI14" s="169">
        <f>VLOOKUP(CI$7,'[14]Curve Summary'!$A$9:$AG$161,2)</f>
        <v>53.61</v>
      </c>
      <c r="CJ14" s="169">
        <f>VLOOKUP(CJ$7,'[14]Curve Summary'!$A$9:$AG$161,2)</f>
        <v>59.73</v>
      </c>
      <c r="CK14" s="169">
        <f>VLOOKUP(CK$7,'[14]Curve Summary'!$A$9:$AG$161,2)</f>
        <v>47.97</v>
      </c>
      <c r="CL14" s="169">
        <f>VLOOKUP(CL$7,'[14]Curve Summary'!$A$9:$AG$161,2)</f>
        <v>38.090000000000003</v>
      </c>
      <c r="CM14" s="169">
        <f>VLOOKUP(CM$7,'[14]Curve Summary'!$A$9:$AG$161,2)</f>
        <v>36.68</v>
      </c>
      <c r="CN14" s="169">
        <f>VLOOKUP(CN$7,'[14]Curve Summary'!$A$9:$AG$161,2)</f>
        <v>36.68</v>
      </c>
      <c r="CO14" s="169">
        <f>VLOOKUP(CO$7,'[14]Curve Summary'!$A$9:$AG$161,2)</f>
        <v>36.950000000000003</v>
      </c>
      <c r="CP14" s="169">
        <f>VLOOKUP(CP$7,'[14]Curve Summary'!$A$9:$AG$161,2)</f>
        <v>36.479999999999997</v>
      </c>
      <c r="CQ14" s="169">
        <f>VLOOKUP(CQ$7,'[14]Curve Summary'!$A$9:$AG$161,2)</f>
        <v>36.479999999999997</v>
      </c>
      <c r="CR14" s="169">
        <f>VLOOKUP(CR$7,'[14]Curve Summary'!$A$9:$AG$161,2)</f>
        <v>36</v>
      </c>
      <c r="CS14" s="169">
        <f>VLOOKUP(CS$7,'[14]Curve Summary'!$A$9:$AG$161,2)</f>
        <v>36</v>
      </c>
      <c r="CT14" s="169">
        <f>VLOOKUP(CT$7,'[14]Curve Summary'!$A$9:$AG$161,2)</f>
        <v>40.270000000000003</v>
      </c>
      <c r="CU14" s="169">
        <f>VLOOKUP(CU$7,'[14]Curve Summary'!$A$9:$AG$161,2)</f>
        <v>54.01</v>
      </c>
      <c r="CV14" s="169">
        <f>VLOOKUP(CV$7,'[14]Curve Summary'!$A$9:$AG$161,2)</f>
        <v>60.16</v>
      </c>
      <c r="CW14" s="169">
        <f>VLOOKUP(CW$7,'[14]Curve Summary'!$A$9:$AG$161,2)</f>
        <v>48.32</v>
      </c>
      <c r="CX14" s="169">
        <f>VLOOKUP(CX$7,'[14]Curve Summary'!$A$9:$AG$161,2)</f>
        <v>38.369999999999997</v>
      </c>
      <c r="CY14" s="169">
        <f>VLOOKUP(CY$7,'[14]Curve Summary'!$A$9:$AG$161,2)</f>
        <v>36.950000000000003</v>
      </c>
      <c r="CZ14" s="169">
        <f>VLOOKUP(CZ$7,'[14]Curve Summary'!$A$9:$AG$161,2)</f>
        <v>36.950000000000003</v>
      </c>
      <c r="DA14" s="169">
        <f>VLOOKUP(DA$7,'[14]Curve Summary'!$A$9:$AG$161,2)</f>
        <v>37.22</v>
      </c>
      <c r="DB14" s="169">
        <f>VLOOKUP(DB$7,'[14]Curve Summary'!$A$9:$AG$161,2)</f>
        <v>36.74</v>
      </c>
      <c r="DC14" s="169">
        <f>VLOOKUP(DC$7,'[14]Curve Summary'!$A$9:$AG$161,2)</f>
        <v>36.74</v>
      </c>
      <c r="DD14" s="169">
        <f>VLOOKUP(DD$7,'[14]Curve Summary'!$A$9:$AG$161,2)</f>
        <v>36.26</v>
      </c>
      <c r="DE14" s="169">
        <f>VLOOKUP(DE$7,'[14]Curve Summary'!$A$9:$AG$161,2)</f>
        <v>36.26</v>
      </c>
      <c r="DF14" s="169">
        <f>VLOOKUP(DF$7,'[14]Curve Summary'!$A$9:$AG$161,2)</f>
        <v>40.56</v>
      </c>
      <c r="DG14" s="169">
        <f>VLOOKUP(DG$7,'[14]Curve Summary'!$A$9:$AG$161,2)</f>
        <v>54.4</v>
      </c>
      <c r="DH14" s="169">
        <f>VLOOKUP(DH$7,'[14]Curve Summary'!$A$9:$AG$161,2)</f>
        <v>60.6</v>
      </c>
      <c r="DI14" s="169">
        <f>VLOOKUP(DI$7,'[14]Curve Summary'!$A$9:$AG$161,2)</f>
        <v>48.67</v>
      </c>
      <c r="DJ14" s="169">
        <f>VLOOKUP(DJ$7,'[14]Curve Summary'!$A$9:$AG$161,2)</f>
        <v>38.65</v>
      </c>
      <c r="DK14" s="169">
        <f>VLOOKUP(DK$7,'[14]Curve Summary'!$A$9:$AG$161,2)</f>
        <v>37.22</v>
      </c>
      <c r="DL14" s="169">
        <f>VLOOKUP(DL$7,'[14]Curve Summary'!$A$9:$AG$161,2)</f>
        <v>37.22</v>
      </c>
      <c r="DM14" s="169">
        <f>VLOOKUP(DM$7,'[14]Curve Summary'!$A$9:$AG$161,2)</f>
        <v>37.479999999999997</v>
      </c>
      <c r="DN14" s="169">
        <f>VLOOKUP(DN$7,'[14]Curve Summary'!$A$9:$AG$161,2)</f>
        <v>37</v>
      </c>
      <c r="DO14" s="169">
        <f>VLOOKUP(DO$7,'[14]Curve Summary'!$A$9:$AG$161,2)</f>
        <v>37</v>
      </c>
      <c r="DP14" s="169">
        <f>VLOOKUP(DP$7,'[14]Curve Summary'!$A$9:$AG$161,2)</f>
        <v>36.520000000000003</v>
      </c>
      <c r="DQ14" s="169">
        <f>VLOOKUP(DQ$7,'[14]Curve Summary'!$A$9:$AG$161,2)</f>
        <v>36.520000000000003</v>
      </c>
      <c r="DR14" s="169">
        <f>VLOOKUP(DR$7,'[14]Curve Summary'!$A$9:$AG$161,2)</f>
        <v>40.85</v>
      </c>
      <c r="DS14" s="169">
        <f>VLOOKUP(DS$7,'[14]Curve Summary'!$A$9:$AG$161,2)</f>
        <v>54.79</v>
      </c>
      <c r="DT14" s="169">
        <f>VLOOKUP(DT$7,'[14]Curve Summary'!$A$9:$AG$161,2)</f>
        <v>61.04</v>
      </c>
      <c r="DU14" s="169">
        <f>VLOOKUP(DU$7,'[14]Curve Summary'!$A$9:$AG$161,2)</f>
        <v>49.02</v>
      </c>
      <c r="DV14" s="169">
        <f>VLOOKUP(DV$7,'[14]Curve Summary'!$A$9:$AG$161,2)</f>
        <v>38.93</v>
      </c>
      <c r="DW14" s="169">
        <f>VLOOKUP(DW$7,'[14]Curve Summary'!$A$9:$AG$161,2)</f>
        <v>37.49</v>
      </c>
      <c r="DX14" s="169">
        <f>VLOOKUP(DX$7,'[14]Curve Summary'!$A$9:$AG$161,2)</f>
        <v>37.49</v>
      </c>
      <c r="DY14" s="169">
        <f>VLOOKUP(DY$7,'[14]Curve Summary'!$A$9:$AG$161,2)</f>
        <v>37.75</v>
      </c>
      <c r="DZ14" s="169">
        <f>VLOOKUP(DZ$7,'[14]Curve Summary'!$A$9:$AG$161,2)</f>
        <v>37.270000000000003</v>
      </c>
      <c r="EA14" s="169">
        <f>VLOOKUP(EA$7,'[14]Curve Summary'!$A$9:$AG$161,2)</f>
        <v>37.270000000000003</v>
      </c>
      <c r="EB14" s="169">
        <f>VLOOKUP(EB$7,'[14]Curve Summary'!$A$9:$AG$161,2)</f>
        <v>36.78</v>
      </c>
      <c r="EC14" s="169">
        <f>VLOOKUP(EC$7,'[14]Curve Summary'!$A$9:$AG$161,2)</f>
        <v>36.78</v>
      </c>
      <c r="ED14" s="169">
        <f>VLOOKUP(ED$7,'[14]Curve Summary'!$A$9:$AG$161,2)</f>
        <v>41.14</v>
      </c>
      <c r="EE14" s="169">
        <f>VLOOKUP(EE$7,'[14]Curve Summary'!$A$9:$AG$161,2)</f>
        <v>55.18</v>
      </c>
      <c r="EF14" s="169">
        <f>VLOOKUP(EF$7,'[14]Curve Summary'!$A$9:$AG$161,2)</f>
        <v>61.47</v>
      </c>
      <c r="EG14" s="169">
        <f>VLOOKUP(EG$7,'[14]Curve Summary'!$A$9:$AG$161,2)</f>
        <v>49.37</v>
      </c>
      <c r="EH14" s="169">
        <f>VLOOKUP(EH$7,'[14]Curve Summary'!$A$9:$AG$161,2)</f>
        <v>39.21</v>
      </c>
      <c r="EI14" s="169">
        <f>VLOOKUP(EI$7,'[14]Curve Summary'!$A$9:$AG$161,2)</f>
        <v>37.75</v>
      </c>
      <c r="EJ14" s="169">
        <f>VLOOKUP(EJ$7,'[14]Curve Summary'!$A$9:$AG$161,2)</f>
        <v>37.75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'[14]Power Desk Daily Price'!$AC15</f>
        <v>28.05</v>
      </c>
      <c r="D15" s="136">
        <f ca="1">IF(ISERROR((AVERAGE(OFFSET('[14]Curve Summary'!$G$6,12,0,15,1))*15+ 10* '[14]Curve Summary Backup'!$G$38)/25), '[14]Curve Summary Backup'!$G$38,(AVERAGE(OFFSET('[14]Curve Summary'!$G$6,12,0,15,1))*15+ 10* '[14]Curve Summary Backup'!$G$38)/25)</f>
        <v>28.5</v>
      </c>
      <c r="E15" s="136">
        <f>VLOOKUP(E$7,'[14]Curve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VLOOKUP(AG$7,'[14]Curve Summary'!$A$9:$AG$161,7)</f>
        <v>33.75</v>
      </c>
      <c r="AH15" s="132">
        <f>VLOOKUP(AH$7,'[14]Curve Summary'!$A$9:$AG$161,7)</f>
        <v>33</v>
      </c>
      <c r="AI15" s="132">
        <f>VLOOKUP(AI$7,'[14]Curve Summary'!$A$9:$AG$161,7)</f>
        <v>32.5</v>
      </c>
      <c r="AJ15" s="132">
        <f>VLOOKUP(AJ$7,'[14]Curve Summary'!$A$9:$AG$161,7)</f>
        <v>33</v>
      </c>
      <c r="AK15" s="132">
        <f>VLOOKUP(AK$7,'[14]Curve Summary'!$A$9:$AG$161,7)</f>
        <v>38</v>
      </c>
      <c r="AL15" s="132">
        <f>VLOOKUP(AL$7,'[14]Curve Summary'!$A$9:$AG$161,7)</f>
        <v>48</v>
      </c>
      <c r="AM15" s="132">
        <f>VLOOKUP(AM$7,'[14]Curve Summary'!$A$9:$AG$161,7)</f>
        <v>57.25</v>
      </c>
      <c r="AN15" s="132">
        <f>VLOOKUP(AN$7,'[14]Curve Summary'!$A$9:$AG$161,7)</f>
        <v>69.5</v>
      </c>
      <c r="AO15" s="132">
        <f>VLOOKUP(AO$7,'[14]Curve Summary'!$A$9:$AG$161,7)</f>
        <v>55.75</v>
      </c>
      <c r="AP15" s="132">
        <f>VLOOKUP(AP$7,'[14]Curve Summary'!$A$9:$AG$161,7)</f>
        <v>38.5</v>
      </c>
      <c r="AQ15" s="132">
        <f>VLOOKUP(AQ$7,'[14]Curve Summary'!$A$9:$AG$161,7)</f>
        <v>36.5</v>
      </c>
      <c r="AR15" s="132">
        <f>VLOOKUP(AR$7,'[14]Curve Summary'!$A$9:$AG$161,7)</f>
        <v>37.25</v>
      </c>
      <c r="AS15" s="132">
        <f>VLOOKUP(AS$7,'[14]Curve Summary'!$A$9:$AG$161,7)</f>
        <v>37.5</v>
      </c>
      <c r="AT15" s="132">
        <f>VLOOKUP(AT$7,'[14]Curve Summary'!$A$9:$AG$161,7)</f>
        <v>37</v>
      </c>
      <c r="AU15" s="132">
        <f>VLOOKUP(AU$7,'[14]Curve Summary'!$A$9:$AG$161,7)</f>
        <v>37</v>
      </c>
      <c r="AV15" s="132">
        <f>VLOOKUP(AV$7,'[14]Curve Summary'!$A$9:$AG$161,7)</f>
        <v>36.5</v>
      </c>
      <c r="AW15" s="132">
        <f>VLOOKUP(AW$7,'[14]Curve Summary'!$A$9:$AG$161,7)</f>
        <v>36.5</v>
      </c>
      <c r="AX15" s="132">
        <f>VLOOKUP(AX$7,'[14]Curve Summary'!$A$9:$AG$161,7)</f>
        <v>43.5</v>
      </c>
      <c r="AY15" s="132">
        <f>VLOOKUP(AY$7,'[14]Curve Summary'!$A$9:$AG$161,7)</f>
        <v>59.5</v>
      </c>
      <c r="AZ15" s="132">
        <f>VLOOKUP(AZ$7,'[14]Curve Summary'!$A$9:$AG$161,7)</f>
        <v>68</v>
      </c>
      <c r="BA15" s="132">
        <f>VLOOKUP(BA$7,'[14]Curve Summary'!$A$9:$AG$161,7)</f>
        <v>53.5</v>
      </c>
      <c r="BB15" s="132">
        <f>VLOOKUP(BB$7,'[14]Curve Summary'!$A$9:$AG$161,7)</f>
        <v>39.25</v>
      </c>
      <c r="BC15" s="132">
        <f>VLOOKUP(BC$7,'[14]Curve Summary'!$A$9:$AG$161,7)</f>
        <v>37.25</v>
      </c>
      <c r="BD15" s="132">
        <f>VLOOKUP(BD$7,'[14]Curve Summary'!$A$9:$AG$161,7)</f>
        <v>37</v>
      </c>
      <c r="BE15" s="132">
        <f>VLOOKUP(BE$7,'[14]Curve Summary'!$A$9:$AG$161,7)</f>
        <v>38.35</v>
      </c>
      <c r="BF15" s="132">
        <f>VLOOKUP(BF$7,'[14]Curve Summary'!$A$9:$AG$161,7)</f>
        <v>37.880000000000003</v>
      </c>
      <c r="BG15" s="132">
        <f>VLOOKUP(BG$7,'[14]Curve Summary'!$A$9:$AG$161,7)</f>
        <v>37.880000000000003</v>
      </c>
      <c r="BH15" s="132">
        <f>VLOOKUP(BH$7,'[14]Curve Summary'!$A$9:$AG$161,7)</f>
        <v>37.42</v>
      </c>
      <c r="BI15" s="132">
        <f>VLOOKUP(BI$7,'[14]Curve Summary'!$A$9:$AG$161,7)</f>
        <v>37.42</v>
      </c>
      <c r="BJ15" s="132">
        <f>VLOOKUP(BJ$7,'[14]Curve Summary'!$A$9:$AG$161,7)</f>
        <v>43.72</v>
      </c>
      <c r="BK15" s="132">
        <f>VLOOKUP(BK$7,'[14]Curve Summary'!$A$9:$AG$161,7)</f>
        <v>58.43</v>
      </c>
      <c r="BL15" s="132">
        <f>VLOOKUP(BL$7,'[14]Curve Summary'!$A$9:$AG$161,7)</f>
        <v>66.16</v>
      </c>
      <c r="BM15" s="132">
        <f>VLOOKUP(BM$7,'[14]Curve Summary'!$A$9:$AG$161,7)</f>
        <v>52.87</v>
      </c>
      <c r="BN15" s="132">
        <f>VLOOKUP(BN$7,'[14]Curve Summary'!$A$9:$AG$161,7)</f>
        <v>39.950000000000003</v>
      </c>
      <c r="BO15" s="132">
        <f>VLOOKUP(BO$7,'[14]Curve Summary'!$A$9:$AG$161,7)</f>
        <v>38.130000000000003</v>
      </c>
      <c r="BP15" s="132">
        <f>VLOOKUP(BP$7,'[14]Curve Summary'!$A$9:$AG$161,7)</f>
        <v>37.92</v>
      </c>
      <c r="BQ15" s="132">
        <f>VLOOKUP(BQ$7,'[14]Curve Summary'!$A$9:$AG$161,7)</f>
        <v>38.729999999999997</v>
      </c>
      <c r="BR15" s="132">
        <f>VLOOKUP(BR$7,'[14]Curve Summary'!$A$9:$AG$161,7)</f>
        <v>38.270000000000003</v>
      </c>
      <c r="BS15" s="132">
        <f>VLOOKUP(BS$7,'[14]Curve Summary'!$A$9:$AG$161,7)</f>
        <v>38.270000000000003</v>
      </c>
      <c r="BT15" s="132">
        <f>VLOOKUP(BT$7,'[14]Curve Summary'!$A$9:$AG$161,7)</f>
        <v>37.799999999999997</v>
      </c>
      <c r="BU15" s="132">
        <f>VLOOKUP(BU$7,'[14]Curve Summary'!$A$9:$AG$161,7)</f>
        <v>37.799999999999997</v>
      </c>
      <c r="BV15" s="132">
        <f>VLOOKUP(BV$7,'[14]Curve Summary'!$A$9:$AG$161,7)</f>
        <v>43.81</v>
      </c>
      <c r="BW15" s="132">
        <f>VLOOKUP(BW$7,'[14]Curve Summary'!$A$9:$AG$161,7)</f>
        <v>58.42</v>
      </c>
      <c r="BX15" s="132">
        <f>VLOOKUP(BX$7,'[14]Curve Summary'!$A$9:$AG$161,7)</f>
        <v>65.930000000000007</v>
      </c>
      <c r="BY15" s="132">
        <f>VLOOKUP(BY$7,'[14]Curve Summary'!$A$9:$AG$161,7)</f>
        <v>52.82</v>
      </c>
      <c r="BZ15" s="132">
        <f>VLOOKUP(BZ$7,'[14]Curve Summary'!$A$9:$AG$161,7)</f>
        <v>40.32</v>
      </c>
      <c r="CA15" s="132">
        <f>VLOOKUP(CA$7,'[14]Curve Summary'!$A$9:$AG$161,7)</f>
        <v>38.56</v>
      </c>
      <c r="CB15" s="132">
        <f>VLOOKUP(CB$7,'[14]Curve Summary'!$A$9:$AG$161,7)</f>
        <v>38.380000000000003</v>
      </c>
      <c r="CC15" s="132">
        <f>VLOOKUP(CC$7,'[14]Curve Summary'!$A$9:$AG$161,7)</f>
        <v>39.1</v>
      </c>
      <c r="CD15" s="132">
        <f>VLOOKUP(CD$7,'[14]Curve Summary'!$A$9:$AG$161,7)</f>
        <v>38.630000000000003</v>
      </c>
      <c r="CE15" s="132">
        <f>VLOOKUP(CE$7,'[14]Curve Summary'!$A$9:$AG$161,7)</f>
        <v>38.630000000000003</v>
      </c>
      <c r="CF15" s="132">
        <f>VLOOKUP(CF$7,'[14]Curve Summary'!$A$9:$AG$161,7)</f>
        <v>38.159999999999997</v>
      </c>
      <c r="CG15" s="132">
        <f>VLOOKUP(CG$7,'[14]Curve Summary'!$A$9:$AG$161,7)</f>
        <v>38.159999999999997</v>
      </c>
      <c r="CH15" s="132">
        <f>VLOOKUP(CH$7,'[14]Curve Summary'!$A$9:$AG$161,7)</f>
        <v>43.93</v>
      </c>
      <c r="CI15" s="132">
        <f>VLOOKUP(CI$7,'[14]Curve Summary'!$A$9:$AG$161,7)</f>
        <v>58.47</v>
      </c>
      <c r="CJ15" s="132">
        <f>VLOOKUP(CJ$7,'[14]Curve Summary'!$A$9:$AG$161,7)</f>
        <v>65.81</v>
      </c>
      <c r="CK15" s="132">
        <f>VLOOKUP(CK$7,'[14]Curve Summary'!$A$9:$AG$161,7)</f>
        <v>52.83</v>
      </c>
      <c r="CL15" s="132">
        <f>VLOOKUP(CL$7,'[14]Curve Summary'!$A$9:$AG$161,7)</f>
        <v>40.659999999999997</v>
      </c>
      <c r="CM15" s="132">
        <f>VLOOKUP(CM$7,'[14]Curve Summary'!$A$9:$AG$161,7)</f>
        <v>38.94</v>
      </c>
      <c r="CN15" s="132">
        <f>VLOOKUP(CN$7,'[14]Curve Summary'!$A$9:$AG$161,7)</f>
        <v>38.79</v>
      </c>
      <c r="CO15" s="132">
        <f>VLOOKUP(CO$7,'[14]Curve Summary'!$A$9:$AG$161,7)</f>
        <v>39.4</v>
      </c>
      <c r="CP15" s="132">
        <f>VLOOKUP(CP$7,'[14]Curve Summary'!$A$9:$AG$161,7)</f>
        <v>38.93</v>
      </c>
      <c r="CQ15" s="132">
        <f>VLOOKUP(CQ$7,'[14]Curve Summary'!$A$9:$AG$161,7)</f>
        <v>38.93</v>
      </c>
      <c r="CR15" s="132">
        <f>VLOOKUP(CR$7,'[14]Curve Summary'!$A$9:$AG$161,7)</f>
        <v>38.46</v>
      </c>
      <c r="CS15" s="132">
        <f>VLOOKUP(CS$7,'[14]Curve Summary'!$A$9:$AG$161,7)</f>
        <v>38.450000000000003</v>
      </c>
      <c r="CT15" s="132">
        <f>VLOOKUP(CT$7,'[14]Curve Summary'!$A$9:$AG$161,7)</f>
        <v>44.11</v>
      </c>
      <c r="CU15" s="132">
        <f>VLOOKUP(CU$7,'[14]Curve Summary'!$A$9:$AG$161,7)</f>
        <v>58.65</v>
      </c>
      <c r="CV15" s="132">
        <f>VLOOKUP(CV$7,'[14]Curve Summary'!$A$9:$AG$161,7)</f>
        <v>65.900000000000006</v>
      </c>
      <c r="CW15" s="132">
        <f>VLOOKUP(CW$7,'[14]Curve Summary'!$A$9:$AG$161,7)</f>
        <v>52.96</v>
      </c>
      <c r="CX15" s="132">
        <f>VLOOKUP(CX$7,'[14]Curve Summary'!$A$9:$AG$161,7)</f>
        <v>40.950000000000003</v>
      </c>
      <c r="CY15" s="132">
        <f>VLOOKUP(CY$7,'[14]Curve Summary'!$A$9:$AG$161,7)</f>
        <v>39.26</v>
      </c>
      <c r="CZ15" s="132">
        <f>VLOOKUP(CZ$7,'[14]Curve Summary'!$A$9:$AG$161,7)</f>
        <v>39.119999999999997</v>
      </c>
      <c r="DA15" s="132">
        <f>VLOOKUP(DA$7,'[14]Curve Summary'!$A$9:$AG$161,7)</f>
        <v>39.68</v>
      </c>
      <c r="DB15" s="132">
        <f>VLOOKUP(DB$7,'[14]Curve Summary'!$A$9:$AG$161,7)</f>
        <v>39.200000000000003</v>
      </c>
      <c r="DC15" s="132">
        <f>VLOOKUP(DC$7,'[14]Curve Summary'!$A$9:$AG$161,7)</f>
        <v>39.200000000000003</v>
      </c>
      <c r="DD15" s="132">
        <f>VLOOKUP(DD$7,'[14]Curve Summary'!$A$9:$AG$161,7)</f>
        <v>38.729999999999997</v>
      </c>
      <c r="DE15" s="132">
        <f>VLOOKUP(DE$7,'[14]Curve Summary'!$A$9:$AG$161,7)</f>
        <v>38.729999999999997</v>
      </c>
      <c r="DF15" s="132">
        <f>VLOOKUP(DF$7,'[14]Curve Summary'!$A$9:$AG$161,7)</f>
        <v>44.3</v>
      </c>
      <c r="DG15" s="132">
        <f>VLOOKUP(DG$7,'[14]Curve Summary'!$A$9:$AG$161,7)</f>
        <v>58.87</v>
      </c>
      <c r="DH15" s="132">
        <f>VLOOKUP(DH$7,'[14]Curve Summary'!$A$9:$AG$161,7)</f>
        <v>66.08</v>
      </c>
      <c r="DI15" s="132">
        <f>VLOOKUP(DI$7,'[14]Curve Summary'!$A$9:$AG$161,7)</f>
        <v>53.14</v>
      </c>
      <c r="DJ15" s="132">
        <f>VLOOKUP(DJ$7,'[14]Curve Summary'!$A$9:$AG$161,7)</f>
        <v>41.23</v>
      </c>
      <c r="DK15" s="132">
        <f>VLOOKUP(DK$7,'[14]Curve Summary'!$A$9:$AG$161,7)</f>
        <v>39.549999999999997</v>
      </c>
      <c r="DL15" s="132">
        <f>VLOOKUP(DL$7,'[14]Curve Summary'!$A$9:$AG$161,7)</f>
        <v>39.42</v>
      </c>
      <c r="DM15" s="132">
        <f>VLOOKUP(DM$7,'[14]Curve Summary'!$A$9:$AG$161,7)</f>
        <v>39.950000000000003</v>
      </c>
      <c r="DN15" s="132">
        <f>VLOOKUP(DN$7,'[14]Curve Summary'!$A$9:$AG$161,7)</f>
        <v>39.47</v>
      </c>
      <c r="DO15" s="132">
        <f>VLOOKUP(DO$7,'[14]Curve Summary'!$A$9:$AG$161,7)</f>
        <v>39.47</v>
      </c>
      <c r="DP15" s="132">
        <f>VLOOKUP(DP$7,'[14]Curve Summary'!$A$9:$AG$161,7)</f>
        <v>38.99</v>
      </c>
      <c r="DQ15" s="132">
        <f>VLOOKUP(DQ$7,'[14]Curve Summary'!$A$9:$AG$161,7)</f>
        <v>38.99</v>
      </c>
      <c r="DR15" s="132">
        <f>VLOOKUP(DR$7,'[14]Curve Summary'!$A$9:$AG$161,7)</f>
        <v>44.5</v>
      </c>
      <c r="DS15" s="132">
        <f>VLOOKUP(DS$7,'[14]Curve Summary'!$A$9:$AG$161,7)</f>
        <v>59.09</v>
      </c>
      <c r="DT15" s="132">
        <f>VLOOKUP(DT$7,'[14]Curve Summary'!$A$9:$AG$161,7)</f>
        <v>66.27</v>
      </c>
      <c r="DU15" s="132">
        <f>VLOOKUP(DU$7,'[14]Curve Summary'!$A$9:$AG$161,7)</f>
        <v>53.33</v>
      </c>
      <c r="DV15" s="132">
        <f>VLOOKUP(DV$7,'[14]Curve Summary'!$A$9:$AG$161,7)</f>
        <v>41.5</v>
      </c>
      <c r="DW15" s="132">
        <f>VLOOKUP(DW$7,'[14]Curve Summary'!$A$9:$AG$161,7)</f>
        <v>39.83</v>
      </c>
      <c r="DX15" s="132">
        <f>VLOOKUP(DX$7,'[14]Curve Summary'!$A$9:$AG$161,7)</f>
        <v>39.71</v>
      </c>
      <c r="DY15" s="132">
        <f>VLOOKUP(DY$7,'[14]Curve Summary'!$A$9:$AG$161,7)</f>
        <v>40.17</v>
      </c>
      <c r="DZ15" s="132">
        <f>VLOOKUP(DZ$7,'[14]Curve Summary'!$A$9:$AG$161,7)</f>
        <v>39.69</v>
      </c>
      <c r="EA15" s="132">
        <f>VLOOKUP(EA$7,'[14]Curve Summary'!$A$9:$AG$161,7)</f>
        <v>39.700000000000003</v>
      </c>
      <c r="EB15" s="132">
        <f>VLOOKUP(EB$7,'[14]Curve Summary'!$A$9:$AG$161,7)</f>
        <v>39.21</v>
      </c>
      <c r="EC15" s="132">
        <f>VLOOKUP(EC$7,'[14]Curve Summary'!$A$9:$AG$161,7)</f>
        <v>39.21</v>
      </c>
      <c r="ED15" s="132">
        <f>VLOOKUP(ED$7,'[14]Curve Summary'!$A$9:$AG$161,7)</f>
        <v>44.64</v>
      </c>
      <c r="EE15" s="132">
        <f>VLOOKUP(EE$7,'[14]Curve Summary'!$A$9:$AG$161,7)</f>
        <v>59.27</v>
      </c>
      <c r="EF15" s="132">
        <f>VLOOKUP(EF$7,'[14]Curve Summary'!$A$9:$AG$161,7)</f>
        <v>66.41</v>
      </c>
      <c r="EG15" s="132">
        <f>VLOOKUP(EG$7,'[14]Curve Summary'!$A$9:$AG$161,7)</f>
        <v>53.47</v>
      </c>
      <c r="EH15" s="132">
        <f>VLOOKUP(EH$7,'[14]Curve Summary'!$A$9:$AG$161,7)</f>
        <v>41.73</v>
      </c>
      <c r="EI15" s="132">
        <f>VLOOKUP(EI$7,'[14]Curve Summary'!$A$9:$AG$161,7)</f>
        <v>40.06</v>
      </c>
      <c r="EJ15" s="132">
        <f>VLOOKUP(EJ$7,'[14]Curve Summary'!$A$9:$AG$161,7)</f>
        <v>39.950000000000003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'[14]Power Desk Daily Price'!$AC18</f>
        <v>43.454545454545453</v>
      </c>
      <c r="D18" s="179">
        <f ca="1">IF(ISERROR((AVERAGE(OFFSET('[14]Curve Summary ALBERTA'!$R$6,10,0,12,1))*12+ 9* '[14]Curve Summary Backup'!$R$38)/21), '[14]Curve Summary Backup'!$R$38,(AVERAGE(OFFSET('[14]Curve Summary ALBERTA'!$R$6,10,0,12,1))*12+ 9* '[14]Curve Summary Backup'!$R$38)/21)</f>
        <v>45.749996185302734</v>
      </c>
      <c r="E18" s="179">
        <f>VLOOKUP(E$7,'[14]Curve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VLOOKUP(AG$7,'[14]Curve Summary ALBERTA'!$A$13:$AG$161,18)</f>
        <v>57.628511657714846</v>
      </c>
      <c r="AH18" s="132">
        <f>VLOOKUP(AH$7,'[14]Curve Summary ALBERTA'!$A$13:$AG$161,18)</f>
        <v>57.244737548828127</v>
      </c>
      <c r="AI18" s="132">
        <f>VLOOKUP(AI$7,'[14]Curve Summary ALBERTA'!$A$13:$AG$161,18)</f>
        <v>56.199056091308591</v>
      </c>
      <c r="AJ18" s="132">
        <f>VLOOKUP(AJ$7,'[14]Curve Summary ALBERTA'!$A$13:$AG$161,18)</f>
        <v>51.849272155761717</v>
      </c>
      <c r="AK18" s="132">
        <f>VLOOKUP(AK$7,'[14]Curve Summary ALBERTA'!$A$13:$AG$161,18)</f>
        <v>52.619288787841796</v>
      </c>
      <c r="AL18" s="132">
        <f>VLOOKUP(AL$7,'[14]Curve Summary ALBERTA'!$A$13:$AG$161,18)</f>
        <v>54.654976121995361</v>
      </c>
      <c r="AM18" s="132">
        <f>VLOOKUP(AM$7,'[14]Curve Summary ALBERTA'!$A$13:$AG$161,18)</f>
        <v>47.175168618682115</v>
      </c>
      <c r="AN18" s="132">
        <f>VLOOKUP(AN$7,'[14]Curve Summary ALBERTA'!$A$13:$AG$161,18)</f>
        <v>48.030419621102205</v>
      </c>
      <c r="AO18" s="132">
        <f>VLOOKUP(AO$7,'[14]Curve Summary ALBERTA'!$A$13:$AG$161,18)</f>
        <v>48.040008506904051</v>
      </c>
      <c r="AP18" s="132">
        <f>VLOOKUP(AP$7,'[14]Curve Summary ALBERTA'!$A$13:$AG$161,18)</f>
        <v>52.39895195158693</v>
      </c>
      <c r="AQ18" s="132">
        <f>VLOOKUP(AQ$7,'[14]Curve Summary ALBERTA'!$A$13:$AG$161,18)</f>
        <v>57.737953158028134</v>
      </c>
      <c r="AR18" s="132">
        <f>VLOOKUP(AR$7,'[14]Curve Summary ALBERTA'!$A$13:$AG$161,18)</f>
        <v>62.042138223254973</v>
      </c>
      <c r="AS18" s="132">
        <f>VLOOKUP(AS$7,'[14]Curve Summary ALBERTA'!$A$13:$AG$161,18)</f>
        <v>50.122577042138502</v>
      </c>
      <c r="AT18" s="132">
        <f>VLOOKUP(AT$7,'[14]Curve Summary ALBERTA'!$A$13:$AG$161,18)</f>
        <v>48.710640380118456</v>
      </c>
      <c r="AU18" s="132">
        <f>VLOOKUP(AU$7,'[14]Curve Summary ALBERTA'!$A$13:$AG$161,18)</f>
        <v>47.170614587219021</v>
      </c>
      <c r="AV18" s="132">
        <f>VLOOKUP(AV$7,'[14]Curve Summary ALBERTA'!$A$13:$AG$161,18)</f>
        <v>44.904514904393672</v>
      </c>
      <c r="AW18" s="132">
        <f>VLOOKUP(AW$7,'[14]Curve Summary ALBERTA'!$A$13:$AG$161,18)</f>
        <v>45.14686475956163</v>
      </c>
      <c r="AX18" s="132">
        <f>VLOOKUP(AX$7,'[14]Curve Summary ALBERTA'!$A$13:$AG$161,18)</f>
        <v>45.625522156318638</v>
      </c>
      <c r="AY18" s="132">
        <f>VLOOKUP(AY$7,'[14]Curve Summary ALBERTA'!$A$13:$AG$161,18)</f>
        <v>46.055971130185917</v>
      </c>
      <c r="AZ18" s="132">
        <f>VLOOKUP(AZ$7,'[14]Curve Summary ALBERTA'!$A$13:$AG$161,18)</f>
        <v>46.564660977524859</v>
      </c>
      <c r="BA18" s="132">
        <f>VLOOKUP(BA$7,'[14]Curve Summary ALBERTA'!$A$13:$AG$161,18)</f>
        <v>46.583335180848266</v>
      </c>
      <c r="BB18" s="132">
        <f>VLOOKUP(BB$7,'[14]Curve Summary ALBERTA'!$A$13:$AG$161,18)</f>
        <v>46.823134462892966</v>
      </c>
      <c r="BC18" s="132">
        <f>VLOOKUP(BC$7,'[14]Curve Summary ALBERTA'!$A$13:$AG$161,18)</f>
        <v>50.312305923402278</v>
      </c>
      <c r="BD18" s="132">
        <f>VLOOKUP(BD$7,'[14]Curve Summary ALBERTA'!$A$13:$AG$161,18)</f>
        <v>52.721102517811211</v>
      </c>
      <c r="BE18" s="132">
        <f>VLOOKUP(BE$7,'[14]Curve Summary ALBERTA'!$A$13:$AG$161,18)</f>
        <v>51.030232706618037</v>
      </c>
      <c r="BF18" s="132">
        <f>VLOOKUP(BF$7,'[14]Curve Summary ALBERTA'!$A$13:$AG$161,18)</f>
        <v>49.294299441869683</v>
      </c>
      <c r="BG18" s="132">
        <f>VLOOKUP(BG$7,'[14]Curve Summary ALBERTA'!$A$13:$AG$161,18)</f>
        <v>47.077435788366728</v>
      </c>
      <c r="BH18" s="132">
        <f>VLOOKUP(BH$7,'[14]Curve Summary ALBERTA'!$A$13:$AG$161,18)</f>
        <v>43.991873581899902</v>
      </c>
      <c r="BI18" s="132">
        <f>VLOOKUP(BI$7,'[14]Curve Summary ALBERTA'!$A$13:$AG$161,18)</f>
        <v>43.91469473780753</v>
      </c>
      <c r="BJ18" s="132">
        <f>VLOOKUP(BJ$7,'[14]Curve Summary ALBERTA'!$A$13:$AG$161,18)</f>
        <v>44.482864041965151</v>
      </c>
      <c r="BK18" s="132">
        <f>VLOOKUP(BK$7,'[14]Curve Summary ALBERTA'!$A$13:$AG$161,18)</f>
        <v>45.157898857657123</v>
      </c>
      <c r="BL18" s="132">
        <f>VLOOKUP(BL$7,'[14]Curve Summary ALBERTA'!$A$13:$AG$161,18)</f>
        <v>45.729855837900431</v>
      </c>
      <c r="BM18" s="132">
        <f>VLOOKUP(BM$7,'[14]Curve Summary ALBERTA'!$A$13:$AG$161,18)</f>
        <v>45.640510170876603</v>
      </c>
      <c r="BN18" s="132">
        <f>VLOOKUP(BN$7,'[14]Curve Summary ALBERTA'!$A$13:$AG$161,18)</f>
        <v>45.643471860093953</v>
      </c>
      <c r="BO18" s="132">
        <f>VLOOKUP(BO$7,'[14]Curve Summary ALBERTA'!$A$13:$AG$161,18)</f>
        <v>48.856043669774053</v>
      </c>
      <c r="BP18" s="132">
        <f>VLOOKUP(BP$7,'[14]Curve Summary ALBERTA'!$A$13:$AG$161,18)</f>
        <v>51.065863021708111</v>
      </c>
      <c r="BQ18" s="132">
        <f>VLOOKUP(BQ$7,'[14]Curve Summary ALBERTA'!$A$13:$AG$161,18)</f>
        <v>49.855084754130651</v>
      </c>
      <c r="BR18" s="132">
        <f>VLOOKUP(BR$7,'[14]Curve Summary ALBERTA'!$A$13:$AG$161,18)</f>
        <v>48.202648113363992</v>
      </c>
      <c r="BS18" s="132">
        <f>VLOOKUP(BS$7,'[14]Curve Summary ALBERTA'!$A$13:$AG$161,18)</f>
        <v>46.095188594107192</v>
      </c>
      <c r="BT18" s="132">
        <f>VLOOKUP(BT$7,'[14]Curve Summary ALBERTA'!$A$13:$AG$161,18)</f>
        <v>43.021738942770732</v>
      </c>
      <c r="BU18" s="132">
        <f>VLOOKUP(BU$7,'[14]Curve Summary ALBERTA'!$A$13:$AG$161,18)</f>
        <v>42.945825083138715</v>
      </c>
      <c r="BV18" s="132">
        <f>VLOOKUP(BV$7,'[14]Curve Summary ALBERTA'!$A$13:$AG$161,18)</f>
        <v>43.482220673763322</v>
      </c>
      <c r="BW18" s="132">
        <f>VLOOKUP(BW$7,'[14]Curve Summary ALBERTA'!$A$13:$AG$161,18)</f>
        <v>44.120257673305574</v>
      </c>
      <c r="BX18" s="132">
        <f>VLOOKUP(BX$7,'[14]Curve Summary ALBERTA'!$A$13:$AG$161,18)</f>
        <v>44.660268363688481</v>
      </c>
      <c r="BY18" s="132">
        <f>VLOOKUP(BY$7,'[14]Curve Summary ALBERTA'!$A$13:$AG$161,18)</f>
        <v>44.573056907605249</v>
      </c>
      <c r="BZ18" s="132">
        <f>VLOOKUP(BZ$7,'[14]Curve Summary ALBERTA'!$A$13:$AG$161,18)</f>
        <v>44.572572673872656</v>
      </c>
      <c r="CA18" s="132">
        <f>VLOOKUP(CA$7,'[14]Curve Summary ALBERTA'!$A$13:$AG$161,18)</f>
        <v>47.695927318040596</v>
      </c>
      <c r="CB18" s="132">
        <f>VLOOKUP(CB$7,'[14]Curve Summary ALBERTA'!$A$13:$AG$161,18)</f>
        <v>49.80770832320313</v>
      </c>
      <c r="CC18" s="132">
        <f>VLOOKUP(CC$7,'[14]Curve Summary ALBERTA'!$A$13:$AG$161,18)</f>
        <v>45.544577768402313</v>
      </c>
      <c r="CD18" s="132">
        <f>VLOOKUP(CD$7,'[14]Curve Summary ALBERTA'!$A$13:$AG$161,18)</f>
        <v>44.098792813324806</v>
      </c>
      <c r="CE18" s="132">
        <f>VLOOKUP(CE$7,'[14]Curve Summary ALBERTA'!$A$13:$AG$161,18)</f>
        <v>42.245478785538538</v>
      </c>
      <c r="CF18" s="132">
        <f>VLOOKUP(CF$7,'[14]Curve Summary ALBERTA'!$A$13:$AG$161,18)</f>
        <v>39.466412664699106</v>
      </c>
      <c r="CG18" s="132">
        <f>VLOOKUP(CG$7,'[14]Curve Summary ALBERTA'!$A$13:$AG$161,18)</f>
        <v>39.414410737739189</v>
      </c>
      <c r="CH18" s="132">
        <f>VLOOKUP(CH$7,'[14]Curve Summary ALBERTA'!$A$13:$AG$161,18)</f>
        <v>39.908999307220427</v>
      </c>
      <c r="CI18" s="132">
        <f>VLOOKUP(CI$7,'[14]Curve Summary ALBERTA'!$A$13:$AG$161,18)</f>
        <v>40.492709464800157</v>
      </c>
      <c r="CJ18" s="132">
        <f>VLOOKUP(CJ$7,'[14]Curve Summary ALBERTA'!$A$13:$AG$161,18)</f>
        <v>40.988607992796545</v>
      </c>
      <c r="CK18" s="132">
        <f>VLOOKUP(CK$7,'[14]Curve Summary ALBERTA'!$A$13:$AG$161,18)</f>
        <v>40.926023756348165</v>
      </c>
      <c r="CL18" s="132">
        <f>VLOOKUP(CL$7,'[14]Curve Summary ALBERTA'!$A$13:$AG$161,18)</f>
        <v>40.939555091348332</v>
      </c>
      <c r="CM18" s="132">
        <f>VLOOKUP(CM$7,'[14]Curve Summary ALBERTA'!$A$13:$AG$161,18)</f>
        <v>43.7942765653329</v>
      </c>
      <c r="CN18" s="132">
        <f>VLOOKUP(CN$7,'[14]Curve Summary ALBERTA'!$A$13:$AG$161,18)</f>
        <v>45.678373384405248</v>
      </c>
      <c r="CO18" s="132">
        <f>VLOOKUP(CO$7,'[14]Curve Summary ALBERTA'!$A$13:$AG$161,18)</f>
        <v>46.952331984305758</v>
      </c>
      <c r="CP18" s="132">
        <f>VLOOKUP(CP$7,'[14]Curve Summary ALBERTA'!$A$13:$AG$161,18)</f>
        <v>45.492360631855249</v>
      </c>
      <c r="CQ18" s="132">
        <f>VLOOKUP(CQ$7,'[14]Curve Summary ALBERTA'!$A$13:$AG$161,18)</f>
        <v>43.625028617554378</v>
      </c>
      <c r="CR18" s="132">
        <f>VLOOKUP(CR$7,'[14]Curve Summary ALBERTA'!$A$13:$AG$161,18)</f>
        <v>40.829298757139831</v>
      </c>
      <c r="CS18" s="132">
        <f>VLOOKUP(CS$7,'[14]Curve Summary ALBERTA'!$A$13:$AG$161,18)</f>
        <v>40.76755696426693</v>
      </c>
      <c r="CT18" s="132">
        <f>VLOOKUP(CT$7,'[14]Curve Summary ALBERTA'!$A$13:$AG$161,18)</f>
        <v>41.252710637789953</v>
      </c>
      <c r="CU18" s="132">
        <f>VLOOKUP(CU$7,'[14]Curve Summary ALBERTA'!$A$13:$AG$161,18)</f>
        <v>41.826822316429762</v>
      </c>
      <c r="CV18" s="132">
        <f>VLOOKUP(CV$7,'[14]Curve Summary ALBERTA'!$A$13:$AG$161,18)</f>
        <v>42.311943456089715</v>
      </c>
      <c r="CW18" s="132">
        <f>VLOOKUP(CW$7,'[14]Curve Summary ALBERTA'!$A$13:$AG$161,18)</f>
        <v>42.237354612891764</v>
      </c>
      <c r="CX18" s="132">
        <f>VLOOKUP(CX$7,'[14]Curve Summary ALBERTA'!$A$13:$AG$161,18)</f>
        <v>42.238968651852304</v>
      </c>
      <c r="CY18" s="132">
        <f>VLOOKUP(CY$7,'[14]Curve Summary ALBERTA'!$A$13:$AG$161,18)</f>
        <v>45.026506864256575</v>
      </c>
      <c r="CZ18" s="132">
        <f>VLOOKUP(CZ$7,'[14]Curve Summary ALBERTA'!$A$13:$AG$161,18)</f>
        <v>46.910897689477821</v>
      </c>
      <c r="DA18" s="132">
        <f>VLOOKUP(DA$7,'[14]Curve Summary ALBERTA'!$A$13:$AG$161,18)</f>
        <v>48.216555563543601</v>
      </c>
      <c r="DB18" s="132">
        <f>VLOOKUP(DB$7,'[14]Curve Summary ALBERTA'!$A$13:$AG$161,18)</f>
        <v>46.755093898720212</v>
      </c>
      <c r="DC18" s="132">
        <f>VLOOKUP(DC$7,'[14]Curve Summary ALBERTA'!$A$13:$AG$161,18)</f>
        <v>44.886243542310446</v>
      </c>
      <c r="DD18" s="132">
        <f>VLOOKUP(DD$7,'[14]Curve Summary ALBERTA'!$A$13:$AG$161,18)</f>
        <v>42.088511292586482</v>
      </c>
      <c r="DE18" s="132">
        <f>VLOOKUP(DE$7,'[14]Curve Summary ALBERTA'!$A$13:$AG$161,18)</f>
        <v>42.026088952063851</v>
      </c>
      <c r="DF18" s="132">
        <f>VLOOKUP(DF$7,'[14]Curve Summary ALBERTA'!$A$13:$AG$161,18)</f>
        <v>42.510772525898432</v>
      </c>
      <c r="DG18" s="132">
        <f>VLOOKUP(DG$7,'[14]Curve Summary ALBERTA'!$A$13:$AG$161,18)</f>
        <v>43.084454182721707</v>
      </c>
      <c r="DH18" s="132">
        <f>VLOOKUP(DH$7,'[14]Curve Summary ALBERTA'!$A$13:$AG$161,18)</f>
        <v>43.569066946647332</v>
      </c>
      <c r="DI18" s="132">
        <f>VLOOKUP(DI$7,'[14]Curve Summary ALBERTA'!$A$13:$AG$161,18)</f>
        <v>43.493743043244756</v>
      </c>
      <c r="DJ18" s="132">
        <f>VLOOKUP(DJ$7,'[14]Curve Summary ALBERTA'!$A$13:$AG$161,18)</f>
        <v>43.494672872412714</v>
      </c>
      <c r="DK18" s="132">
        <f>VLOOKUP(DK$7,'[14]Curve Summary ALBERTA'!$A$13:$AG$161,18)</f>
        <v>46.035668399386722</v>
      </c>
      <c r="DL18" s="132">
        <f>VLOOKUP(DL$7,'[14]Curve Summary ALBERTA'!$A$13:$AG$161,18)</f>
        <v>47.944774855730792</v>
      </c>
      <c r="DM18" s="132">
        <f>VLOOKUP(DM$7,'[14]Curve Summary ALBERTA'!$A$13:$AG$161,18)</f>
        <v>49.30943320414427</v>
      </c>
      <c r="DN18" s="132">
        <f>VLOOKUP(DN$7,'[14]Curve Summary ALBERTA'!$A$13:$AG$161,18)</f>
        <v>47.871442099030126</v>
      </c>
      <c r="DO18" s="132">
        <f>VLOOKUP(DO$7,'[14]Curve Summary ALBERTA'!$A$13:$AG$161,18)</f>
        <v>46.021500737756909</v>
      </c>
      <c r="DP18" s="132">
        <f>VLOOKUP(DP$7,'[14]Curve Summary ALBERTA'!$A$13:$AG$161,18)</f>
        <v>42.794151720699695</v>
      </c>
      <c r="DQ18" s="132">
        <f>VLOOKUP(DQ$7,'[14]Curve Summary ALBERTA'!$A$13:$AG$161,18)</f>
        <v>42.7552263877418</v>
      </c>
      <c r="DR18" s="132">
        <f>VLOOKUP(DR$7,'[14]Curve Summary ALBERTA'!$A$13:$AG$161,18)</f>
        <v>43.266995382619143</v>
      </c>
      <c r="DS18" s="132">
        <f>VLOOKUP(DS$7,'[14]Curve Summary ALBERTA'!$A$13:$AG$161,18)</f>
        <v>43.868470262350385</v>
      </c>
      <c r="DT18" s="132">
        <f>VLOOKUP(DT$7,'[14]Curve Summary ALBERTA'!$A$13:$AG$161,18)</f>
        <v>44.382472468360703</v>
      </c>
      <c r="DU18" s="132">
        <f>VLOOKUP(DU$7,'[14]Curve Summary ALBERTA'!$A$13:$AG$161,18)</f>
        <v>44.334302336545271</v>
      </c>
      <c r="DV18" s="132">
        <f>VLOOKUP(DV$7,'[14]Curve Summary ALBERTA'!$A$13:$AG$161,18)</f>
        <v>44.362455789522983</v>
      </c>
      <c r="DW18" s="132">
        <f>VLOOKUP(DW$7,'[14]Curve Summary ALBERTA'!$A$13:$AG$161,18)</f>
        <v>47.391682245269351</v>
      </c>
      <c r="DX18" s="132">
        <f>VLOOKUP(DX$7,'[14]Curve Summary ALBERTA'!$A$13:$AG$161,18)</f>
        <v>49.32121951935089</v>
      </c>
      <c r="DY18" s="132">
        <f>VLOOKUP(DY$7,'[14]Curve Summary ALBERTA'!$A$13:$AG$161,18)</f>
        <v>50.735075995445669</v>
      </c>
      <c r="DZ18" s="132">
        <f>VLOOKUP(DZ$7,'[14]Curve Summary ALBERTA'!$A$13:$AG$161,18)</f>
        <v>49.293376654444373</v>
      </c>
      <c r="EA18" s="132">
        <f>VLOOKUP(EA$7,'[14]Curve Summary ALBERTA'!$A$13:$AG$161,18)</f>
        <v>47.435538788302594</v>
      </c>
      <c r="EB18" s="132">
        <f>VLOOKUP(EB$7,'[14]Curve Summary ALBERTA'!$A$13:$AG$161,18)</f>
        <v>43.739541433023234</v>
      </c>
      <c r="EC18" s="132">
        <f>VLOOKUP(EC$7,'[14]Curve Summary ALBERTA'!$A$13:$AG$161,18)</f>
        <v>43.706139428553065</v>
      </c>
      <c r="ED18" s="132">
        <f>VLOOKUP(ED$7,'[14]Curve Summary ALBERTA'!$A$13:$AG$161,18)</f>
        <v>44.228067152845767</v>
      </c>
      <c r="EE18" s="132">
        <f>VLOOKUP(EE$7,'[14]Curve Summary ALBERTA'!$A$13:$AG$161,18)</f>
        <v>44.840377054772958</v>
      </c>
      <c r="EF18" s="132">
        <f>VLOOKUP(EF$7,'[14]Curve Summary ALBERTA'!$A$13:$AG$161,18)</f>
        <v>45.364845989057507</v>
      </c>
      <c r="EG18" s="132">
        <f>VLOOKUP(EG$7,'[14]Curve Summary ALBERTA'!$A$13:$AG$161,18)</f>
        <v>45.322528411454321</v>
      </c>
      <c r="EH18" s="132">
        <f>VLOOKUP(EH$7,'[14]Curve Summary ALBERTA'!$A$13:$AG$161,18)</f>
        <v>45.356981801450829</v>
      </c>
      <c r="EI18" s="132">
        <f>VLOOKUP(EI$7,'[14]Curve Summary ALBERTA'!$A$13:$AG$161,18)</f>
        <v>48.030956436032717</v>
      </c>
      <c r="EJ18" s="132">
        <f>VLOOKUP(EJ$7,'[14]Curve Summary ALBERTA'!$A$13:$AG$161,18)</f>
        <v>49.983705217173707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65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65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5.0000000000000711E-2</v>
      </c>
      <c r="E30" s="132">
        <f t="shared" si="16"/>
        <v>0</v>
      </c>
      <c r="F30" s="167">
        <f t="shared" ca="1" si="16"/>
        <v>8.1339869281048749E-2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6.4969602974812801E-2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65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0.92119487347663309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2.2054153161633394E-2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-0.27587581699346586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65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WORKDAY([14]Top!C3,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C9/('[14]Gas Curve Summary'!$B$10)*1000</f>
        <v>4761.5831419694714</v>
      </c>
      <c r="D67" s="200">
        <f ca="1">D9/('[14]Gas Curve Summary'!$B$11)*1000</f>
        <v>5622.572071151094</v>
      </c>
      <c r="E67" s="200">
        <f>E9/('[14]Gas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$H9/'[14]Gas Curve Summary'!$B$13*1000</f>
        <v>11392.206159648022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10659.69428801287</v>
      </c>
      <c r="N67" s="200">
        <f>$N9/'[14]Gas Curve Summary'!$B$18*1000</f>
        <v>10000</v>
      </c>
      <c r="O67" s="200">
        <f t="shared" ref="O67:O73" si="30">AVERAGE(P67:Q67)</f>
        <v>14947.612049061325</v>
      </c>
      <c r="P67" s="200">
        <f>$P9/'[14]Gas Curve Summary'!$B$19*1000</f>
        <v>13712.374581939799</v>
      </c>
      <c r="Q67" s="200">
        <f>$Q9/'[14]Gas Curve Summary'!$B$20*1000</f>
        <v>16182.849516182849</v>
      </c>
      <c r="R67" s="200">
        <f>$R9/'[14]Gas Curve Summary'!$B$21*1000</f>
        <v>13996.627318718382</v>
      </c>
      <c r="S67" s="200">
        <f t="shared" ref="S67:S73" si="31">AVERAGE(T67:V67)</f>
        <v>12060.356882803897</v>
      </c>
      <c r="T67" s="200">
        <f>$T9/'[14]Gas Curve Summary'!$B$22*1000</f>
        <v>12486.992715920916</v>
      </c>
      <c r="U67" s="200">
        <f>$U9/'[14]Gas Curve Summary'!$B$23*1000</f>
        <v>11480.4660726525</v>
      </c>
      <c r="V67" s="200">
        <f>$V9/'[14]Gas Curve Summary'!$B$24*1000</f>
        <v>12213.611859838276</v>
      </c>
      <c r="W67" s="200">
        <f>W9/AVERAGE('[14]Gas Curve Summary'!$B$13:$B$24)*1000</f>
        <v>12558.834949409411</v>
      </c>
      <c r="X67" s="200">
        <f>X9/AVERAGE('[14]Gas Curve Summary'!$B$25:$B$36)*1000</f>
        <v>11653.540483479834</v>
      </c>
      <c r="Y67" s="200">
        <f>Y9/AVERAGE('[14]Gas Curve Summary'!$B$37:$B$48)*1000</f>
        <v>11094.069208888533</v>
      </c>
      <c r="Z67" s="200">
        <f>Z9/AVERAGE('[14]Gas Curve Summary'!$B$49:$B$60)*1000</f>
        <v>10911.440175492889</v>
      </c>
      <c r="AA67" s="200">
        <f>AA9/AVERAGE('[14]Gas Curve Summary'!$B$61:$B$108)*1000</f>
        <v>10475.19115524353</v>
      </c>
      <c r="AB67" s="200">
        <f>AB9/AVERAGE('[14]Gas Curve Summary'!$B$109:$B$120)*1000</f>
        <v>10080.34365941662</v>
      </c>
      <c r="AC67" s="201">
        <f ca="1">AC9/AVERAGE('[14]Gas Curve Summary'!$B$9:$B$120)*1000</f>
        <v>10662.175595242987</v>
      </c>
    </row>
    <row r="68" spans="1:31" ht="13.65" customHeight="1" x14ac:dyDescent="0.2">
      <c r="A68" s="165" t="s">
        <v>134</v>
      </c>
      <c r="B68" s="131" t="s">
        <v>170</v>
      </c>
      <c r="C68" s="200">
        <f>C10/('[14]Gas Curve Summary'!$B$10)*1000</f>
        <v>5109.4151019856818</v>
      </c>
      <c r="D68" s="200">
        <f ca="1">D10/('[14]Gas Curve Summary'!$B$11)*1000</f>
        <v>5775.9149458188513</v>
      </c>
      <c r="E68" s="200">
        <f>E10/('[14]Gas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$H10/'[14]Gas Curve Summary'!$B$13*1000</f>
        <v>11392.206159648022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11665.325824617859</v>
      </c>
      <c r="N68" s="200">
        <f>$N10/'[14]Gas Curve Summary'!$B$18*1000</f>
        <v>10892.857142857145</v>
      </c>
      <c r="O68" s="200">
        <f t="shared" si="30"/>
        <v>15866.368040281082</v>
      </c>
      <c r="P68" s="200">
        <f>$P10/'[14]Gas Curve Summary'!$B$19*1000</f>
        <v>14715.71906354515</v>
      </c>
      <c r="Q68" s="200">
        <f>$Q10/'[14]Gas Curve Summary'!$B$20*1000</f>
        <v>17017.017017017013</v>
      </c>
      <c r="R68" s="200">
        <f>$R10/'[14]Gas Curve Summary'!$B$21*1000</f>
        <v>15177.065767284992</v>
      </c>
      <c r="S68" s="200">
        <f t="shared" si="31"/>
        <v>11889.275447424576</v>
      </c>
      <c r="T68" s="200">
        <f>$T10/'[14]Gas Curve Summary'!$B$22*1000</f>
        <v>12313.562261533125</v>
      </c>
      <c r="U68" s="200">
        <f>$U10/'[14]Gas Curve Summary'!$B$23*1000</f>
        <v>11309.115832762165</v>
      </c>
      <c r="V68" s="200">
        <f>$V10/'[14]Gas Curve Summary'!$B$24*1000</f>
        <v>12045.148247978437</v>
      </c>
      <c r="W68" s="202">
        <f>W10/AVERAGE('[14]Gas Curve Summary'!$B$13:$B$24)*1000</f>
        <v>12988.929629974509</v>
      </c>
      <c r="X68" s="200">
        <f>X10/AVERAGE('[14]Gas Curve Summary'!$B$25:$B$36)*1000</f>
        <v>12164.542720235238</v>
      </c>
      <c r="Y68" s="200">
        <f>Y10/AVERAGE('[14]Gas Curve Summary'!$B$37:$B$48)*1000</f>
        <v>11543.723394924475</v>
      </c>
      <c r="Z68" s="200">
        <f>Z10/AVERAGE('[14]Gas Curve Summary'!$B$49:$B$60)*1000</f>
        <v>11420.216189273791</v>
      </c>
      <c r="AA68" s="200">
        <f>AA10/AVERAGE('[14]Gas Curve Summary'!$B$61:$B$108)*1000</f>
        <v>11161.272653101349</v>
      </c>
      <c r="AB68" s="200">
        <f>AB10/AVERAGE('[14]Gas Curve Summary'!$B$109:$B$120)*1000</f>
        <v>10985.091115480509</v>
      </c>
      <c r="AC68" s="201">
        <f ca="1">AC10/AVERAGE('[14]Gas Curve Summary'!$B$9:$B$120)*1000</f>
        <v>11281.361451996589</v>
      </c>
    </row>
    <row r="69" spans="1:31" ht="13.65" customHeight="1" x14ac:dyDescent="0.2">
      <c r="A69" s="165" t="s">
        <v>135</v>
      </c>
      <c r="B69" s="131" t="s">
        <v>170</v>
      </c>
      <c r="C69" s="200">
        <f>C11/('[14]Gas Curve Summary'!$B$10)*1000</f>
        <v>5293.4621099554233</v>
      </c>
      <c r="D69" s="200">
        <f ca="1">D11/('[14]Gas Curve Summary'!$B$11)*1000</f>
        <v>5980.3721120425271</v>
      </c>
      <c r="E69" s="200">
        <f>E11/('[14]Gas Curve Summary'!$B$12)*1000</f>
        <v>9630.8186195826638</v>
      </c>
      <c r="F69" s="202">
        <f t="shared" ca="1" si="27"/>
        <v>6968.2176138602044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12268.704746580852</v>
      </c>
      <c r="N69" s="200">
        <f>$N11/'[14]Gas Curve Summary'!$B$18*1000</f>
        <v>13214.285714285716</v>
      </c>
      <c r="O69" s="200">
        <f t="shared" si="30"/>
        <v>16534.483201149866</v>
      </c>
      <c r="P69" s="200">
        <f>$P11/'[14]Gas Curve Summary'!$B$19*1000</f>
        <v>15384.615384615383</v>
      </c>
      <c r="Q69" s="200">
        <f>$Q11/'[14]Gas Curve Summary'!$B$20*1000</f>
        <v>17684.351017684348</v>
      </c>
      <c r="R69" s="200">
        <f>$R11/'[14]Gas Curve Summary'!$B$21*1000</f>
        <v>15008.431703204047</v>
      </c>
      <c r="S69" s="200">
        <f t="shared" si="31"/>
        <v>12858.916117581408</v>
      </c>
      <c r="T69" s="200">
        <f>$T11/'[14]Gas Curve Summary'!$B$22*1000</f>
        <v>13180.714533472077</v>
      </c>
      <c r="U69" s="200">
        <f>$U11/'[14]Gas Curve Summary'!$B$23*1000</f>
        <v>12508.567511994515</v>
      </c>
      <c r="V69" s="200">
        <f>$V11/'[14]Gas Curve Summary'!$B$24*1000</f>
        <v>12887.466307277629</v>
      </c>
      <c r="W69" s="202">
        <f>W11/AVERAGE('[14]Gas Curve Summary'!$B$13:$B$24)*1000</f>
        <v>13699.429175809986</v>
      </c>
      <c r="X69" s="200">
        <f>X11/AVERAGE('[14]Gas Curve Summary'!$B$25:$B$36)*1000</f>
        <v>12917.299816367906</v>
      </c>
      <c r="Y69" s="200">
        <f>Y11/AVERAGE('[14]Gas Curve Summary'!$B$37:$B$48)*1000</f>
        <v>12199.819202326296</v>
      </c>
      <c r="Z69" s="200">
        <f>Z11/AVERAGE('[14]Gas Curve Summary'!$B$49:$B$60)*1000</f>
        <v>12103.345812462516</v>
      </c>
      <c r="AA69" s="200">
        <f>AA11/AVERAGE('[14]Gas Curve Summary'!$B$61:$B$108)*1000</f>
        <v>11552.506803830702</v>
      </c>
      <c r="AB69" s="200">
        <f>AB11/AVERAGE('[14]Gas Curve Summary'!$B$109:$B$120)*1000</f>
        <v>11015.933806985186</v>
      </c>
      <c r="AC69" s="201">
        <f ca="1">AC11/AVERAGE('[14]Gas Curve Summary'!$B$9:$B$120)*1000</f>
        <v>11744.124937508521</v>
      </c>
    </row>
    <row r="70" spans="1:31" ht="13.65" customHeight="1" x14ac:dyDescent="0.2">
      <c r="A70" s="165" t="s">
        <v>136</v>
      </c>
      <c r="B70" s="131" t="s">
        <v>170</v>
      </c>
      <c r="C70" s="200">
        <f>C12/('[14]Gas Curve Summary'!$B$10)*1000</f>
        <v>4970.9577198433062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6327.1110244088559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11967.015285599357</v>
      </c>
      <c r="N70" s="200">
        <f>$N12/'[14]Gas Curve Summary'!$B$18*1000</f>
        <v>13035.714285714286</v>
      </c>
      <c r="O70" s="200">
        <f t="shared" si="30"/>
        <v>16283.940015824071</v>
      </c>
      <c r="P70" s="200">
        <f>$P12/'[14]Gas Curve Summary'!$B$19*1000</f>
        <v>15133.779264214045</v>
      </c>
      <c r="Q70" s="200">
        <f>$Q12/'[14]Gas Curve Summary'!$B$20*1000</f>
        <v>17434.100767434098</v>
      </c>
      <c r="R70" s="200">
        <f>$R12/'[14]Gas Curve Summary'!$B$21*1000</f>
        <v>13575.042158516022</v>
      </c>
      <c r="S70" s="200">
        <f t="shared" si="31"/>
        <v>12486.192556915483</v>
      </c>
      <c r="T70" s="200">
        <f>$T12/'[14]Gas Curve Summary'!$B$22*1000</f>
        <v>12573.707943114812</v>
      </c>
      <c r="U70" s="200">
        <f>$U12/'[14]Gas Curve Summary'!$B$23*1000</f>
        <v>12165.867032213844</v>
      </c>
      <c r="V70" s="200">
        <f>$V12/'[14]Gas Curve Summary'!$B$24*1000</f>
        <v>12719.00269541779</v>
      </c>
      <c r="W70" s="202">
        <f>W12/AVERAGE('[14]Gas Curve Summary'!$B$13:$B$24)*1000</f>
        <v>13174.109284106704</v>
      </c>
      <c r="X70" s="200">
        <f>X12/AVERAGE('[14]Gas Curve Summary'!$B$25:$B$36)*1000</f>
        <v>9247.0486632510183</v>
      </c>
      <c r="Y70" s="200">
        <f>Y12/AVERAGE('[14]Gas Curve Summary'!$B$37:$B$48)*1000</f>
        <v>7828.1103249940616</v>
      </c>
      <c r="Z70" s="200">
        <f>Z12/AVERAGE('[14]Gas Curve Summary'!$B$49:$B$60)*1000</f>
        <v>7122.4150538282265</v>
      </c>
      <c r="AA70" s="200">
        <f>AA12/AVERAGE('[14]Gas Curve Summary'!$B$61:$B$108)*1000</f>
        <v>9251.0774726968957</v>
      </c>
      <c r="AB70" s="200">
        <f>AB12/AVERAGE('[14]Gas Curve Summary'!$B$109:$B$120)*1000</f>
        <v>9702.1453692254672</v>
      </c>
      <c r="AC70" s="201">
        <f ca="1">AC12/AVERAGE('[14]Gas Curve Summary'!$B$9:$B$120)*1000</f>
        <v>9159.9032053815808</v>
      </c>
    </row>
    <row r="71" spans="1:31" ht="13.65" customHeight="1" x14ac:dyDescent="0.2">
      <c r="A71" s="165" t="s">
        <v>137</v>
      </c>
      <c r="B71" s="131" t="s">
        <v>170</v>
      </c>
      <c r="C71" s="200">
        <f>C13/('[14]Gas Curve Summary'!$B$10)*1000</f>
        <v>5479.1976225854387</v>
      </c>
      <c r="D71" s="200">
        <f ca="1">D13/('[14]Gas Curve Summary'!$B$11)*1000</f>
        <v>5847.4749539971381</v>
      </c>
      <c r="E71" s="200">
        <f>E13/('[14]Gas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$H13/'[14]Gas Curve Summary'!$B$13*1000</f>
        <v>10842.237586423635</v>
      </c>
      <c r="I71" s="200">
        <f>$I13/'[14]Gas Curve Summary'!$B$14*1000</f>
        <v>10656.772971266182</v>
      </c>
      <c r="J71" s="200">
        <f t="shared" si="29"/>
        <v>15796.09986070931</v>
      </c>
      <c r="K71" s="200">
        <f>$K13/'[14]Gas Curve Summary'!$B$15*1000</f>
        <v>14379.084967320261</v>
      </c>
      <c r="L71" s="200">
        <f>$L13/'[14]Gas Curve Summary'!$B$16*1000</f>
        <v>17213.114754098358</v>
      </c>
      <c r="M71" s="200">
        <f>$M13/'[14]Gas Curve Summary'!$B$17*1000</f>
        <v>13274.336283185839</v>
      </c>
      <c r="N71" s="200">
        <f>$N13/'[14]Gas Curve Summary'!$B$18*1000</f>
        <v>13928.571428571429</v>
      </c>
      <c r="O71" s="200">
        <f t="shared" si="30"/>
        <v>16701.316701316697</v>
      </c>
      <c r="P71" s="200">
        <f>$P13/'[14]Gas Curve Summary'!$B$19*1000</f>
        <v>15384.615384615383</v>
      </c>
      <c r="Q71" s="200">
        <f>$Q13/'[14]Gas Curve Summary'!$B$20*1000</f>
        <v>18018.018018018014</v>
      </c>
      <c r="R71" s="200">
        <f>$R13/'[14]Gas Curve Summary'!$B$21*1000</f>
        <v>15345.699831365935</v>
      </c>
      <c r="S71" s="200">
        <f t="shared" si="31"/>
        <v>13113.535954058163</v>
      </c>
      <c r="T71" s="200">
        <f>$T13/'[14]Gas Curve Summary'!$B$22*1000</f>
        <v>13180.714533472077</v>
      </c>
      <c r="U71" s="200">
        <f>$U13/'[14]Gas Curve Summary'!$B$23*1000</f>
        <v>12851.267991775188</v>
      </c>
      <c r="V71" s="200">
        <f>$V13/'[14]Gas Curve Summary'!$B$24*1000</f>
        <v>13308.625336927224</v>
      </c>
      <c r="W71" s="202">
        <f>W13/AVERAGE('[14]Gas Curve Summary'!$B$13:$B$24)*1000</f>
        <v>13900.069749831775</v>
      </c>
      <c r="X71" s="200">
        <f>X13/AVERAGE('[14]Gas Curve Summary'!$B$25:$B$36)*1000</f>
        <v>12965.71055458684</v>
      </c>
      <c r="Y71" s="200">
        <f>Y13/AVERAGE('[14]Gas Curve Summary'!$B$37:$B$48)*1000</f>
        <v>12141.316045729518</v>
      </c>
      <c r="Z71" s="200">
        <f>Z13/AVERAGE('[14]Gas Curve Summary'!$B$49:$B$60)*1000</f>
        <v>12063.240976822781</v>
      </c>
      <c r="AA71" s="200">
        <f>AA13/AVERAGE('[14]Gas Curve Summary'!$B$61:$B$108)*1000</f>
        <v>11434.324759304311</v>
      </c>
      <c r="AB71" s="200">
        <f>AB13/AVERAGE('[14]Gas Curve Summary'!$B$109:$B$120)*1000</f>
        <v>10860.266581193117</v>
      </c>
      <c r="AC71" s="201">
        <f ca="1">AC13/AVERAGE('[14]Gas Curve Summary'!$B$9:$B$120)*1000</f>
        <v>11682.494326479866</v>
      </c>
    </row>
    <row r="72" spans="1:31" ht="13.65" customHeight="1" x14ac:dyDescent="0.2">
      <c r="A72" s="165" t="s">
        <v>138</v>
      </c>
      <c r="B72" s="131" t="s">
        <v>170</v>
      </c>
      <c r="C72" s="200">
        <f>C14/('[14]Gas Curve Summary'!$B$10)*1000</f>
        <v>5024.1456166419021</v>
      </c>
      <c r="D72" s="200">
        <f ca="1">D14/('[14]Gas Curve Summary'!$B$11)*1000</f>
        <v>5622.572071151094</v>
      </c>
      <c r="E72" s="200">
        <f>E14/('[14]Gas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$H14/'[14]Gas Curve Summary'!$B$13*1000</f>
        <v>10135.135135135135</v>
      </c>
      <c r="I72" s="200">
        <f>$I14/'[14]Gas Curve Summary'!$B$14*1000</f>
        <v>10025.260498894851</v>
      </c>
      <c r="J72" s="200">
        <f t="shared" si="29"/>
        <v>15278.224222293655</v>
      </c>
      <c r="K72" s="200">
        <f>$K14/'[14]Gas Curve Summary'!$B$15*1000</f>
        <v>13616.557734204793</v>
      </c>
      <c r="L72" s="200">
        <f>$L14/'[14]Gas Curve Summary'!$B$16*1000</f>
        <v>16939.890710382515</v>
      </c>
      <c r="M72" s="200">
        <f>$M14/'[14]Gas Curve Summary'!$B$17*1000</f>
        <v>14078.841512469831</v>
      </c>
      <c r="N72" s="200">
        <f>$N14/'[14]Gas Curve Summary'!$B$18*1000</f>
        <v>15357.142857142857</v>
      </c>
      <c r="O72" s="200">
        <f t="shared" si="30"/>
        <v>18329.603293371409</v>
      </c>
      <c r="P72" s="200">
        <f>$P14/'[14]Gas Curve Summary'!$B$19*1000</f>
        <v>16806.020066889629</v>
      </c>
      <c r="Q72" s="200">
        <f>$Q14/'[14]Gas Curve Summary'!$B$20*1000</f>
        <v>19853.186519853185</v>
      </c>
      <c r="R72" s="200">
        <f>$R14/'[14]Gas Curve Summary'!$B$21*1000</f>
        <v>16441.821247892076</v>
      </c>
      <c r="S72" s="200">
        <f t="shared" si="31"/>
        <v>12062.281301490895</v>
      </c>
      <c r="T72" s="200">
        <f>$T14/'[14]Gas Curve Summary'!$B$22*1000</f>
        <v>12486.992715920916</v>
      </c>
      <c r="U72" s="200">
        <f>$U14/'[14]Gas Curve Summary'!$B$23*1000</f>
        <v>11823.166552433173</v>
      </c>
      <c r="V72" s="200">
        <f>$V14/'[14]Gas Curve Summary'!$B$24*1000</f>
        <v>11876.684636118598</v>
      </c>
      <c r="W72" s="202">
        <f>W14/AVERAGE('[14]Gas Curve Summary'!$B$13:$B$24)*1000</f>
        <v>13999.862960028253</v>
      </c>
      <c r="X72" s="200">
        <f>X14/AVERAGE('[14]Gas Curve Summary'!$B$25:$B$36)*1000</f>
        <v>12263.456018694909</v>
      </c>
      <c r="Y72" s="200">
        <f>Y14/AVERAGE('[14]Gas Curve Summary'!$B$37:$B$48)*1000</f>
        <v>11426.72668500679</v>
      </c>
      <c r="Z72" s="200">
        <f>Z14/AVERAGE('[14]Gas Curve Summary'!$B$49:$B$60)*1000</f>
        <v>11420.763919888919</v>
      </c>
      <c r="AA72" s="200">
        <f>AA14/AVERAGE('[14]Gas Curve Summary'!$B$61:$B$108)*1000</f>
        <v>10834.479381663776</v>
      </c>
      <c r="AB72" s="200">
        <f>AB14/AVERAGE('[14]Gas Curve Summary'!$B$109:$B$120)*1000</f>
        <v>10299.663131169806</v>
      </c>
      <c r="AC72" s="201">
        <f ca="1">AC14/AVERAGE('[14]Gas Curve Summary'!$B$9:$B$120)*1000</f>
        <v>11133.767893954904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C15/('[14]Gas Curve Summary'!$B$10)*1000</f>
        <v>5209.8811292719165</v>
      </c>
      <c r="D73" s="203">
        <f ca="1">D15/('[14]Gas Curve Summary'!$B$11)*1000</f>
        <v>5827.0292373747698</v>
      </c>
      <c r="E73" s="203">
        <f>E15/('[14]Gas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$H15/'[14]Gas Curve Summary'!$B$13*1000</f>
        <v>10606.536769327467</v>
      </c>
      <c r="I73" s="203">
        <f>$I15/'[14]Gas Curve Summary'!$B$14*1000</f>
        <v>10419.955794126932</v>
      </c>
      <c r="J73" s="203">
        <f t="shared" si="29"/>
        <v>16097.003464409441</v>
      </c>
      <c r="K73" s="203">
        <f>$K15/'[14]Gas Curve Summary'!$B$15*1000</f>
        <v>14161.220043572985</v>
      </c>
      <c r="L73" s="203">
        <f>$L15/'[14]Gas Curve Summary'!$B$16*1000</f>
        <v>18032.7868852459</v>
      </c>
      <c r="M73" s="203">
        <f>$M15/'[14]Gas Curve Summary'!$B$17*1000</f>
        <v>15285.599356395816</v>
      </c>
      <c r="N73" s="203">
        <f>$N15/'[14]Gas Curve Summary'!$B$18*1000</f>
        <v>17142.857142857141</v>
      </c>
      <c r="O73" s="203">
        <f t="shared" si="30"/>
        <v>21168.506856912652</v>
      </c>
      <c r="P73" s="203">
        <f>$P15/'[14]Gas Curve Summary'!$B$19*1000</f>
        <v>19147.157190635451</v>
      </c>
      <c r="Q73" s="203">
        <f>$Q15/'[14]Gas Curve Summary'!$B$20*1000</f>
        <v>23189.856523189854</v>
      </c>
      <c r="R73" s="203">
        <f>$R15/'[14]Gas Curve Summary'!$B$21*1000</f>
        <v>18802.698145025297</v>
      </c>
      <c r="S73" s="203">
        <f t="shared" si="31"/>
        <v>12804.417194470778</v>
      </c>
      <c r="T73" s="203">
        <f>$T15/'[14]Gas Curve Summary'!$B$22*1000</f>
        <v>13354.144987859869</v>
      </c>
      <c r="U73" s="203">
        <f>$U15/'[14]Gas Curve Summary'!$B$23*1000</f>
        <v>12508.567511994515</v>
      </c>
      <c r="V73" s="203">
        <f>$V15/'[14]Gas Curve Summary'!$B$24*1000</f>
        <v>12550.539083557953</v>
      </c>
      <c r="W73" s="204">
        <f>W15/AVERAGE('[14]Gas Curve Summary'!$B$13:$B$24)*1000</f>
        <v>15331.96176233404</v>
      </c>
      <c r="X73" s="203">
        <f>X15/AVERAGE('[14]Gas Curve Summary'!$B$25:$B$36)*1000</f>
        <v>13280.081521292504</v>
      </c>
      <c r="Y73" s="203">
        <f>Y15/AVERAGE('[14]Gas Curve Summary'!$B$37:$B$48)*1000</f>
        <v>12341.227439504162</v>
      </c>
      <c r="Z73" s="203">
        <f>Z15/AVERAGE('[14]Gas Curve Summary'!$B$49:$B$60)*1000</f>
        <v>12342.375452904755</v>
      </c>
      <c r="AA73" s="203">
        <f>AA15/AVERAGE('[14]Gas Curve Summary'!$B$61:$B$108)*1000</f>
        <v>11657.82365517809</v>
      </c>
      <c r="AB73" s="203">
        <f>AB15/AVERAGE('[14]Gas Curve Summary'!$B$109:$B$120)*1000</f>
        <v>11026.0246690856</v>
      </c>
      <c r="AC73" s="205">
        <f ca="1">AC15/AVERAGE('[14]Gas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10.222858311184609</v>
      </c>
      <c r="E89" s="200">
        <f t="shared" si="32"/>
        <v>0</v>
      </c>
      <c r="F89" s="202">
        <f t="shared" ca="1" si="32"/>
        <v>3.4076194370609301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-279.24830115057739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133.81004663128715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-225.68669387569571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0.8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2023-09-10T11:45:06Z</dcterms:modified>
</cp:coreProperties>
</file>