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5952" windowHeight="8076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CapChrg!$A$1:$H$74</definedName>
    <definedName name="_xlnm.Print_Area" localSheetId="5">Expenses!$A$1:$O$90</definedName>
    <definedName name="_xlnm.Print_Area" localSheetId="2">'GM-WklyChnge'!$A$1:$K$68</definedName>
    <definedName name="_xlnm.Print_Area" localSheetId="3">GrossMargin!$A$1:$N$72</definedName>
    <definedName name="_xlnm.Print_Area" localSheetId="1">'QTD Mgmt Summary'!$A$1:$Q$92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'!$A$1:$Q$93</definedName>
  </definedNames>
  <calcPr calcId="92512"/>
</workbook>
</file>

<file path=xl/calcChain.xml><?xml version="1.0" encoding="utf-8"?>
<calcChain xmlns="http://schemas.openxmlformats.org/spreadsheetml/2006/main">
  <c r="A3" i="11" l="1"/>
  <c r="A8" i="11"/>
  <c r="C8" i="11"/>
  <c r="E8" i="11"/>
  <c r="A9" i="11"/>
  <c r="E9" i="11"/>
  <c r="A10" i="11"/>
  <c r="C10" i="11"/>
  <c r="E10" i="11"/>
  <c r="A11" i="11"/>
  <c r="C11" i="11"/>
  <c r="E11" i="1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/>
  <c r="A18" i="11"/>
  <c r="C18" i="11"/>
  <c r="E18" i="11"/>
  <c r="C19" i="11"/>
  <c r="D19" i="11"/>
  <c r="E19" i="11"/>
  <c r="A21" i="11"/>
  <c r="E21" i="11"/>
  <c r="A22" i="11"/>
  <c r="E22" i="11"/>
  <c r="A23" i="11"/>
  <c r="E23" i="11"/>
  <c r="A24" i="11"/>
  <c r="C24" i="11"/>
  <c r="E24" i="11"/>
  <c r="A25" i="11"/>
  <c r="C25" i="11"/>
  <c r="E25" i="11"/>
  <c r="A26" i="11"/>
  <c r="C26" i="11"/>
  <c r="E26" i="11"/>
  <c r="C27" i="11"/>
  <c r="D27" i="11"/>
  <c r="E27" i="11"/>
  <c r="C29" i="11"/>
  <c r="E29" i="11"/>
  <c r="E30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C38" i="11"/>
  <c r="D38" i="11"/>
  <c r="E38" i="11"/>
  <c r="E40" i="11"/>
  <c r="E41" i="11"/>
  <c r="C42" i="11"/>
  <c r="E42" i="11"/>
  <c r="E43" i="11"/>
  <c r="C44" i="11"/>
  <c r="E44" i="11"/>
  <c r="C45" i="11"/>
  <c r="E45" i="11"/>
  <c r="C46" i="11"/>
  <c r="D46" i="11"/>
  <c r="E46" i="11"/>
  <c r="C48" i="11"/>
  <c r="E48" i="11"/>
  <c r="C49" i="11"/>
  <c r="E49" i="11"/>
  <c r="E50" i="11"/>
  <c r="C51" i="11"/>
  <c r="E51" i="11"/>
  <c r="E52" i="11"/>
  <c r="C53" i="11"/>
  <c r="E53" i="11"/>
  <c r="E54" i="11"/>
  <c r="C55" i="11"/>
  <c r="E55" i="11"/>
  <c r="C56" i="11"/>
  <c r="E56" i="11"/>
  <c r="E57" i="11"/>
  <c r="E58" i="11"/>
  <c r="E59" i="11"/>
  <c r="C60" i="11"/>
  <c r="D60" i="11"/>
  <c r="E60" i="11"/>
  <c r="E61" i="11"/>
  <c r="E62" i="11"/>
  <c r="C63" i="11"/>
  <c r="E63" i="11"/>
  <c r="C64" i="11"/>
  <c r="E64" i="11"/>
  <c r="C65" i="11"/>
  <c r="E65" i="11"/>
  <c r="C66" i="11"/>
  <c r="E66" i="11"/>
  <c r="C67" i="11"/>
  <c r="D67" i="11"/>
  <c r="E67" i="11"/>
  <c r="E69" i="11"/>
  <c r="C70" i="11"/>
  <c r="D70" i="11"/>
  <c r="E70" i="11"/>
  <c r="C71" i="11"/>
  <c r="D71" i="11"/>
  <c r="E71" i="11"/>
  <c r="C73" i="11"/>
  <c r="D73" i="11"/>
  <c r="E73" i="11"/>
  <c r="D75" i="11"/>
  <c r="D76" i="11"/>
  <c r="O90" i="11"/>
  <c r="P90" i="11"/>
  <c r="A3" i="9"/>
  <c r="A8" i="9"/>
  <c r="C8" i="9"/>
  <c r="E8" i="9"/>
  <c r="I8" i="9"/>
  <c r="A9" i="9"/>
  <c r="C9" i="9"/>
  <c r="E9" i="9"/>
  <c r="I9" i="9"/>
  <c r="A10" i="9"/>
  <c r="C10" i="9"/>
  <c r="E10" i="9"/>
  <c r="I10" i="9"/>
  <c r="A11" i="9"/>
  <c r="C11" i="9"/>
  <c r="E11" i="9"/>
  <c r="I11" i="9"/>
  <c r="A12" i="9"/>
  <c r="C12" i="9"/>
  <c r="E12" i="9"/>
  <c r="A13" i="9"/>
  <c r="C13" i="9"/>
  <c r="E13" i="9"/>
  <c r="A14" i="9"/>
  <c r="C14" i="9"/>
  <c r="E14" i="9"/>
  <c r="A15" i="9"/>
  <c r="C15" i="9"/>
  <c r="E15" i="9"/>
  <c r="I15" i="9"/>
  <c r="A16" i="9"/>
  <c r="C16" i="9"/>
  <c r="E16" i="9"/>
  <c r="A17" i="9"/>
  <c r="C17" i="9"/>
  <c r="E17" i="9"/>
  <c r="A18" i="9"/>
  <c r="C18" i="9"/>
  <c r="E18" i="9"/>
  <c r="C19" i="9"/>
  <c r="D19" i="9"/>
  <c r="E19" i="9"/>
  <c r="G19" i="9"/>
  <c r="H19" i="9"/>
  <c r="I19" i="9"/>
  <c r="A21" i="9"/>
  <c r="C21" i="9"/>
  <c r="E21" i="9"/>
  <c r="I21" i="9"/>
  <c r="A22" i="9"/>
  <c r="C22" i="9"/>
  <c r="E22" i="9"/>
  <c r="I22" i="9"/>
  <c r="A23" i="9"/>
  <c r="C23" i="9"/>
  <c r="E23" i="9"/>
  <c r="I23" i="9"/>
  <c r="A24" i="9"/>
  <c r="C24" i="9"/>
  <c r="E24" i="9"/>
  <c r="I24" i="9"/>
  <c r="A25" i="9"/>
  <c r="C25" i="9"/>
  <c r="E25" i="9"/>
  <c r="A26" i="9"/>
  <c r="C26" i="9"/>
  <c r="E26" i="9"/>
  <c r="I26" i="9"/>
  <c r="C27" i="9"/>
  <c r="D27" i="9"/>
  <c r="E27" i="9"/>
  <c r="G27" i="9"/>
  <c r="H27" i="9"/>
  <c r="I27" i="9"/>
  <c r="C29" i="9"/>
  <c r="E29" i="9"/>
  <c r="I29" i="9"/>
  <c r="C30" i="9"/>
  <c r="E30" i="9"/>
  <c r="I30" i="9"/>
  <c r="C31" i="9"/>
  <c r="E31" i="9"/>
  <c r="I31" i="9"/>
  <c r="C32" i="9"/>
  <c r="E32" i="9"/>
  <c r="I32" i="9"/>
  <c r="C33" i="9"/>
  <c r="E33" i="9"/>
  <c r="C34" i="9"/>
  <c r="E34" i="9"/>
  <c r="I34" i="9"/>
  <c r="C35" i="9"/>
  <c r="E35" i="9"/>
  <c r="C36" i="9"/>
  <c r="E36" i="9"/>
  <c r="C37" i="9"/>
  <c r="I37" i="9"/>
  <c r="C38" i="9"/>
  <c r="D38" i="9"/>
  <c r="E38" i="9"/>
  <c r="G38" i="9"/>
  <c r="H38" i="9"/>
  <c r="I38" i="9"/>
  <c r="C40" i="9"/>
  <c r="E40" i="9"/>
  <c r="I40" i="9"/>
  <c r="C41" i="9"/>
  <c r="E41" i="9"/>
  <c r="I41" i="9"/>
  <c r="C42" i="9"/>
  <c r="E42" i="9"/>
  <c r="I42" i="9"/>
  <c r="C43" i="9"/>
  <c r="E43" i="9"/>
  <c r="I43" i="9"/>
  <c r="C44" i="9"/>
  <c r="E44" i="9"/>
  <c r="I44" i="9"/>
  <c r="C45" i="9"/>
  <c r="E45" i="9"/>
  <c r="I45" i="9"/>
  <c r="C46" i="9"/>
  <c r="D46" i="9"/>
  <c r="E46" i="9"/>
  <c r="G46" i="9"/>
  <c r="H46" i="9"/>
  <c r="I46" i="9"/>
  <c r="E48" i="9"/>
  <c r="I48" i="9"/>
  <c r="E49" i="9"/>
  <c r="I49" i="9"/>
  <c r="E50" i="9"/>
  <c r="I50" i="9"/>
  <c r="E51" i="9"/>
  <c r="G51" i="9"/>
  <c r="I51" i="9"/>
  <c r="C52" i="9"/>
  <c r="E52" i="9"/>
  <c r="G52" i="9"/>
  <c r="I52" i="9"/>
  <c r="E53" i="9"/>
  <c r="G53" i="9"/>
  <c r="I53" i="9"/>
  <c r="C54" i="9"/>
  <c r="E54" i="9"/>
  <c r="G54" i="9"/>
  <c r="I54" i="9"/>
  <c r="E55" i="9"/>
  <c r="I55" i="9"/>
  <c r="C56" i="9"/>
  <c r="E56" i="9"/>
  <c r="G56" i="9"/>
  <c r="I56" i="9"/>
  <c r="C57" i="9"/>
  <c r="E57" i="9"/>
  <c r="G57" i="9"/>
  <c r="I57" i="9"/>
  <c r="E58" i="9"/>
  <c r="G58" i="9"/>
  <c r="I58" i="9"/>
  <c r="E59" i="9"/>
  <c r="G59" i="9"/>
  <c r="I59" i="9"/>
  <c r="E60" i="9"/>
  <c r="G60" i="9"/>
  <c r="I60" i="9"/>
  <c r="C61" i="9"/>
  <c r="E61" i="9"/>
  <c r="G61" i="9"/>
  <c r="I61" i="9"/>
  <c r="E62" i="9"/>
  <c r="I62" i="9"/>
  <c r="C63" i="9"/>
  <c r="E63" i="9"/>
  <c r="G63" i="9"/>
  <c r="I63" i="9"/>
  <c r="C64" i="9"/>
  <c r="E64" i="9"/>
  <c r="G64" i="9"/>
  <c r="I64" i="9"/>
  <c r="C65" i="9"/>
  <c r="E65" i="9"/>
  <c r="G65" i="9"/>
  <c r="I65" i="9"/>
  <c r="C66" i="9"/>
  <c r="D66" i="9"/>
  <c r="E66" i="9"/>
  <c r="G66" i="9"/>
  <c r="I66" i="9"/>
  <c r="C67" i="9"/>
  <c r="D67" i="9"/>
  <c r="E67" i="9"/>
  <c r="G67" i="9"/>
  <c r="H67" i="9"/>
  <c r="I67" i="9"/>
  <c r="C69" i="9"/>
  <c r="E69" i="9"/>
  <c r="I69" i="9"/>
  <c r="C70" i="9"/>
  <c r="E70" i="9"/>
  <c r="I70" i="9"/>
  <c r="C71" i="9"/>
  <c r="E71" i="9"/>
  <c r="I71" i="9"/>
  <c r="C72" i="9"/>
  <c r="E72" i="9"/>
  <c r="I72" i="9"/>
  <c r="C73" i="9"/>
  <c r="E73" i="9"/>
  <c r="I73" i="9"/>
  <c r="C74" i="9"/>
  <c r="E74" i="9"/>
  <c r="I74" i="9"/>
  <c r="C75" i="9"/>
  <c r="E75" i="9"/>
  <c r="I75" i="9"/>
  <c r="C76" i="9"/>
  <c r="E76" i="9"/>
  <c r="I76" i="9"/>
  <c r="C77" i="9"/>
  <c r="E77" i="9"/>
  <c r="I77" i="9"/>
  <c r="C78" i="9"/>
  <c r="E78" i="9"/>
  <c r="I78" i="9"/>
  <c r="C79" i="9"/>
  <c r="E79" i="9"/>
  <c r="I79" i="9"/>
  <c r="C80" i="9"/>
  <c r="E80" i="9"/>
  <c r="I80" i="9"/>
  <c r="C81" i="9"/>
  <c r="E81" i="9"/>
  <c r="I81" i="9"/>
  <c r="C82" i="9"/>
  <c r="D82" i="9"/>
  <c r="E82" i="9"/>
  <c r="I82" i="9"/>
  <c r="C83" i="9"/>
  <c r="D83" i="9"/>
  <c r="E83" i="9"/>
  <c r="G83" i="9"/>
  <c r="H83" i="9"/>
  <c r="I83" i="9"/>
  <c r="C84" i="9"/>
  <c r="E84" i="9"/>
  <c r="I84" i="9"/>
  <c r="C85" i="9"/>
  <c r="E85" i="9"/>
  <c r="I85" i="9"/>
  <c r="C86" i="9"/>
  <c r="D86" i="9"/>
  <c r="E86" i="9"/>
  <c r="G86" i="9"/>
  <c r="H86" i="9"/>
  <c r="I86" i="9"/>
  <c r="E87" i="9"/>
  <c r="I87" i="9"/>
  <c r="C88" i="9"/>
  <c r="D88" i="9"/>
  <c r="E88" i="9"/>
  <c r="G88" i="9"/>
  <c r="H88" i="9"/>
  <c r="I88" i="9"/>
  <c r="O90" i="9"/>
  <c r="P90" i="9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G3" i="8"/>
  <c r="A8" i="8"/>
  <c r="I8" i="8"/>
  <c r="L8" i="8"/>
  <c r="M8" i="8"/>
  <c r="N8" i="8"/>
  <c r="A9" i="8"/>
  <c r="I9" i="8"/>
  <c r="L9" i="8"/>
  <c r="M9" i="8"/>
  <c r="N9" i="8"/>
  <c r="A10" i="8"/>
  <c r="I10" i="8"/>
  <c r="L10" i="8"/>
  <c r="M10" i="8"/>
  <c r="N10" i="8"/>
  <c r="A11" i="8"/>
  <c r="I11" i="8"/>
  <c r="L11" i="8"/>
  <c r="M11" i="8"/>
  <c r="N11" i="8"/>
  <c r="A12" i="8"/>
  <c r="I12" i="8"/>
  <c r="L12" i="8"/>
  <c r="M12" i="8"/>
  <c r="N12" i="8"/>
  <c r="A13" i="8"/>
  <c r="I13" i="8"/>
  <c r="L13" i="8"/>
  <c r="N13" i="8"/>
  <c r="A14" i="8"/>
  <c r="I14" i="8"/>
  <c r="L14" i="8"/>
  <c r="N14" i="8"/>
  <c r="A15" i="8"/>
  <c r="I15" i="8"/>
  <c r="L15" i="8"/>
  <c r="M15" i="8"/>
  <c r="N15" i="8"/>
  <c r="A16" i="8"/>
  <c r="I16" i="8"/>
  <c r="L16" i="8"/>
  <c r="M16" i="8"/>
  <c r="N16" i="8"/>
  <c r="A17" i="8"/>
  <c r="I17" i="8"/>
  <c r="L17" i="8"/>
  <c r="M17" i="8"/>
  <c r="N17" i="8"/>
  <c r="A18" i="8"/>
  <c r="I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A21" i="8"/>
  <c r="I21" i="8"/>
  <c r="L21" i="8"/>
  <c r="N21" i="8"/>
  <c r="A22" i="8"/>
  <c r="I22" i="8"/>
  <c r="L22" i="8"/>
  <c r="N22" i="8"/>
  <c r="A23" i="8"/>
  <c r="I23" i="8"/>
  <c r="L23" i="8"/>
  <c r="N23" i="8"/>
  <c r="A24" i="8"/>
  <c r="I24" i="8"/>
  <c r="L24" i="8"/>
  <c r="N24" i="8"/>
  <c r="A25" i="8"/>
  <c r="I25" i="8"/>
  <c r="L25" i="8"/>
  <c r="N25" i="8"/>
  <c r="A26" i="8"/>
  <c r="I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I29" i="8"/>
  <c r="L29" i="8"/>
  <c r="N29" i="8"/>
  <c r="I30" i="8"/>
  <c r="L30" i="8"/>
  <c r="N30" i="8"/>
  <c r="I31" i="8"/>
  <c r="L31" i="8"/>
  <c r="N31" i="8"/>
  <c r="I32" i="8"/>
  <c r="L32" i="8"/>
  <c r="N32" i="8"/>
  <c r="I33" i="8"/>
  <c r="L33" i="8"/>
  <c r="N33" i="8"/>
  <c r="I34" i="8"/>
  <c r="L34" i="8"/>
  <c r="N34" i="8"/>
  <c r="I35" i="8"/>
  <c r="L35" i="8"/>
  <c r="N35" i="8"/>
  <c r="I36" i="8"/>
  <c r="L36" i="8"/>
  <c r="N36" i="8"/>
  <c r="I37" i="8"/>
  <c r="L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I40" i="8"/>
  <c r="L40" i="8"/>
  <c r="N40" i="8"/>
  <c r="I41" i="8"/>
  <c r="L41" i="8"/>
  <c r="N41" i="8"/>
  <c r="I42" i="8"/>
  <c r="L42" i="8"/>
  <c r="N42" i="8"/>
  <c r="I43" i="8"/>
  <c r="L43" i="8"/>
  <c r="N43" i="8"/>
  <c r="I44" i="8"/>
  <c r="L44" i="8"/>
  <c r="N44" i="8"/>
  <c r="I45" i="8"/>
  <c r="L45" i="8"/>
  <c r="N45" i="8"/>
  <c r="I46" i="8"/>
  <c r="L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I49" i="8"/>
  <c r="L49" i="8"/>
  <c r="N49" i="8"/>
  <c r="I50" i="8"/>
  <c r="L50" i="8"/>
  <c r="N50" i="8"/>
  <c r="I51" i="8"/>
  <c r="L51" i="8"/>
  <c r="N51" i="8"/>
  <c r="I52" i="8"/>
  <c r="L52" i="8"/>
  <c r="N52" i="8"/>
  <c r="I53" i="8"/>
  <c r="L53" i="8"/>
  <c r="N53" i="8"/>
  <c r="I54" i="8"/>
  <c r="L54" i="8"/>
  <c r="N54" i="8"/>
  <c r="I55" i="8"/>
  <c r="L55" i="8"/>
  <c r="N55" i="8"/>
  <c r="I56" i="8"/>
  <c r="L56" i="8"/>
  <c r="N56" i="8"/>
  <c r="I57" i="8"/>
  <c r="L57" i="8"/>
  <c r="M57" i="8"/>
  <c r="N57" i="8"/>
  <c r="I58" i="8"/>
  <c r="L58" i="8"/>
  <c r="N58" i="8"/>
  <c r="I59" i="8"/>
  <c r="L59" i="8"/>
  <c r="N59" i="8"/>
  <c r="I60" i="8"/>
  <c r="L60" i="8"/>
  <c r="N60" i="8"/>
  <c r="F61" i="8"/>
  <c r="I61" i="8"/>
  <c r="L61" i="8"/>
  <c r="N61" i="8"/>
  <c r="F62" i="8"/>
  <c r="G62" i="8"/>
  <c r="I62" i="8"/>
  <c r="L62" i="8"/>
  <c r="N62" i="8"/>
  <c r="I63" i="8"/>
  <c r="L63" i="8"/>
  <c r="N63" i="8"/>
  <c r="I64" i="8"/>
  <c r="L64" i="8"/>
  <c r="N64" i="8"/>
  <c r="I65" i="8"/>
  <c r="L65" i="8"/>
  <c r="M65" i="8"/>
  <c r="N65" i="8"/>
  <c r="I66" i="8"/>
  <c r="L66" i="8"/>
  <c r="N66" i="8"/>
  <c r="I67" i="8"/>
  <c r="L67" i="8"/>
  <c r="N67" i="8"/>
  <c r="I68" i="8"/>
  <c r="L68" i="8"/>
  <c r="M68" i="8"/>
  <c r="N68" i="8"/>
  <c r="C70" i="8"/>
  <c r="D70" i="8"/>
  <c r="E70" i="8"/>
  <c r="F70" i="8"/>
  <c r="G70" i="8"/>
  <c r="H70" i="8"/>
  <c r="I70" i="8"/>
  <c r="J70" i="8"/>
  <c r="K70" i="8"/>
  <c r="L70" i="8"/>
  <c r="M70" i="8"/>
  <c r="N70" i="8"/>
  <c r="O90" i="8"/>
  <c r="P90" i="8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D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G65" i="12"/>
  <c r="H65" i="12"/>
  <c r="I65" i="12"/>
  <c r="K65" i="12"/>
  <c r="L65" i="12"/>
  <c r="M65" i="12"/>
  <c r="O65" i="12"/>
  <c r="P65" i="12"/>
  <c r="Q65" i="12"/>
  <c r="C66" i="12"/>
  <c r="D66" i="12"/>
  <c r="E66" i="12"/>
  <c r="G66" i="12"/>
  <c r="H66" i="12"/>
  <c r="I66" i="12"/>
  <c r="K66" i="12"/>
  <c r="L66" i="12"/>
  <c r="M66" i="12"/>
  <c r="O66" i="12"/>
  <c r="P66" i="12"/>
  <c r="Q66" i="12"/>
  <c r="C67" i="12"/>
  <c r="D67" i="12"/>
  <c r="E67" i="12"/>
  <c r="G67" i="12"/>
  <c r="H67" i="12"/>
  <c r="I67" i="12"/>
  <c r="K67" i="12"/>
  <c r="L67" i="12"/>
  <c r="M67" i="12"/>
  <c r="O67" i="12"/>
  <c r="P67" i="12"/>
  <c r="Q67" i="12"/>
  <c r="C68" i="12"/>
  <c r="D68" i="12"/>
  <c r="E68" i="12"/>
  <c r="G68" i="12"/>
  <c r="H68" i="12"/>
  <c r="I68" i="12"/>
  <c r="K68" i="12"/>
  <c r="L68" i="12"/>
  <c r="M68" i="12"/>
  <c r="O68" i="12"/>
  <c r="P68" i="12"/>
  <c r="Q68" i="12"/>
  <c r="C69" i="12"/>
  <c r="D69" i="12"/>
  <c r="E69" i="12"/>
  <c r="G69" i="12"/>
  <c r="H69" i="12"/>
  <c r="I69" i="12"/>
  <c r="K69" i="12"/>
  <c r="L69" i="12"/>
  <c r="M69" i="12"/>
  <c r="O69" i="12"/>
  <c r="P69" i="12"/>
  <c r="Q69" i="12"/>
  <c r="E71" i="12"/>
  <c r="G71" i="12"/>
  <c r="H71" i="12"/>
  <c r="I71" i="12"/>
  <c r="M71" i="12"/>
  <c r="O71" i="12"/>
  <c r="P71" i="12"/>
  <c r="Q71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E81" i="12"/>
  <c r="G81" i="12"/>
  <c r="H81" i="12"/>
  <c r="I81" i="12"/>
  <c r="M81" i="12"/>
  <c r="O81" i="12"/>
  <c r="P81" i="12"/>
  <c r="Q81" i="12"/>
  <c r="E82" i="12"/>
  <c r="G82" i="12"/>
  <c r="H82" i="12"/>
  <c r="I82" i="12"/>
  <c r="M82" i="12"/>
  <c r="O82" i="12"/>
  <c r="P82" i="12"/>
  <c r="Q82" i="12"/>
  <c r="E83" i="12"/>
  <c r="G83" i="12"/>
  <c r="H83" i="12"/>
  <c r="I83" i="12"/>
  <c r="M83" i="12"/>
  <c r="O83" i="12"/>
  <c r="P83" i="12"/>
  <c r="Q83" i="12"/>
  <c r="E84" i="12"/>
  <c r="G84" i="12"/>
  <c r="H84" i="12"/>
  <c r="I84" i="12"/>
  <c r="M84" i="12"/>
  <c r="O84" i="12"/>
  <c r="P84" i="12"/>
  <c r="Q84" i="12"/>
  <c r="C85" i="12"/>
  <c r="D85" i="12"/>
  <c r="E85" i="12"/>
  <c r="G85" i="12"/>
  <c r="H85" i="12"/>
  <c r="I85" i="12"/>
  <c r="K85" i="12"/>
  <c r="L85" i="12"/>
  <c r="M85" i="12"/>
  <c r="O85" i="12"/>
  <c r="P85" i="12"/>
  <c r="Q85" i="12"/>
  <c r="E86" i="12"/>
  <c r="G86" i="12"/>
  <c r="H86" i="12"/>
  <c r="I86" i="12"/>
  <c r="K86" i="12"/>
  <c r="L86" i="12"/>
  <c r="M86" i="12"/>
  <c r="O86" i="12"/>
  <c r="P86" i="12"/>
  <c r="Q86" i="12"/>
  <c r="C87" i="12"/>
  <c r="D87" i="12"/>
  <c r="E87" i="12"/>
  <c r="G87" i="12"/>
  <c r="H87" i="12"/>
  <c r="I87" i="12"/>
  <c r="K87" i="12"/>
  <c r="L87" i="12"/>
  <c r="M87" i="12"/>
  <c r="O87" i="12"/>
  <c r="P87" i="12"/>
  <c r="Q87" i="12"/>
  <c r="C88" i="12"/>
  <c r="D88" i="12"/>
  <c r="E88" i="12"/>
  <c r="I88" i="12"/>
  <c r="M88" i="12"/>
  <c r="O88" i="12"/>
  <c r="P88" i="12"/>
  <c r="Q88" i="12"/>
  <c r="C89" i="12"/>
  <c r="E89" i="12"/>
  <c r="I89" i="12"/>
  <c r="K89" i="12"/>
  <c r="L89" i="12"/>
  <c r="M89" i="12"/>
  <c r="O89" i="12"/>
  <c r="P89" i="12"/>
  <c r="Q89" i="12"/>
  <c r="C90" i="12"/>
  <c r="D90" i="12"/>
  <c r="E90" i="12"/>
  <c r="G90" i="12"/>
  <c r="H90" i="12"/>
  <c r="I90" i="12"/>
  <c r="K90" i="12"/>
  <c r="L90" i="12"/>
  <c r="M90" i="12"/>
  <c r="O90" i="12"/>
  <c r="P90" i="12"/>
  <c r="Q90" i="12"/>
  <c r="E91" i="12"/>
  <c r="G91" i="12"/>
  <c r="H91" i="12"/>
  <c r="I91" i="12"/>
  <c r="L91" i="12"/>
  <c r="O91" i="12"/>
  <c r="P91" i="12"/>
  <c r="Q91" i="12"/>
  <c r="C92" i="12"/>
  <c r="D92" i="12"/>
  <c r="E92" i="12"/>
  <c r="G92" i="12"/>
  <c r="H92" i="12"/>
  <c r="I92" i="12"/>
  <c r="K92" i="12"/>
  <c r="L92" i="12"/>
  <c r="M92" i="12"/>
  <c r="O92" i="12"/>
  <c r="P92" i="12"/>
  <c r="Q92" i="12"/>
  <c r="E102" i="12"/>
  <c r="M102" i="12"/>
  <c r="E108" i="12"/>
  <c r="M108" i="12"/>
  <c r="C110" i="12"/>
  <c r="D110" i="12"/>
  <c r="E110" i="12"/>
  <c r="E111" i="12"/>
  <c r="C112" i="12"/>
  <c r="D112" i="12"/>
  <c r="E112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  <c r="A10" i="13"/>
  <c r="C10" i="13"/>
  <c r="E10" i="13"/>
  <c r="G10" i="13"/>
  <c r="I10" i="13"/>
  <c r="K10" i="13"/>
  <c r="L10" i="13"/>
  <c r="M10" i="13"/>
  <c r="O10" i="13"/>
  <c r="P10" i="13"/>
  <c r="Q10" i="13"/>
  <c r="A11" i="13"/>
  <c r="C11" i="13"/>
  <c r="E11" i="13"/>
  <c r="G11" i="13"/>
  <c r="I11" i="13"/>
  <c r="K11" i="13"/>
  <c r="L11" i="13"/>
  <c r="M11" i="13"/>
  <c r="O11" i="13"/>
  <c r="P11" i="13"/>
  <c r="Q11" i="13"/>
  <c r="A12" i="13"/>
  <c r="C12" i="13"/>
  <c r="E12" i="13"/>
  <c r="G12" i="13"/>
  <c r="I12" i="13"/>
  <c r="K12" i="13"/>
  <c r="L12" i="13"/>
  <c r="M12" i="13"/>
  <c r="O12" i="13"/>
  <c r="P12" i="13"/>
  <c r="Q12" i="13"/>
  <c r="A13" i="13"/>
  <c r="C13" i="13"/>
  <c r="E13" i="13"/>
  <c r="G13" i="13"/>
  <c r="I13" i="13"/>
  <c r="K13" i="13"/>
  <c r="L13" i="13"/>
  <c r="M13" i="13"/>
  <c r="O13" i="13"/>
  <c r="P13" i="13"/>
  <c r="Q13" i="13"/>
  <c r="A14" i="13"/>
  <c r="C14" i="13"/>
  <c r="E14" i="13"/>
  <c r="G14" i="13"/>
  <c r="I14" i="13"/>
  <c r="K14" i="13"/>
  <c r="L14" i="13"/>
  <c r="M14" i="13"/>
  <c r="O14" i="13"/>
  <c r="P14" i="13"/>
  <c r="Q14" i="13"/>
  <c r="A15" i="13"/>
  <c r="C15" i="13"/>
  <c r="E15" i="13"/>
  <c r="G15" i="13"/>
  <c r="H15" i="13"/>
  <c r="I15" i="13"/>
  <c r="K15" i="13"/>
  <c r="L15" i="13"/>
  <c r="M15" i="13"/>
  <c r="O15" i="13"/>
  <c r="P15" i="13"/>
  <c r="Q15" i="13"/>
  <c r="A16" i="13"/>
  <c r="C16" i="13"/>
  <c r="E16" i="13"/>
  <c r="G16" i="13"/>
  <c r="H16" i="13"/>
  <c r="I16" i="13"/>
  <c r="K16" i="13"/>
  <c r="L16" i="13"/>
  <c r="M16" i="13"/>
  <c r="O16" i="13"/>
  <c r="P16" i="13"/>
  <c r="Q16" i="13"/>
  <c r="A17" i="13"/>
  <c r="C17" i="13"/>
  <c r="E17" i="13"/>
  <c r="G17" i="13"/>
  <c r="I17" i="13"/>
  <c r="K17" i="13"/>
  <c r="L17" i="13"/>
  <c r="M17" i="13"/>
  <c r="O17" i="13"/>
  <c r="P17" i="13"/>
  <c r="Q17" i="13"/>
  <c r="A18" i="13"/>
  <c r="C18" i="13"/>
  <c r="E18" i="13"/>
  <c r="G18" i="13"/>
  <c r="I18" i="13"/>
  <c r="K18" i="13"/>
  <c r="L18" i="13"/>
  <c r="M18" i="13"/>
  <c r="O18" i="13"/>
  <c r="P18" i="13"/>
  <c r="Q18" i="13"/>
  <c r="A19" i="13"/>
  <c r="C19" i="13"/>
  <c r="E19" i="13"/>
  <c r="G19" i="13"/>
  <c r="I19" i="13"/>
  <c r="K19" i="13"/>
  <c r="L19" i="13"/>
  <c r="M19" i="13"/>
  <c r="O19" i="13"/>
  <c r="P19" i="13"/>
  <c r="Q19" i="13"/>
  <c r="A20" i="13"/>
  <c r="C20" i="13"/>
  <c r="D20" i="13"/>
  <c r="E20" i="13"/>
  <c r="G20" i="13"/>
  <c r="I20" i="13"/>
  <c r="K20" i="13"/>
  <c r="L20" i="13"/>
  <c r="M20" i="13"/>
  <c r="O20" i="13"/>
  <c r="P20" i="13"/>
  <c r="Q20" i="13"/>
  <c r="C21" i="13"/>
  <c r="D21" i="13"/>
  <c r="E21" i="13"/>
  <c r="G21" i="13"/>
  <c r="H21" i="13"/>
  <c r="I21" i="13"/>
  <c r="K21" i="13"/>
  <c r="L21" i="13"/>
  <c r="M21" i="13"/>
  <c r="O21" i="13"/>
  <c r="P21" i="13"/>
  <c r="Q21" i="13"/>
  <c r="A23" i="13"/>
  <c r="C23" i="13"/>
  <c r="E23" i="13"/>
  <c r="G23" i="13"/>
  <c r="I23" i="13"/>
  <c r="K23" i="13"/>
  <c r="M23" i="13"/>
  <c r="O23" i="13"/>
  <c r="P23" i="13"/>
  <c r="Q23" i="13"/>
  <c r="A24" i="13"/>
  <c r="C24" i="13"/>
  <c r="E24" i="13"/>
  <c r="G24" i="13"/>
  <c r="I24" i="13"/>
  <c r="K24" i="13"/>
  <c r="M24" i="13"/>
  <c r="O24" i="13"/>
  <c r="P24" i="13"/>
  <c r="Q24" i="13"/>
  <c r="A25" i="13"/>
  <c r="C25" i="13"/>
  <c r="E25" i="13"/>
  <c r="G25" i="13"/>
  <c r="I25" i="13"/>
  <c r="K25" i="13"/>
  <c r="M25" i="13"/>
  <c r="O25" i="13"/>
  <c r="P25" i="13"/>
  <c r="Q25" i="13"/>
  <c r="A26" i="13"/>
  <c r="C26" i="13"/>
  <c r="E26" i="13"/>
  <c r="G26" i="13"/>
  <c r="I26" i="13"/>
  <c r="K26" i="13"/>
  <c r="L26" i="13"/>
  <c r="M26" i="13"/>
  <c r="O26" i="13"/>
  <c r="P26" i="13"/>
  <c r="Q26" i="13"/>
  <c r="A27" i="13"/>
  <c r="C27" i="13"/>
  <c r="E27" i="13"/>
  <c r="G27" i="13"/>
  <c r="I27" i="13"/>
  <c r="K27" i="13"/>
  <c r="L27" i="13"/>
  <c r="M27" i="13"/>
  <c r="O27" i="13"/>
  <c r="P27" i="13"/>
  <c r="Q27" i="13"/>
  <c r="A28" i="13"/>
  <c r="C28" i="13"/>
  <c r="D28" i="13"/>
  <c r="E28" i="13"/>
  <c r="G28" i="13"/>
  <c r="I28" i="13"/>
  <c r="K28" i="13"/>
  <c r="L28" i="13"/>
  <c r="M28" i="13"/>
  <c r="O28" i="13"/>
  <c r="P28" i="13"/>
  <c r="Q28" i="13"/>
  <c r="C29" i="13"/>
  <c r="D29" i="13"/>
  <c r="E29" i="13"/>
  <c r="G29" i="13"/>
  <c r="H29" i="13"/>
  <c r="I29" i="13"/>
  <c r="K29" i="13"/>
  <c r="L29" i="13"/>
  <c r="M29" i="13"/>
  <c r="O29" i="13"/>
  <c r="P29" i="13"/>
  <c r="Q29" i="13"/>
  <c r="C31" i="13"/>
  <c r="E31" i="13"/>
  <c r="G31" i="13"/>
  <c r="I31" i="13"/>
  <c r="K31" i="13"/>
  <c r="L31" i="13"/>
  <c r="M31" i="13"/>
  <c r="O31" i="13"/>
  <c r="P31" i="13"/>
  <c r="Q31" i="13"/>
  <c r="C32" i="13"/>
  <c r="E32" i="13"/>
  <c r="G32" i="13"/>
  <c r="I32" i="13"/>
  <c r="K32" i="13"/>
  <c r="M32" i="13"/>
  <c r="O32" i="13"/>
  <c r="P32" i="13"/>
  <c r="Q32" i="13"/>
  <c r="C33" i="13"/>
  <c r="E33" i="13"/>
  <c r="G33" i="13"/>
  <c r="I33" i="13"/>
  <c r="K33" i="13"/>
  <c r="M33" i="13"/>
  <c r="O33" i="13"/>
  <c r="P33" i="13"/>
  <c r="Q33" i="13"/>
  <c r="C34" i="13"/>
  <c r="E34" i="13"/>
  <c r="G34" i="13"/>
  <c r="I34" i="13"/>
  <c r="K34" i="13"/>
  <c r="L34" i="13"/>
  <c r="M34" i="13"/>
  <c r="O34" i="13"/>
  <c r="P34" i="13"/>
  <c r="Q34" i="13"/>
  <c r="C35" i="13"/>
  <c r="E35" i="13"/>
  <c r="G35" i="13"/>
  <c r="I35" i="13"/>
  <c r="K35" i="13"/>
  <c r="L35" i="13"/>
  <c r="M35" i="13"/>
  <c r="O35" i="13"/>
  <c r="P35" i="13"/>
  <c r="Q35" i="13"/>
  <c r="C36" i="13"/>
  <c r="E36" i="13"/>
  <c r="G36" i="13"/>
  <c r="I36" i="13"/>
  <c r="K36" i="13"/>
  <c r="L36" i="13"/>
  <c r="M36" i="13"/>
  <c r="O36" i="13"/>
  <c r="P36" i="13"/>
  <c r="Q36" i="13"/>
  <c r="C37" i="13"/>
  <c r="D37" i="13"/>
  <c r="E37" i="13"/>
  <c r="G37" i="13"/>
  <c r="I37" i="13"/>
  <c r="K37" i="13"/>
  <c r="L37" i="13"/>
  <c r="M37" i="13"/>
  <c r="O37" i="13"/>
  <c r="P37" i="13"/>
  <c r="Q37" i="13"/>
  <c r="C38" i="13"/>
  <c r="D38" i="13"/>
  <c r="E38" i="13"/>
  <c r="G38" i="13"/>
  <c r="I38" i="13"/>
  <c r="K38" i="13"/>
  <c r="L38" i="13"/>
  <c r="M38" i="13"/>
  <c r="O38" i="13"/>
  <c r="P38" i="13"/>
  <c r="Q38" i="13"/>
  <c r="C39" i="13"/>
  <c r="D39" i="13"/>
  <c r="E39" i="13"/>
  <c r="G39" i="13"/>
  <c r="H39" i="13"/>
  <c r="I39" i="13"/>
  <c r="K39" i="13"/>
  <c r="L39" i="13"/>
  <c r="M39" i="13"/>
  <c r="O39" i="13"/>
  <c r="P39" i="13"/>
  <c r="Q39" i="13"/>
  <c r="C40" i="13"/>
  <c r="D40" i="13"/>
  <c r="E40" i="13"/>
  <c r="G40" i="13"/>
  <c r="H40" i="13"/>
  <c r="I40" i="13"/>
  <c r="K40" i="13"/>
  <c r="L40" i="13"/>
  <c r="M40" i="13"/>
  <c r="O40" i="13"/>
  <c r="P40" i="13"/>
  <c r="Q40" i="13"/>
  <c r="C42" i="13"/>
  <c r="E42" i="13"/>
  <c r="G42" i="13"/>
  <c r="I42" i="13"/>
  <c r="K42" i="13"/>
  <c r="M42" i="13"/>
  <c r="O42" i="13"/>
  <c r="P42" i="13"/>
  <c r="Q42" i="13"/>
  <c r="C43" i="13"/>
  <c r="E43" i="13"/>
  <c r="G43" i="13"/>
  <c r="I43" i="13"/>
  <c r="K43" i="13"/>
  <c r="M43" i="13"/>
  <c r="O43" i="13"/>
  <c r="P43" i="13"/>
  <c r="Q43" i="13"/>
  <c r="C44" i="13"/>
  <c r="E44" i="13"/>
  <c r="G44" i="13"/>
  <c r="I44" i="13"/>
  <c r="K44" i="13"/>
  <c r="L44" i="13"/>
  <c r="M44" i="13"/>
  <c r="O44" i="13"/>
  <c r="P44" i="13"/>
  <c r="Q44" i="13"/>
  <c r="C45" i="13"/>
  <c r="E45" i="13"/>
  <c r="G45" i="13"/>
  <c r="I45" i="13"/>
  <c r="K45" i="13"/>
  <c r="M45" i="13"/>
  <c r="O45" i="13"/>
  <c r="P45" i="13"/>
  <c r="Q45" i="13"/>
  <c r="C46" i="13"/>
  <c r="E46" i="13"/>
  <c r="G46" i="13"/>
  <c r="I46" i="13"/>
  <c r="K46" i="13"/>
  <c r="L46" i="13"/>
  <c r="M46" i="13"/>
  <c r="O46" i="13"/>
  <c r="P46" i="13"/>
  <c r="Q46" i="13"/>
  <c r="C47" i="13"/>
  <c r="D47" i="13"/>
  <c r="E47" i="13"/>
  <c r="G47" i="13"/>
  <c r="I47" i="13"/>
  <c r="K47" i="13"/>
  <c r="L47" i="13"/>
  <c r="M47" i="13"/>
  <c r="O47" i="13"/>
  <c r="P47" i="13"/>
  <c r="Q47" i="13"/>
  <c r="C48" i="13"/>
  <c r="D48" i="13"/>
  <c r="E48" i="13"/>
  <c r="G48" i="13"/>
  <c r="H48" i="13"/>
  <c r="I48" i="13"/>
  <c r="K48" i="13"/>
  <c r="L48" i="13"/>
  <c r="M48" i="13"/>
  <c r="O48" i="13"/>
  <c r="P48" i="13"/>
  <c r="Q48" i="13"/>
  <c r="C49" i="13"/>
  <c r="D49" i="13"/>
  <c r="E49" i="13"/>
  <c r="G49" i="13"/>
  <c r="H49" i="13"/>
  <c r="I49" i="13"/>
  <c r="K49" i="13"/>
  <c r="L49" i="13"/>
  <c r="M49" i="13"/>
  <c r="O49" i="13"/>
  <c r="P49" i="13"/>
  <c r="Q49" i="13"/>
  <c r="C51" i="13"/>
  <c r="E51" i="13"/>
  <c r="G51" i="13"/>
  <c r="I51" i="13"/>
  <c r="K51" i="13"/>
  <c r="L51" i="13"/>
  <c r="M51" i="13"/>
  <c r="O51" i="13"/>
  <c r="P51" i="13"/>
  <c r="Q51" i="13"/>
  <c r="C52" i="13"/>
  <c r="E52" i="13"/>
  <c r="G52" i="13"/>
  <c r="I52" i="13"/>
  <c r="K52" i="13"/>
  <c r="L52" i="13"/>
  <c r="M52" i="13"/>
  <c r="O52" i="13"/>
  <c r="P52" i="13"/>
  <c r="Q52" i="13"/>
  <c r="C53" i="13"/>
  <c r="E53" i="13"/>
  <c r="G53" i="13"/>
  <c r="I53" i="13"/>
  <c r="K53" i="13"/>
  <c r="M53" i="13"/>
  <c r="O53" i="13"/>
  <c r="P53" i="13"/>
  <c r="Q53" i="13"/>
  <c r="C54" i="13"/>
  <c r="E54" i="13"/>
  <c r="G54" i="13"/>
  <c r="I54" i="13"/>
  <c r="K54" i="13"/>
  <c r="L54" i="13"/>
  <c r="M54" i="13"/>
  <c r="O54" i="13"/>
  <c r="P54" i="13"/>
  <c r="Q54" i="13"/>
  <c r="C55" i="13"/>
  <c r="E55" i="13"/>
  <c r="G55" i="13"/>
  <c r="I55" i="13"/>
  <c r="K55" i="13"/>
  <c r="L55" i="13"/>
  <c r="M55" i="13"/>
  <c r="O55" i="13"/>
  <c r="P55" i="13"/>
  <c r="Q55" i="13"/>
  <c r="C56" i="13"/>
  <c r="E56" i="13"/>
  <c r="G56" i="13"/>
  <c r="I56" i="13"/>
  <c r="K56" i="13"/>
  <c r="L56" i="13"/>
  <c r="M56" i="13"/>
  <c r="O56" i="13"/>
  <c r="P56" i="13"/>
  <c r="Q56" i="13"/>
  <c r="C57" i="13"/>
  <c r="E57" i="13"/>
  <c r="G57" i="13"/>
  <c r="H57" i="13"/>
  <c r="I57" i="13"/>
  <c r="K57" i="13"/>
  <c r="M57" i="13"/>
  <c r="O57" i="13"/>
  <c r="P57" i="13"/>
  <c r="Q57" i="13"/>
  <c r="C58" i="13"/>
  <c r="E58" i="13"/>
  <c r="G58" i="13"/>
  <c r="I58" i="13"/>
  <c r="K58" i="13"/>
  <c r="L58" i="13"/>
  <c r="M58" i="13"/>
  <c r="O58" i="13"/>
  <c r="P58" i="13"/>
  <c r="Q58" i="13"/>
  <c r="C59" i="13"/>
  <c r="D59" i="13"/>
  <c r="E59" i="13"/>
  <c r="G59" i="13"/>
  <c r="I59" i="13"/>
  <c r="K59" i="13"/>
  <c r="L59" i="13"/>
  <c r="M59" i="13"/>
  <c r="O59" i="13"/>
  <c r="P59" i="13"/>
  <c r="Q59" i="13"/>
  <c r="C60" i="13"/>
  <c r="E60" i="13"/>
  <c r="G60" i="13"/>
  <c r="I60" i="13"/>
  <c r="K60" i="13"/>
  <c r="L60" i="13"/>
  <c r="M60" i="13"/>
  <c r="O60" i="13"/>
  <c r="P60" i="13"/>
  <c r="Q60" i="13"/>
  <c r="C61" i="13"/>
  <c r="E61" i="13"/>
  <c r="G61" i="13"/>
  <c r="I61" i="13"/>
  <c r="K61" i="13"/>
  <c r="M61" i="13"/>
  <c r="O61" i="13"/>
  <c r="P61" i="13"/>
  <c r="Q61" i="13"/>
  <c r="C62" i="13"/>
  <c r="E62" i="13"/>
  <c r="G62" i="13"/>
  <c r="I62" i="13"/>
  <c r="K62" i="13"/>
  <c r="M62" i="13"/>
  <c r="O62" i="13"/>
  <c r="P62" i="13"/>
  <c r="Q62" i="13"/>
  <c r="C63" i="13"/>
  <c r="E63" i="13"/>
  <c r="G63" i="13"/>
  <c r="I63" i="13"/>
  <c r="K63" i="13"/>
  <c r="M63" i="13"/>
  <c r="O63" i="13"/>
  <c r="P63" i="13"/>
  <c r="Q63" i="13"/>
  <c r="E64" i="13"/>
  <c r="I64" i="13"/>
  <c r="M64" i="13"/>
  <c r="O64" i="13"/>
  <c r="P64" i="13"/>
  <c r="Q64" i="13"/>
  <c r="C65" i="13"/>
  <c r="E65" i="13"/>
  <c r="G65" i="13"/>
  <c r="I65" i="13"/>
  <c r="K65" i="13"/>
  <c r="M65" i="13"/>
  <c r="O65" i="13"/>
  <c r="P65" i="13"/>
  <c r="Q65" i="13"/>
  <c r="C66" i="13"/>
  <c r="E66" i="13"/>
  <c r="G66" i="13"/>
  <c r="I66" i="13"/>
  <c r="K66" i="13"/>
  <c r="M66" i="13"/>
  <c r="O66" i="13"/>
  <c r="P66" i="13"/>
  <c r="Q66" i="13"/>
  <c r="C67" i="13"/>
  <c r="D67" i="13"/>
  <c r="E67" i="13"/>
  <c r="G67" i="13"/>
  <c r="H67" i="13"/>
  <c r="I67" i="13"/>
  <c r="K67" i="13"/>
  <c r="L67" i="13"/>
  <c r="M67" i="13"/>
  <c r="O67" i="13"/>
  <c r="P67" i="13"/>
  <c r="Q67" i="13"/>
  <c r="C68" i="13"/>
  <c r="D68" i="13"/>
  <c r="E68" i="13"/>
  <c r="G68" i="13"/>
  <c r="I68" i="13"/>
  <c r="K68" i="13"/>
  <c r="L68" i="13"/>
  <c r="M68" i="13"/>
  <c r="O68" i="13"/>
  <c r="P68" i="13"/>
  <c r="Q68" i="13"/>
  <c r="C69" i="13"/>
  <c r="D69" i="13"/>
  <c r="E69" i="13"/>
  <c r="G69" i="13"/>
  <c r="H69" i="13"/>
  <c r="I69" i="13"/>
  <c r="K69" i="13"/>
  <c r="L69" i="13"/>
  <c r="M69" i="13"/>
  <c r="O69" i="13"/>
  <c r="P69" i="13"/>
  <c r="Q69" i="13"/>
  <c r="C70" i="13"/>
  <c r="D70" i="13"/>
  <c r="E70" i="13"/>
  <c r="G70" i="13"/>
  <c r="H70" i="13"/>
  <c r="I70" i="13"/>
  <c r="K70" i="13"/>
  <c r="L70" i="13"/>
  <c r="M70" i="13"/>
  <c r="O70" i="13"/>
  <c r="P70" i="13"/>
  <c r="Q70" i="13"/>
  <c r="C72" i="13"/>
  <c r="E72" i="13"/>
  <c r="G72" i="13"/>
  <c r="I72" i="13"/>
  <c r="K72" i="13"/>
  <c r="M72" i="13"/>
  <c r="O72" i="13"/>
  <c r="P72" i="13"/>
  <c r="Q72" i="13"/>
  <c r="C73" i="13"/>
  <c r="E73" i="13"/>
  <c r="G73" i="13"/>
  <c r="I73" i="13"/>
  <c r="K73" i="13"/>
  <c r="M73" i="13"/>
  <c r="O73" i="13"/>
  <c r="P73" i="13"/>
  <c r="Q73" i="13"/>
  <c r="C74" i="13"/>
  <c r="E74" i="13"/>
  <c r="G74" i="13"/>
  <c r="I74" i="13"/>
  <c r="K74" i="13"/>
  <c r="M74" i="13"/>
  <c r="O74" i="13"/>
  <c r="P74" i="13"/>
  <c r="Q74" i="13"/>
  <c r="C75" i="13"/>
  <c r="E75" i="13"/>
  <c r="G75" i="13"/>
  <c r="I75" i="13"/>
  <c r="K75" i="13"/>
  <c r="M75" i="13"/>
  <c r="O75" i="13"/>
  <c r="P75" i="13"/>
  <c r="Q75" i="13"/>
  <c r="C76" i="13"/>
  <c r="E76" i="13"/>
  <c r="G76" i="13"/>
  <c r="I76" i="13"/>
  <c r="K76" i="13"/>
  <c r="M76" i="13"/>
  <c r="O76" i="13"/>
  <c r="P76" i="13"/>
  <c r="Q76" i="13"/>
  <c r="C77" i="13"/>
  <c r="E77" i="13"/>
  <c r="G77" i="13"/>
  <c r="I77" i="13"/>
  <c r="K77" i="13"/>
  <c r="M77" i="13"/>
  <c r="O77" i="13"/>
  <c r="P77" i="13"/>
  <c r="Q77" i="13"/>
  <c r="C78" i="13"/>
  <c r="E78" i="13"/>
  <c r="G78" i="13"/>
  <c r="I78" i="13"/>
  <c r="K78" i="13"/>
  <c r="M78" i="13"/>
  <c r="O78" i="13"/>
  <c r="P78" i="13"/>
  <c r="Q78" i="13"/>
  <c r="C79" i="13"/>
  <c r="E79" i="13"/>
  <c r="G79" i="13"/>
  <c r="I79" i="13"/>
  <c r="K79" i="13"/>
  <c r="M79" i="13"/>
  <c r="O79" i="13"/>
  <c r="P79" i="13"/>
  <c r="Q79" i="13"/>
  <c r="C80" i="13"/>
  <c r="E80" i="13"/>
  <c r="G80" i="13"/>
  <c r="I80" i="13"/>
  <c r="K80" i="13"/>
  <c r="M80" i="13"/>
  <c r="O80" i="13"/>
  <c r="P80" i="13"/>
  <c r="Q80" i="13"/>
  <c r="C81" i="13"/>
  <c r="E81" i="13"/>
  <c r="G81" i="13"/>
  <c r="I81" i="13"/>
  <c r="K81" i="13"/>
  <c r="M81" i="13"/>
  <c r="O81" i="13"/>
  <c r="P81" i="13"/>
  <c r="Q81" i="13"/>
  <c r="C82" i="13"/>
  <c r="E82" i="13"/>
  <c r="G82" i="13"/>
  <c r="I82" i="13"/>
  <c r="K82" i="13"/>
  <c r="M82" i="13"/>
  <c r="O82" i="13"/>
  <c r="P82" i="13"/>
  <c r="Q82" i="13"/>
  <c r="C83" i="13"/>
  <c r="E83" i="13"/>
  <c r="G83" i="13"/>
  <c r="I83" i="13"/>
  <c r="K83" i="13"/>
  <c r="M83" i="13"/>
  <c r="O83" i="13"/>
  <c r="P83" i="13"/>
  <c r="Q83" i="13"/>
  <c r="C84" i="13"/>
  <c r="E84" i="13"/>
  <c r="G84" i="13"/>
  <c r="I84" i="13"/>
  <c r="K84" i="13"/>
  <c r="M84" i="13"/>
  <c r="O84" i="13"/>
  <c r="P84" i="13"/>
  <c r="Q84" i="13"/>
  <c r="C85" i="13"/>
  <c r="E85" i="13"/>
  <c r="G85" i="13"/>
  <c r="I85" i="13"/>
  <c r="K85" i="13"/>
  <c r="M85" i="13"/>
  <c r="O85" i="13"/>
  <c r="P85" i="13"/>
  <c r="Q85" i="13"/>
  <c r="C86" i="13"/>
  <c r="D86" i="13"/>
  <c r="E86" i="13"/>
  <c r="G86" i="13"/>
  <c r="H86" i="13"/>
  <c r="I86" i="13"/>
  <c r="K86" i="13"/>
  <c r="L86" i="13"/>
  <c r="M86" i="13"/>
  <c r="O86" i="13"/>
  <c r="P86" i="13"/>
  <c r="Q86" i="13"/>
  <c r="C87" i="13"/>
  <c r="E87" i="13"/>
  <c r="G87" i="13"/>
  <c r="I87" i="13"/>
  <c r="K87" i="13"/>
  <c r="L87" i="13"/>
  <c r="M87" i="13"/>
  <c r="O87" i="13"/>
  <c r="P87" i="13"/>
  <c r="Q87" i="13"/>
  <c r="C88" i="13"/>
  <c r="E88" i="13"/>
  <c r="G88" i="13"/>
  <c r="I88" i="13"/>
  <c r="K88" i="13"/>
  <c r="L88" i="13"/>
  <c r="M88" i="13"/>
  <c r="O88" i="13"/>
  <c r="P88" i="13"/>
  <c r="Q88" i="13"/>
  <c r="C89" i="13"/>
  <c r="E89" i="13"/>
  <c r="G89" i="13"/>
  <c r="I89" i="13"/>
  <c r="K89" i="13"/>
  <c r="M89" i="13"/>
  <c r="O89" i="13"/>
  <c r="P89" i="13"/>
  <c r="Q89" i="13"/>
  <c r="C90" i="13"/>
  <c r="E90" i="13"/>
  <c r="G90" i="13"/>
  <c r="I90" i="13"/>
  <c r="K90" i="13"/>
  <c r="M90" i="13"/>
  <c r="O90" i="13"/>
  <c r="P90" i="13"/>
  <c r="Q90" i="13"/>
  <c r="C91" i="13"/>
  <c r="D91" i="13"/>
  <c r="E91" i="13"/>
  <c r="G91" i="13"/>
  <c r="H91" i="13"/>
  <c r="I91" i="13"/>
  <c r="K91" i="13"/>
  <c r="L91" i="13"/>
  <c r="M91" i="13"/>
  <c r="O91" i="13"/>
  <c r="P91" i="13"/>
  <c r="Q91" i="13"/>
  <c r="E92" i="13"/>
  <c r="G92" i="13"/>
  <c r="I92" i="13"/>
  <c r="L92" i="13"/>
  <c r="O92" i="13"/>
  <c r="P92" i="13"/>
  <c r="Q92" i="13"/>
  <c r="C93" i="13"/>
  <c r="D93" i="13"/>
  <c r="E93" i="13"/>
  <c r="G93" i="13"/>
  <c r="H93" i="13"/>
  <c r="I93" i="13"/>
  <c r="K93" i="13"/>
  <c r="L93" i="13"/>
  <c r="M93" i="13"/>
  <c r="O93" i="13"/>
  <c r="P93" i="13"/>
  <c r="Q93" i="13"/>
</calcChain>
</file>

<file path=xl/sharedStrings.xml><?xml version="1.0" encoding="utf-8"?>
<sst xmlns="http://schemas.openxmlformats.org/spreadsheetml/2006/main" count="666" uniqueCount="161">
  <si>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</si>
  <si>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</si>
  <si>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</si>
  <si>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</si>
  <si>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</si>
  <si>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</si>
  <si>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</si>
  <si>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</si>
  <si>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</si>
  <si>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</si>
  <si>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</si>
  <si>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</si>
  <si>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</si>
  <si>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</si>
  <si>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</si>
  <si>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</si>
  <si>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</si>
  <si>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</si>
  <si>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</si>
  <si>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</si>
  <si>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</si>
  <si>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</si>
  <si>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</si>
  <si>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</si>
  <si>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</si>
  <si>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</si>
  <si>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</si>
  <si>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</si>
  <si>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</si>
  <si>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</si>
  <si>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</si>
  <si>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</si>
  <si>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</si>
  <si>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</si>
  <si>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</si>
  <si>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</si>
  <si>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</si>
  <si>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</si>
  <si>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</si>
  <si>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</si>
  <si>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</si>
  <si>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</si>
  <si>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</si>
  <si>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</si>
  <si>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</si>
  <si>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</si>
  <si>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</si>
  <si>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</si>
  <si>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</si>
  <si>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</si>
  <si>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</si>
  <si>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</si>
  <si>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</si>
  <si>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</si>
  <si>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</si>
  <si>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</si>
  <si>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</si>
  <si>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</si>
  <si>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</si>
  <si>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</si>
  <si>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</si>
  <si>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</si>
  <si>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</si>
  <si>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</si>
  <si>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</si>
  <si>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</si>
  <si>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</si>
  <si>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</si>
  <si>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</si>
  <si>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</si>
  <si>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</si>
  <si>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</si>
  <si>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</si>
  <si>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</si>
  <si>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</si>
  <si>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</si>
  <si>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</si>
  <si>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</si>
  <si>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</si>
  <si>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</si>
  <si>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</si>
  <si>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</si>
  <si>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</si>
  <si>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</si>
  <si>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</si>
  <si>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</si>
  <si>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</si>
  <si>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</si>
  <si>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</si>
  <si>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</si>
  <si>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</si>
  <si>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</si>
  <si>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</si>
  <si>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</si>
  <si>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</si>
  <si>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</si>
  <si>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</si>
  <si>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</si>
  <si>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</si>
  <si>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</si>
  <si>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</si>
  <si>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</si>
  <si>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</si>
  <si>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</si>
  <si>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</si>
  <si>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</si>
  <si>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</si>
  <si>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</si>
  <si>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</si>
  <si>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</si>
  <si>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</si>
  <si>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</si>
  <si>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</si>
  <si>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</si>
  <si>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</si>
  <si>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</si>
  <si>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</si>
  <si>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</si>
  <si>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</si>
  <si>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</si>
  <si>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</si>
  <si>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</si>
  <si>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</si>
  <si>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</si>
  <si>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</si>
  <si>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</si>
  <si>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</si>
  <si>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</si>
  <si>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</si>
  <si>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</si>
  <si>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</si>
  <si>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</si>
  <si>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</si>
  <si>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</si>
  <si>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Restructuring (Redmond/Lydecker)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</si>
  <si>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</si>
  <si>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</si>
  <si>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</si>
  <si>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</si>
  <si>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</si>
  <si>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</si>
  <si>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</si>
  <si>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</si>
  <si>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</si>
  <si>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</si>
  <si>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</si>
  <si>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</si>
  <si>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</si>
  <si>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</si>
  <si>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</si>
  <si>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</si>
  <si>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Options (Arrora)</t>
  </si>
  <si>
    <t xml:space="preserve">    Services (Will)</t>
  </si>
  <si>
    <t xml:space="preserve">    Generation (Parquet)</t>
  </si>
  <si>
    <t xml:space="preserve">    Executive (Calger)</t>
  </si>
  <si>
    <t xml:space="preserve">    Origination (Thomas/Mcdonald)</t>
  </si>
  <si>
    <t xml:space="preserve">AA SAP invoices, </t>
  </si>
  <si>
    <t>Results based on activity through May 18, 2001</t>
  </si>
  <si>
    <t xml:space="preserve">    Southeast (Herndon/Kroll)</t>
  </si>
  <si>
    <t xml:space="preserve">    Structuring (Meyn)</t>
  </si>
  <si>
    <t xml:space="preserve">    Fundamentals (Heizenreiker)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</si>
</sst>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6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0" xfId="0" applyNumberFormat="1" applyFont="1" applyFill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166" fontId="10" fillId="0" borderId="0" xfId="1" applyNumberFormat="1" applyFont="1" applyAlignment="1" applyProtection="1"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7972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0</xdr:row>
      <xdr:rowOff>83820</xdr:rowOff>
    </xdr:from>
    <xdr:to>
      <xdr:col>13</xdr:col>
      <xdr:colOff>381000</xdr:colOff>
      <xdr:row>2</xdr:row>
      <xdr:rowOff>45720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7056120" y="8382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21" name="Text Box 5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7620</xdr:colOff>
      <xdr:row>0</xdr:row>
      <xdr:rowOff>68580</xdr:rowOff>
    </xdr:from>
    <xdr:to>
      <xdr:col>13</xdr:col>
      <xdr:colOff>1005840</xdr:colOff>
      <xdr:row>2</xdr:row>
      <xdr:rowOff>53340</xdr:rowOff>
    </xdr:to>
    <xdr:sp macro="" textlink="">
      <xdr:nvSpPr>
        <xdr:cNvPr id="9222" name="Text Box 6"/>
        <xdr:cNvSpPr txBox="1">
          <a:spLocks noChangeArrowheads="1"/>
        </xdr:cNvSpPr>
      </xdr:nvSpPr>
      <xdr:spPr bwMode="auto">
        <a:xfrm>
          <a:off x="9128760" y="6858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60960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6446520" y="76200"/>
          <a:ext cx="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15240</xdr:rowOff>
    </xdr:from>
    <xdr:to>
      <xdr:col>8</xdr:col>
      <xdr:colOff>0</xdr:colOff>
      <xdr:row>2</xdr:row>
      <xdr:rowOff>0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15840" y="15240"/>
          <a:ext cx="163068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ColWidth="9.109375" defaultRowHeight="10.199999999999999" x14ac:dyDescent="0.2"/>
  <cols>
    <col min="1" max="1" width="27.44140625" style="10" customWidth="1"/>
    <col min="2" max="2" width="0.88671875" style="10" customWidth="1"/>
    <col min="3" max="4" width="8.6640625" style="10" customWidth="1"/>
    <col min="5" max="5" width="11.6640625" style="10" customWidth="1"/>
    <col min="6" max="6" width="0.88671875" style="10" customWidth="1"/>
    <col min="7" max="9" width="8.6640625" style="216" customWidth="1"/>
    <col min="10" max="10" width="1.109375" style="216" customWidth="1"/>
    <col min="11" max="12" width="8.6640625" style="216" customWidth="1"/>
    <col min="13" max="13" width="7.3320312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5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3">
      <c r="A5" s="45"/>
      <c r="B5" s="257"/>
      <c r="C5" s="346"/>
      <c r="D5" s="347"/>
      <c r="E5" s="348"/>
      <c r="F5" s="261"/>
      <c r="G5" s="352" t="s">
        <v>121</v>
      </c>
      <c r="H5" s="353"/>
      <c r="I5" s="354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5">
      <c r="A6" s="238"/>
      <c r="B6" s="258"/>
      <c r="C6" s="349" t="s">
        <v>0</v>
      </c>
      <c r="D6" s="350"/>
      <c r="E6" s="351"/>
      <c r="F6" s="262"/>
      <c r="G6" s="340" t="s">
        <v>114</v>
      </c>
      <c r="H6" s="341"/>
      <c r="I6" s="342"/>
      <c r="J6" s="265"/>
      <c r="K6" s="340" t="s">
        <v>99</v>
      </c>
      <c r="L6" s="341"/>
      <c r="M6" s="342"/>
      <c r="N6" s="278"/>
      <c r="O6" s="340" t="s">
        <v>1</v>
      </c>
      <c r="P6" s="341"/>
      <c r="Q6" s="342"/>
    </row>
    <row r="7" spans="1:26" ht="15" customHeight="1" thickBot="1" x14ac:dyDescent="0.35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">
      <c r="A9" s="11" t="s">
        <v>20</v>
      </c>
      <c r="B9" s="17"/>
      <c r="C9" s="153">
        <f>GrossMargin!I8</f>
        <v>2700</v>
      </c>
      <c r="D9" s="154">
        <f>GrossMargin!M8</f>
        <v>8750</v>
      </c>
      <c r="E9" s="50">
        <f t="shared" ref="E9:E17" si="0">-D9+C9</f>
        <v>-6050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1694</v>
      </c>
      <c r="P9" s="196">
        <f>D9-H9-L9</f>
        <v>7744</v>
      </c>
      <c r="Q9" s="200">
        <f t="shared" ref="Q9:Q17" si="1">O9-P9</f>
        <v>-6050</v>
      </c>
    </row>
    <row r="10" spans="1:26" s="18" customFormat="1" ht="12.75" customHeight="1" x14ac:dyDescent="0.2">
      <c r="A10" s="11" t="s">
        <v>21</v>
      </c>
      <c r="B10" s="19"/>
      <c r="C10" s="21">
        <f>GrossMargin!I9</f>
        <v>-1286</v>
      </c>
      <c r="D10" s="251">
        <f>GrossMargin!M9</f>
        <v>20000</v>
      </c>
      <c r="E10" s="24">
        <f t="shared" si="0"/>
        <v>-21286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74</v>
      </c>
      <c r="M10" s="198">
        <f t="shared" ref="M10:M17" si="3">K10-L10</f>
        <v>-74</v>
      </c>
      <c r="N10" s="199"/>
      <c r="O10" s="201">
        <f>C10-G10-K10</f>
        <v>-2780</v>
      </c>
      <c r="P10" s="202">
        <f>D10-H10-L10</f>
        <v>18432</v>
      </c>
      <c r="Q10" s="198">
        <f t="shared" si="1"/>
        <v>-21212</v>
      </c>
    </row>
    <row r="11" spans="1:26" ht="12" customHeight="1" x14ac:dyDescent="0.2">
      <c r="A11" s="11" t="s">
        <v>22</v>
      </c>
      <c r="B11" s="20"/>
      <c r="C11" s="21">
        <f>GrossMargin!I10</f>
        <v>61643</v>
      </c>
      <c r="D11" s="251">
        <f>GrossMargin!M10</f>
        <v>20000</v>
      </c>
      <c r="E11" s="24">
        <f t="shared" si="0"/>
        <v>41643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60186</v>
      </c>
      <c r="P11" s="202">
        <f t="shared" ref="P11:P17" si="5">D11-H11-L11</f>
        <v>18543</v>
      </c>
      <c r="Q11" s="198">
        <f t="shared" si="1"/>
        <v>41643</v>
      </c>
    </row>
    <row r="12" spans="1:26" ht="12" customHeight="1" x14ac:dyDescent="0.2">
      <c r="A12" s="11" t="s">
        <v>23</v>
      </c>
      <c r="B12" s="20"/>
      <c r="C12" s="21">
        <f>GrossMargin!I11</f>
        <v>60478</v>
      </c>
      <c r="D12" s="251">
        <f>GrossMargin!M11</f>
        <v>20000</v>
      </c>
      <c r="E12" s="24">
        <f t="shared" si="0"/>
        <v>40478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58593</v>
      </c>
      <c r="P12" s="202">
        <f t="shared" si="5"/>
        <v>18115</v>
      </c>
      <c r="Q12" s="198">
        <f t="shared" si="1"/>
        <v>40478</v>
      </c>
    </row>
    <row r="13" spans="1:26" ht="12" customHeight="1" x14ac:dyDescent="0.2">
      <c r="A13" s="11" t="s">
        <v>24</v>
      </c>
      <c r="B13" s="20"/>
      <c r="C13" s="21">
        <f>GrossMargin!I12</f>
        <v>20505</v>
      </c>
      <c r="D13" s="251">
        <f>GrossMargin!M12</f>
        <v>6250</v>
      </c>
      <c r="E13" s="24">
        <f t="shared" si="0"/>
        <v>14255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17922</v>
      </c>
      <c r="P13" s="202">
        <f t="shared" si="5"/>
        <v>3667</v>
      </c>
      <c r="Q13" s="198">
        <f t="shared" si="1"/>
        <v>14255</v>
      </c>
    </row>
    <row r="14" spans="1:26" ht="12" customHeight="1" x14ac:dyDescent="0.2">
      <c r="A14" s="11" t="s">
        <v>64</v>
      </c>
      <c r="B14" s="20"/>
      <c r="C14" s="21">
        <f>GrossMargin!I15</f>
        <v>-2640</v>
      </c>
      <c r="D14" s="251">
        <f>GrossMargin!M15</f>
        <v>-5000</v>
      </c>
      <c r="E14" s="24">
        <f t="shared" si="0"/>
        <v>2360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-2796</v>
      </c>
      <c r="P14" s="202">
        <f t="shared" si="5"/>
        <v>-5156</v>
      </c>
      <c r="Q14" s="198">
        <f t="shared" si="1"/>
        <v>2360</v>
      </c>
    </row>
    <row r="15" spans="1:26" ht="12" customHeight="1" x14ac:dyDescent="0.2">
      <c r="A15" s="11" t="s">
        <v>27</v>
      </c>
      <c r="B15" s="20"/>
      <c r="C15" s="21">
        <f>GrossMargin!I16</f>
        <v>4763</v>
      </c>
      <c r="D15" s="251">
        <f>GrossMargin!M16</f>
        <v>6000</v>
      </c>
      <c r="E15" s="24">
        <f t="shared" si="0"/>
        <v>-1237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236</v>
      </c>
      <c r="L15" s="202">
        <f>CapChrg!E16</f>
        <v>-187</v>
      </c>
      <c r="M15" s="198">
        <f t="shared" si="3"/>
        <v>423</v>
      </c>
      <c r="N15" s="203"/>
      <c r="O15" s="201">
        <f t="shared" si="4"/>
        <v>2431</v>
      </c>
      <c r="P15" s="202">
        <f t="shared" si="5"/>
        <v>4091</v>
      </c>
      <c r="Q15" s="198">
        <f t="shared" si="1"/>
        <v>-1660</v>
      </c>
    </row>
    <row r="16" spans="1:26" ht="12" customHeight="1" x14ac:dyDescent="0.2">
      <c r="A16" s="11" t="s">
        <v>28</v>
      </c>
      <c r="B16" s="20"/>
      <c r="C16" s="21">
        <f>GrossMargin!I17</f>
        <v>0</v>
      </c>
      <c r="D16" s="251">
        <f>GrossMargin!M17</f>
        <v>0</v>
      </c>
      <c r="E16" s="24">
        <f t="shared" si="0"/>
        <v>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-730</v>
      </c>
      <c r="P16" s="202">
        <f t="shared" si="5"/>
        <v>-730</v>
      </c>
      <c r="Q16" s="198">
        <f t="shared" si="1"/>
        <v>0</v>
      </c>
    </row>
    <row r="17" spans="1:17" ht="12" customHeight="1" x14ac:dyDescent="0.2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">
      <c r="A18" s="25" t="s">
        <v>7</v>
      </c>
      <c r="B18" s="155"/>
      <c r="C18" s="26">
        <f>SUM(C8:C17)</f>
        <v>146163</v>
      </c>
      <c r="D18" s="27">
        <f>SUM(D8:D17)</f>
        <v>76000</v>
      </c>
      <c r="E18" s="28">
        <f>SUM(E8:E17)</f>
        <v>70163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236</v>
      </c>
      <c r="L18" s="205">
        <f>SUM(L9:L17)</f>
        <v>-113</v>
      </c>
      <c r="M18" s="206">
        <f>SUM(M9:M17)</f>
        <v>349</v>
      </c>
      <c r="N18" s="207"/>
      <c r="O18" s="204">
        <f>SUM(O9:O17)</f>
        <v>133786</v>
      </c>
      <c r="P18" s="205">
        <f>SUM(P9:P17)</f>
        <v>63972</v>
      </c>
      <c r="Q18" s="206">
        <f>SUM(Q9:Q17)</f>
        <v>69814</v>
      </c>
    </row>
    <row r="19" spans="1:17" ht="7.5" customHeight="1" x14ac:dyDescent="0.2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">
      <c r="A20" s="11" t="s">
        <v>25</v>
      </c>
      <c r="B20" s="9"/>
      <c r="C20" s="21">
        <f>GrossMargin!I21</f>
        <v>12710</v>
      </c>
      <c r="D20" s="251">
        <f>GrossMargin!M21</f>
        <v>12000</v>
      </c>
      <c r="E20" s="24">
        <f t="shared" ref="E20:E25" si="6">-D20+C20</f>
        <v>710</v>
      </c>
      <c r="F20" s="23"/>
      <c r="G20" s="240">
        <f>Expenses!C21+Expenses!G21</f>
        <v>1635</v>
      </c>
      <c r="H20" s="240">
        <f>Expenses!D21+Expenses!H21</f>
        <v>1635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852</v>
      </c>
      <c r="M20" s="198">
        <f t="shared" ref="M20:M25" si="8">K20-L20</f>
        <v>-741</v>
      </c>
      <c r="N20" s="203"/>
      <c r="O20" s="201">
        <f t="shared" ref="O20:P25" si="9">C20-G20-K20</f>
        <v>10964</v>
      </c>
      <c r="P20" s="202">
        <f t="shared" si="9"/>
        <v>9513</v>
      </c>
      <c r="Q20" s="198">
        <f t="shared" ref="Q20:Q25" si="10">O20-P20</f>
        <v>1451</v>
      </c>
    </row>
    <row r="21" spans="1:17" ht="14.25" customHeight="1" x14ac:dyDescent="0.2">
      <c r="A21" s="11" t="s">
        <v>26</v>
      </c>
      <c r="B21" s="9"/>
      <c r="C21" s="21">
        <f>GrossMargin!I22</f>
        <v>1700</v>
      </c>
      <c r="D21" s="251">
        <f>GrossMargin!M22</f>
        <v>10000</v>
      </c>
      <c r="E21" s="24">
        <f t="shared" si="6"/>
        <v>-8300</v>
      </c>
      <c r="F21" s="23"/>
      <c r="G21" s="240">
        <f>Expenses!C22+Expenses!G22</f>
        <v>354</v>
      </c>
      <c r="H21" s="240">
        <f>Expenses!D22+Expenses!H22</f>
        <v>354</v>
      </c>
      <c r="I21" s="273">
        <f t="shared" si="7"/>
        <v>0</v>
      </c>
      <c r="J21" s="269"/>
      <c r="K21" s="240">
        <f>CapChrg!D22</f>
        <v>0</v>
      </c>
      <c r="L21" s="197">
        <f>CapChrg!E22</f>
        <v>0</v>
      </c>
      <c r="M21" s="198">
        <f t="shared" si="8"/>
        <v>0</v>
      </c>
      <c r="N21" s="203"/>
      <c r="O21" s="201">
        <f t="shared" si="9"/>
        <v>1346</v>
      </c>
      <c r="P21" s="202">
        <f t="shared" si="9"/>
        <v>9646</v>
      </c>
      <c r="Q21" s="198">
        <f t="shared" si="10"/>
        <v>-8300</v>
      </c>
    </row>
    <row r="22" spans="1:17" ht="14.25" customHeight="1" x14ac:dyDescent="0.2">
      <c r="A22" s="11" t="s">
        <v>32</v>
      </c>
      <c r="B22" s="9"/>
      <c r="C22" s="21">
        <f>GrossMargin!I23</f>
        <v>35896</v>
      </c>
      <c r="D22" s="251">
        <f>GrossMargin!M23</f>
        <v>6000</v>
      </c>
      <c r="E22" s="24">
        <f t="shared" si="6"/>
        <v>29896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4139</v>
      </c>
      <c r="L22" s="197">
        <f>CapChrg!E23</f>
        <v>-2144</v>
      </c>
      <c r="M22" s="198">
        <f t="shared" si="8"/>
        <v>6283</v>
      </c>
      <c r="N22" s="203"/>
      <c r="O22" s="201">
        <f t="shared" si="9"/>
        <v>29663</v>
      </c>
      <c r="P22" s="202">
        <f t="shared" si="9"/>
        <v>6050</v>
      </c>
      <c r="Q22" s="198">
        <f t="shared" si="10"/>
        <v>23613</v>
      </c>
    </row>
    <row r="23" spans="1:17" ht="14.25" customHeight="1" x14ac:dyDescent="0.2">
      <c r="A23" s="11" t="s">
        <v>30</v>
      </c>
      <c r="B23" s="9"/>
      <c r="C23" s="21">
        <f>GrossMargin!I24</f>
        <v>102672</v>
      </c>
      <c r="D23" s="251">
        <f>GrossMargin!M24</f>
        <v>62499</v>
      </c>
      <c r="E23" s="24">
        <f t="shared" si="6"/>
        <v>40173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99970</v>
      </c>
      <c r="P23" s="202">
        <f t="shared" si="9"/>
        <v>59797</v>
      </c>
      <c r="Q23" s="198">
        <f t="shared" si="10"/>
        <v>40173</v>
      </c>
    </row>
    <row r="24" spans="1:17" ht="14.25" customHeight="1" x14ac:dyDescent="0.2">
      <c r="A24" s="11" t="s">
        <v>31</v>
      </c>
      <c r="B24" s="9"/>
      <c r="C24" s="21">
        <f>GrossMargin!I25</f>
        <v>16400</v>
      </c>
      <c r="D24" s="251">
        <f>GrossMargin!M25</f>
        <v>12499</v>
      </c>
      <c r="E24" s="24">
        <f t="shared" si="6"/>
        <v>3901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15962</v>
      </c>
      <c r="P24" s="202">
        <f t="shared" si="9"/>
        <v>12061</v>
      </c>
      <c r="Q24" s="198">
        <f t="shared" si="10"/>
        <v>3901</v>
      </c>
    </row>
    <row r="25" spans="1:17" ht="14.25" customHeight="1" x14ac:dyDescent="0.2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">
      <c r="A26" s="25" t="s">
        <v>8</v>
      </c>
      <c r="B26" s="155"/>
      <c r="C26" s="26">
        <f>SUM(C20:C25)</f>
        <v>169378</v>
      </c>
      <c r="D26" s="27">
        <f>SUM(D20:D25)</f>
        <v>102998</v>
      </c>
      <c r="E26" s="28">
        <f>SUM(E20:E25)</f>
        <v>66380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-1292</v>
      </c>
      <c r="M26" s="206">
        <f>SUM(M20:M25)</f>
        <v>5542</v>
      </c>
      <c r="N26" s="207"/>
      <c r="O26" s="204">
        <f>SUM(O20:O25)</f>
        <v>157632</v>
      </c>
      <c r="P26" s="205">
        <f>SUM(P20:P25)</f>
        <v>96794</v>
      </c>
      <c r="Q26" s="206">
        <f>SUM(Q20:Q25)</f>
        <v>60838</v>
      </c>
    </row>
    <row r="27" spans="1:17" ht="7.5" customHeight="1" x14ac:dyDescent="0.2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">
      <c r="A28" s="11" t="s">
        <v>34</v>
      </c>
      <c r="B28" s="9"/>
      <c r="C28" s="21">
        <f>GrossMargin!I29</f>
        <v>-371597</v>
      </c>
      <c r="D28" s="251">
        <f>GrossMargin!M29</f>
        <v>31500</v>
      </c>
      <c r="E28" s="24">
        <f t="shared" ref="E28:E36" si="11">-D28+C28</f>
        <v>-403097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">
      <c r="A29" s="11" t="s">
        <v>35</v>
      </c>
      <c r="B29" s="9"/>
      <c r="C29" s="21">
        <f>GrossMargin!I30</f>
        <v>35912</v>
      </c>
      <c r="D29" s="251">
        <f>GrossMargin!M30</f>
        <v>19250</v>
      </c>
      <c r="E29" s="24">
        <f t="shared" si="11"/>
        <v>16662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226</v>
      </c>
      <c r="M29" s="198">
        <f t="shared" si="13"/>
        <v>-82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">
      <c r="A30" s="11" t="s">
        <v>36</v>
      </c>
      <c r="B30" s="9"/>
      <c r="C30" s="21">
        <f>GrossMargin!I31</f>
        <v>16827</v>
      </c>
      <c r="D30" s="251">
        <f>GrossMargin!M31</f>
        <v>21000</v>
      </c>
      <c r="E30" s="24">
        <f t="shared" si="11"/>
        <v>-4173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-1363</v>
      </c>
      <c r="M30" s="198">
        <f t="shared" si="13"/>
        <v>2935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">
      <c r="A31" s="11" t="s">
        <v>37</v>
      </c>
      <c r="B31" s="9"/>
      <c r="C31" s="21">
        <f>GrossMargin!I32</f>
        <v>29202</v>
      </c>
      <c r="D31" s="251">
        <f>GrossMargin!M32</f>
        <v>10000</v>
      </c>
      <c r="E31" s="24">
        <f t="shared" si="11"/>
        <v>19202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">
      <c r="A32" s="11" t="s">
        <v>38</v>
      </c>
      <c r="B32" s="9"/>
      <c r="C32" s="21">
        <f>GrossMargin!I33</f>
        <v>154859</v>
      </c>
      <c r="D32" s="251">
        <f>GrossMargin!M33</f>
        <v>31250</v>
      </c>
      <c r="E32" s="24">
        <f t="shared" si="11"/>
        <v>123609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">
      <c r="A33" s="11" t="s">
        <v>39</v>
      </c>
      <c r="B33" s="9"/>
      <c r="C33" s="21">
        <f>GrossMargin!I34</f>
        <v>4983</v>
      </c>
      <c r="D33" s="251">
        <f>GrossMargin!M34</f>
        <v>6250</v>
      </c>
      <c r="E33" s="24">
        <f t="shared" si="11"/>
        <v>-1267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">
      <c r="A36" s="11" t="s">
        <v>101</v>
      </c>
      <c r="B36" s="9"/>
      <c r="C36" s="21">
        <f>GrossMargin!I37</f>
        <v>1000</v>
      </c>
      <c r="D36" s="251">
        <f>GrossMargin!M37</f>
        <v>0</v>
      </c>
      <c r="E36" s="24">
        <f t="shared" si="11"/>
        <v>1000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1000</v>
      </c>
      <c r="P36" s="202">
        <f t="shared" si="14"/>
        <v>0</v>
      </c>
      <c r="Q36" s="198">
        <f>O36-P36</f>
        <v>1000</v>
      </c>
    </row>
    <row r="37" spans="1:17" s="42" customFormat="1" ht="13.2" x14ac:dyDescent="0.2">
      <c r="A37" s="25" t="s">
        <v>9</v>
      </c>
      <c r="B37" s="155"/>
      <c r="C37" s="26">
        <f>SUM(C28:C35)</f>
        <v>-129814</v>
      </c>
      <c r="D37" s="27">
        <f>SUM(D28:D35)</f>
        <v>119250</v>
      </c>
      <c r="E37" s="28">
        <f>SUM(E28:E35)</f>
        <v>-249064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-1137</v>
      </c>
      <c r="M37" s="206">
        <f>SUM(M28:M35)</f>
        <v>2853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">
      <c r="A39" s="11" t="s">
        <v>42</v>
      </c>
      <c r="B39" s="9"/>
      <c r="C39" s="21">
        <f>GrossMargin!I40</f>
        <v>-34726</v>
      </c>
      <c r="D39" s="251">
        <f>GrossMargin!M40</f>
        <v>12500</v>
      </c>
      <c r="E39" s="24">
        <f t="shared" ref="E39:E44" si="16">-D39+C39</f>
        <v>-47226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-67</v>
      </c>
      <c r="M39" s="198">
        <f t="shared" ref="M39:M44" si="18">K39-L39</f>
        <v>166</v>
      </c>
      <c r="N39" s="203"/>
      <c r="O39" s="201">
        <f t="shared" ref="O39:O44" si="19">C39-G39-K39</f>
        <v>-36042</v>
      </c>
      <c r="P39" s="202">
        <f t="shared" ref="P39:P44" si="20">D39-H39-L39</f>
        <v>11350</v>
      </c>
      <c r="Q39" s="198">
        <f t="shared" ref="Q39:Q44" si="21">O39-P39</f>
        <v>-47392</v>
      </c>
    </row>
    <row r="40" spans="1:17" ht="13.5" customHeight="1" x14ac:dyDescent="0.2">
      <c r="A40" s="11" t="s">
        <v>43</v>
      </c>
      <c r="B40" s="9"/>
      <c r="C40" s="21">
        <f>GrossMargin!I41</f>
        <v>-1070</v>
      </c>
      <c r="D40" s="251">
        <f>GrossMargin!M41</f>
        <v>5000</v>
      </c>
      <c r="E40" s="24">
        <f t="shared" si="16"/>
        <v>-6070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1689</v>
      </c>
      <c r="M40" s="198">
        <f t="shared" si="18"/>
        <v>-1385</v>
      </c>
      <c r="N40" s="203"/>
      <c r="O40" s="201">
        <f t="shared" si="19"/>
        <v>-1797</v>
      </c>
      <c r="P40" s="202">
        <f t="shared" si="20"/>
        <v>2888</v>
      </c>
      <c r="Q40" s="198">
        <f t="shared" si="21"/>
        <v>-4685</v>
      </c>
    </row>
    <row r="41" spans="1:17" ht="13.5" customHeight="1" x14ac:dyDescent="0.2">
      <c r="A41" s="11" t="s">
        <v>65</v>
      </c>
      <c r="B41" s="9"/>
      <c r="C41" s="21">
        <f>GrossMargin!I42</f>
        <v>-5023</v>
      </c>
      <c r="D41" s="251">
        <f>GrossMargin!M42</f>
        <v>38750</v>
      </c>
      <c r="E41" s="24">
        <f t="shared" si="16"/>
        <v>-43773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-5597</v>
      </c>
      <c r="P41" s="202">
        <f t="shared" si="20"/>
        <v>38176</v>
      </c>
      <c r="Q41" s="198">
        <f t="shared" si="21"/>
        <v>-43773</v>
      </c>
    </row>
    <row r="42" spans="1:17" ht="13.5" customHeight="1" x14ac:dyDescent="0.2">
      <c r="A42" s="11" t="s">
        <v>66</v>
      </c>
      <c r="B42" s="9"/>
      <c r="C42" s="21">
        <f>GrossMargin!I43</f>
        <v>0</v>
      </c>
      <c r="D42" s="251">
        <f>GrossMargin!M43</f>
        <v>12500</v>
      </c>
      <c r="E42" s="24">
        <f t="shared" si="16"/>
        <v>-12500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-1602</v>
      </c>
      <c r="P42" s="202">
        <f t="shared" si="20"/>
        <v>11792</v>
      </c>
      <c r="Q42" s="198">
        <f t="shared" si="21"/>
        <v>-13394</v>
      </c>
    </row>
    <row r="43" spans="1:17" x14ac:dyDescent="0.2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">
      <c r="A45" s="25" t="s">
        <v>10</v>
      </c>
      <c r="B45" s="155"/>
      <c r="C45" s="26">
        <f>SUM(C39:C44)</f>
        <v>-40819</v>
      </c>
      <c r="D45" s="27">
        <f>SUM(D39:D44)</f>
        <v>71250</v>
      </c>
      <c r="E45" s="28">
        <f>SUM(E39:E44)</f>
        <v>-112069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1175</v>
      </c>
      <c r="M45" s="206">
        <f>SUM(M39:M44)</f>
        <v>-325</v>
      </c>
      <c r="N45" s="207"/>
      <c r="O45" s="204">
        <f>SUM(O39:O44)</f>
        <v>-46352</v>
      </c>
      <c r="P45" s="205">
        <f>SUM(P39:P44)</f>
        <v>65392</v>
      </c>
      <c r="Q45" s="206">
        <f>SUM(Q39:Q44)</f>
        <v>-111744</v>
      </c>
    </row>
    <row r="46" spans="1:17" ht="8.25" customHeight="1" x14ac:dyDescent="0.2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">
      <c r="A47" s="11" t="s">
        <v>74</v>
      </c>
      <c r="B47" s="9"/>
      <c r="C47" s="21">
        <f>GrossMargin!I49</f>
        <v>244</v>
      </c>
      <c r="D47" s="251">
        <f>GrossMargin!M49</f>
        <v>0</v>
      </c>
      <c r="E47" s="24">
        <f t="shared" ref="E47:E66" si="22">-D47+C47</f>
        <v>244</v>
      </c>
      <c r="F47" s="23"/>
      <c r="G47" s="240">
        <f>Expenses!C48+Expenses!G48</f>
        <v>178</v>
      </c>
      <c r="H47" s="240">
        <f>Expenses!D48+Expenses!H48</f>
        <v>221</v>
      </c>
      <c r="I47" s="275">
        <f>G47-H47</f>
        <v>-43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66</v>
      </c>
      <c r="P47" s="202">
        <f t="shared" ref="P47:P66" si="25">D47-H47-L47</f>
        <v>-221</v>
      </c>
      <c r="Q47" s="198">
        <f t="shared" ref="Q47:Q66" si="26">O47-P47</f>
        <v>287</v>
      </c>
    </row>
    <row r="48" spans="1:17" x14ac:dyDescent="0.2">
      <c r="A48" s="11" t="s">
        <v>102</v>
      </c>
      <c r="B48" s="9"/>
      <c r="C48" s="21">
        <f>GrossMargin!I50</f>
        <v>2876</v>
      </c>
      <c r="D48" s="251">
        <f>GrossMargin!M50</f>
        <v>4334</v>
      </c>
      <c r="E48" s="24">
        <f t="shared" si="22"/>
        <v>-1458</v>
      </c>
      <c r="F48" s="23"/>
      <c r="G48" s="240">
        <f>Expenses!C49+Expenses!G49</f>
        <v>1237</v>
      </c>
      <c r="H48" s="240">
        <f>Expenses!D49+Expenses!H49</f>
        <v>767</v>
      </c>
      <c r="I48" s="275">
        <f t="shared" ref="I48:I66" si="27">G48-H48</f>
        <v>470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1639</v>
      </c>
      <c r="P48" s="202">
        <f t="shared" si="25"/>
        <v>3567</v>
      </c>
      <c r="Q48" s="198">
        <f t="shared" si="26"/>
        <v>-1928</v>
      </c>
    </row>
    <row r="49" spans="1:17" x14ac:dyDescent="0.2">
      <c r="A49" s="11" t="s">
        <v>103</v>
      </c>
      <c r="B49" s="9"/>
      <c r="C49" s="21">
        <f>GrossMargin!I51</f>
        <v>719</v>
      </c>
      <c r="D49" s="251">
        <f>GrossMargin!M51</f>
        <v>6181</v>
      </c>
      <c r="E49" s="24">
        <f t="shared" si="22"/>
        <v>-5462</v>
      </c>
      <c r="F49" s="23"/>
      <c r="G49" s="240">
        <f>Expenses!C50+Expenses!G50</f>
        <v>1166</v>
      </c>
      <c r="H49" s="240">
        <f>Expenses!D50+Expenses!H50</f>
        <v>1484</v>
      </c>
      <c r="I49" s="275">
        <f t="shared" si="27"/>
        <v>-318</v>
      </c>
      <c r="J49" s="269"/>
      <c r="K49" s="240">
        <f>CapChrg!D50</f>
        <v>653</v>
      </c>
      <c r="L49" s="197">
        <f>CapChrg!E50</f>
        <v>-722</v>
      </c>
      <c r="M49" s="198">
        <f t="shared" si="23"/>
        <v>1375</v>
      </c>
      <c r="N49" s="203"/>
      <c r="O49" s="201">
        <f t="shared" si="24"/>
        <v>-1100</v>
      </c>
      <c r="P49" s="202">
        <f t="shared" si="25"/>
        <v>5419</v>
      </c>
      <c r="Q49" s="198">
        <f t="shared" si="26"/>
        <v>-6519</v>
      </c>
    </row>
    <row r="50" spans="1:17" x14ac:dyDescent="0.2">
      <c r="A50" s="11" t="s">
        <v>104</v>
      </c>
      <c r="B50" s="9"/>
      <c r="C50" s="21">
        <f>GrossMargin!I52</f>
        <v>250</v>
      </c>
      <c r="D50" s="251">
        <f>GrossMargin!M52</f>
        <v>2000</v>
      </c>
      <c r="E50" s="24">
        <f t="shared" si="22"/>
        <v>-1750</v>
      </c>
      <c r="F50" s="23"/>
      <c r="G50" s="240">
        <f>Expenses!C51+Expenses!G51</f>
        <v>271</v>
      </c>
      <c r="H50" s="240">
        <f>Expenses!D51+Expenses!H51</f>
        <v>265</v>
      </c>
      <c r="I50" s="275">
        <f t="shared" si="27"/>
        <v>6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-21</v>
      </c>
      <c r="P50" s="202">
        <f t="shared" si="25"/>
        <v>1735</v>
      </c>
      <c r="Q50" s="198">
        <f t="shared" si="26"/>
        <v>-1756</v>
      </c>
    </row>
    <row r="51" spans="1:17" x14ac:dyDescent="0.2">
      <c r="A51" s="11" t="s">
        <v>105</v>
      </c>
      <c r="B51" s="9"/>
      <c r="C51" s="21">
        <f>GrossMargin!I53</f>
        <v>1146</v>
      </c>
      <c r="D51" s="251">
        <f>GrossMargin!M53</f>
        <v>1000</v>
      </c>
      <c r="E51" s="24">
        <f t="shared" si="22"/>
        <v>146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27</v>
      </c>
      <c r="M51" s="198">
        <f t="shared" si="23"/>
        <v>-27</v>
      </c>
      <c r="N51" s="203"/>
      <c r="O51" s="201">
        <f t="shared" si="24"/>
        <v>960</v>
      </c>
      <c r="P51" s="202">
        <f t="shared" si="25"/>
        <v>787</v>
      </c>
      <c r="Q51" s="198">
        <f t="shared" si="26"/>
        <v>173</v>
      </c>
    </row>
    <row r="52" spans="1:17" x14ac:dyDescent="0.2">
      <c r="A52" s="11" t="s">
        <v>106</v>
      </c>
      <c r="B52" s="9"/>
      <c r="C52" s="21">
        <f>GrossMargin!I54</f>
        <v>24</v>
      </c>
      <c r="D52" s="251">
        <f>GrossMargin!M54</f>
        <v>500</v>
      </c>
      <c r="E52" s="24">
        <f t="shared" si="22"/>
        <v>-476</v>
      </c>
      <c r="F52" s="23"/>
      <c r="G52" s="240">
        <f>Expenses!C53+Expenses!G53</f>
        <v>96</v>
      </c>
      <c r="H52" s="240">
        <f>Expenses!D53+Expenses!H53</f>
        <v>144</v>
      </c>
      <c r="I52" s="275">
        <f t="shared" si="27"/>
        <v>-48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-72</v>
      </c>
      <c r="P52" s="202">
        <f t="shared" si="25"/>
        <v>356</v>
      </c>
      <c r="Q52" s="198">
        <f t="shared" si="26"/>
        <v>-428</v>
      </c>
    </row>
    <row r="53" spans="1:17" x14ac:dyDescent="0.2">
      <c r="A53" s="11" t="s">
        <v>69</v>
      </c>
      <c r="B53" s="9"/>
      <c r="C53" s="21">
        <f>GrossMargin!I55</f>
        <v>2400</v>
      </c>
      <c r="D53" s="251">
        <f>GrossMargin!M55</f>
        <v>2909</v>
      </c>
      <c r="E53" s="24">
        <f t="shared" si="22"/>
        <v>-509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1583</v>
      </c>
      <c r="M53" s="198">
        <f t="shared" si="23"/>
        <v>4699</v>
      </c>
      <c r="N53" s="203"/>
      <c r="O53" s="201">
        <f t="shared" si="24"/>
        <v>-3882</v>
      </c>
      <c r="P53" s="202">
        <f t="shared" si="25"/>
        <v>1326</v>
      </c>
      <c r="Q53" s="198">
        <f t="shared" si="26"/>
        <v>-5208</v>
      </c>
    </row>
    <row r="54" spans="1:17" x14ac:dyDescent="0.2">
      <c r="A54" s="11" t="s">
        <v>68</v>
      </c>
      <c r="B54" s="9"/>
      <c r="C54" s="21">
        <f>GrossMargin!I56</f>
        <v>9092</v>
      </c>
      <c r="D54" s="251">
        <f>GrossMargin!M56</f>
        <v>9445</v>
      </c>
      <c r="E54" s="24">
        <f t="shared" si="22"/>
        <v>-353</v>
      </c>
      <c r="F54" s="23"/>
      <c r="G54" s="240">
        <f>Expenses!C55+Expenses!G55</f>
        <v>69821</v>
      </c>
      <c r="H54" s="240">
        <f>Expenses!D55+Expenses!H55</f>
        <v>63228</v>
      </c>
      <c r="I54" s="275">
        <f t="shared" si="27"/>
        <v>6593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-60729</v>
      </c>
      <c r="P54" s="202">
        <f t="shared" si="25"/>
        <v>-53783</v>
      </c>
      <c r="Q54" s="198">
        <f t="shared" si="26"/>
        <v>-6946</v>
      </c>
    </row>
    <row r="55" spans="1:17" x14ac:dyDescent="0.2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294</v>
      </c>
      <c r="H55" s="240">
        <f>Expenses!D56+Expenses!H56</f>
        <v>294</v>
      </c>
      <c r="I55" s="275">
        <f t="shared" si="27"/>
        <v>0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-294</v>
      </c>
      <c r="P55" s="202">
        <f t="shared" si="25"/>
        <v>-294</v>
      </c>
      <c r="Q55" s="198">
        <f t="shared" si="26"/>
        <v>0</v>
      </c>
    </row>
    <row r="56" spans="1:17" x14ac:dyDescent="0.2">
      <c r="A56" s="11" t="s">
        <v>46</v>
      </c>
      <c r="B56" s="9"/>
      <c r="C56" s="21">
        <f>GrossMargin!I58</f>
        <v>433</v>
      </c>
      <c r="D56" s="251">
        <f>GrossMargin!M58</f>
        <v>15000</v>
      </c>
      <c r="E56" s="24">
        <f t="shared" si="22"/>
        <v>-14567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4151</v>
      </c>
      <c r="M56" s="198">
        <f t="shared" si="23"/>
        <v>-4151</v>
      </c>
      <c r="N56" s="203"/>
      <c r="O56" s="201">
        <f t="shared" si="24"/>
        <v>-983</v>
      </c>
      <c r="P56" s="202">
        <f t="shared" si="25"/>
        <v>9433</v>
      </c>
      <c r="Q56" s="198">
        <f t="shared" si="26"/>
        <v>-10416</v>
      </c>
    </row>
    <row r="57" spans="1:17" ht="12" customHeight="1" x14ac:dyDescent="0.2">
      <c r="A57" s="11" t="s">
        <v>47</v>
      </c>
      <c r="B57" s="9"/>
      <c r="C57" s="21">
        <f>GrossMargin!I59</f>
        <v>-2</v>
      </c>
      <c r="D57" s="251">
        <f>GrossMargin!M59</f>
        <v>20000</v>
      </c>
      <c r="E57" s="24">
        <f t="shared" si="22"/>
        <v>-20002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15210</v>
      </c>
      <c r="L57" s="197">
        <f>CapChrg!E58</f>
        <v>6731</v>
      </c>
      <c r="M57" s="198">
        <f t="shared" si="23"/>
        <v>8479</v>
      </c>
      <c r="N57" s="203"/>
      <c r="O57" s="201">
        <f t="shared" si="24"/>
        <v>-16949</v>
      </c>
      <c r="P57" s="202">
        <f t="shared" si="25"/>
        <v>11499</v>
      </c>
      <c r="Q57" s="198">
        <f t="shared" si="26"/>
        <v>-28448</v>
      </c>
    </row>
    <row r="58" spans="1:17" ht="12" customHeight="1" x14ac:dyDescent="0.2">
      <c r="A58" s="11" t="s">
        <v>48</v>
      </c>
      <c r="B58" s="9"/>
      <c r="C58" s="21">
        <f>GrossMargin!I60</f>
        <v>59</v>
      </c>
      <c r="D58" s="251">
        <f>GrossMargin!M60</f>
        <v>15781</v>
      </c>
      <c r="E58" s="24">
        <f t="shared" si="22"/>
        <v>-15722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-2446</v>
      </c>
      <c r="M58" s="198">
        <f t="shared" si="23"/>
        <v>9555</v>
      </c>
      <c r="N58" s="203"/>
      <c r="O58" s="201">
        <f t="shared" si="24"/>
        <v>-7879</v>
      </c>
      <c r="P58" s="202">
        <f t="shared" si="25"/>
        <v>17336</v>
      </c>
      <c r="Q58" s="198">
        <f t="shared" si="26"/>
        <v>-25215</v>
      </c>
    </row>
    <row r="59" spans="1:17" ht="12" customHeight="1" x14ac:dyDescent="0.2">
      <c r="A59" s="11" t="s">
        <v>63</v>
      </c>
      <c r="B59" s="9"/>
      <c r="C59" s="21">
        <f>GrossMargin!I61</f>
        <v>6295</v>
      </c>
      <c r="D59" s="251">
        <f>GrossMargin!M61</f>
        <v>7150</v>
      </c>
      <c r="E59" s="24">
        <f t="shared" si="22"/>
        <v>-855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21233</v>
      </c>
      <c r="L59" s="197">
        <f>CapChrg!E60</f>
        <v>2857</v>
      </c>
      <c r="M59" s="198">
        <f t="shared" si="23"/>
        <v>18376</v>
      </c>
      <c r="N59" s="203"/>
      <c r="O59" s="201">
        <f t="shared" si="24"/>
        <v>-16724</v>
      </c>
      <c r="P59" s="202">
        <f t="shared" si="25"/>
        <v>2039</v>
      </c>
      <c r="Q59" s="198">
        <f t="shared" si="26"/>
        <v>-18763</v>
      </c>
    </row>
    <row r="60" spans="1:17" ht="12" customHeight="1" x14ac:dyDescent="0.2">
      <c r="A60" s="11" t="s">
        <v>49</v>
      </c>
      <c r="B60" s="9"/>
      <c r="C60" s="21" t="e">
        <f>GrossMargin!#REF!</f>
        <v>#REF!</v>
      </c>
      <c r="D60" s="251" t="e">
        <f>GrossMargin!#REF!</f>
        <v>#REF!</v>
      </c>
      <c r="E60" s="24" t="e">
        <f t="shared" si="22"/>
        <v>#REF!</v>
      </c>
      <c r="F60" s="23"/>
      <c r="G60" s="240" t="e">
        <f>Expenses!#REF!+Expenses!#REF!</f>
        <v>#REF!</v>
      </c>
      <c r="H60" s="240" t="e">
        <f>Expenses!#REF!+Expenses!#REF!</f>
        <v>#REF!</v>
      </c>
      <c r="I60" s="275" t="e">
        <f t="shared" si="27"/>
        <v>#REF!</v>
      </c>
      <c r="J60" s="269"/>
      <c r="K60" s="240" t="e">
        <f>CapChrg!#REF!</f>
        <v>#REF!</v>
      </c>
      <c r="L60" s="197" t="e">
        <f>CapChrg!#REF!</f>
        <v>#REF!</v>
      </c>
      <c r="M60" s="198" t="e">
        <f t="shared" si="23"/>
        <v>#REF!</v>
      </c>
      <c r="N60" s="203"/>
      <c r="O60" s="201" t="e">
        <f t="shared" si="24"/>
        <v>#REF!</v>
      </c>
      <c r="P60" s="202" t="e">
        <f t="shared" si="25"/>
        <v>#REF!</v>
      </c>
      <c r="Q60" s="198" t="e">
        <f t="shared" si="26"/>
        <v>#REF!</v>
      </c>
    </row>
    <row r="61" spans="1:17" ht="12" customHeight="1" x14ac:dyDescent="0.2">
      <c r="A61" s="11" t="s">
        <v>50</v>
      </c>
      <c r="B61" s="9"/>
      <c r="C61" s="21">
        <f>GrossMargin!I62</f>
        <v>9122</v>
      </c>
      <c r="D61" s="251">
        <f>GrossMargin!M62</f>
        <v>-7900</v>
      </c>
      <c r="E61" s="24">
        <f t="shared" si="22"/>
        <v>17022</v>
      </c>
      <c r="F61" s="23"/>
      <c r="G61" s="240">
        <f>Expenses!C61+Expenses!G61</f>
        <v>1628</v>
      </c>
      <c r="H61" s="240">
        <f>Expenses!D61+Expenses!H61</f>
        <v>1637</v>
      </c>
      <c r="I61" s="275">
        <f t="shared" si="27"/>
        <v>-9</v>
      </c>
      <c r="J61" s="269"/>
      <c r="K61" s="240">
        <f>CapChrg!D61</f>
        <v>13372</v>
      </c>
      <c r="L61" s="197">
        <f>CapChrg!E61</f>
        <v>-5247</v>
      </c>
      <c r="M61" s="198">
        <f t="shared" si="23"/>
        <v>18619</v>
      </c>
      <c r="N61" s="203"/>
      <c r="O61" s="201">
        <f t="shared" si="24"/>
        <v>-5878</v>
      </c>
      <c r="P61" s="202">
        <f t="shared" si="25"/>
        <v>-4290</v>
      </c>
      <c r="Q61" s="198">
        <f t="shared" si="26"/>
        <v>-1588</v>
      </c>
    </row>
    <row r="62" spans="1:17" ht="12" customHeight="1" x14ac:dyDescent="0.2">
      <c r="A62" s="11" t="s">
        <v>71</v>
      </c>
      <c r="B62" s="20"/>
      <c r="C62" s="21">
        <f>GrossMargin!I63</f>
        <v>431728</v>
      </c>
      <c r="D62" s="251">
        <f>GrossMargin!M63</f>
        <v>-12065</v>
      </c>
      <c r="E62" s="24">
        <f t="shared" si="22"/>
        <v>443793</v>
      </c>
      <c r="F62" s="23"/>
      <c r="G62" s="240">
        <f>Expenses!C62+Expenses!G62</f>
        <v>1482</v>
      </c>
      <c r="H62" s="240">
        <f>Expenses!D62+Expenses!H62</f>
        <v>994</v>
      </c>
      <c r="I62" s="275">
        <f t="shared" si="27"/>
        <v>488</v>
      </c>
      <c r="J62" s="269"/>
      <c r="K62" s="240">
        <f>CapChrg!D62</f>
        <v>32888</v>
      </c>
      <c r="L62" s="202">
        <f>CapChrg!E62</f>
        <v>-24684</v>
      </c>
      <c r="M62" s="198">
        <f t="shared" si="23"/>
        <v>57572</v>
      </c>
      <c r="N62" s="203"/>
      <c r="O62" s="201">
        <f t="shared" si="24"/>
        <v>397358</v>
      </c>
      <c r="P62" s="202">
        <f t="shared" si="25"/>
        <v>11625</v>
      </c>
      <c r="Q62" s="198">
        <f t="shared" si="26"/>
        <v>385733</v>
      </c>
    </row>
    <row r="63" spans="1:17" ht="12" customHeight="1" x14ac:dyDescent="0.2">
      <c r="A63" s="11" t="s">
        <v>73</v>
      </c>
      <c r="B63" s="20"/>
      <c r="C63" s="21">
        <f>GrossMargin!I64</f>
        <v>28255</v>
      </c>
      <c r="D63" s="251">
        <f>GrossMargin!M64</f>
        <v>0</v>
      </c>
      <c r="E63" s="24">
        <f t="shared" si="22"/>
        <v>28255</v>
      </c>
      <c r="F63" s="23"/>
      <c r="G63" s="240">
        <f>Expenses!C63+Expenses!G63</f>
        <v>0</v>
      </c>
      <c r="H63" s="240">
        <f>Expenses!D63+Expenses!H63</f>
        <v>0</v>
      </c>
      <c r="I63" s="275">
        <f t="shared" si="27"/>
        <v>0</v>
      </c>
      <c r="J63" s="269"/>
      <c r="K63" s="240">
        <f>CapChrg!D63</f>
        <v>0</v>
      </c>
      <c r="L63" s="202">
        <f>CapChrg!E63</f>
        <v>0</v>
      </c>
      <c r="M63" s="198">
        <f t="shared" si="23"/>
        <v>0</v>
      </c>
      <c r="N63" s="203"/>
      <c r="O63" s="201">
        <f t="shared" si="24"/>
        <v>28255</v>
      </c>
      <c r="P63" s="202">
        <f t="shared" si="25"/>
        <v>0</v>
      </c>
      <c r="Q63" s="198">
        <f t="shared" si="26"/>
        <v>28255</v>
      </c>
    </row>
    <row r="64" spans="1:17" ht="12" customHeight="1" x14ac:dyDescent="0.2">
      <c r="A64" s="29" t="s">
        <v>72</v>
      </c>
      <c r="B64" s="9"/>
      <c r="C64" s="30">
        <f>GrossMargin!I65</f>
        <v>-6600</v>
      </c>
      <c r="D64" s="251">
        <f>GrossMargin!M65</f>
        <v>63802</v>
      </c>
      <c r="E64" s="24">
        <f t="shared" si="22"/>
        <v>-70402</v>
      </c>
      <c r="F64" s="23"/>
      <c r="G64" s="240">
        <f>Expenses!C64+Expenses!G64</f>
        <v>1373</v>
      </c>
      <c r="H64" s="240">
        <f>Expenses!D64+Expenses!H64</f>
        <v>1373</v>
      </c>
      <c r="I64" s="275">
        <f t="shared" si="27"/>
        <v>0</v>
      </c>
      <c r="J64" s="269"/>
      <c r="K64" s="240">
        <f>CapChrg!D64</f>
        <v>0</v>
      </c>
      <c r="L64" s="209">
        <f>CapChrg!E64</f>
        <v>0</v>
      </c>
      <c r="M64" s="198">
        <f t="shared" si="23"/>
        <v>0</v>
      </c>
      <c r="N64" s="203"/>
      <c r="O64" s="201">
        <f t="shared" si="24"/>
        <v>-7973</v>
      </c>
      <c r="P64" s="202">
        <f t="shared" si="25"/>
        <v>62429</v>
      </c>
      <c r="Q64" s="198">
        <f t="shared" si="26"/>
        <v>-70402</v>
      </c>
    </row>
    <row r="65" spans="1:17" ht="12" customHeight="1" x14ac:dyDescent="0.2">
      <c r="A65" s="29" t="s">
        <v>125</v>
      </c>
      <c r="B65" s="9"/>
      <c r="C65" s="30">
        <f>GrossMargin!I66</f>
        <v>0</v>
      </c>
      <c r="D65" s="251">
        <f>GrossMargin!M66</f>
        <v>0</v>
      </c>
      <c r="E65" s="24">
        <f>-D65+C65</f>
        <v>0</v>
      </c>
      <c r="F65" s="23"/>
      <c r="G65" s="240">
        <f>Expenses!C65+Expenses!G65</f>
        <v>0</v>
      </c>
      <c r="H65" s="240">
        <f>Expenses!D65+Expenses!H65</f>
        <v>0</v>
      </c>
      <c r="I65" s="275">
        <f>G65-H65</f>
        <v>0</v>
      </c>
      <c r="J65" s="269"/>
      <c r="K65" s="240">
        <f>CapChrg!D65</f>
        <v>0</v>
      </c>
      <c r="L65" s="209">
        <f>CapChrg!E65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Expenses!C66+Expenses!G66</f>
        <v>0</v>
      </c>
      <c r="H66" s="240">
        <f>Expenses!D66+Expenses!H66</f>
        <v>0</v>
      </c>
      <c r="I66" s="275">
        <f t="shared" si="27"/>
        <v>0</v>
      </c>
      <c r="J66" s="269"/>
      <c r="K66" s="240">
        <f>CapChrg!D66</f>
        <v>0</v>
      </c>
      <c r="L66" s="209">
        <f>CapChrg!E66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5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 t="e">
        <f>SUM(K47:K66)+K45+K37+K26+K18</f>
        <v>#REF!</v>
      </c>
      <c r="L67" s="205" t="e">
        <f>SUM(L47:L66)+L45+L37+L26+L18</f>
        <v>#REF!</v>
      </c>
      <c r="M67" s="206" t="e">
        <f>SUM(M47:M66)+M45+M37+M26+M18</f>
        <v>#REF!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Expenses!C69+Expenses!G69</f>
        <v>2631</v>
      </c>
      <c r="H69" s="240">
        <f>Expenses!D69+Expenses!H69</f>
        <v>2631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-2631</v>
      </c>
      <c r="P69" s="202">
        <f t="shared" ref="P69:P87" si="31">D69-H69-L69</f>
        <v>-2631</v>
      </c>
      <c r="Q69" s="211">
        <f t="shared" ref="Q69:Q82" si="32">O69-P69</f>
        <v>0</v>
      </c>
    </row>
    <row r="70" spans="1:17" ht="12" customHeight="1" x14ac:dyDescent="0.2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Expenses!C70+Expenses!G70</f>
        <v>499</v>
      </c>
      <c r="H70" s="240">
        <f>Expenses!D70+Expenses!H70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Expenses!C71+Expenses!G71</f>
        <v>1418</v>
      </c>
      <c r="H71" s="240">
        <f>Expenses!D71+Expenses!H71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Expenses!C72+Expenses!G72</f>
        <v>10143</v>
      </c>
      <c r="H72" s="240">
        <f>Expenses!D72+Expenses!H72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Expenses!C73+Expenses!G73</f>
        <v>1204</v>
      </c>
      <c r="H73" s="240">
        <f>Expenses!D73+Expenses!H73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Expenses!C74+Expenses!G74</f>
        <v>2251</v>
      </c>
      <c r="H74" s="240">
        <f>Expenses!D74+Expenses!H74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Expenses!C75+Expenses!G75</f>
        <v>318</v>
      </c>
      <c r="H75" s="240">
        <f>Expenses!D75+Expenses!H75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Expenses!C76+Expenses!G76</f>
        <v>593</v>
      </c>
      <c r="H76" s="240">
        <f>Expenses!D76+Expenses!H76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Expenses!C77+Expenses!G77</f>
        <v>539</v>
      </c>
      <c r="H77" s="240">
        <f>Expenses!D77+Expenses!H77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Expenses!C78+Expenses!G78</f>
        <v>194</v>
      </c>
      <c r="H78" s="240">
        <f>Expenses!D78+Expenses!H78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Expenses!C79+Expenses!G79</f>
        <v>682</v>
      </c>
      <c r="H79" s="240">
        <f>Expenses!D79+Expenses!H79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Expenses!C80+Expenses!G80</f>
        <v>1419</v>
      </c>
      <c r="H80" s="240">
        <f>Expenses!D80+Expenses!H80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Expenses!C81+Expenses!G81</f>
        <v>28318</v>
      </c>
      <c r="H81" s="240">
        <f>Expenses!D81+Expenses!H81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Expenses!C82+Expenses!G82</f>
        <v>47811</v>
      </c>
      <c r="H82" s="240">
        <f>Expenses!D82+Expenses!H82</f>
        <v>46611</v>
      </c>
      <c r="I82" s="275">
        <f t="shared" si="33"/>
        <v>1200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-47811</v>
      </c>
      <c r="P82" s="202">
        <f t="shared" si="31"/>
        <v>-46611</v>
      </c>
      <c r="Q82" s="211">
        <f t="shared" si="32"/>
        <v>-1200</v>
      </c>
    </row>
    <row r="83" spans="1:17" s="157" customFormat="1" ht="12" customHeight="1" x14ac:dyDescent="0.25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98020</v>
      </c>
      <c r="H83" s="205">
        <f>SUM(H69:H82)</f>
        <v>91577</v>
      </c>
      <c r="I83" s="274">
        <f>G83-H83</f>
        <v>6443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-98020</v>
      </c>
      <c r="P83" s="205">
        <f>SUM(P69:P82)</f>
        <v>-91577</v>
      </c>
      <c r="Q83" s="206">
        <f>SUM(Q69:Q82)</f>
        <v>-6443</v>
      </c>
    </row>
    <row r="84" spans="1:17" s="33" customFormat="1" ht="12" customHeight="1" x14ac:dyDescent="0.2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Expenses!C84+Expenses!G84</f>
        <v>38777</v>
      </c>
      <c r="H84" s="240">
        <f>Expenses!D84+Expenses!H84</f>
        <v>37754</v>
      </c>
      <c r="I84" s="275">
        <f>G84-H84</f>
        <v>1023</v>
      </c>
      <c r="J84" s="269"/>
      <c r="K84" s="240">
        <f>Expenses!H84+CapChrg!D83</f>
        <v>0</v>
      </c>
      <c r="L84" s="210">
        <f>CapChrg!E69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">
      <c r="A85" s="181" t="s">
        <v>120</v>
      </c>
      <c r="B85" s="9"/>
      <c r="C85" s="30"/>
      <c r="D85" s="22">
        <v>0</v>
      </c>
      <c r="E85" s="32"/>
      <c r="F85" s="34"/>
      <c r="G85" s="240">
        <f>Expenses!C85+Expenses!G85</f>
        <v>3060</v>
      </c>
      <c r="H85" s="240">
        <f>Expenses!D85+Expenses!H85</f>
        <v>3060</v>
      </c>
      <c r="I85" s="275">
        <f>G85-H85</f>
        <v>0</v>
      </c>
      <c r="J85" s="269"/>
      <c r="K85" s="240">
        <f>Expenses!H85+CapChrg!D84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Expenses!#REF!+CapChrg!D85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Expenses!C86+Expenses!G86</f>
        <v>258974</v>
      </c>
      <c r="H87" s="240">
        <f>Expenses!D86+Expenses!H86</f>
        <v>244932</v>
      </c>
      <c r="I87" s="275">
        <f>G87-H87</f>
        <v>14042</v>
      </c>
      <c r="J87" s="269"/>
      <c r="K87" s="240">
        <f>CapChrg!D70</f>
        <v>-103799</v>
      </c>
      <c r="L87" s="209">
        <f>CapChrg!E70</f>
        <v>19117</v>
      </c>
      <c r="M87" s="198">
        <f t="shared" si="29"/>
        <v>-122916</v>
      </c>
      <c r="N87" s="203"/>
      <c r="O87" s="201">
        <f t="shared" si="30"/>
        <v>-155175</v>
      </c>
      <c r="P87" s="202">
        <f t="shared" si="31"/>
        <v>-264049</v>
      </c>
      <c r="Q87" s="198">
        <f>O87-P87</f>
        <v>108874</v>
      </c>
    </row>
    <row r="88" spans="1:17" s="157" customFormat="1" ht="12" customHeight="1" x14ac:dyDescent="0.25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 t="e">
        <f>SUM(L84:L87)+L83+L67</f>
        <v>#REF!</v>
      </c>
      <c r="M88" s="206" t="e">
        <f>M87+M84+M83+M67</f>
        <v>#REF!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25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CapChrg!E72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3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 t="e">
        <f>SUM(L88:L89)</f>
        <v>#REF!</v>
      </c>
      <c r="M90" s="214" t="e">
        <f>SUM(M88:M89)</f>
        <v>#REF!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3">
      <c r="A91" s="38"/>
      <c r="C91" s="39"/>
      <c r="D91" s="40"/>
      <c r="E91" s="38"/>
      <c r="F91" s="41"/>
    </row>
    <row r="92" spans="1:17" x14ac:dyDescent="0.2">
      <c r="A92" s="43"/>
      <c r="C92" s="41"/>
      <c r="D92" s="40"/>
      <c r="E92" s="41"/>
      <c r="F92" s="41"/>
    </row>
    <row r="93" spans="1:17" ht="13.5" customHeight="1" x14ac:dyDescent="0.2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8" x14ac:dyDescent="0.3">
      <c r="C95" s="343" t="s">
        <v>111</v>
      </c>
      <c r="D95" s="344"/>
      <c r="E95" s="345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8" x14ac:dyDescent="0.3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8" x14ac:dyDescent="0.3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8" x14ac:dyDescent="0.3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8" x14ac:dyDescent="0.3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4.4" thickBot="1" x14ac:dyDescent="0.25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0.8" thickTop="1" x14ac:dyDescent="0.2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23"/>
  <sheetViews>
    <sheetView tabSelected="1" workbookViewId="0">
      <pane ySplit="8" topLeftCell="A9" activePane="bottomLeft" state="frozen"/>
      <selection activeCell="A71" sqref="A71:I71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216" customWidth="1"/>
    <col min="8" max="8" width="9" style="216" customWidth="1"/>
    <col min="9" max="9" width="8.6640625" style="216" customWidth="1"/>
    <col min="10" max="10" width="1" style="216" customWidth="1"/>
    <col min="11" max="12" width="8.6640625" style="216" customWidth="1"/>
    <col min="13" max="13" width="8.8867187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5" t="s">
        <v>140</v>
      </c>
      <c r="M2" s="355"/>
      <c r="N2" s="355"/>
      <c r="O2" s="355"/>
      <c r="P2" s="355"/>
      <c r="Q2" s="355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157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46" t="s">
        <v>0</v>
      </c>
      <c r="D6" s="347"/>
      <c r="E6" s="348"/>
      <c r="F6" s="94"/>
      <c r="G6" s="352" t="s">
        <v>121</v>
      </c>
      <c r="H6" s="353"/>
      <c r="I6" s="354"/>
      <c r="J6" s="94"/>
      <c r="K6" s="352" t="s">
        <v>122</v>
      </c>
      <c r="L6" s="353"/>
      <c r="M6" s="354"/>
      <c r="N6" s="94"/>
      <c r="O6" s="352" t="s">
        <v>1</v>
      </c>
      <c r="P6" s="353"/>
      <c r="Q6" s="354"/>
    </row>
    <row r="7" spans="1:26" s="8" customFormat="1" ht="14.25" customHeight="1" thickBot="1" x14ac:dyDescent="0.35">
      <c r="A7" s="248" t="s">
        <v>2</v>
      </c>
      <c r="B7" s="9"/>
      <c r="C7" s="359"/>
      <c r="D7" s="360"/>
      <c r="E7" s="361"/>
      <c r="F7" s="9"/>
      <c r="G7" s="356" t="s">
        <v>114</v>
      </c>
      <c r="H7" s="357"/>
      <c r="I7" s="358"/>
      <c r="J7" s="9"/>
      <c r="K7" s="356" t="s">
        <v>123</v>
      </c>
      <c r="L7" s="357"/>
      <c r="M7" s="358"/>
      <c r="N7" s="9"/>
      <c r="O7" s="356"/>
      <c r="P7" s="357"/>
      <c r="Q7" s="358"/>
    </row>
    <row r="8" spans="1:26" ht="18" customHeight="1" thickBot="1" x14ac:dyDescent="0.35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">
      <c r="A10" s="11" t="s">
        <v>150</v>
      </c>
      <c r="B10" s="17"/>
      <c r="C10" s="153">
        <f>GrossMargin!I8</f>
        <v>2700</v>
      </c>
      <c r="D10" s="154">
        <f>GrossMargin!M8</f>
        <v>8750</v>
      </c>
      <c r="E10" s="295">
        <f t="shared" ref="E10:E20" si="0">-D10+C10</f>
        <v>-6050</v>
      </c>
      <c r="F10" s="23"/>
      <c r="G10" s="240">
        <f>Expenses!C8+Expenses!G8</f>
        <v>1006</v>
      </c>
      <c r="H10" s="240">
        <f>Expenses!D8+Expenses!H8</f>
        <v>1006</v>
      </c>
      <c r="I10" s="293">
        <f>G10-H10</f>
        <v>0</v>
      </c>
      <c r="J10" s="9"/>
      <c r="K10" s="296">
        <f>CapChrg!C8+'[3]QTD Mgmt Summary'!K9</f>
        <v>0</v>
      </c>
      <c r="L10" s="297">
        <f>CapChrg!D8</f>
        <v>0</v>
      </c>
      <c r="M10" s="293">
        <f>K10-L10</f>
        <v>0</v>
      </c>
      <c r="N10" s="203"/>
      <c r="O10" s="195">
        <f>C10-G10-K10</f>
        <v>1694</v>
      </c>
      <c r="P10" s="196">
        <f>(D10-H10-L10)</f>
        <v>7744</v>
      </c>
      <c r="Q10" s="200">
        <f>O10-P10</f>
        <v>-6050</v>
      </c>
    </row>
    <row r="11" spans="1:26" s="18" customFormat="1" ht="12.75" customHeight="1" x14ac:dyDescent="0.2">
      <c r="A11" s="11" t="s">
        <v>158</v>
      </c>
      <c r="B11" s="19"/>
      <c r="C11" s="240">
        <f>GrossMargin!I9</f>
        <v>-1286</v>
      </c>
      <c r="D11" s="240">
        <f>GrossMargin!M9</f>
        <v>20000</v>
      </c>
      <c r="E11" s="294">
        <f t="shared" si="0"/>
        <v>-21286</v>
      </c>
      <c r="F11" s="23"/>
      <c r="G11" s="240">
        <f>Expenses!C9+Expenses!G9</f>
        <v>1494</v>
      </c>
      <c r="H11" s="240">
        <f>Expenses!D9+Expenses!H9</f>
        <v>1494</v>
      </c>
      <c r="I11" s="293">
        <f t="shared" ref="I11:I20" si="1">G11-H11</f>
        <v>0</v>
      </c>
      <c r="J11" s="9"/>
      <c r="K11" s="296">
        <f>CapChrg!C9</f>
        <v>74</v>
      </c>
      <c r="L11" s="297">
        <f>CapChrg!D9</f>
        <v>0</v>
      </c>
      <c r="M11" s="293">
        <f t="shared" ref="M11:M20" si="2">K11-L11</f>
        <v>74</v>
      </c>
      <c r="N11" s="203"/>
      <c r="O11" s="201">
        <f>C11-G11-K11</f>
        <v>-2854</v>
      </c>
      <c r="P11" s="202">
        <f>D11-H11-L11</f>
        <v>18506</v>
      </c>
      <c r="Q11" s="198">
        <f>O11-P11</f>
        <v>-21360</v>
      </c>
    </row>
    <row r="12" spans="1:26" ht="12" customHeight="1" x14ac:dyDescent="0.2">
      <c r="A12" s="11" t="s">
        <v>22</v>
      </c>
      <c r="B12" s="20"/>
      <c r="C12" s="240">
        <f>GrossMargin!I10</f>
        <v>61643</v>
      </c>
      <c r="D12" s="240">
        <f>GrossMargin!M10</f>
        <v>20000</v>
      </c>
      <c r="E12" s="294">
        <f t="shared" si="0"/>
        <v>41643</v>
      </c>
      <c r="F12" s="23"/>
      <c r="G12" s="240">
        <f>Expenses!C10+Expenses!G10</f>
        <v>1457</v>
      </c>
      <c r="H12" s="240">
        <f>Expenses!D10+Expenses!H10</f>
        <v>1457</v>
      </c>
      <c r="I12" s="293">
        <f t="shared" si="1"/>
        <v>0</v>
      </c>
      <c r="J12" s="9"/>
      <c r="K12" s="296">
        <f>CapChrg!C10</f>
        <v>0</v>
      </c>
      <c r="L12" s="297">
        <f>CapChrg!D10</f>
        <v>0</v>
      </c>
      <c r="M12" s="293">
        <f t="shared" si="2"/>
        <v>0</v>
      </c>
      <c r="N12" s="203"/>
      <c r="O12" s="201">
        <f t="shared" ref="O12:O20" si="3">C12-G12-K12</f>
        <v>60186</v>
      </c>
      <c r="P12" s="202">
        <f t="shared" ref="P12:P20" si="4">D12-H12-L12</f>
        <v>18543</v>
      </c>
      <c r="Q12" s="198">
        <f t="shared" ref="Q12:Q20" si="5">O12-P12</f>
        <v>41643</v>
      </c>
    </row>
    <row r="13" spans="1:26" ht="12" customHeight="1" x14ac:dyDescent="0.2">
      <c r="A13" s="11" t="s">
        <v>149</v>
      </c>
      <c r="B13" s="20"/>
      <c r="C13" s="240">
        <f>GrossMargin!I11</f>
        <v>60478</v>
      </c>
      <c r="D13" s="240">
        <f>GrossMargin!M11</f>
        <v>20000</v>
      </c>
      <c r="E13" s="294">
        <f t="shared" si="0"/>
        <v>40478</v>
      </c>
      <c r="F13" s="23"/>
      <c r="G13" s="240">
        <f>Expenses!C11+Expenses!G11</f>
        <v>1885</v>
      </c>
      <c r="H13" s="240">
        <f>Expenses!D11+Expenses!H11</f>
        <v>1885</v>
      </c>
      <c r="I13" s="293">
        <f t="shared" si="1"/>
        <v>0</v>
      </c>
      <c r="J13" s="9"/>
      <c r="K13" s="296">
        <f>CapChrg!C11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58593</v>
      </c>
      <c r="P13" s="202">
        <f t="shared" si="4"/>
        <v>18115</v>
      </c>
      <c r="Q13" s="198">
        <f t="shared" si="5"/>
        <v>40478</v>
      </c>
    </row>
    <row r="14" spans="1:26" ht="12" customHeight="1" x14ac:dyDescent="0.2">
      <c r="A14" s="11" t="s">
        <v>24</v>
      </c>
      <c r="B14" s="20"/>
      <c r="C14" s="240">
        <f>GrossMargin!I12</f>
        <v>20505</v>
      </c>
      <c r="D14" s="240">
        <f>GrossMargin!M12</f>
        <v>6250</v>
      </c>
      <c r="E14" s="294">
        <f t="shared" si="0"/>
        <v>14255</v>
      </c>
      <c r="F14" s="23"/>
      <c r="G14" s="240">
        <f>Expenses!C12+Expenses!G12</f>
        <v>2583</v>
      </c>
      <c r="H14" s="240">
        <f>Expenses!D12+Expenses!H13</f>
        <v>2583</v>
      </c>
      <c r="I14" s="293">
        <f t="shared" si="1"/>
        <v>0</v>
      </c>
      <c r="J14" s="9"/>
      <c r="K14" s="296">
        <f>CapChrg!C12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17922</v>
      </c>
      <c r="P14" s="202">
        <f t="shared" si="4"/>
        <v>3667</v>
      </c>
      <c r="Q14" s="198">
        <f t="shared" si="5"/>
        <v>14255</v>
      </c>
    </row>
    <row r="15" spans="1:26" ht="12" customHeight="1" x14ac:dyDescent="0.2">
      <c r="A15" s="11" t="s">
        <v>151</v>
      </c>
      <c r="B15" s="20"/>
      <c r="C15" s="240">
        <f>GrossMargin!I13</f>
        <v>4743</v>
      </c>
      <c r="D15" s="240">
        <f>GrossMargin!M13</f>
        <v>0</v>
      </c>
      <c r="E15" s="294">
        <f t="shared" si="0"/>
        <v>4743</v>
      </c>
      <c r="F15" s="23"/>
      <c r="G15" s="240">
        <f>Expenses!C13+Expenses!G13</f>
        <v>0</v>
      </c>
      <c r="H15" s="240">
        <f>Expenses!D13+Expenses!H14</f>
        <v>0</v>
      </c>
      <c r="I15" s="293">
        <f t="shared" si="1"/>
        <v>0</v>
      </c>
      <c r="J15" s="9"/>
      <c r="K15" s="296">
        <f>CapChrg!C13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4743</v>
      </c>
      <c r="P15" s="202">
        <f t="shared" si="4"/>
        <v>0</v>
      </c>
      <c r="Q15" s="198">
        <f t="shared" si="5"/>
        <v>4743</v>
      </c>
    </row>
    <row r="16" spans="1:26" ht="12" customHeight="1" x14ac:dyDescent="0.2">
      <c r="A16" s="11" t="s">
        <v>152</v>
      </c>
      <c r="B16" s="20"/>
      <c r="C16" s="240">
        <f>GrossMargin!I14</f>
        <v>0</v>
      </c>
      <c r="D16" s="240">
        <f>GrossMargin!M14</f>
        <v>0</v>
      </c>
      <c r="E16" s="294">
        <f t="shared" si="0"/>
        <v>0</v>
      </c>
      <c r="F16" s="23"/>
      <c r="G16" s="240">
        <f>Expenses!C14+Expenses!G14</f>
        <v>0</v>
      </c>
      <c r="H16" s="240">
        <f>Expenses!D14+Expenses!H15</f>
        <v>0</v>
      </c>
      <c r="I16" s="293">
        <f t="shared" si="1"/>
        <v>0</v>
      </c>
      <c r="J16" s="9"/>
      <c r="K16" s="296">
        <f>CapChrg!C14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4"/>
        <v>0</v>
      </c>
      <c r="Q16" s="198">
        <f t="shared" si="5"/>
        <v>0</v>
      </c>
    </row>
    <row r="17" spans="1:17" ht="12" customHeight="1" x14ac:dyDescent="0.2">
      <c r="A17" s="11" t="s">
        <v>64</v>
      </c>
      <c r="B17" s="20"/>
      <c r="C17" s="240">
        <f>GrossMargin!I15</f>
        <v>-2640</v>
      </c>
      <c r="D17" s="240">
        <f>GrossMargin!M15</f>
        <v>-5000</v>
      </c>
      <c r="E17" s="294">
        <f t="shared" si="0"/>
        <v>2360</v>
      </c>
      <c r="F17" s="23"/>
      <c r="G17" s="240">
        <f>Expenses!C15+Expenses!G15</f>
        <v>156</v>
      </c>
      <c r="H17" s="240">
        <f>Expenses!D15+Expenses!H16</f>
        <v>156</v>
      </c>
      <c r="I17" s="293">
        <f t="shared" si="1"/>
        <v>0</v>
      </c>
      <c r="J17" s="9"/>
      <c r="K17" s="296">
        <f>CapChrg!C15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-2796</v>
      </c>
      <c r="P17" s="202">
        <f t="shared" si="4"/>
        <v>-5156</v>
      </c>
      <c r="Q17" s="198">
        <f t="shared" si="5"/>
        <v>2360</v>
      </c>
    </row>
    <row r="18" spans="1:17" ht="12" customHeight="1" x14ac:dyDescent="0.2">
      <c r="A18" s="11" t="s">
        <v>27</v>
      </c>
      <c r="B18" s="20"/>
      <c r="C18" s="240">
        <f>GrossMargin!I16</f>
        <v>4763</v>
      </c>
      <c r="D18" s="240">
        <f>GrossMargin!M16</f>
        <v>6000</v>
      </c>
      <c r="E18" s="294">
        <f t="shared" si="0"/>
        <v>-1237</v>
      </c>
      <c r="F18" s="23"/>
      <c r="G18" s="240">
        <f>Expenses!C16+Expenses!G16</f>
        <v>2096</v>
      </c>
      <c r="H18" s="240">
        <f>Expenses!D16+Expenses!H16</f>
        <v>2096</v>
      </c>
      <c r="I18" s="293">
        <f t="shared" si="1"/>
        <v>0</v>
      </c>
      <c r="J18" s="9"/>
      <c r="K18" s="296">
        <f>CapChrg!C16</f>
        <v>49</v>
      </c>
      <c r="L18" s="202">
        <f>CapChrg!D16</f>
        <v>236</v>
      </c>
      <c r="M18" s="293">
        <f t="shared" si="2"/>
        <v>-187</v>
      </c>
      <c r="N18" s="203"/>
      <c r="O18" s="201">
        <f t="shared" si="3"/>
        <v>2618</v>
      </c>
      <c r="P18" s="202">
        <f t="shared" si="4"/>
        <v>3668</v>
      </c>
      <c r="Q18" s="198">
        <f t="shared" si="5"/>
        <v>-1050</v>
      </c>
    </row>
    <row r="19" spans="1:17" ht="12" customHeight="1" x14ac:dyDescent="0.2">
      <c r="A19" s="11" t="s">
        <v>159</v>
      </c>
      <c r="B19" s="20"/>
      <c r="C19" s="323">
        <f>GrossMargin!I17</f>
        <v>0</v>
      </c>
      <c r="D19" s="298">
        <f>GrossMargin!M17</f>
        <v>0</v>
      </c>
      <c r="E19" s="294">
        <f t="shared" si="0"/>
        <v>0</v>
      </c>
      <c r="F19" s="23"/>
      <c r="G19" s="240">
        <f>Expenses!C17+Expenses!G17</f>
        <v>730</v>
      </c>
      <c r="H19" s="240">
        <f>Expenses!D17+Expenses!H17</f>
        <v>730</v>
      </c>
      <c r="I19" s="293">
        <f t="shared" si="1"/>
        <v>0</v>
      </c>
      <c r="J19" s="9"/>
      <c r="K19" s="296">
        <f>CapChrg!C17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-730</v>
      </c>
      <c r="P19" s="202">
        <f t="shared" si="4"/>
        <v>-730</v>
      </c>
      <c r="Q19" s="198">
        <f t="shared" si="5"/>
        <v>0</v>
      </c>
    </row>
    <row r="20" spans="1:17" ht="12" customHeight="1" x14ac:dyDescent="0.2">
      <c r="A20" s="11" t="s">
        <v>29</v>
      </c>
      <c r="B20" s="20"/>
      <c r="C20" s="298">
        <f>GrossMargin!I18</f>
        <v>0</v>
      </c>
      <c r="D20" s="298">
        <f>GrossMargin!M18</f>
        <v>0</v>
      </c>
      <c r="E20" s="294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3">
        <f t="shared" si="1"/>
        <v>0</v>
      </c>
      <c r="J20" s="9"/>
      <c r="K20" s="296">
        <f>CapChrg!C18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">
      <c r="A21" s="25" t="s">
        <v>7</v>
      </c>
      <c r="B21" s="155"/>
      <c r="C21" s="27">
        <f>SUM(C9:C20)</f>
        <v>150906</v>
      </c>
      <c r="D21" s="27">
        <f>SUM(D9:D20)</f>
        <v>76000</v>
      </c>
      <c r="E21" s="28">
        <f>SUM(E9:E20)</f>
        <v>74906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123</v>
      </c>
      <c r="L21" s="205">
        <f>SUM(L10:L20)</f>
        <v>236</v>
      </c>
      <c r="M21" s="206">
        <f>SUM(M10:M20)</f>
        <v>-113</v>
      </c>
      <c r="N21" s="207"/>
      <c r="O21" s="204">
        <f>SUM(O10:O20)</f>
        <v>138642</v>
      </c>
      <c r="P21" s="205">
        <f>SUM(P10:P20)</f>
        <v>63623</v>
      </c>
      <c r="Q21" s="206">
        <f>SUM(Q10:Q20)</f>
        <v>75019</v>
      </c>
    </row>
    <row r="22" spans="1:17" ht="7.5" customHeight="1" x14ac:dyDescent="0.2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">
      <c r="A23" s="11" t="s">
        <v>155</v>
      </c>
      <c r="B23" s="9"/>
      <c r="C23" s="21">
        <f>GrossMargin!I21</f>
        <v>12710</v>
      </c>
      <c r="D23" s="240">
        <f>GrossMargin!M21</f>
        <v>12000</v>
      </c>
      <c r="E23" s="294">
        <f t="shared" ref="E23:E28" si="6">-D23+C23</f>
        <v>710</v>
      </c>
      <c r="F23" s="23"/>
      <c r="G23" s="240">
        <f>Expenses!C21+Expenses!G21</f>
        <v>1635</v>
      </c>
      <c r="H23" s="240">
        <f>Expenses!D21+Expenses!H21</f>
        <v>1635</v>
      </c>
      <c r="I23" s="293">
        <f t="shared" ref="I23:I28" si="7">G23-H23</f>
        <v>0</v>
      </c>
      <c r="J23" s="9"/>
      <c r="K23" s="240">
        <f>CapChrg!C21</f>
        <v>963</v>
      </c>
      <c r="L23" s="202">
        <f>CapChrg!D21</f>
        <v>111</v>
      </c>
      <c r="M23" s="293">
        <f t="shared" ref="M23:M28" si="8">K23-L23</f>
        <v>852</v>
      </c>
      <c r="N23" s="203"/>
      <c r="O23" s="201">
        <f t="shared" ref="O23:O28" si="9">C23-G23-K23</f>
        <v>10112</v>
      </c>
      <c r="P23" s="202">
        <f t="shared" ref="P23:P28" si="10">D23-H23-L23</f>
        <v>10254</v>
      </c>
      <c r="Q23" s="198">
        <f t="shared" ref="Q23:Q28" si="11">O23-P23</f>
        <v>-142</v>
      </c>
    </row>
    <row r="24" spans="1:17" ht="14.25" customHeight="1" x14ac:dyDescent="0.2">
      <c r="A24" s="11" t="s">
        <v>154</v>
      </c>
      <c r="B24" s="9"/>
      <c r="C24" s="21">
        <f>GrossMargin!I22</f>
        <v>1700</v>
      </c>
      <c r="D24" s="240">
        <f>GrossMargin!M22</f>
        <v>10000</v>
      </c>
      <c r="E24" s="294">
        <f t="shared" si="6"/>
        <v>-8300</v>
      </c>
      <c r="F24" s="23"/>
      <c r="G24" s="240">
        <f>Expenses!C22+Expenses!G22</f>
        <v>354</v>
      </c>
      <c r="H24" s="240">
        <f>Expenses!D22+Expenses!H22</f>
        <v>354</v>
      </c>
      <c r="I24" s="293">
        <f t="shared" si="7"/>
        <v>0</v>
      </c>
      <c r="J24" s="9"/>
      <c r="K24" s="240">
        <f>CapChrg!C22</f>
        <v>0</v>
      </c>
      <c r="L24" s="202">
        <f>CapChrg!D22</f>
        <v>0</v>
      </c>
      <c r="M24" s="293">
        <f t="shared" si="8"/>
        <v>0</v>
      </c>
      <c r="N24" s="203"/>
      <c r="O24" s="201">
        <f t="shared" si="9"/>
        <v>1346</v>
      </c>
      <c r="P24" s="202">
        <f t="shared" si="10"/>
        <v>9646</v>
      </c>
      <c r="Q24" s="198">
        <f t="shared" si="11"/>
        <v>-8300</v>
      </c>
    </row>
    <row r="25" spans="1:17" ht="14.25" customHeight="1" x14ac:dyDescent="0.2">
      <c r="A25" s="11" t="s">
        <v>153</v>
      </c>
      <c r="B25" s="9"/>
      <c r="C25" s="21">
        <f>GrossMargin!I23</f>
        <v>35896</v>
      </c>
      <c r="D25" s="240">
        <f>GrossMargin!M23</f>
        <v>6000</v>
      </c>
      <c r="E25" s="294">
        <f t="shared" si="6"/>
        <v>29896</v>
      </c>
      <c r="F25" s="23"/>
      <c r="G25" s="240">
        <f>Expenses!C23+Expenses!G23</f>
        <v>2094</v>
      </c>
      <c r="H25" s="240">
        <f>Expenses!D23+Expenses!H23</f>
        <v>2094</v>
      </c>
      <c r="I25" s="293">
        <f t="shared" si="7"/>
        <v>0</v>
      </c>
      <c r="J25" s="9"/>
      <c r="K25" s="240">
        <f>CapChrg!C23</f>
        <v>1995</v>
      </c>
      <c r="L25" s="202">
        <f>CapChrg!D23</f>
        <v>4139</v>
      </c>
      <c r="M25" s="293">
        <f t="shared" si="8"/>
        <v>-2144</v>
      </c>
      <c r="N25" s="203"/>
      <c r="O25" s="201">
        <f t="shared" si="9"/>
        <v>31807</v>
      </c>
      <c r="P25" s="202">
        <f t="shared" si="10"/>
        <v>-233</v>
      </c>
      <c r="Q25" s="198">
        <f t="shared" si="11"/>
        <v>32040</v>
      </c>
    </row>
    <row r="26" spans="1:17" ht="14.25" customHeight="1" x14ac:dyDescent="0.2">
      <c r="A26" s="11" t="s">
        <v>30</v>
      </c>
      <c r="B26" s="9"/>
      <c r="C26" s="21">
        <f>GrossMargin!I24</f>
        <v>102672</v>
      </c>
      <c r="D26" s="240">
        <f>GrossMargin!M24</f>
        <v>62499</v>
      </c>
      <c r="E26" s="294">
        <f t="shared" si="6"/>
        <v>40173</v>
      </c>
      <c r="F26" s="23"/>
      <c r="G26" s="240">
        <f>Expenses!C24+Expenses!G24</f>
        <v>2702</v>
      </c>
      <c r="H26" s="240">
        <f>Expenses!D24+Expenses!H24</f>
        <v>2702</v>
      </c>
      <c r="I26" s="293">
        <f t="shared" si="7"/>
        <v>0</v>
      </c>
      <c r="J26" s="9"/>
      <c r="K26" s="240">
        <f>CapChrg!C24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99970</v>
      </c>
      <c r="P26" s="202">
        <f t="shared" si="10"/>
        <v>59797</v>
      </c>
      <c r="Q26" s="198">
        <f t="shared" si="11"/>
        <v>40173</v>
      </c>
    </row>
    <row r="27" spans="1:17" ht="14.25" customHeight="1" x14ac:dyDescent="0.2">
      <c r="A27" s="11" t="s">
        <v>31</v>
      </c>
      <c r="B27" s="9"/>
      <c r="C27" s="21">
        <f>GrossMargin!I25</f>
        <v>16400</v>
      </c>
      <c r="D27" s="240">
        <f>GrossMargin!M25</f>
        <v>12499</v>
      </c>
      <c r="E27" s="294">
        <f t="shared" si="6"/>
        <v>3901</v>
      </c>
      <c r="F27" s="23"/>
      <c r="G27" s="240">
        <f>Expenses!C25+Expenses!G25</f>
        <v>438</v>
      </c>
      <c r="H27" s="240">
        <f>Expenses!D25+Expenses!H25</f>
        <v>438</v>
      </c>
      <c r="I27" s="293">
        <f t="shared" si="7"/>
        <v>0</v>
      </c>
      <c r="J27" s="9"/>
      <c r="K27" s="240">
        <f>CapChrg!C25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15962</v>
      </c>
      <c r="P27" s="202">
        <f t="shared" si="10"/>
        <v>12061</v>
      </c>
      <c r="Q27" s="198">
        <f t="shared" si="11"/>
        <v>3901</v>
      </c>
    </row>
    <row r="28" spans="1:17" ht="14.25" customHeight="1" x14ac:dyDescent="0.2">
      <c r="A28" s="11" t="s">
        <v>160</v>
      </c>
      <c r="B28" s="9"/>
      <c r="C28" s="247">
        <f>GrossMargin!I26</f>
        <v>0</v>
      </c>
      <c r="D28" s="300">
        <f>GrossMargin!M26</f>
        <v>0</v>
      </c>
      <c r="E28" s="301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3">
        <f t="shared" si="7"/>
        <v>0</v>
      </c>
      <c r="J28" s="9"/>
      <c r="K28" s="240">
        <f>CapChrg!C26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">
      <c r="A29" s="25" t="s">
        <v>8</v>
      </c>
      <c r="B29" s="155"/>
      <c r="C29" s="26">
        <f>SUM(C23:C28)</f>
        <v>169378</v>
      </c>
      <c r="D29" s="27">
        <f>SUM(D23:D28)</f>
        <v>102998</v>
      </c>
      <c r="E29" s="28">
        <f>SUM(E23:E28)</f>
        <v>66380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2958</v>
      </c>
      <c r="L29" s="205">
        <f>SUM(L23:L28)</f>
        <v>4250</v>
      </c>
      <c r="M29" s="206">
        <f>SUM(M23:M28)</f>
        <v>-1292</v>
      </c>
      <c r="N29" s="207"/>
      <c r="O29" s="204">
        <f>SUM(O23:O28)</f>
        <v>158924</v>
      </c>
      <c r="P29" s="205">
        <f>SUM(P23:P28)</f>
        <v>91252</v>
      </c>
      <c r="Q29" s="206">
        <f>SUM(Q23:Q28)</f>
        <v>67672</v>
      </c>
    </row>
    <row r="30" spans="1:17" ht="7.5" customHeight="1" x14ac:dyDescent="0.2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">
      <c r="A31" s="11" t="s">
        <v>34</v>
      </c>
      <c r="B31" s="9"/>
      <c r="C31" s="21">
        <f>GrossMargin!I29</f>
        <v>-371597</v>
      </c>
      <c r="D31" s="240">
        <f>GrossMargin!M29</f>
        <v>31500</v>
      </c>
      <c r="E31" s="294">
        <f t="shared" ref="E31:E39" si="12">-D31+C31</f>
        <v>-403097</v>
      </c>
      <c r="F31" s="23"/>
      <c r="G31" s="240">
        <f>Expenses!C29</f>
        <v>1804</v>
      </c>
      <c r="H31" s="240">
        <f>Expenses!D29</f>
        <v>1804</v>
      </c>
      <c r="I31" s="293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3">
        <f t="shared" ref="M31:M39" si="14">K31-L31</f>
        <v>0</v>
      </c>
      <c r="N31" s="203"/>
      <c r="O31" s="201">
        <f t="shared" ref="O31:O39" si="15">C31-G31-K31</f>
        <v>-373401</v>
      </c>
      <c r="P31" s="202">
        <f t="shared" ref="P31:P39" si="16">D31-H31-L31</f>
        <v>29696</v>
      </c>
      <c r="Q31" s="198">
        <f t="shared" ref="Q31:Q39" si="17">O31-P31</f>
        <v>-403097</v>
      </c>
    </row>
    <row r="32" spans="1:17" x14ac:dyDescent="0.2">
      <c r="A32" s="11" t="s">
        <v>136</v>
      </c>
      <c r="B32" s="9"/>
      <c r="C32" s="21">
        <f>GrossMargin!I30</f>
        <v>35912</v>
      </c>
      <c r="D32" s="240">
        <f>GrossMargin!M30</f>
        <v>19250</v>
      </c>
      <c r="E32" s="294">
        <f t="shared" si="12"/>
        <v>16662</v>
      </c>
      <c r="F32" s="23"/>
      <c r="G32" s="240">
        <f>Expenses!C30</f>
        <v>2567</v>
      </c>
      <c r="H32" s="240">
        <f>Expenses!D30</f>
        <v>2567</v>
      </c>
      <c r="I32" s="293">
        <f t="shared" si="13"/>
        <v>0</v>
      </c>
      <c r="J32" s="9"/>
      <c r="K32" s="240">
        <f>CapChrg!C30</f>
        <v>370</v>
      </c>
      <c r="L32" s="202">
        <f>CapChrg!D30</f>
        <v>144</v>
      </c>
      <c r="M32" s="293">
        <f t="shared" si="14"/>
        <v>226</v>
      </c>
      <c r="N32" s="203"/>
      <c r="O32" s="201">
        <f t="shared" si="15"/>
        <v>32975</v>
      </c>
      <c r="P32" s="202">
        <f t="shared" si="16"/>
        <v>16539</v>
      </c>
      <c r="Q32" s="198">
        <f t="shared" si="17"/>
        <v>16436</v>
      </c>
    </row>
    <row r="33" spans="1:17" x14ac:dyDescent="0.2">
      <c r="A33" s="11" t="s">
        <v>36</v>
      </c>
      <c r="B33" s="9"/>
      <c r="C33" s="21">
        <f>GrossMargin!I31</f>
        <v>16827</v>
      </c>
      <c r="D33" s="240">
        <f>GrossMargin!M31</f>
        <v>21000</v>
      </c>
      <c r="E33" s="294">
        <f t="shared" si="12"/>
        <v>-4173</v>
      </c>
      <c r="F33" s="23"/>
      <c r="G33" s="240">
        <f>Expenses!C31</f>
        <v>2878</v>
      </c>
      <c r="H33" s="240">
        <f>Expenses!D31</f>
        <v>2878</v>
      </c>
      <c r="I33" s="293">
        <f t="shared" si="13"/>
        <v>0</v>
      </c>
      <c r="J33" s="9"/>
      <c r="K33" s="240">
        <f>CapChrg!C31</f>
        <v>209</v>
      </c>
      <c r="L33" s="202">
        <f>CapChrg!D31</f>
        <v>1572</v>
      </c>
      <c r="M33" s="293">
        <f t="shared" si="14"/>
        <v>-1363</v>
      </c>
      <c r="N33" s="203"/>
      <c r="O33" s="201">
        <f t="shared" si="15"/>
        <v>13740</v>
      </c>
      <c r="P33" s="202">
        <f t="shared" si="16"/>
        <v>16550</v>
      </c>
      <c r="Q33" s="198">
        <f t="shared" si="17"/>
        <v>-2810</v>
      </c>
    </row>
    <row r="34" spans="1:17" x14ac:dyDescent="0.2">
      <c r="A34" s="11" t="s">
        <v>37</v>
      </c>
      <c r="B34" s="9"/>
      <c r="C34" s="21">
        <f>GrossMargin!I32</f>
        <v>29202</v>
      </c>
      <c r="D34" s="240">
        <f>GrossMargin!M32</f>
        <v>10000</v>
      </c>
      <c r="E34" s="294">
        <f t="shared" si="12"/>
        <v>19202</v>
      </c>
      <c r="F34" s="23"/>
      <c r="G34" s="240">
        <f>Expenses!C32</f>
        <v>1368</v>
      </c>
      <c r="H34" s="240">
        <f>Expenses!D32</f>
        <v>1368</v>
      </c>
      <c r="I34" s="293">
        <f t="shared" si="13"/>
        <v>0</v>
      </c>
      <c r="J34" s="9"/>
      <c r="K34" s="240">
        <f>CapChrg!C32</f>
        <v>0</v>
      </c>
      <c r="L34" s="202">
        <f>CapChrg!D32</f>
        <v>0</v>
      </c>
      <c r="M34" s="293">
        <f t="shared" si="14"/>
        <v>0</v>
      </c>
      <c r="N34" s="203"/>
      <c r="O34" s="201">
        <f t="shared" si="15"/>
        <v>27834</v>
      </c>
      <c r="P34" s="202">
        <f t="shared" si="16"/>
        <v>8632</v>
      </c>
      <c r="Q34" s="198">
        <f t="shared" si="17"/>
        <v>19202</v>
      </c>
    </row>
    <row r="35" spans="1:17" x14ac:dyDescent="0.2">
      <c r="A35" s="11" t="s">
        <v>38</v>
      </c>
      <c r="B35" s="9"/>
      <c r="C35" s="21">
        <f>GrossMargin!I33</f>
        <v>154859</v>
      </c>
      <c r="D35" s="240">
        <f>GrossMargin!M33</f>
        <v>31250</v>
      </c>
      <c r="E35" s="294">
        <f t="shared" si="12"/>
        <v>123609</v>
      </c>
      <c r="F35" s="23"/>
      <c r="G35" s="240">
        <f>Expenses!C33</f>
        <v>402</v>
      </c>
      <c r="H35" s="240">
        <f>Expenses!D33</f>
        <v>402</v>
      </c>
      <c r="I35" s="293">
        <f t="shared" si="13"/>
        <v>0</v>
      </c>
      <c r="J35" s="9"/>
      <c r="K35" s="240">
        <f>CapChrg!C33</f>
        <v>0</v>
      </c>
      <c r="L35" s="202">
        <f>CapChrg!D33</f>
        <v>0</v>
      </c>
      <c r="M35" s="293">
        <f t="shared" si="14"/>
        <v>0</v>
      </c>
      <c r="N35" s="203"/>
      <c r="O35" s="201">
        <f t="shared" si="15"/>
        <v>154457</v>
      </c>
      <c r="P35" s="202">
        <f t="shared" si="16"/>
        <v>30848</v>
      </c>
      <c r="Q35" s="198">
        <f t="shared" si="17"/>
        <v>123609</v>
      </c>
    </row>
    <row r="36" spans="1:17" x14ac:dyDescent="0.2">
      <c r="A36" s="11" t="s">
        <v>39</v>
      </c>
      <c r="B36" s="9"/>
      <c r="C36" s="21">
        <f>GrossMargin!I34</f>
        <v>4983</v>
      </c>
      <c r="D36" s="240">
        <f>GrossMargin!M34</f>
        <v>6250</v>
      </c>
      <c r="E36" s="294">
        <f t="shared" si="12"/>
        <v>-1267</v>
      </c>
      <c r="F36" s="23"/>
      <c r="G36" s="240">
        <f>Expenses!C34</f>
        <v>1106</v>
      </c>
      <c r="H36" s="240">
        <f>Expenses!D34</f>
        <v>1106</v>
      </c>
      <c r="I36" s="293">
        <f t="shared" si="13"/>
        <v>0</v>
      </c>
      <c r="J36" s="9"/>
      <c r="K36" s="240">
        <f>CapChrg!C34</f>
        <v>0</v>
      </c>
      <c r="L36" s="202">
        <f>CapChrg!D34</f>
        <v>0</v>
      </c>
      <c r="M36" s="293">
        <f t="shared" si="14"/>
        <v>0</v>
      </c>
      <c r="N36" s="203"/>
      <c r="O36" s="201">
        <f t="shared" si="15"/>
        <v>3877</v>
      </c>
      <c r="P36" s="202">
        <f t="shared" si="16"/>
        <v>5144</v>
      </c>
      <c r="Q36" s="198">
        <f t="shared" si="17"/>
        <v>-1267</v>
      </c>
    </row>
    <row r="37" spans="1:17" x14ac:dyDescent="0.2">
      <c r="A37" s="11" t="s">
        <v>40</v>
      </c>
      <c r="B37" s="9"/>
      <c r="C37" s="296">
        <f>GrossMargin!I35</f>
        <v>0</v>
      </c>
      <c r="D37" s="298">
        <f>GrossMargin!M35</f>
        <v>0</v>
      </c>
      <c r="E37" s="301">
        <f t="shared" si="12"/>
        <v>0</v>
      </c>
      <c r="F37" s="23"/>
      <c r="G37" s="240">
        <f>Expenses!C35</f>
        <v>664</v>
      </c>
      <c r="H37" s="240">
        <f>Expenses!D35</f>
        <v>664</v>
      </c>
      <c r="I37" s="293">
        <f t="shared" si="13"/>
        <v>0</v>
      </c>
      <c r="J37" s="9"/>
      <c r="K37" s="240">
        <f>CapChrg!C35</f>
        <v>0</v>
      </c>
      <c r="L37" s="202">
        <f>CapChrg!D35</f>
        <v>0</v>
      </c>
      <c r="M37" s="293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">
      <c r="A38" s="11" t="s">
        <v>41</v>
      </c>
      <c r="B38" s="9"/>
      <c r="C38" s="296">
        <f>GrossMargin!I36</f>
        <v>0</v>
      </c>
      <c r="D38" s="298">
        <f>GrossMargin!M36</f>
        <v>0</v>
      </c>
      <c r="E38" s="301">
        <f t="shared" si="12"/>
        <v>0</v>
      </c>
      <c r="F38" s="23"/>
      <c r="G38" s="240">
        <f>Expenses!C36</f>
        <v>508</v>
      </c>
      <c r="H38" s="240">
        <f>Expenses!D36</f>
        <v>508</v>
      </c>
      <c r="I38" s="293">
        <f t="shared" si="13"/>
        <v>0</v>
      </c>
      <c r="J38" s="9"/>
      <c r="K38" s="240">
        <f>CapChrg!C36</f>
        <v>0</v>
      </c>
      <c r="L38" s="202">
        <f>CapChrg!D36</f>
        <v>0</v>
      </c>
      <c r="M38" s="293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">
      <c r="A39" s="11" t="s">
        <v>101</v>
      </c>
      <c r="B39" s="9"/>
      <c r="C39" s="299">
        <f>GrossMargin!I37</f>
        <v>1000</v>
      </c>
      <c r="D39" s="300">
        <f>GrossMargin!M37</f>
        <v>0</v>
      </c>
      <c r="E39" s="301">
        <f t="shared" si="12"/>
        <v>1000</v>
      </c>
      <c r="F39" s="23"/>
      <c r="G39" s="240">
        <f>Expenses!C37+Expenses!G37</f>
        <v>0</v>
      </c>
      <c r="H39" s="240">
        <f>Expenses!D37+Expenses!H37</f>
        <v>0</v>
      </c>
      <c r="I39" s="293">
        <f t="shared" si="13"/>
        <v>0</v>
      </c>
      <c r="J39" s="9"/>
      <c r="K39" s="240">
        <f>CapChrg!C37</f>
        <v>0</v>
      </c>
      <c r="L39" s="202">
        <f>CapChrg!D37</f>
        <v>0</v>
      </c>
      <c r="M39" s="293">
        <f t="shared" si="14"/>
        <v>0</v>
      </c>
      <c r="N39" s="203"/>
      <c r="O39" s="201">
        <f t="shared" si="15"/>
        <v>1000</v>
      </c>
      <c r="P39" s="202">
        <f t="shared" si="16"/>
        <v>0</v>
      </c>
      <c r="Q39" s="198">
        <f t="shared" si="17"/>
        <v>1000</v>
      </c>
    </row>
    <row r="40" spans="1:17" s="42" customFormat="1" ht="13.2" x14ac:dyDescent="0.2">
      <c r="A40" s="25" t="s">
        <v>9</v>
      </c>
      <c r="B40" s="155"/>
      <c r="C40" s="26">
        <f>SUM(C31:C39)</f>
        <v>-128814</v>
      </c>
      <c r="D40" s="26">
        <f>SUM(D31:D39)</f>
        <v>119250</v>
      </c>
      <c r="E40" s="26">
        <f>SUM(E31:E39)</f>
        <v>-248064</v>
      </c>
      <c r="F40" s="156"/>
      <c r="G40" s="204">
        <f>SUM(G31:G39)</f>
        <v>11297</v>
      </c>
      <c r="H40" s="204">
        <f>SUM(H31:H39)</f>
        <v>11297</v>
      </c>
      <c r="I40" s="204">
        <f>SUM(I31:I39)</f>
        <v>0</v>
      </c>
      <c r="J40" s="9"/>
      <c r="K40" s="204">
        <f>SUM(K31:K39)</f>
        <v>579</v>
      </c>
      <c r="L40" s="204">
        <f>SUM(L31:L39)</f>
        <v>1716</v>
      </c>
      <c r="M40" s="204">
        <f>SUM(M31:M39)</f>
        <v>-1137</v>
      </c>
      <c r="N40" s="207"/>
      <c r="O40" s="204">
        <f>SUM(O31:O39)</f>
        <v>-140690</v>
      </c>
      <c r="P40" s="204">
        <f>SUM(P31:P39)</f>
        <v>106237</v>
      </c>
      <c r="Q40" s="204">
        <f>SUM(Q31:Q39)</f>
        <v>-246927</v>
      </c>
    </row>
    <row r="41" spans="1:17" ht="8.25" customHeight="1" x14ac:dyDescent="0.2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">
      <c r="A42" s="11" t="s">
        <v>42</v>
      </c>
      <c r="B42" s="9"/>
      <c r="C42" s="21">
        <f>GrossMargin!I40</f>
        <v>-34726</v>
      </c>
      <c r="D42" s="240">
        <f>GrossMargin!M40</f>
        <v>12500</v>
      </c>
      <c r="E42" s="294">
        <f t="shared" ref="E42:E47" si="18">-D42+C42</f>
        <v>-47226</v>
      </c>
      <c r="F42" s="23"/>
      <c r="G42" s="240">
        <f>Expenses!C40+Expenses!G40</f>
        <v>1217</v>
      </c>
      <c r="H42" s="240">
        <f>Expenses!D40+Expenses!H40</f>
        <v>1217</v>
      </c>
      <c r="I42" s="293">
        <f t="shared" ref="I42:I47" si="19">G42-H42</f>
        <v>0</v>
      </c>
      <c r="J42" s="9"/>
      <c r="K42" s="202">
        <f>CapChrg!C40</f>
        <v>32</v>
      </c>
      <c r="L42" s="202">
        <f>CapChrg!D40</f>
        <v>99</v>
      </c>
      <c r="M42" s="293">
        <f t="shared" ref="M42:M47" si="20">K42-L42</f>
        <v>-67</v>
      </c>
      <c r="N42" s="203"/>
      <c r="O42" s="201">
        <f t="shared" ref="O42:O47" si="21">C42-G42-K42</f>
        <v>-35975</v>
      </c>
      <c r="P42" s="202">
        <f t="shared" ref="P42:P47" si="22">D42-H42-L42</f>
        <v>11184</v>
      </c>
      <c r="Q42" s="198">
        <f t="shared" ref="Q42:Q47" si="23">O42-P42</f>
        <v>-47159</v>
      </c>
    </row>
    <row r="43" spans="1:17" ht="13.5" customHeight="1" x14ac:dyDescent="0.2">
      <c r="A43" s="11" t="s">
        <v>43</v>
      </c>
      <c r="B43" s="9"/>
      <c r="C43" s="21">
        <f>GrossMargin!I41</f>
        <v>-1070</v>
      </c>
      <c r="D43" s="240">
        <f>GrossMargin!M41</f>
        <v>5000</v>
      </c>
      <c r="E43" s="294">
        <f t="shared" si="18"/>
        <v>-6070</v>
      </c>
      <c r="F43" s="23"/>
      <c r="G43" s="240">
        <f>Expenses!C41+Expenses!G41</f>
        <v>423</v>
      </c>
      <c r="H43" s="240">
        <f>Expenses!D41+Expenses!H41</f>
        <v>423</v>
      </c>
      <c r="I43" s="293">
        <f t="shared" si="19"/>
        <v>0</v>
      </c>
      <c r="J43" s="9"/>
      <c r="K43" s="240">
        <f>CapChrg!C41</f>
        <v>1993</v>
      </c>
      <c r="L43" s="202">
        <f>CapChrg!D41</f>
        <v>304</v>
      </c>
      <c r="M43" s="293">
        <f t="shared" si="20"/>
        <v>1689</v>
      </c>
      <c r="N43" s="203"/>
      <c r="O43" s="201">
        <f t="shared" si="21"/>
        <v>-3486</v>
      </c>
      <c r="P43" s="202">
        <f t="shared" si="22"/>
        <v>4273</v>
      </c>
      <c r="Q43" s="198">
        <f t="shared" si="23"/>
        <v>-7759</v>
      </c>
    </row>
    <row r="44" spans="1:17" ht="13.5" customHeight="1" x14ac:dyDescent="0.2">
      <c r="A44" s="11" t="s">
        <v>65</v>
      </c>
      <c r="B44" s="9"/>
      <c r="C44" s="21">
        <f>GrossMargin!I42</f>
        <v>-5023</v>
      </c>
      <c r="D44" s="240">
        <f>GrossMargin!M42</f>
        <v>38750</v>
      </c>
      <c r="E44" s="294">
        <f t="shared" si="18"/>
        <v>-43773</v>
      </c>
      <c r="F44" s="23"/>
      <c r="G44" s="240">
        <f>Expenses!C42+Expenses!G42</f>
        <v>574</v>
      </c>
      <c r="H44" s="240">
        <f>Expenses!D42+Expenses!H42</f>
        <v>574</v>
      </c>
      <c r="I44" s="293">
        <f t="shared" si="19"/>
        <v>0</v>
      </c>
      <c r="J44" s="9"/>
      <c r="K44" s="202">
        <f>CapChrg!C42</f>
        <v>0</v>
      </c>
      <c r="L44" s="202">
        <f>CapChrg!D42</f>
        <v>0</v>
      </c>
      <c r="M44" s="293">
        <f t="shared" si="20"/>
        <v>0</v>
      </c>
      <c r="N44" s="203"/>
      <c r="O44" s="201">
        <f t="shared" si="21"/>
        <v>-5597</v>
      </c>
      <c r="P44" s="202">
        <f t="shared" si="22"/>
        <v>38176</v>
      </c>
      <c r="Q44" s="198">
        <f t="shared" si="23"/>
        <v>-43773</v>
      </c>
    </row>
    <row r="45" spans="1:17" ht="13.5" customHeight="1" x14ac:dyDescent="0.2">
      <c r="A45" s="11" t="s">
        <v>66</v>
      </c>
      <c r="B45" s="9"/>
      <c r="C45" s="21">
        <f>GrossMargin!I43</f>
        <v>0</v>
      </c>
      <c r="D45" s="240">
        <f>GrossMargin!M43</f>
        <v>12500</v>
      </c>
      <c r="E45" s="294">
        <f t="shared" si="18"/>
        <v>-12500</v>
      </c>
      <c r="F45" s="23"/>
      <c r="G45" s="240">
        <f>Expenses!C43+Expenses!G43</f>
        <v>1155</v>
      </c>
      <c r="H45" s="240">
        <f>Expenses!D43+Expenses!H43</f>
        <v>1155</v>
      </c>
      <c r="I45" s="293">
        <f t="shared" si="19"/>
        <v>0</v>
      </c>
      <c r="J45" s="9"/>
      <c r="K45" s="202">
        <f>CapChrg!C43</f>
        <v>0</v>
      </c>
      <c r="L45" s="202">
        <f>CapChrg!D43</f>
        <v>447</v>
      </c>
      <c r="M45" s="293">
        <f t="shared" si="20"/>
        <v>-447</v>
      </c>
      <c r="N45" s="203"/>
      <c r="O45" s="201">
        <f t="shared" si="21"/>
        <v>-1155</v>
      </c>
      <c r="P45" s="202">
        <f t="shared" si="22"/>
        <v>10898</v>
      </c>
      <c r="Q45" s="198">
        <f t="shared" si="23"/>
        <v>-12053</v>
      </c>
    </row>
    <row r="46" spans="1:17" x14ac:dyDescent="0.2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4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3">
        <f t="shared" si="19"/>
        <v>0</v>
      </c>
      <c r="J46" s="9"/>
      <c r="K46" s="202">
        <f>CapChrg!C44</f>
        <v>0</v>
      </c>
      <c r="L46" s="202">
        <f>CapChrg!D44</f>
        <v>0</v>
      </c>
      <c r="M46" s="293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">
      <c r="A47" s="11" t="s">
        <v>45</v>
      </c>
      <c r="B47" s="9"/>
      <c r="C47" s="21">
        <f>GrossMargin!I45</f>
        <v>0</v>
      </c>
      <c r="D47" s="240">
        <f>GrossMargin!M45</f>
        <v>0</v>
      </c>
      <c r="E47" s="294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3">
        <f t="shared" si="19"/>
        <v>0</v>
      </c>
      <c r="J47" s="9"/>
      <c r="K47" s="240">
        <f>CapChrg!C45</f>
        <v>0</v>
      </c>
      <c r="L47" s="202">
        <f>CapChrg!D45</f>
        <v>0</v>
      </c>
      <c r="M47" s="293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">
      <c r="A48" s="11" t="s">
        <v>135</v>
      </c>
      <c r="B48" s="9"/>
      <c r="C48" s="21">
        <f>GrossMargin!I46</f>
        <v>0</v>
      </c>
      <c r="D48" s="240">
        <f>GrossMargin!M46</f>
        <v>0</v>
      </c>
      <c r="E48" s="294">
        <f>-D48+C48</f>
        <v>0</v>
      </c>
      <c r="F48" s="23"/>
      <c r="G48" s="21">
        <f>GrossMargin!M46</f>
        <v>0</v>
      </c>
      <c r="H48" s="240">
        <f>GrossMargin!Q46</f>
        <v>0</v>
      </c>
      <c r="I48" s="294">
        <f>-H48+G48</f>
        <v>0</v>
      </c>
      <c r="J48" s="9"/>
      <c r="K48" s="21">
        <f>GrossMargin!Q46</f>
        <v>0</v>
      </c>
      <c r="L48" s="240">
        <f>GrossMargin!U46</f>
        <v>0</v>
      </c>
      <c r="M48" s="294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">
      <c r="A49" s="25" t="s">
        <v>10</v>
      </c>
      <c r="B49" s="303"/>
      <c r="C49" s="27">
        <f>SUM(C42:C48)</f>
        <v>-40819</v>
      </c>
      <c r="D49" s="304">
        <f>SUM(D42:D48)</f>
        <v>71250</v>
      </c>
      <c r="E49" s="305">
        <f>SUM(E42:E48)</f>
        <v>-112069</v>
      </c>
      <c r="F49" s="156"/>
      <c r="G49" s="27">
        <f>SUM(G42:G48)</f>
        <v>4683</v>
      </c>
      <c r="H49" s="304">
        <f>SUM(H42:H48)</f>
        <v>4683</v>
      </c>
      <c r="I49" s="305">
        <f>SUM(I42:I48)</f>
        <v>0</v>
      </c>
      <c r="J49" s="15"/>
      <c r="K49" s="27">
        <f>SUM(K42:K48)</f>
        <v>2025</v>
      </c>
      <c r="L49" s="304">
        <f>SUM(L42:L48)</f>
        <v>850</v>
      </c>
      <c r="M49" s="305">
        <f>SUM(M42:M48)</f>
        <v>1175</v>
      </c>
      <c r="N49" s="207"/>
      <c r="O49" s="27">
        <f>SUM(O42:O48)</f>
        <v>-47527</v>
      </c>
      <c r="P49" s="304">
        <f>SUM(P42:P48)</f>
        <v>65717</v>
      </c>
      <c r="Q49" s="305">
        <f>SUM(Q42:Q48)</f>
        <v>-113244</v>
      </c>
    </row>
    <row r="50" spans="1:17" ht="8.25" customHeight="1" x14ac:dyDescent="0.2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">
      <c r="A51" s="11" t="s">
        <v>74</v>
      </c>
      <c r="B51" s="9"/>
      <c r="C51" s="202">
        <f>GrossMargin!I49</f>
        <v>244</v>
      </c>
      <c r="D51" s="202">
        <f>GrossMargin!M49</f>
        <v>0</v>
      </c>
      <c r="E51" s="294">
        <f t="shared" ref="E51:E67" si="24">-D51+C51</f>
        <v>244</v>
      </c>
      <c r="F51" s="23"/>
      <c r="G51" s="240">
        <f>Expenses!C48+Expenses!G48</f>
        <v>178</v>
      </c>
      <c r="H51" s="240">
        <f>Expenses!D48+Expenses!H48</f>
        <v>221</v>
      </c>
      <c r="I51" s="202">
        <f t="shared" ref="I51:I68" si="25">G51-H51</f>
        <v>-43</v>
      </c>
      <c r="J51" s="9"/>
      <c r="K51" s="240">
        <f>CapChrg!C48</f>
        <v>0</v>
      </c>
      <c r="L51" s="202">
        <f>CapChrg!D48</f>
        <v>0</v>
      </c>
      <c r="M51" s="293">
        <f t="shared" ref="M51:M67" si="26">K51-L51</f>
        <v>0</v>
      </c>
      <c r="N51" s="203"/>
      <c r="O51" s="201">
        <f t="shared" ref="O51:O67" si="27">C51-G51-K51</f>
        <v>66</v>
      </c>
      <c r="P51" s="202">
        <f t="shared" ref="P51:P67" si="28">D51-H51-L51</f>
        <v>-221</v>
      </c>
      <c r="Q51" s="198">
        <f t="shared" ref="Q51:Q67" si="29">O51-P51</f>
        <v>287</v>
      </c>
    </row>
    <row r="52" spans="1:17" x14ac:dyDescent="0.2">
      <c r="A52" s="11" t="s">
        <v>102</v>
      </c>
      <c r="B52" s="9"/>
      <c r="C52" s="202">
        <f>GrossMargin!I50</f>
        <v>2876</v>
      </c>
      <c r="D52" s="240">
        <f>GrossMargin!M50</f>
        <v>4334</v>
      </c>
      <c r="E52" s="294">
        <f t="shared" si="24"/>
        <v>-1458</v>
      </c>
      <c r="F52" s="23"/>
      <c r="G52" s="240">
        <f>Expenses!C49+Expenses!G49</f>
        <v>1237</v>
      </c>
      <c r="H52" s="240">
        <f>Expenses!D49+Expenses!H49</f>
        <v>767</v>
      </c>
      <c r="I52" s="202">
        <f t="shared" si="25"/>
        <v>470</v>
      </c>
      <c r="J52" s="9"/>
      <c r="K52" s="202">
        <f>CapChrg!C49</f>
        <v>0</v>
      </c>
      <c r="L52" s="202">
        <f>CapChrg!D49</f>
        <v>0</v>
      </c>
      <c r="M52" s="293">
        <f t="shared" si="26"/>
        <v>0</v>
      </c>
      <c r="N52" s="203"/>
      <c r="O52" s="201">
        <f t="shared" si="27"/>
        <v>1639</v>
      </c>
      <c r="P52" s="202">
        <f t="shared" si="28"/>
        <v>3567</v>
      </c>
      <c r="Q52" s="198">
        <f t="shared" si="29"/>
        <v>-1928</v>
      </c>
    </row>
    <row r="53" spans="1:17" x14ac:dyDescent="0.2">
      <c r="A53" s="11" t="s">
        <v>103</v>
      </c>
      <c r="B53" s="9"/>
      <c r="C53" s="202">
        <f>GrossMargin!I51</f>
        <v>719</v>
      </c>
      <c r="D53" s="240">
        <f>GrossMargin!M51</f>
        <v>6181</v>
      </c>
      <c r="E53" s="294">
        <f t="shared" si="24"/>
        <v>-5462</v>
      </c>
      <c r="F53" s="23"/>
      <c r="G53" s="240">
        <f>Expenses!C50+Expenses!G50</f>
        <v>1166</v>
      </c>
      <c r="H53" s="240">
        <f>Expenses!D50+Expenses!H50</f>
        <v>1484</v>
      </c>
      <c r="I53" s="202">
        <f t="shared" si="25"/>
        <v>-318</v>
      </c>
      <c r="J53" s="9"/>
      <c r="K53" s="202">
        <f>CapChrg!C50</f>
        <v>-69</v>
      </c>
      <c r="L53" s="202">
        <f>CapChrg!D50</f>
        <v>653</v>
      </c>
      <c r="M53" s="293">
        <f t="shared" si="26"/>
        <v>-722</v>
      </c>
      <c r="N53" s="203"/>
      <c r="O53" s="201">
        <f t="shared" si="27"/>
        <v>-378</v>
      </c>
      <c r="P53" s="202">
        <f t="shared" si="28"/>
        <v>4044</v>
      </c>
      <c r="Q53" s="198">
        <f t="shared" si="29"/>
        <v>-4422</v>
      </c>
    </row>
    <row r="54" spans="1:17" x14ac:dyDescent="0.2">
      <c r="A54" s="11" t="s">
        <v>104</v>
      </c>
      <c r="B54" s="9"/>
      <c r="C54" s="202">
        <f>GrossMargin!I52</f>
        <v>250</v>
      </c>
      <c r="D54" s="240">
        <f>GrossMargin!M52</f>
        <v>2000</v>
      </c>
      <c r="E54" s="294">
        <f t="shared" si="24"/>
        <v>-1750</v>
      </c>
      <c r="F54" s="23"/>
      <c r="G54" s="240">
        <f>Expenses!C51+Expenses!G51</f>
        <v>271</v>
      </c>
      <c r="H54" s="240">
        <f>Expenses!D51+Expenses!H51</f>
        <v>265</v>
      </c>
      <c r="I54" s="202">
        <f t="shared" si="25"/>
        <v>6</v>
      </c>
      <c r="J54" s="9"/>
      <c r="K54" s="202">
        <f>CapChrg!C51</f>
        <v>0</v>
      </c>
      <c r="L54" s="202">
        <f>CapChrg!D51</f>
        <v>0</v>
      </c>
      <c r="M54" s="293">
        <f t="shared" si="26"/>
        <v>0</v>
      </c>
      <c r="N54" s="203"/>
      <c r="O54" s="201">
        <f t="shared" si="27"/>
        <v>-21</v>
      </c>
      <c r="P54" s="202">
        <f t="shared" si="28"/>
        <v>1735</v>
      </c>
      <c r="Q54" s="198">
        <f t="shared" si="29"/>
        <v>-1756</v>
      </c>
    </row>
    <row r="55" spans="1:17" x14ac:dyDescent="0.2">
      <c r="A55" s="11" t="s">
        <v>105</v>
      </c>
      <c r="B55" s="9"/>
      <c r="C55" s="202">
        <f>GrossMargin!I53</f>
        <v>1146</v>
      </c>
      <c r="D55" s="240">
        <f>GrossMargin!M53</f>
        <v>1000</v>
      </c>
      <c r="E55" s="294">
        <f t="shared" si="24"/>
        <v>146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27</v>
      </c>
      <c r="L55" s="202">
        <f>CapChrg!D52</f>
        <v>0</v>
      </c>
      <c r="M55" s="293">
        <f t="shared" si="26"/>
        <v>27</v>
      </c>
      <c r="N55" s="203"/>
      <c r="O55" s="201">
        <f t="shared" si="27"/>
        <v>933</v>
      </c>
      <c r="P55" s="202">
        <f t="shared" si="28"/>
        <v>814</v>
      </c>
      <c r="Q55" s="198">
        <f t="shared" si="29"/>
        <v>119</v>
      </c>
    </row>
    <row r="56" spans="1:17" x14ac:dyDescent="0.2">
      <c r="A56" s="11" t="s">
        <v>106</v>
      </c>
      <c r="B56" s="9"/>
      <c r="C56" s="202">
        <f>GrossMargin!I54</f>
        <v>24</v>
      </c>
      <c r="D56" s="240">
        <f>GrossMargin!M54</f>
        <v>500</v>
      </c>
      <c r="E56" s="294">
        <f t="shared" si="24"/>
        <v>-476</v>
      </c>
      <c r="F56" s="23"/>
      <c r="G56" s="202">
        <f>Expenses!C53+Expenses!G53</f>
        <v>96</v>
      </c>
      <c r="H56" s="202">
        <f>Expenses!D53+Expenses!H53</f>
        <v>144</v>
      </c>
      <c r="I56" s="202">
        <f t="shared" si="25"/>
        <v>-48</v>
      </c>
      <c r="J56" s="9"/>
      <c r="K56" s="202">
        <f>CapChrg!C53</f>
        <v>0</v>
      </c>
      <c r="L56" s="202">
        <f>CapChrg!D53</f>
        <v>0</v>
      </c>
      <c r="M56" s="293">
        <f t="shared" si="26"/>
        <v>0</v>
      </c>
      <c r="N56" s="203"/>
      <c r="O56" s="201">
        <f t="shared" si="27"/>
        <v>-72</v>
      </c>
      <c r="P56" s="202">
        <f t="shared" si="28"/>
        <v>356</v>
      </c>
      <c r="Q56" s="198">
        <f t="shared" si="29"/>
        <v>-428</v>
      </c>
    </row>
    <row r="57" spans="1:17" x14ac:dyDescent="0.2">
      <c r="A57" s="11" t="s">
        <v>69</v>
      </c>
      <c r="B57" s="9"/>
      <c r="C57" s="202">
        <f>GrossMargin!I55</f>
        <v>2400</v>
      </c>
      <c r="D57" s="240">
        <f>GrossMargin!M55</f>
        <v>2909</v>
      </c>
      <c r="E57" s="294">
        <f t="shared" si="24"/>
        <v>-509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7865</v>
      </c>
      <c r="L57" s="202">
        <f>CapChrg!D54</f>
        <v>6282</v>
      </c>
      <c r="M57" s="293">
        <f t="shared" si="26"/>
        <v>1583</v>
      </c>
      <c r="N57" s="203"/>
      <c r="O57" s="201">
        <f t="shared" si="27"/>
        <v>-5465</v>
      </c>
      <c r="P57" s="202">
        <f t="shared" si="28"/>
        <v>-3373</v>
      </c>
      <c r="Q57" s="198">
        <f t="shared" si="29"/>
        <v>-2092</v>
      </c>
    </row>
    <row r="58" spans="1:17" x14ac:dyDescent="0.2">
      <c r="A58" s="11" t="s">
        <v>68</v>
      </c>
      <c r="B58" s="9"/>
      <c r="C58" s="202">
        <f>GrossMargin!I56</f>
        <v>9092</v>
      </c>
      <c r="D58" s="240">
        <f>GrossMargin!M56</f>
        <v>9445</v>
      </c>
      <c r="E58" s="294">
        <f t="shared" si="24"/>
        <v>-353</v>
      </c>
      <c r="F58" s="23"/>
      <c r="G58" s="240">
        <f>Expenses!C55+Expenses!G55</f>
        <v>69821</v>
      </c>
      <c r="H58" s="240">
        <f>Expenses!D55+Expenses!H55</f>
        <v>63228</v>
      </c>
      <c r="I58" s="202">
        <f t="shared" si="25"/>
        <v>6593</v>
      </c>
      <c r="J58" s="9"/>
      <c r="K58" s="240">
        <f>CapChrg!C55</f>
        <v>0</v>
      </c>
      <c r="L58" s="202">
        <f>CapChrg!D55</f>
        <v>0</v>
      </c>
      <c r="M58" s="293">
        <f t="shared" si="26"/>
        <v>0</v>
      </c>
      <c r="N58" s="203"/>
      <c r="O58" s="201">
        <f t="shared" si="27"/>
        <v>-60729</v>
      </c>
      <c r="P58" s="202">
        <f t="shared" si="28"/>
        <v>-53783</v>
      </c>
      <c r="Q58" s="198">
        <f t="shared" si="29"/>
        <v>-6946</v>
      </c>
    </row>
    <row r="59" spans="1:17" x14ac:dyDescent="0.2">
      <c r="A59" s="11" t="s">
        <v>67</v>
      </c>
      <c r="B59" s="9"/>
      <c r="C59" s="21">
        <f>GrossMargin!I57</f>
        <v>0</v>
      </c>
      <c r="D59" s="202">
        <f>GrossMargin!M57</f>
        <v>0</v>
      </c>
      <c r="E59" s="294">
        <f t="shared" si="24"/>
        <v>0</v>
      </c>
      <c r="F59" s="23"/>
      <c r="G59" s="240">
        <f>Expenses!C56+Expenses!G56</f>
        <v>294</v>
      </c>
      <c r="H59" s="240">
        <f>Expenses!D56+Expenses!H56</f>
        <v>294</v>
      </c>
      <c r="I59" s="202">
        <f t="shared" si="25"/>
        <v>0</v>
      </c>
      <c r="J59" s="9"/>
      <c r="K59" s="202">
        <f>CapChrg!C56</f>
        <v>0</v>
      </c>
      <c r="L59" s="202">
        <f>CapChrg!D56</f>
        <v>0</v>
      </c>
      <c r="M59" s="293">
        <f t="shared" si="26"/>
        <v>0</v>
      </c>
      <c r="N59" s="203"/>
      <c r="O59" s="201">
        <f t="shared" si="27"/>
        <v>-294</v>
      </c>
      <c r="P59" s="202">
        <f t="shared" si="28"/>
        <v>-294</v>
      </c>
      <c r="Q59" s="198">
        <f t="shared" si="29"/>
        <v>0</v>
      </c>
    </row>
    <row r="60" spans="1:17" x14ac:dyDescent="0.2">
      <c r="A60" s="11" t="s">
        <v>46</v>
      </c>
      <c r="B60" s="9"/>
      <c r="C60" s="202">
        <f>GrossMargin!I58</f>
        <v>433</v>
      </c>
      <c r="D60" s="240">
        <f>GrossMargin!M58</f>
        <v>15000</v>
      </c>
      <c r="E60" s="294">
        <f t="shared" si="24"/>
        <v>-14567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4151</v>
      </c>
      <c r="L60" s="202">
        <f>CapChrg!D57</f>
        <v>0</v>
      </c>
      <c r="M60" s="293">
        <f t="shared" si="26"/>
        <v>4151</v>
      </c>
      <c r="N60" s="203"/>
      <c r="O60" s="201">
        <f t="shared" si="27"/>
        <v>-5134</v>
      </c>
      <c r="P60" s="202">
        <f t="shared" si="28"/>
        <v>13584</v>
      </c>
      <c r="Q60" s="198">
        <f t="shared" si="29"/>
        <v>-18718</v>
      </c>
    </row>
    <row r="61" spans="1:17" ht="12" customHeight="1" x14ac:dyDescent="0.2">
      <c r="A61" s="11" t="s">
        <v>47</v>
      </c>
      <c r="B61" s="9"/>
      <c r="C61" s="202">
        <f>GrossMargin!I59</f>
        <v>-2</v>
      </c>
      <c r="D61" s="240">
        <f>GrossMargin!M59</f>
        <v>20000</v>
      </c>
      <c r="E61" s="294">
        <f t="shared" si="24"/>
        <v>-20002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21941</v>
      </c>
      <c r="L61" s="202">
        <f>CapChrg!D58</f>
        <v>15210</v>
      </c>
      <c r="M61" s="293">
        <f t="shared" si="26"/>
        <v>6731</v>
      </c>
      <c r="N61" s="203"/>
      <c r="O61" s="201">
        <f t="shared" si="27"/>
        <v>-23680</v>
      </c>
      <c r="P61" s="202">
        <f t="shared" si="28"/>
        <v>3020</v>
      </c>
      <c r="Q61" s="198">
        <f t="shared" si="29"/>
        <v>-26700</v>
      </c>
    </row>
    <row r="62" spans="1:17" ht="12" customHeight="1" x14ac:dyDescent="0.2">
      <c r="A62" s="11" t="s">
        <v>48</v>
      </c>
      <c r="B62" s="9"/>
      <c r="C62" s="21">
        <f>GrossMargin!I60</f>
        <v>59</v>
      </c>
      <c r="D62" s="240">
        <f>GrossMargin!M60</f>
        <v>15781</v>
      </c>
      <c r="E62" s="294">
        <f t="shared" si="24"/>
        <v>-15722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4663</v>
      </c>
      <c r="L62" s="202">
        <f>CapChrg!D59</f>
        <v>7109</v>
      </c>
      <c r="M62" s="293">
        <f t="shared" si="26"/>
        <v>-2446</v>
      </c>
      <c r="N62" s="203"/>
      <c r="O62" s="201">
        <f t="shared" si="27"/>
        <v>-5433</v>
      </c>
      <c r="P62" s="202">
        <f t="shared" si="28"/>
        <v>7781</v>
      </c>
      <c r="Q62" s="198">
        <f t="shared" si="29"/>
        <v>-13214</v>
      </c>
    </row>
    <row r="63" spans="1:17" ht="12" customHeight="1" x14ac:dyDescent="0.2">
      <c r="A63" s="11" t="s">
        <v>63</v>
      </c>
      <c r="B63" s="9"/>
      <c r="C63" s="202">
        <f>GrossMargin!I61</f>
        <v>6295</v>
      </c>
      <c r="D63" s="240">
        <f>GrossMargin!M61</f>
        <v>7150</v>
      </c>
      <c r="E63" s="294">
        <f t="shared" si="24"/>
        <v>-855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24090</v>
      </c>
      <c r="L63" s="202">
        <f>CapChrg!D60</f>
        <v>21233</v>
      </c>
      <c r="M63" s="293">
        <f t="shared" si="26"/>
        <v>2857</v>
      </c>
      <c r="N63" s="203"/>
      <c r="O63" s="201">
        <f t="shared" si="27"/>
        <v>-19581</v>
      </c>
      <c r="P63" s="202">
        <f t="shared" si="28"/>
        <v>-16337</v>
      </c>
      <c r="Q63" s="198">
        <f t="shared" si="29"/>
        <v>-3244</v>
      </c>
    </row>
    <row r="64" spans="1:17" ht="12" customHeight="1" x14ac:dyDescent="0.2">
      <c r="A64" s="11" t="s">
        <v>134</v>
      </c>
      <c r="B64" s="9"/>
      <c r="C64" s="21">
        <f>GrossMargin!I62</f>
        <v>9122</v>
      </c>
      <c r="D64" s="240">
        <f>GrossMargin!M62</f>
        <v>-7900</v>
      </c>
      <c r="E64" s="294">
        <f t="shared" si="24"/>
        <v>17022</v>
      </c>
      <c r="F64" s="23"/>
      <c r="G64" s="240">
        <f>Expenses!C61+Expenses!G61</f>
        <v>1628</v>
      </c>
      <c r="H64" s="240">
        <f>Expenses!D61+Expenses!H61</f>
        <v>1637</v>
      </c>
      <c r="I64" s="202">
        <f t="shared" si="25"/>
        <v>-9</v>
      </c>
      <c r="J64" s="9"/>
      <c r="K64" s="240">
        <f>CapChrg!C61</f>
        <v>8125</v>
      </c>
      <c r="L64" s="202">
        <f>CapChrg!D61</f>
        <v>13372</v>
      </c>
      <c r="M64" s="293">
        <f t="shared" si="26"/>
        <v>-5247</v>
      </c>
      <c r="N64" s="203"/>
      <c r="O64" s="201">
        <f t="shared" si="27"/>
        <v>-631</v>
      </c>
      <c r="P64" s="202">
        <f t="shared" si="28"/>
        <v>-22909</v>
      </c>
      <c r="Q64" s="198">
        <f t="shared" si="29"/>
        <v>22278</v>
      </c>
    </row>
    <row r="65" spans="1:17" ht="12" customHeight="1" x14ac:dyDescent="0.2">
      <c r="A65" s="11" t="s">
        <v>71</v>
      </c>
      <c r="B65" s="20"/>
      <c r="C65" s="202">
        <f>GrossMargin!I63</f>
        <v>431728</v>
      </c>
      <c r="D65" s="240">
        <f>GrossMargin!M63</f>
        <v>-12065</v>
      </c>
      <c r="E65" s="294">
        <f t="shared" si="24"/>
        <v>443793</v>
      </c>
      <c r="F65" s="23"/>
      <c r="G65" s="240">
        <f>Expenses!C62+Expenses!G62</f>
        <v>1482</v>
      </c>
      <c r="H65" s="240">
        <f>Expenses!D62+Expenses!H62</f>
        <v>994</v>
      </c>
      <c r="I65" s="202">
        <f t="shared" si="25"/>
        <v>488</v>
      </c>
      <c r="J65" s="9"/>
      <c r="K65" s="240">
        <f>CapChrg!C62</f>
        <v>8204</v>
      </c>
      <c r="L65" s="202">
        <f>CapChrg!D62</f>
        <v>32888</v>
      </c>
      <c r="M65" s="293">
        <f t="shared" si="26"/>
        <v>-24684</v>
      </c>
      <c r="N65" s="203"/>
      <c r="O65" s="201">
        <f t="shared" si="27"/>
        <v>422042</v>
      </c>
      <c r="P65" s="202">
        <f t="shared" si="28"/>
        <v>-45947</v>
      </c>
      <c r="Q65" s="198">
        <f t="shared" si="29"/>
        <v>467989</v>
      </c>
    </row>
    <row r="66" spans="1:17" ht="12" customHeight="1" x14ac:dyDescent="0.2">
      <c r="A66" s="11" t="s">
        <v>73</v>
      </c>
      <c r="B66" s="20"/>
      <c r="C66" s="21">
        <f>GrossMargin!I64</f>
        <v>28255</v>
      </c>
      <c r="D66" s="240">
        <f>GrossMargin!M64</f>
        <v>0</v>
      </c>
      <c r="E66" s="294">
        <f t="shared" si="24"/>
        <v>28255</v>
      </c>
      <c r="F66" s="23"/>
      <c r="G66" s="202">
        <f>Expenses!C63+Expenses!G63</f>
        <v>0</v>
      </c>
      <c r="H66" s="202">
        <f>Expenses!D63+Expenses!H63</f>
        <v>0</v>
      </c>
      <c r="I66" s="202">
        <f t="shared" si="25"/>
        <v>0</v>
      </c>
      <c r="J66" s="9"/>
      <c r="K66" s="202">
        <f>CapChrg!C63</f>
        <v>0</v>
      </c>
      <c r="L66" s="202">
        <f>CapChrg!D63</f>
        <v>0</v>
      </c>
      <c r="M66" s="293">
        <f t="shared" si="26"/>
        <v>0</v>
      </c>
      <c r="N66" s="203"/>
      <c r="O66" s="201">
        <f t="shared" si="27"/>
        <v>28255</v>
      </c>
      <c r="P66" s="202">
        <f t="shared" si="28"/>
        <v>0</v>
      </c>
      <c r="Q66" s="198">
        <f t="shared" si="29"/>
        <v>28255</v>
      </c>
    </row>
    <row r="67" spans="1:17" ht="12" customHeight="1" x14ac:dyDescent="0.2">
      <c r="A67" s="29" t="s">
        <v>129</v>
      </c>
      <c r="B67" s="9"/>
      <c r="C67" s="202">
        <f>GrossMargin!I65</f>
        <v>-6600</v>
      </c>
      <c r="D67" s="240">
        <f>GrossMargin!M65</f>
        <v>63802</v>
      </c>
      <c r="E67" s="294">
        <f t="shared" si="24"/>
        <v>-70402</v>
      </c>
      <c r="F67" s="23"/>
      <c r="G67" s="240">
        <f>Expenses!C64+Expenses!G64</f>
        <v>1373</v>
      </c>
      <c r="H67" s="240">
        <f>Expenses!D64+Expenses!H64</f>
        <v>1373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3">
        <f t="shared" si="26"/>
        <v>0</v>
      </c>
      <c r="N67" s="203"/>
      <c r="O67" s="201">
        <f t="shared" si="27"/>
        <v>-7973</v>
      </c>
      <c r="P67" s="202">
        <f t="shared" si="28"/>
        <v>62429</v>
      </c>
      <c r="Q67" s="198">
        <f t="shared" si="29"/>
        <v>-70402</v>
      </c>
    </row>
    <row r="68" spans="1:17" ht="12" customHeight="1" x14ac:dyDescent="0.2">
      <c r="A68" s="29" t="s">
        <v>125</v>
      </c>
      <c r="B68" s="9"/>
      <c r="C68" s="202">
        <f>GrossMargin!I66</f>
        <v>0</v>
      </c>
      <c r="D68" s="240">
        <f>GrossMargin!M66</f>
        <v>0</v>
      </c>
      <c r="E68" s="294">
        <f>-D68+C68</f>
        <v>0</v>
      </c>
      <c r="F68" s="23"/>
      <c r="G68" s="240">
        <f>Expenses!C65+Expenses!G65</f>
        <v>0</v>
      </c>
      <c r="H68" s="240">
        <f>Expenses!D66+Expenses!H66</f>
        <v>0</v>
      </c>
      <c r="I68" s="202">
        <f t="shared" si="25"/>
        <v>0</v>
      </c>
      <c r="J68" s="9"/>
      <c r="K68" s="202">
        <f>CapChrg!C66</f>
        <v>0</v>
      </c>
      <c r="L68" s="202">
        <f>CapChrg!D66</f>
        <v>0</v>
      </c>
      <c r="M68" s="293">
        <f>K68-L68</f>
        <v>0</v>
      </c>
      <c r="N68" s="203"/>
      <c r="O68" s="201">
        <f>C68-G68-K68</f>
        <v>0</v>
      </c>
      <c r="P68" s="202">
        <f>D68-H68-L68</f>
        <v>0</v>
      </c>
      <c r="Q68" s="198">
        <f>O68-P68</f>
        <v>0</v>
      </c>
    </row>
    <row r="69" spans="1:17" s="157" customFormat="1" ht="12" customHeight="1" x14ac:dyDescent="0.2">
      <c r="A69" s="25" t="s">
        <v>12</v>
      </c>
      <c r="B69" s="155"/>
      <c r="C69" s="26">
        <f>SUM(C51:C68)+C49+C40+C29+C21</f>
        <v>636692</v>
      </c>
      <c r="D69" s="27">
        <f>SUM(D51:D68)+D49+D40+D29+D21</f>
        <v>497635</v>
      </c>
      <c r="E69" s="28">
        <f>SUM(E51:E68)+E49+E40+E29+E21</f>
        <v>139057</v>
      </c>
      <c r="F69" s="156"/>
      <c r="G69" s="204">
        <f>SUM(G51:G68)+G49+G40+G29+G21</f>
        <v>119117</v>
      </c>
      <c r="H69" s="205">
        <f>SUM(H51:H68)+H49+H40+H29+H21</f>
        <v>112541</v>
      </c>
      <c r="I69" s="205">
        <f>SUM(I51:I68)+I49+I40+I29+I21</f>
        <v>6576</v>
      </c>
      <c r="J69" s="9"/>
      <c r="K69" s="205">
        <f>SUM(K51:K68)+K49+K40+K29+K21</f>
        <v>84682</v>
      </c>
      <c r="L69" s="205">
        <f>SUM(L51:L68)+L49+L40+L29+L21</f>
        <v>103799</v>
      </c>
      <c r="M69" s="206">
        <f>SUM(M51:M68)+M49+M40+M29+M21</f>
        <v>-19117</v>
      </c>
      <c r="N69" s="207"/>
      <c r="O69" s="204">
        <f>SUM(O51:O68)+O49+O40+O29+O21</f>
        <v>432893</v>
      </c>
      <c r="P69" s="205">
        <f>SUM(P51:P68)+P49+P40+P29+P21</f>
        <v>281295</v>
      </c>
      <c r="Q69" s="206">
        <f>SUM(Q51:Q68)+Q49+Q40+Q29+Q21</f>
        <v>151598</v>
      </c>
    </row>
    <row r="70" spans="1:17" ht="6.75" customHeight="1" x14ac:dyDescent="0.2">
      <c r="A70" s="29"/>
      <c r="B70" s="9"/>
      <c r="C70" s="65"/>
      <c r="D70" s="31"/>
      <c r="E70" s="32"/>
      <c r="F70" s="23"/>
      <c r="G70" s="282"/>
      <c r="H70" s="210"/>
      <c r="I70" s="210"/>
      <c r="J70" s="9"/>
      <c r="K70" s="210"/>
      <c r="L70" s="210"/>
      <c r="M70" s="211"/>
      <c r="N70" s="203"/>
      <c r="O70" s="208"/>
      <c r="P70" s="210"/>
      <c r="Q70" s="211"/>
    </row>
    <row r="71" spans="1:17" ht="12" customHeight="1" x14ac:dyDescent="0.2">
      <c r="A71" s="29" t="s">
        <v>51</v>
      </c>
      <c r="B71" s="9"/>
      <c r="C71" s="202">
        <v>0</v>
      </c>
      <c r="D71" s="202">
        <v>0</v>
      </c>
      <c r="E71" s="24">
        <f t="shared" ref="E71:E84" si="30">-D71+C71</f>
        <v>0</v>
      </c>
      <c r="F71" s="23"/>
      <c r="G71" s="240">
        <f>Expenses!C69+Expenses!G69</f>
        <v>2631</v>
      </c>
      <c r="H71" s="240">
        <f>Expenses!D69+Expenses!H69</f>
        <v>2631</v>
      </c>
      <c r="I71" s="202">
        <f t="shared" ref="I71:I84" si="31">G71-H71</f>
        <v>0</v>
      </c>
      <c r="J71" s="9"/>
      <c r="K71" s="197">
        <v>0</v>
      </c>
      <c r="L71" s="197">
        <v>0</v>
      </c>
      <c r="M71" s="198">
        <f t="shared" ref="M71:M84" si="32">K71-L71</f>
        <v>0</v>
      </c>
      <c r="N71" s="203"/>
      <c r="O71" s="201">
        <f t="shared" ref="O71:O84" si="33">C71-G71-K71</f>
        <v>-2631</v>
      </c>
      <c r="P71" s="202">
        <f t="shared" ref="P71:P84" si="34">D71-H71-L71</f>
        <v>-2631</v>
      </c>
      <c r="Q71" s="198">
        <f t="shared" ref="Q71:Q84" si="35">O71-P71</f>
        <v>0</v>
      </c>
    </row>
    <row r="72" spans="1:17" ht="12" customHeight="1" x14ac:dyDescent="0.2">
      <c r="A72" s="29" t="s">
        <v>52</v>
      </c>
      <c r="B72" s="9"/>
      <c r="C72" s="202">
        <v>0</v>
      </c>
      <c r="D72" s="202">
        <v>0</v>
      </c>
      <c r="E72" s="24">
        <f t="shared" si="30"/>
        <v>0</v>
      </c>
      <c r="F72" s="23"/>
      <c r="G72" s="240">
        <f>Expenses!C70+Expenses!G70</f>
        <v>499</v>
      </c>
      <c r="H72" s="240">
        <f>Expenses!D70+Expenses!H70</f>
        <v>499</v>
      </c>
      <c r="I72" s="202">
        <f t="shared" si="31"/>
        <v>0</v>
      </c>
      <c r="J72" s="9"/>
      <c r="K72" s="197">
        <v>0</v>
      </c>
      <c r="L72" s="197">
        <v>0</v>
      </c>
      <c r="M72" s="198">
        <f t="shared" si="32"/>
        <v>0</v>
      </c>
      <c r="N72" s="203"/>
      <c r="O72" s="201">
        <f t="shared" si="33"/>
        <v>-499</v>
      </c>
      <c r="P72" s="202">
        <f t="shared" si="34"/>
        <v>-499</v>
      </c>
      <c r="Q72" s="198">
        <f t="shared" si="35"/>
        <v>0</v>
      </c>
    </row>
    <row r="73" spans="1:17" ht="12" customHeight="1" x14ac:dyDescent="0.2">
      <c r="A73" s="29" t="s">
        <v>107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1418</v>
      </c>
      <c r="H73" s="240">
        <f>Expenses!D71+Expenses!H71</f>
        <v>1418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-1418</v>
      </c>
      <c r="P73" s="202">
        <f t="shared" si="34"/>
        <v>-1418</v>
      </c>
      <c r="Q73" s="198">
        <f t="shared" si="35"/>
        <v>0</v>
      </c>
    </row>
    <row r="74" spans="1:17" ht="12" customHeight="1" x14ac:dyDescent="0.2">
      <c r="A74" s="29" t="s">
        <v>53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10143</v>
      </c>
      <c r="H74" s="240">
        <f>Expenses!D72+Expenses!H72</f>
        <v>10143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-10143</v>
      </c>
      <c r="P74" s="202">
        <f t="shared" si="34"/>
        <v>-10143</v>
      </c>
      <c r="Q74" s="198">
        <f t="shared" si="35"/>
        <v>0</v>
      </c>
    </row>
    <row r="75" spans="1:17" ht="12" customHeight="1" x14ac:dyDescent="0.2">
      <c r="A75" s="29" t="s">
        <v>54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1204</v>
      </c>
      <c r="H75" s="240">
        <f>Expenses!D73+Expenses!H73</f>
        <v>1204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-1204</v>
      </c>
      <c r="P75" s="202">
        <f t="shared" si="34"/>
        <v>-1204</v>
      </c>
      <c r="Q75" s="198">
        <f t="shared" si="35"/>
        <v>0</v>
      </c>
    </row>
    <row r="76" spans="1:17" ht="12" customHeight="1" x14ac:dyDescent="0.2">
      <c r="A76" s="29" t="s">
        <v>55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2251</v>
      </c>
      <c r="H76" s="240">
        <f>Expenses!D74+Expenses!H74</f>
        <v>2251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-2251</v>
      </c>
      <c r="P76" s="202">
        <f t="shared" si="34"/>
        <v>-2251</v>
      </c>
      <c r="Q76" s="198">
        <f t="shared" si="35"/>
        <v>0</v>
      </c>
    </row>
    <row r="77" spans="1:17" ht="12" customHeight="1" x14ac:dyDescent="0.2">
      <c r="A77" s="29" t="s">
        <v>56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318</v>
      </c>
      <c r="H77" s="240">
        <f>Expenses!D75+Expenses!H75</f>
        <v>318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-318</v>
      </c>
      <c r="P77" s="202">
        <f t="shared" si="34"/>
        <v>-318</v>
      </c>
      <c r="Q77" s="198">
        <f t="shared" si="35"/>
        <v>0</v>
      </c>
    </row>
    <row r="78" spans="1:17" ht="12" customHeight="1" x14ac:dyDescent="0.2">
      <c r="A78" s="29" t="s">
        <v>57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593</v>
      </c>
      <c r="H78" s="240">
        <f>Expenses!D76+Expenses!H76</f>
        <v>593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-593</v>
      </c>
      <c r="P78" s="202">
        <f t="shared" si="34"/>
        <v>-593</v>
      </c>
      <c r="Q78" s="198">
        <f t="shared" si="35"/>
        <v>0</v>
      </c>
    </row>
    <row r="79" spans="1:17" ht="12" customHeight="1" x14ac:dyDescent="0.2">
      <c r="A79" s="29" t="s">
        <v>59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539</v>
      </c>
      <c r="H79" s="240">
        <f>Expenses!D77+Expenses!H77</f>
        <v>539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-539</v>
      </c>
      <c r="P79" s="202">
        <f t="shared" si="34"/>
        <v>-539</v>
      </c>
      <c r="Q79" s="198">
        <f t="shared" si="35"/>
        <v>0</v>
      </c>
    </row>
    <row r="80" spans="1:17" ht="12" customHeight="1" x14ac:dyDescent="0.2">
      <c r="A80" s="29" t="s">
        <v>60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194</v>
      </c>
      <c r="H80" s="240">
        <f>Expenses!D78+Expenses!H78</f>
        <v>194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-194</v>
      </c>
      <c r="P80" s="202">
        <f t="shared" si="34"/>
        <v>-194</v>
      </c>
      <c r="Q80" s="198">
        <f t="shared" si="35"/>
        <v>0</v>
      </c>
    </row>
    <row r="81" spans="1:17" ht="12" customHeight="1" x14ac:dyDescent="0.2">
      <c r="A81" s="29" t="s">
        <v>61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682</v>
      </c>
      <c r="H81" s="240">
        <f>Expenses!D79+Expenses!H79</f>
        <v>682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-682</v>
      </c>
      <c r="P81" s="202">
        <f t="shared" si="34"/>
        <v>-682</v>
      </c>
      <c r="Q81" s="198">
        <f t="shared" si="35"/>
        <v>0</v>
      </c>
    </row>
    <row r="82" spans="1:17" ht="12" customHeight="1" x14ac:dyDescent="0.2">
      <c r="A82" s="29" t="s">
        <v>62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1419</v>
      </c>
      <c r="H82" s="240">
        <f>Expenses!D80+Expenses!H80</f>
        <v>1419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-1419</v>
      </c>
      <c r="P82" s="202">
        <f t="shared" si="34"/>
        <v>-1419</v>
      </c>
      <c r="Q82" s="198">
        <f t="shared" si="35"/>
        <v>0</v>
      </c>
    </row>
    <row r="83" spans="1:17" x14ac:dyDescent="0.2">
      <c r="A83" s="29" t="s">
        <v>58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28318</v>
      </c>
      <c r="H83" s="240">
        <f>Expenses!D81+Expenses!H81</f>
        <v>23075</v>
      </c>
      <c r="I83" s="202">
        <f t="shared" si="31"/>
        <v>5243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-28318</v>
      </c>
      <c r="P83" s="202">
        <f t="shared" si="34"/>
        <v>-23075</v>
      </c>
      <c r="Q83" s="198">
        <f t="shared" si="35"/>
        <v>-5243</v>
      </c>
    </row>
    <row r="84" spans="1:17" ht="12" customHeight="1" x14ac:dyDescent="0.2">
      <c r="A84" s="29" t="s">
        <v>17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47811</v>
      </c>
      <c r="H84" s="240">
        <f>Expenses!D82+Expenses!H82</f>
        <v>46611</v>
      </c>
      <c r="I84" s="202">
        <f t="shared" si="31"/>
        <v>1200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-47811</v>
      </c>
      <c r="P84" s="202">
        <f t="shared" si="34"/>
        <v>-46611</v>
      </c>
      <c r="Q84" s="198">
        <f t="shared" si="35"/>
        <v>-1200</v>
      </c>
    </row>
    <row r="85" spans="1:17" s="157" customFormat="1" ht="12" customHeight="1" x14ac:dyDescent="0.2">
      <c r="A85" s="25" t="s">
        <v>13</v>
      </c>
      <c r="B85" s="155"/>
      <c r="C85" s="26">
        <f>SUM(C71:C84)</f>
        <v>0</v>
      </c>
      <c r="D85" s="27">
        <f>SUM(D71:D84)</f>
        <v>0</v>
      </c>
      <c r="E85" s="28">
        <f>SUM(E71:E84)</f>
        <v>0</v>
      </c>
      <c r="F85" s="156"/>
      <c r="G85" s="204">
        <f>SUM(G71:G84)</f>
        <v>98020</v>
      </c>
      <c r="H85" s="205">
        <f>SUM(H71:H84)</f>
        <v>91577</v>
      </c>
      <c r="I85" s="205">
        <f>SUM(I71:I84)</f>
        <v>6443</v>
      </c>
      <c r="J85" s="9"/>
      <c r="K85" s="205">
        <f>SUM(K71:K84)</f>
        <v>0</v>
      </c>
      <c r="L85" s="205">
        <f>SUM(L71:L84)</f>
        <v>0</v>
      </c>
      <c r="M85" s="206">
        <f>SUM(M71:M84)</f>
        <v>0</v>
      </c>
      <c r="N85" s="207"/>
      <c r="O85" s="204">
        <f>SUM(O71:O84)</f>
        <v>-98020</v>
      </c>
      <c r="P85" s="205">
        <f>SUM(P71:P84)</f>
        <v>-91577</v>
      </c>
      <c r="Q85" s="206">
        <f>SUM(Q71:Q84)</f>
        <v>-6443</v>
      </c>
    </row>
    <row r="86" spans="1:17" s="33" customFormat="1" ht="12" customHeight="1" x14ac:dyDescent="0.2">
      <c r="A86" s="181" t="s">
        <v>119</v>
      </c>
      <c r="B86" s="9"/>
      <c r="C86" s="202">
        <v>0</v>
      </c>
      <c r="D86" s="202">
        <v>0</v>
      </c>
      <c r="E86" s="292">
        <f>-D86+C86</f>
        <v>0</v>
      </c>
      <c r="F86" s="23"/>
      <c r="G86" s="240">
        <f>Expenses!C84+Expenses!G84</f>
        <v>38777</v>
      </c>
      <c r="H86" s="240">
        <f>Expenses!D84+Expenses!H84</f>
        <v>37754</v>
      </c>
      <c r="I86" s="202">
        <f t="shared" ref="I86:I92" si="36">G86-H86</f>
        <v>1023</v>
      </c>
      <c r="J86" s="9"/>
      <c r="K86" s="202">
        <f>CapChrg!C83</f>
        <v>0</v>
      </c>
      <c r="L86" s="202">
        <f>CapChrg!D83</f>
        <v>0</v>
      </c>
      <c r="M86" s="293">
        <f>K86-L86</f>
        <v>0</v>
      </c>
      <c r="N86" s="203"/>
      <c r="O86" s="201">
        <f t="shared" ref="O86:P89" si="37">C86-G86-K86</f>
        <v>-38777</v>
      </c>
      <c r="P86" s="202">
        <f t="shared" si="37"/>
        <v>-37754</v>
      </c>
      <c r="Q86" s="198">
        <f>O86-P86</f>
        <v>-1023</v>
      </c>
    </row>
    <row r="87" spans="1:17" s="33" customFormat="1" ht="12" customHeight="1" x14ac:dyDescent="0.2">
      <c r="A87" s="181" t="s">
        <v>120</v>
      </c>
      <c r="B87" s="9"/>
      <c r="C87" s="30">
        <f>GrossMargin!I67</f>
        <v>25441</v>
      </c>
      <c r="D87" s="240">
        <f>GrossMargin!M67</f>
        <v>32910</v>
      </c>
      <c r="E87" s="294">
        <f>-D87+C87</f>
        <v>-7469</v>
      </c>
      <c r="F87" s="23"/>
      <c r="G87" s="240">
        <f>Expenses!C85+Expenses!G85</f>
        <v>3060</v>
      </c>
      <c r="H87" s="240">
        <f>Expenses!D85+Expenses!H85</f>
        <v>3060</v>
      </c>
      <c r="I87" s="202">
        <f t="shared" si="36"/>
        <v>0</v>
      </c>
      <c r="J87" s="9"/>
      <c r="K87" s="202">
        <f>CapChrg!C84</f>
        <v>0</v>
      </c>
      <c r="L87" s="202">
        <f>CapChrg!D84</f>
        <v>0</v>
      </c>
      <c r="M87" s="293">
        <f>K87-L87</f>
        <v>0</v>
      </c>
      <c r="N87" s="203"/>
      <c r="O87" s="201">
        <f t="shared" si="37"/>
        <v>22381</v>
      </c>
      <c r="P87" s="202">
        <f t="shared" si="37"/>
        <v>29850</v>
      </c>
      <c r="Q87" s="198">
        <f>O87-P87</f>
        <v>-7469</v>
      </c>
    </row>
    <row r="88" spans="1:17" s="33" customFormat="1" ht="12" customHeight="1" x14ac:dyDescent="0.2">
      <c r="A88" s="181" t="s">
        <v>116</v>
      </c>
      <c r="B88" s="9"/>
      <c r="C88" s="202">
        <f>GrossMargin!I68</f>
        <v>-17124</v>
      </c>
      <c r="D88" s="202">
        <f>GrossMargin!M68</f>
        <v>-13000</v>
      </c>
      <c r="E88" s="294">
        <f>-D88+C88</f>
        <v>-4124</v>
      </c>
      <c r="F88" s="23"/>
      <c r="G88" s="240">
        <v>0</v>
      </c>
      <c r="H88" s="240">
        <v>0</v>
      </c>
      <c r="I88" s="202">
        <f t="shared" si="36"/>
        <v>0</v>
      </c>
      <c r="J88" s="9"/>
      <c r="K88" s="202">
        <v>0</v>
      </c>
      <c r="L88" s="202">
        <v>0</v>
      </c>
      <c r="M88" s="293">
        <f>K88-L88</f>
        <v>0</v>
      </c>
      <c r="N88" s="203"/>
      <c r="O88" s="201">
        <f>C88-G88-K88</f>
        <v>-17124</v>
      </c>
      <c r="P88" s="202">
        <f>D88-H88-L88</f>
        <v>-13000</v>
      </c>
      <c r="Q88" s="198">
        <f>O88-P88</f>
        <v>-4124</v>
      </c>
    </row>
    <row r="89" spans="1:17" ht="12" customHeight="1" thickBot="1" x14ac:dyDescent="0.25">
      <c r="A89" s="29" t="s">
        <v>115</v>
      </c>
      <c r="B89" s="9"/>
      <c r="C89" s="202">
        <f>2902+2871</f>
        <v>5773</v>
      </c>
      <c r="D89" s="202">
        <v>0</v>
      </c>
      <c r="E89" s="294">
        <f>-D89+C89</f>
        <v>5773</v>
      </c>
      <c r="F89" s="23"/>
      <c r="G89" s="202">
        <v>0</v>
      </c>
      <c r="H89" s="202">
        <v>0</v>
      </c>
      <c r="I89" s="202">
        <f t="shared" si="36"/>
        <v>0</v>
      </c>
      <c r="J89" s="9"/>
      <c r="K89" s="240">
        <f>CapChrg!C70</f>
        <v>-84682</v>
      </c>
      <c r="L89" s="240">
        <f>CapChrg!D70</f>
        <v>-103799</v>
      </c>
      <c r="M89" s="293">
        <f>K89-L89</f>
        <v>19117</v>
      </c>
      <c r="N89" s="203"/>
      <c r="O89" s="201">
        <f t="shared" si="37"/>
        <v>90455</v>
      </c>
      <c r="P89" s="202">
        <f t="shared" si="37"/>
        <v>103799</v>
      </c>
      <c r="Q89" s="198">
        <f>O89-P89</f>
        <v>-13344</v>
      </c>
    </row>
    <row r="90" spans="1:17" s="157" customFormat="1" ht="12" customHeight="1" thickBot="1" x14ac:dyDescent="0.25">
      <c r="A90" s="25" t="s">
        <v>141</v>
      </c>
      <c r="B90" s="303"/>
      <c r="C90" s="310">
        <f>C69+C85+C86+C87+C88+C89</f>
        <v>650782</v>
      </c>
      <c r="D90" s="310">
        <f>D69+D85+D86+D87+D88+D89</f>
        <v>517545</v>
      </c>
      <c r="E90" s="310">
        <f>E69+E85+E86+E87+E88+E89</f>
        <v>133237</v>
      </c>
      <c r="F90" s="156"/>
      <c r="G90" s="310">
        <f>G69+G85+G86+G87+G88+G89</f>
        <v>258974</v>
      </c>
      <c r="H90" s="310">
        <f>H69+H85+H86+H87+H88+H89</f>
        <v>244932</v>
      </c>
      <c r="I90" s="310">
        <f>I69+I85+I86+I87+I88+I89</f>
        <v>14042</v>
      </c>
      <c r="J90" s="15"/>
      <c r="K90" s="310">
        <f>K69+K85+K86+K87+K88+K89</f>
        <v>0</v>
      </c>
      <c r="L90" s="310">
        <f>L69+L85+L86+L87+L88+L89</f>
        <v>0</v>
      </c>
      <c r="M90" s="310">
        <f>M69+M85+M86+M87+M88+M89</f>
        <v>0</v>
      </c>
      <c r="N90" s="15"/>
      <c r="O90" s="317">
        <f>O69+O85+O86+O87+O88+O89</f>
        <v>391808</v>
      </c>
      <c r="P90" s="318">
        <f>P69+P85+P86+P87+P88+P89</f>
        <v>272613</v>
      </c>
      <c r="Q90" s="319">
        <f>Q69+Q85+Q86+Q87+Q88+Q89</f>
        <v>119195</v>
      </c>
    </row>
    <row r="91" spans="1:17" ht="12.75" customHeight="1" thickBot="1" x14ac:dyDescent="0.25">
      <c r="A91" s="29" t="s">
        <v>15</v>
      </c>
      <c r="B91" s="9"/>
      <c r="C91" s="30">
        <v>0</v>
      </c>
      <c r="D91" s="31">
        <v>0</v>
      </c>
      <c r="E91" s="32">
        <f>D91-C91</f>
        <v>0</v>
      </c>
      <c r="F91" s="23"/>
      <c r="G91" s="208">
        <f>Expenses!C87</f>
        <v>6625</v>
      </c>
      <c r="H91" s="210">
        <f>Expenses!D87</f>
        <v>25828</v>
      </c>
      <c r="I91" s="202">
        <f t="shared" si="36"/>
        <v>-19203</v>
      </c>
      <c r="J91" s="9"/>
      <c r="K91" s="210">
        <v>0</v>
      </c>
      <c r="L91" s="210">
        <f>CapChrg!E72</f>
        <v>0</v>
      </c>
      <c r="M91" s="198">
        <v>0</v>
      </c>
      <c r="N91" s="203"/>
      <c r="O91" s="314">
        <f>C91-G91-K91</f>
        <v>-6625</v>
      </c>
      <c r="P91" s="315">
        <f>D91-H91-L91</f>
        <v>-25828</v>
      </c>
      <c r="Q91" s="316">
        <f>O91-P91</f>
        <v>19203</v>
      </c>
    </row>
    <row r="92" spans="1:17" s="157" customFormat="1" ht="12" customHeight="1" thickBot="1" x14ac:dyDescent="0.3">
      <c r="A92" s="35" t="s">
        <v>142</v>
      </c>
      <c r="B92" s="158"/>
      <c r="C92" s="36">
        <f>SUM(C90:C91)</f>
        <v>650782</v>
      </c>
      <c r="D92" s="37">
        <f>SUM(D90:D91)</f>
        <v>517545</v>
      </c>
      <c r="E92" s="51">
        <f>SUM(E90:E91)</f>
        <v>133237</v>
      </c>
      <c r="F92" s="159"/>
      <c r="G92" s="212">
        <f>SUM(G90:G91)</f>
        <v>265599</v>
      </c>
      <c r="H92" s="213">
        <f>SUM(H90:H91)</f>
        <v>270760</v>
      </c>
      <c r="I92" s="213">
        <f t="shared" si="36"/>
        <v>-5161</v>
      </c>
      <c r="J92" s="159"/>
      <c r="K92" s="212">
        <f>SUM(K90:K91)</f>
        <v>0</v>
      </c>
      <c r="L92" s="213">
        <f>SUM(L90:L91)</f>
        <v>0</v>
      </c>
      <c r="M92" s="214">
        <f>SUM(M90:M91)</f>
        <v>0</v>
      </c>
      <c r="N92" s="215"/>
      <c r="O92" s="311">
        <f>SUM(O90:O91)</f>
        <v>385183</v>
      </c>
      <c r="P92" s="312">
        <f>SUM(P90:P91)</f>
        <v>246785</v>
      </c>
      <c r="Q92" s="313">
        <f>SUM(Q90:Q91)</f>
        <v>138398</v>
      </c>
    </row>
    <row r="93" spans="1:17" ht="3" customHeight="1" x14ac:dyDescent="0.3">
      <c r="A93" s="38"/>
      <c r="C93" s="39"/>
      <c r="D93" s="40"/>
      <c r="E93" s="38"/>
      <c r="F93" s="41"/>
    </row>
    <row r="94" spans="1:17" x14ac:dyDescent="0.2">
      <c r="A94" s="43"/>
      <c r="C94" s="41"/>
      <c r="D94" s="40"/>
      <c r="E94" s="41"/>
      <c r="F94" s="41"/>
    </row>
    <row r="95" spans="1:17" ht="13.5" hidden="1" customHeight="1" x14ac:dyDescent="0.2">
      <c r="A95" s="42"/>
      <c r="D95" s="44"/>
      <c r="E95" s="44"/>
      <c r="F95" s="44"/>
      <c r="G95" s="217"/>
      <c r="H95" s="217"/>
      <c r="I95" s="217"/>
      <c r="J95" s="217"/>
      <c r="K95" s="217"/>
      <c r="L95" s="217"/>
      <c r="M95" s="217"/>
      <c r="P95" s="302"/>
    </row>
    <row r="96" spans="1:17" ht="13.5" hidden="1" customHeight="1" x14ac:dyDescent="0.2">
      <c r="A96" s="42"/>
      <c r="C96" s="306"/>
      <c r="D96" s="307"/>
      <c r="E96" s="44"/>
      <c r="F96" s="44"/>
      <c r="G96" s="217"/>
      <c r="H96" s="217"/>
      <c r="I96" s="217"/>
      <c r="J96" s="217"/>
      <c r="K96" s="217"/>
      <c r="L96" s="217"/>
      <c r="M96" s="217"/>
    </row>
    <row r="97" spans="1:13" ht="13.8" hidden="1" x14ac:dyDescent="0.3">
      <c r="C97" s="343" t="s">
        <v>111</v>
      </c>
      <c r="D97" s="344"/>
      <c r="E97" s="345"/>
      <c r="G97" s="218" t="s">
        <v>112</v>
      </c>
      <c r="H97" s="219"/>
      <c r="I97" s="219"/>
      <c r="J97" s="219"/>
      <c r="K97" s="219"/>
      <c r="L97" s="219"/>
      <c r="M97" s="219"/>
    </row>
    <row r="98" spans="1:13" hidden="1" x14ac:dyDescent="0.2">
      <c r="C98" s="68" t="s">
        <v>87</v>
      </c>
      <c r="D98" s="69"/>
      <c r="E98" s="70">
        <v>0</v>
      </c>
      <c r="G98" s="220" t="s">
        <v>88</v>
      </c>
      <c r="H98" s="221"/>
      <c r="I98" s="221"/>
      <c r="J98" s="221"/>
      <c r="K98" s="221"/>
      <c r="L98" s="221"/>
      <c r="M98" s="222">
        <v>0</v>
      </c>
    </row>
    <row r="99" spans="1:13" hidden="1" x14ac:dyDescent="0.2">
      <c r="C99" s="68" t="s">
        <v>89</v>
      </c>
      <c r="D99" s="69"/>
      <c r="E99" s="70">
        <v>0</v>
      </c>
      <c r="G99" s="220" t="s">
        <v>90</v>
      </c>
      <c r="H99" s="221"/>
      <c r="I99" s="221"/>
      <c r="J99" s="221"/>
      <c r="K99" s="221"/>
      <c r="L99" s="221"/>
      <c r="M99" s="223">
        <v>0</v>
      </c>
    </row>
    <row r="100" spans="1:13" hidden="1" x14ac:dyDescent="0.2">
      <c r="C100" s="68" t="s">
        <v>91</v>
      </c>
      <c r="D100" s="69"/>
      <c r="E100" s="70">
        <v>0</v>
      </c>
      <c r="G100" s="220" t="s">
        <v>81</v>
      </c>
      <c r="H100" s="221"/>
      <c r="I100" s="221"/>
      <c r="J100" s="221"/>
      <c r="K100" s="221"/>
      <c r="L100" s="221"/>
      <c r="M100" s="223"/>
    </row>
    <row r="101" spans="1:13" hidden="1" x14ac:dyDescent="0.2">
      <c r="C101" s="71"/>
      <c r="D101" s="72"/>
      <c r="E101" s="73"/>
      <c r="G101" s="224"/>
      <c r="H101" s="225"/>
      <c r="I101" s="225"/>
      <c r="J101" s="225"/>
      <c r="K101" s="225"/>
      <c r="L101" s="225"/>
      <c r="M101" s="226"/>
    </row>
    <row r="102" spans="1:13" ht="13.8" hidden="1" x14ac:dyDescent="0.3">
      <c r="C102" s="74" t="s">
        <v>92</v>
      </c>
      <c r="D102" s="75"/>
      <c r="E102" s="76">
        <f>SUM(E98:E101)</f>
        <v>0</v>
      </c>
      <c r="G102" s="227" t="s">
        <v>92</v>
      </c>
      <c r="H102" s="228"/>
      <c r="I102" s="228"/>
      <c r="J102" s="228"/>
      <c r="K102" s="228"/>
      <c r="L102" s="228"/>
      <c r="M102" s="229" t="e">
        <f>+#REF!+M99+M98+#REF!</f>
        <v>#REF!</v>
      </c>
    </row>
    <row r="103" spans="1:13" hidden="1" x14ac:dyDescent="0.2"/>
    <row r="104" spans="1:13" hidden="1" x14ac:dyDescent="0.2"/>
    <row r="105" spans="1:13" ht="13.8" hidden="1" x14ac:dyDescent="0.3">
      <c r="C105" s="77" t="s">
        <v>93</v>
      </c>
      <c r="D105" s="78"/>
      <c r="E105" s="79">
        <v>0</v>
      </c>
      <c r="G105" s="249" t="s">
        <v>93</v>
      </c>
      <c r="H105" s="231"/>
      <c r="I105" s="231"/>
      <c r="J105" s="231"/>
      <c r="K105" s="231"/>
      <c r="L105" s="231"/>
      <c r="M105" s="232">
        <v>0</v>
      </c>
    </row>
    <row r="106" spans="1:13" ht="13.8" hidden="1" x14ac:dyDescent="0.3">
      <c r="C106" s="77" t="s">
        <v>94</v>
      </c>
      <c r="D106" s="77"/>
      <c r="E106" s="80">
        <v>0</v>
      </c>
      <c r="F106" s="81"/>
      <c r="G106" s="249" t="s">
        <v>94</v>
      </c>
      <c r="H106" s="230"/>
      <c r="I106" s="230"/>
      <c r="J106" s="230"/>
      <c r="K106" s="230"/>
      <c r="L106" s="230"/>
      <c r="M106" s="233">
        <v>0</v>
      </c>
    </row>
    <row r="107" spans="1:13" ht="13.8" hidden="1" x14ac:dyDescent="0.3">
      <c r="C107" s="77"/>
      <c r="D107" s="77"/>
      <c r="E107" s="82"/>
      <c r="F107" s="81"/>
      <c r="G107" s="249"/>
      <c r="H107" s="230"/>
      <c r="I107" s="230"/>
      <c r="J107" s="230"/>
      <c r="K107" s="230"/>
      <c r="L107" s="230"/>
      <c r="M107" s="234"/>
    </row>
    <row r="108" spans="1:13" ht="14.4" hidden="1" thickBot="1" x14ac:dyDescent="0.25">
      <c r="C108" s="83" t="s">
        <v>95</v>
      </c>
      <c r="D108" s="84"/>
      <c r="E108" s="85">
        <f>+E106-E105</f>
        <v>0</v>
      </c>
      <c r="F108" s="81"/>
      <c r="G108" s="235" t="s">
        <v>95</v>
      </c>
      <c r="H108" s="236"/>
      <c r="I108" s="236"/>
      <c r="J108" s="236"/>
      <c r="K108" s="236"/>
      <c r="L108" s="236"/>
      <c r="M108" s="237">
        <f>+M106-M105</f>
        <v>0</v>
      </c>
    </row>
    <row r="109" spans="1:13" ht="10.8" hidden="1" thickTop="1" x14ac:dyDescent="0.2">
      <c r="C109" s="10" t="s">
        <v>0</v>
      </c>
      <c r="D109" s="10" t="s">
        <v>139</v>
      </c>
      <c r="E109" s="10" t="s">
        <v>1</v>
      </c>
    </row>
    <row r="110" spans="1:13" hidden="1" x14ac:dyDescent="0.2">
      <c r="A110" s="10" t="s">
        <v>137</v>
      </c>
      <c r="C110" s="309">
        <f>C90/1000</f>
        <v>650.78200000000004</v>
      </c>
      <c r="D110" s="309">
        <f>G90/1000</f>
        <v>258.97399999999999</v>
      </c>
      <c r="E110" s="309">
        <f>C110-D110</f>
        <v>391.80800000000005</v>
      </c>
    </row>
    <row r="111" spans="1:13" hidden="1" x14ac:dyDescent="0.2">
      <c r="A111" s="10" t="s">
        <v>138</v>
      </c>
      <c r="C111" s="308">
        <v>9.3000000000000007</v>
      </c>
      <c r="D111" s="308">
        <v>18.7</v>
      </c>
      <c r="E111" s="308">
        <f>C111-D111</f>
        <v>-9.3999999999999986</v>
      </c>
    </row>
    <row r="112" spans="1:13" hidden="1" x14ac:dyDescent="0.2">
      <c r="C112" s="309">
        <f>SUM(C110:C111)</f>
        <v>660.08199999999999</v>
      </c>
      <c r="D112" s="309">
        <f>SUM(D110:D111)</f>
        <v>277.67399999999998</v>
      </c>
      <c r="E112" s="309">
        <f>C112-D112</f>
        <v>382.40800000000002</v>
      </c>
    </row>
    <row r="113" spans="3:16" hidden="1" x14ac:dyDescent="0.2"/>
    <row r="114" spans="3:16" hidden="1" x14ac:dyDescent="0.2"/>
    <row r="115" spans="3:16" hidden="1" x14ac:dyDescent="0.2"/>
    <row r="116" spans="3:16" hidden="1" x14ac:dyDescent="0.2"/>
    <row r="117" spans="3:16" x14ac:dyDescent="0.2">
      <c r="O117" s="302"/>
      <c r="P117" s="302"/>
    </row>
    <row r="118" spans="3:16" x14ac:dyDescent="0.2">
      <c r="C118" s="117"/>
    </row>
    <row r="121" spans="3:16" x14ac:dyDescent="0.2">
      <c r="O121" s="302"/>
    </row>
    <row r="122" spans="3:16" x14ac:dyDescent="0.2">
      <c r="O122" s="339"/>
    </row>
    <row r="123" spans="3:16" x14ac:dyDescent="0.2">
      <c r="O123" s="302"/>
    </row>
  </sheetData>
  <mergeCells count="8">
    <mergeCell ref="L2:Q2"/>
    <mergeCell ref="O6:Q7"/>
    <mergeCell ref="C6:E7"/>
    <mergeCell ref="C97:E9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ColWidth="9.109375" defaultRowHeight="10.199999999999999" x14ac:dyDescent="0.2"/>
  <cols>
    <col min="1" max="1" width="26.88671875" style="10" customWidth="1"/>
    <col min="2" max="2" width="2.109375" style="10" customWidth="1"/>
    <col min="3" max="4" width="8.6640625" style="10" customWidth="1"/>
    <col min="5" max="5" width="9.6640625" style="10" customWidth="1"/>
    <col min="6" max="11" width="8.6640625" style="10" customWidth="1"/>
    <col min="12" max="18" width="9.6640625" style="10" customWidth="1"/>
    <col min="19" max="16384" width="9.109375" style="10"/>
  </cols>
  <sheetData>
    <row r="1" spans="1:14" ht="15.6" x14ac:dyDescent="0.3">
      <c r="A1" s="362" t="s">
        <v>75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4" ht="13.8" x14ac:dyDescent="0.25">
      <c r="A2" s="363" t="s">
        <v>109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</row>
    <row r="3" spans="1:14" ht="14.4" thickBot="1" x14ac:dyDescent="0.35">
      <c r="A3" s="364" t="s">
        <v>76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N3" s="52"/>
    </row>
    <row r="4" spans="1:14" ht="3" customHeight="1" x14ac:dyDescent="0.2">
      <c r="A4" s="44"/>
      <c r="B4" s="94"/>
    </row>
    <row r="5" spans="1:14" ht="12.75" customHeight="1" x14ac:dyDescent="0.2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2.6" thickBot="1" x14ac:dyDescent="0.25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25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2" x14ac:dyDescent="0.3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3.8" thickBot="1" x14ac:dyDescent="0.35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2" x14ac:dyDescent="0.3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2" x14ac:dyDescent="0.2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2" x14ac:dyDescent="0.3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2" x14ac:dyDescent="0.2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2" x14ac:dyDescent="0.3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2" x14ac:dyDescent="0.2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8"/>
  <sheetViews>
    <sheetView workbookViewId="0">
      <pane ySplit="6" topLeftCell="A7" activePane="bottomLeft" state="frozen"/>
      <selection activeCell="A71" sqref="A71:I71"/>
      <selection pane="bottomLeft" activeCell="A7" sqref="A7"/>
    </sheetView>
  </sheetViews>
  <sheetFormatPr defaultColWidth="9.109375" defaultRowHeight="10.199999999999999" x14ac:dyDescent="0.2"/>
  <cols>
    <col min="1" max="1" width="27.44140625" style="10" customWidth="1"/>
    <col min="2" max="2" width="2.109375" style="10" customWidth="1"/>
    <col min="3" max="5" width="8.6640625" style="10" customWidth="1"/>
    <col min="6" max="6" width="9.6640625" style="10" customWidth="1"/>
    <col min="7" max="14" width="8.6640625" style="10" customWidth="1"/>
    <col min="15" max="19" width="9.6640625" style="10" customWidth="1"/>
    <col min="20" max="16384" width="9.109375" style="10"/>
  </cols>
  <sheetData>
    <row r="1" spans="1:15" ht="15.6" x14ac:dyDescent="0.3">
      <c r="A1" s="362" t="s">
        <v>75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</row>
    <row r="2" spans="1:15" ht="13.8" x14ac:dyDescent="0.25">
      <c r="A2" s="363" t="s">
        <v>143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</row>
    <row r="3" spans="1:15" ht="13.8" x14ac:dyDescent="0.3">
      <c r="A3" s="16"/>
      <c r="B3" s="322"/>
      <c r="C3" s="322"/>
      <c r="D3" s="322"/>
      <c r="E3" s="322"/>
      <c r="F3" s="322"/>
      <c r="G3" s="322" t="str">
        <f>'QTD Mgmt Summary'!Q3</f>
        <v>Results based on activity through May 18, 2001</v>
      </c>
      <c r="H3" s="322"/>
      <c r="I3" s="322"/>
      <c r="J3" s="322"/>
      <c r="K3" s="322"/>
      <c r="L3" s="322"/>
      <c r="M3" s="322"/>
      <c r="N3" s="322"/>
      <c r="O3" s="52"/>
    </row>
    <row r="4" spans="1:15" ht="12.75" customHeight="1" x14ac:dyDescent="0.2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0.8" thickBot="1" x14ac:dyDescent="0.25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25">
      <c r="A7" s="53"/>
      <c r="B7" s="93"/>
      <c r="C7" s="44"/>
      <c r="D7" s="44"/>
      <c r="E7" s="44"/>
      <c r="F7" s="44"/>
      <c r="G7" s="44"/>
      <c r="H7" s="44"/>
      <c r="I7" s="320"/>
      <c r="J7" s="53"/>
      <c r="K7" s="54"/>
      <c r="L7" s="55"/>
      <c r="M7" s="44"/>
      <c r="N7" s="63"/>
    </row>
    <row r="8" spans="1:15" s="18" customFormat="1" x14ac:dyDescent="0.2">
      <c r="A8" s="11" t="str">
        <f>'QTD Mgmt Summary'!A10</f>
        <v xml:space="preserve">    ERCOT (Smith/Tingleaf)</v>
      </c>
      <c r="B8" s="90"/>
      <c r="C8" s="154">
        <v>688</v>
      </c>
      <c r="D8" s="172">
        <v>0</v>
      </c>
      <c r="E8" s="328">
        <v>2012</v>
      </c>
      <c r="F8" s="172">
        <v>0</v>
      </c>
      <c r="G8" s="172">
        <v>0</v>
      </c>
      <c r="H8" s="172">
        <v>0</v>
      </c>
      <c r="I8" s="321">
        <f>SUM(C8:H8)</f>
        <v>2700</v>
      </c>
      <c r="J8" s="154">
        <v>0</v>
      </c>
      <c r="K8" s="172">
        <v>0</v>
      </c>
      <c r="L8" s="173">
        <f>SUM(I8:K8)</f>
        <v>2700</v>
      </c>
      <c r="M8" s="109">
        <f>35000/4</f>
        <v>8750</v>
      </c>
      <c r="N8" s="170">
        <f>L8-M8</f>
        <v>-6050</v>
      </c>
    </row>
    <row r="9" spans="1:15" s="18" customFormat="1" x14ac:dyDescent="0.2">
      <c r="A9" s="11" t="str">
        <f>'QTD Mgmt Summary'!A11</f>
        <v xml:space="preserve">    Southeast (Herndon/Kroll)</v>
      </c>
      <c r="B9" s="90"/>
      <c r="C9" s="22">
        <v>-1458</v>
      </c>
      <c r="D9" s="40">
        <v>0</v>
      </c>
      <c r="E9" s="65">
        <v>222</v>
      </c>
      <c r="F9" s="40">
        <v>0</v>
      </c>
      <c r="G9" s="40">
        <v>0</v>
      </c>
      <c r="H9" s="40">
        <v>-50</v>
      </c>
      <c r="I9" s="321">
        <f t="shared" ref="I9:I16" si="0">SUM(C9:H9)</f>
        <v>-1286</v>
      </c>
      <c r="J9" s="22">
        <v>0</v>
      </c>
      <c r="K9" s="40">
        <v>0</v>
      </c>
      <c r="L9" s="173">
        <f t="shared" ref="L9:L15" si="1">SUM(I9:K9)</f>
        <v>-1286</v>
      </c>
      <c r="M9" s="101">
        <f>80000/4</f>
        <v>20000</v>
      </c>
      <c r="N9" s="171">
        <f>L9-M9</f>
        <v>-21286</v>
      </c>
    </row>
    <row r="10" spans="1:15" x14ac:dyDescent="0.2">
      <c r="A10" s="11" t="str">
        <f>'QTD Mgmt Summary'!A12</f>
        <v xml:space="preserve">    Midwest (Sturm/Baughman)</v>
      </c>
      <c r="B10" s="16"/>
      <c r="C10" s="22">
        <v>60773</v>
      </c>
      <c r="D10" s="40">
        <v>0</v>
      </c>
      <c r="E10" s="65">
        <v>870</v>
      </c>
      <c r="F10" s="40">
        <v>0</v>
      </c>
      <c r="G10" s="40">
        <v>0</v>
      </c>
      <c r="H10" s="40">
        <v>0</v>
      </c>
      <c r="I10" s="321">
        <f t="shared" si="0"/>
        <v>61643</v>
      </c>
      <c r="J10" s="22">
        <v>0</v>
      </c>
      <c r="K10" s="40">
        <v>0</v>
      </c>
      <c r="L10" s="173">
        <f t="shared" si="1"/>
        <v>61643</v>
      </c>
      <c r="M10" s="101">
        <f>80000/4</f>
        <v>20000</v>
      </c>
      <c r="N10" s="70">
        <f t="shared" ref="N10:N18" si="2">L10-M10</f>
        <v>41643</v>
      </c>
    </row>
    <row r="11" spans="1:15" x14ac:dyDescent="0.2">
      <c r="A11" s="11" t="str">
        <f>'QTD Mgmt Summary'!A13</f>
        <v xml:space="preserve">    Northeast (Davis)</v>
      </c>
      <c r="B11" s="16"/>
      <c r="C11" s="22">
        <v>60980</v>
      </c>
      <c r="D11" s="40">
        <v>0</v>
      </c>
      <c r="E11" s="65">
        <v>-502</v>
      </c>
      <c r="F11" s="40">
        <v>0</v>
      </c>
      <c r="G11" s="40">
        <v>0</v>
      </c>
      <c r="H11" s="40">
        <v>0</v>
      </c>
      <c r="I11" s="321">
        <f t="shared" si="0"/>
        <v>60478</v>
      </c>
      <c r="J11" s="22">
        <v>0</v>
      </c>
      <c r="K11" s="40">
        <v>0</v>
      </c>
      <c r="L11" s="173">
        <f t="shared" si="1"/>
        <v>60478</v>
      </c>
      <c r="M11" s="101">
        <f>80000/4</f>
        <v>20000</v>
      </c>
      <c r="N11" s="70">
        <f t="shared" si="2"/>
        <v>40478</v>
      </c>
    </row>
    <row r="12" spans="1:15" x14ac:dyDescent="0.2">
      <c r="A12" s="11" t="str">
        <f>'QTD Mgmt Summary'!A14</f>
        <v xml:space="preserve">    Management Book (Presto)</v>
      </c>
      <c r="B12" s="16"/>
      <c r="C12" s="22">
        <v>20505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1">
        <f t="shared" si="0"/>
        <v>20505</v>
      </c>
      <c r="J12" s="22">
        <v>0</v>
      </c>
      <c r="K12" s="40">
        <v>0</v>
      </c>
      <c r="L12" s="173">
        <f t="shared" si="1"/>
        <v>20505</v>
      </c>
      <c r="M12" s="101">
        <f>25000/4</f>
        <v>6250</v>
      </c>
      <c r="N12" s="70">
        <f t="shared" si="2"/>
        <v>14255</v>
      </c>
    </row>
    <row r="13" spans="1:15" x14ac:dyDescent="0.2">
      <c r="A13" s="11" t="str">
        <f>'QTD Mgmt Summary'!A15</f>
        <v xml:space="preserve">    Options (Arrora)</v>
      </c>
      <c r="B13" s="16"/>
      <c r="C13" s="22">
        <v>4743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1">
        <f t="shared" si="0"/>
        <v>4743</v>
      </c>
      <c r="J13" s="22"/>
      <c r="K13" s="40"/>
      <c r="L13" s="173">
        <f t="shared" si="1"/>
        <v>4743</v>
      </c>
      <c r="M13" s="101">
        <v>0</v>
      </c>
      <c r="N13" s="70">
        <f t="shared" si="2"/>
        <v>4743</v>
      </c>
    </row>
    <row r="14" spans="1:15" x14ac:dyDescent="0.2">
      <c r="A14" s="11" t="str">
        <f>'QTD Mgmt Summary'!A16</f>
        <v xml:space="preserve">    Services (Will)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1">
        <f t="shared" si="0"/>
        <v>0</v>
      </c>
      <c r="J14" s="22"/>
      <c r="K14" s="40"/>
      <c r="L14" s="173">
        <f t="shared" si="1"/>
        <v>0</v>
      </c>
      <c r="M14" s="101">
        <v>0</v>
      </c>
      <c r="N14" s="70">
        <f t="shared" si="2"/>
        <v>0</v>
      </c>
    </row>
    <row r="15" spans="1:15" x14ac:dyDescent="0.2">
      <c r="A15" s="11" t="str">
        <f>'QTD Mgmt Summary'!A17</f>
        <v xml:space="preserve">    New Albany (Presto)   </v>
      </c>
      <c r="B15" s="16"/>
      <c r="C15" s="22">
        <v>-2640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1">
        <f t="shared" si="0"/>
        <v>-2640</v>
      </c>
      <c r="J15" s="22">
        <v>0</v>
      </c>
      <c r="K15" s="40">
        <v>0</v>
      </c>
      <c r="L15" s="173">
        <f t="shared" si="1"/>
        <v>-2640</v>
      </c>
      <c r="M15" s="101">
        <f>-2050-2950</f>
        <v>-5000</v>
      </c>
      <c r="N15" s="70">
        <f t="shared" si="2"/>
        <v>2360</v>
      </c>
    </row>
    <row r="16" spans="1:15" x14ac:dyDescent="0.2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v>4763</v>
      </c>
      <c r="I16" s="321">
        <f t="shared" si="0"/>
        <v>4763</v>
      </c>
      <c r="J16" s="22">
        <v>0</v>
      </c>
      <c r="K16" s="40">
        <v>0</v>
      </c>
      <c r="L16" s="173">
        <f>SUM(I16:K16)</f>
        <v>4763</v>
      </c>
      <c r="M16" s="101">
        <f>24000/4</f>
        <v>6000</v>
      </c>
      <c r="N16" s="70">
        <f t="shared" si="2"/>
        <v>-1237</v>
      </c>
    </row>
    <row r="17" spans="1:14" x14ac:dyDescent="0.2">
      <c r="A17" s="11" t="str">
        <f>'QTD Mgmt Summary'!A19</f>
        <v xml:space="preserve">    Structuring (Meyn)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321">
        <f>SUM(C17:H17)</f>
        <v>0</v>
      </c>
      <c r="J17" s="22">
        <v>0</v>
      </c>
      <c r="K17" s="40">
        <v>0</v>
      </c>
      <c r="L17" s="173">
        <f>SUM(I17:K17)</f>
        <v>0</v>
      </c>
      <c r="M17" s="101">
        <f>0/4</f>
        <v>0</v>
      </c>
      <c r="N17" s="70">
        <f t="shared" si="2"/>
        <v>0</v>
      </c>
    </row>
    <row r="18" spans="1:14" x14ac:dyDescent="0.2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1">
        <f>SUM(C18:H18)</f>
        <v>0</v>
      </c>
      <c r="J18" s="336">
        <v>0</v>
      </c>
      <c r="K18" s="337">
        <v>0</v>
      </c>
      <c r="L18" s="338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2" x14ac:dyDescent="0.3">
      <c r="A19" s="96" t="s">
        <v>7</v>
      </c>
      <c r="B19" s="114"/>
      <c r="C19" s="104">
        <f t="shared" ref="C19:N19" si="3">SUM(C8:C18)</f>
        <v>143591</v>
      </c>
      <c r="D19" s="104">
        <f t="shared" si="3"/>
        <v>0</v>
      </c>
      <c r="E19" s="104">
        <f t="shared" si="3"/>
        <v>2602</v>
      </c>
      <c r="F19" s="104">
        <f t="shared" si="3"/>
        <v>0</v>
      </c>
      <c r="G19" s="104">
        <f t="shared" si="3"/>
        <v>0</v>
      </c>
      <c r="H19" s="104">
        <f t="shared" si="3"/>
        <v>4713</v>
      </c>
      <c r="I19" s="89">
        <f t="shared" si="3"/>
        <v>150906</v>
      </c>
      <c r="J19" s="335">
        <f t="shared" si="3"/>
        <v>0</v>
      </c>
      <c r="K19" s="335">
        <f t="shared" si="3"/>
        <v>0</v>
      </c>
      <c r="L19" s="334">
        <f t="shared" si="3"/>
        <v>150906</v>
      </c>
      <c r="M19" s="252">
        <f t="shared" si="3"/>
        <v>76000</v>
      </c>
      <c r="N19" s="88">
        <f t="shared" si="3"/>
        <v>74906</v>
      </c>
    </row>
    <row r="20" spans="1:14" ht="6" customHeight="1" x14ac:dyDescent="0.2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12710</v>
      </c>
      <c r="F21" s="40">
        <v>0</v>
      </c>
      <c r="G21" s="40">
        <v>0</v>
      </c>
      <c r="H21" s="40">
        <v>0</v>
      </c>
      <c r="I21" s="22">
        <f t="shared" ref="I21:I26" si="4">SUM(C21:H21)</f>
        <v>12710</v>
      </c>
      <c r="J21" s="22">
        <v>0</v>
      </c>
      <c r="K21" s="40">
        <v>0</v>
      </c>
      <c r="L21" s="64">
        <f t="shared" ref="L21:L26" si="5">SUM(I21:K21)</f>
        <v>12710</v>
      </c>
      <c r="M21" s="101">
        <v>12000</v>
      </c>
      <c r="N21" s="70">
        <f t="shared" ref="N21:N26" si="6">L21-M21</f>
        <v>710</v>
      </c>
    </row>
    <row r="22" spans="1:14" x14ac:dyDescent="0.2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7000</v>
      </c>
      <c r="F22" s="40">
        <v>0</v>
      </c>
      <c r="G22" s="40">
        <v>-5300</v>
      </c>
      <c r="H22" s="40">
        <v>0</v>
      </c>
      <c r="I22" s="22">
        <f t="shared" si="4"/>
        <v>1700</v>
      </c>
      <c r="J22" s="22">
        <v>0</v>
      </c>
      <c r="K22" s="40">
        <v>0</v>
      </c>
      <c r="L22" s="64">
        <f t="shared" si="5"/>
        <v>1700</v>
      </c>
      <c r="M22" s="101">
        <v>10000</v>
      </c>
      <c r="N22" s="70">
        <f t="shared" si="6"/>
        <v>-8300</v>
      </c>
    </row>
    <row r="23" spans="1:14" x14ac:dyDescent="0.2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36360</v>
      </c>
      <c r="F23" s="40">
        <v>536</v>
      </c>
      <c r="G23" s="40">
        <v>0</v>
      </c>
      <c r="H23" s="40">
        <v>-1000</v>
      </c>
      <c r="I23" s="22">
        <f t="shared" si="4"/>
        <v>35896</v>
      </c>
      <c r="J23" s="22">
        <v>0</v>
      </c>
      <c r="K23" s="40">
        <v>0</v>
      </c>
      <c r="L23" s="64">
        <f t="shared" si="5"/>
        <v>35896</v>
      </c>
      <c r="M23" s="101">
        <v>6000</v>
      </c>
      <c r="N23" s="70">
        <f t="shared" si="6"/>
        <v>29896</v>
      </c>
    </row>
    <row r="24" spans="1:14" x14ac:dyDescent="0.2">
      <c r="A24" s="11" t="str">
        <f>'QTD Mgmt Summary'!A26</f>
        <v xml:space="preserve">    Trading (Belden)</v>
      </c>
      <c r="B24" s="16"/>
      <c r="C24" s="22">
        <v>102672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102672</v>
      </c>
      <c r="J24" s="22">
        <v>0</v>
      </c>
      <c r="K24" s="40">
        <v>0</v>
      </c>
      <c r="L24" s="64">
        <f t="shared" si="5"/>
        <v>102672</v>
      </c>
      <c r="M24" s="101">
        <v>62499</v>
      </c>
      <c r="N24" s="70">
        <f t="shared" si="6"/>
        <v>40173</v>
      </c>
    </row>
    <row r="25" spans="1:14" x14ac:dyDescent="0.2">
      <c r="A25" s="11" t="str">
        <f>'QTD Mgmt Summary'!A27</f>
        <v xml:space="preserve">    Middle Market/Services (Foster/Wolfe)</v>
      </c>
      <c r="B25" s="16"/>
      <c r="C25" s="22">
        <v>0</v>
      </c>
      <c r="D25" s="40">
        <v>16400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16400</v>
      </c>
      <c r="J25" s="22">
        <v>0</v>
      </c>
      <c r="K25" s="40">
        <v>0</v>
      </c>
      <c r="L25" s="64">
        <f t="shared" si="5"/>
        <v>16400</v>
      </c>
      <c r="M25" s="101">
        <v>12499</v>
      </c>
      <c r="N25" s="70">
        <f t="shared" si="6"/>
        <v>3901</v>
      </c>
    </row>
    <row r="26" spans="1:14" x14ac:dyDescent="0.2">
      <c r="A26" s="11" t="str">
        <f>'QTD Mgmt Summary'!A28</f>
        <v xml:space="preserve">    Fundamentals (Heizenreiker)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3.8" thickBot="1" x14ac:dyDescent="0.35">
      <c r="A27" s="25" t="s">
        <v>8</v>
      </c>
      <c r="B27" s="112"/>
      <c r="C27" s="104">
        <f t="shared" ref="C27:N27" si="7">SUM(C21:C26)</f>
        <v>102672</v>
      </c>
      <c r="D27" s="104">
        <f t="shared" si="7"/>
        <v>16400</v>
      </c>
      <c r="E27" s="104">
        <f t="shared" si="7"/>
        <v>56070</v>
      </c>
      <c r="F27" s="104">
        <f t="shared" si="7"/>
        <v>536</v>
      </c>
      <c r="G27" s="104">
        <f t="shared" si="7"/>
        <v>-5300</v>
      </c>
      <c r="H27" s="104">
        <f t="shared" si="7"/>
        <v>-1000</v>
      </c>
      <c r="I27" s="89">
        <f t="shared" si="7"/>
        <v>169378</v>
      </c>
      <c r="J27" s="87">
        <f t="shared" si="7"/>
        <v>0</v>
      </c>
      <c r="K27" s="87">
        <f t="shared" si="7"/>
        <v>0</v>
      </c>
      <c r="L27" s="88">
        <f t="shared" si="7"/>
        <v>169378</v>
      </c>
      <c r="M27" s="252">
        <f t="shared" si="7"/>
        <v>102998</v>
      </c>
      <c r="N27" s="88">
        <f t="shared" si="7"/>
        <v>66380</v>
      </c>
    </row>
    <row r="28" spans="1:14" ht="9.75" customHeight="1" x14ac:dyDescent="0.2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">
      <c r="A29" s="11" t="s">
        <v>34</v>
      </c>
      <c r="B29" s="9"/>
      <c r="C29" s="40">
        <v>-402396</v>
      </c>
      <c r="D29" s="40">
        <v>30799</v>
      </c>
      <c r="E29" s="40">
        <v>0</v>
      </c>
      <c r="F29" s="40">
        <v>0</v>
      </c>
      <c r="G29" s="40">
        <v>0</v>
      </c>
      <c r="H29" s="40">
        <v>0</v>
      </c>
      <c r="I29" s="326">
        <f t="shared" ref="I29:I36" si="8">SUM(C29:H29)</f>
        <v>-371597</v>
      </c>
      <c r="J29" s="40">
        <v>0</v>
      </c>
      <c r="K29" s="40">
        <v>0</v>
      </c>
      <c r="L29" s="64">
        <f t="shared" ref="L29:L36" si="9">SUM(I29:K29)</f>
        <v>-371597</v>
      </c>
      <c r="M29" s="101">
        <v>31500</v>
      </c>
      <c r="N29" s="70">
        <f t="shared" ref="N29:N36" si="10">L29-M29</f>
        <v>-403097</v>
      </c>
    </row>
    <row r="30" spans="1:14" x14ac:dyDescent="0.2">
      <c r="A30" s="11" t="s">
        <v>136</v>
      </c>
      <c r="B30" s="9"/>
      <c r="C30" s="65">
        <v>35301</v>
      </c>
      <c r="D30" s="65">
        <v>611</v>
      </c>
      <c r="E30" s="40">
        <v>0</v>
      </c>
      <c r="F30" s="40">
        <v>0</v>
      </c>
      <c r="G30" s="40">
        <v>0</v>
      </c>
      <c r="H30" s="40">
        <v>0</v>
      </c>
      <c r="I30" s="326">
        <f t="shared" si="8"/>
        <v>35912</v>
      </c>
      <c r="J30" s="40">
        <v>0</v>
      </c>
      <c r="K30" s="40">
        <v>0</v>
      </c>
      <c r="L30" s="64">
        <f t="shared" si="9"/>
        <v>35912</v>
      </c>
      <c r="M30" s="101">
        <v>19250</v>
      </c>
      <c r="N30" s="70">
        <f t="shared" si="10"/>
        <v>16662</v>
      </c>
    </row>
    <row r="31" spans="1:14" ht="13.2" x14ac:dyDescent="0.3">
      <c r="A31" s="11" t="s">
        <v>36</v>
      </c>
      <c r="B31" s="97"/>
      <c r="C31" s="65">
        <v>13541</v>
      </c>
      <c r="D31" s="65">
        <v>3286</v>
      </c>
      <c r="E31" s="65">
        <v>0</v>
      </c>
      <c r="F31" s="65">
        <v>0</v>
      </c>
      <c r="G31" s="65">
        <v>0</v>
      </c>
      <c r="H31" s="65">
        <v>0</v>
      </c>
      <c r="I31" s="326">
        <f t="shared" si="8"/>
        <v>16827</v>
      </c>
      <c r="J31" s="103">
        <v>0</v>
      </c>
      <c r="K31" s="103">
        <v>0</v>
      </c>
      <c r="L31" s="64">
        <f t="shared" si="9"/>
        <v>16827</v>
      </c>
      <c r="M31" s="101">
        <v>21000</v>
      </c>
      <c r="N31" s="70">
        <f t="shared" si="10"/>
        <v>-4173</v>
      </c>
    </row>
    <row r="32" spans="1:14" x14ac:dyDescent="0.2">
      <c r="A32" s="11" t="s">
        <v>37</v>
      </c>
      <c r="B32" s="9"/>
      <c r="C32" s="40">
        <v>29202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6">
        <f t="shared" si="8"/>
        <v>29202</v>
      </c>
      <c r="J32" s="40">
        <v>0</v>
      </c>
      <c r="K32" s="40">
        <v>0</v>
      </c>
      <c r="L32" s="64">
        <f t="shared" si="9"/>
        <v>29202</v>
      </c>
      <c r="M32" s="101">
        <v>10000</v>
      </c>
      <c r="N32" s="70">
        <f t="shared" si="10"/>
        <v>19202</v>
      </c>
    </row>
    <row r="33" spans="1:14" x14ac:dyDescent="0.2">
      <c r="A33" s="11" t="s">
        <v>38</v>
      </c>
      <c r="B33" s="9"/>
      <c r="C33" s="65">
        <v>154859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6">
        <f t="shared" si="8"/>
        <v>154859</v>
      </c>
      <c r="J33" s="65">
        <v>0</v>
      </c>
      <c r="K33" s="65">
        <v>0</v>
      </c>
      <c r="L33" s="64">
        <f t="shared" si="9"/>
        <v>154859</v>
      </c>
      <c r="M33" s="253">
        <v>31250</v>
      </c>
      <c r="N33" s="70">
        <f t="shared" si="10"/>
        <v>123609</v>
      </c>
    </row>
    <row r="34" spans="1:14" x14ac:dyDescent="0.2">
      <c r="A34" s="11" t="s">
        <v>39</v>
      </c>
      <c r="B34" s="9"/>
      <c r="C34" s="40">
        <v>0</v>
      </c>
      <c r="D34" s="40">
        <v>4983</v>
      </c>
      <c r="E34" s="40">
        <v>0</v>
      </c>
      <c r="F34" s="40">
        <v>0</v>
      </c>
      <c r="G34" s="40">
        <v>0</v>
      </c>
      <c r="H34" s="40">
        <v>0</v>
      </c>
      <c r="I34" s="326">
        <f t="shared" si="8"/>
        <v>4983</v>
      </c>
      <c r="J34" s="40">
        <v>0</v>
      </c>
      <c r="K34" s="40">
        <v>0</v>
      </c>
      <c r="L34" s="64">
        <f t="shared" si="9"/>
        <v>4983</v>
      </c>
      <c r="M34" s="101">
        <v>6250</v>
      </c>
      <c r="N34" s="70">
        <f t="shared" si="10"/>
        <v>-1267</v>
      </c>
    </row>
    <row r="35" spans="1:14" x14ac:dyDescent="0.2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">
      <c r="A37" s="11" t="s">
        <v>101</v>
      </c>
      <c r="B37" s="9"/>
      <c r="C37" s="40">
        <v>1000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1000</v>
      </c>
      <c r="J37" s="40">
        <v>0</v>
      </c>
      <c r="K37" s="40">
        <v>0</v>
      </c>
      <c r="L37" s="64">
        <f>SUM(I37:K37)</f>
        <v>1000</v>
      </c>
      <c r="M37" s="101">
        <v>0</v>
      </c>
      <c r="N37" s="70">
        <f>L37-M37</f>
        <v>1000</v>
      </c>
    </row>
    <row r="38" spans="1:14" s="42" customFormat="1" ht="13.2" x14ac:dyDescent="0.2">
      <c r="A38" s="25" t="s">
        <v>9</v>
      </c>
      <c r="B38" s="113"/>
      <c r="C38" s="104">
        <f t="shared" ref="C38:N38" si="11">SUM(C29:C37)</f>
        <v>-168493</v>
      </c>
      <c r="D38" s="104">
        <f t="shared" si="11"/>
        <v>39679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-128814</v>
      </c>
      <c r="J38" s="104">
        <f t="shared" si="11"/>
        <v>0</v>
      </c>
      <c r="K38" s="104">
        <f t="shared" si="11"/>
        <v>0</v>
      </c>
      <c r="L38" s="106">
        <f t="shared" si="11"/>
        <v>-128814</v>
      </c>
      <c r="M38" s="254">
        <f t="shared" si="11"/>
        <v>119250</v>
      </c>
      <c r="N38" s="106">
        <f t="shared" si="11"/>
        <v>-248064</v>
      </c>
    </row>
    <row r="39" spans="1:14" ht="8.25" customHeight="1" x14ac:dyDescent="0.2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">
      <c r="A40" s="11" t="s">
        <v>42</v>
      </c>
      <c r="B40" s="92"/>
      <c r="C40" s="31">
        <v>-38392</v>
      </c>
      <c r="D40" s="65">
        <v>3666</v>
      </c>
      <c r="E40" s="65">
        <v>0</v>
      </c>
      <c r="F40" s="40">
        <v>0</v>
      </c>
      <c r="G40" s="40">
        <v>0</v>
      </c>
      <c r="H40" s="40">
        <v>0</v>
      </c>
      <c r="I40" s="326">
        <f t="shared" ref="I40:I46" si="12">SUM(C40:H40)</f>
        <v>-34726</v>
      </c>
      <c r="J40" s="40">
        <v>0</v>
      </c>
      <c r="K40" s="40">
        <v>0</v>
      </c>
      <c r="L40" s="64">
        <f t="shared" ref="L40:L46" si="13">SUM(I40:K40)</f>
        <v>-34726</v>
      </c>
      <c r="M40" s="101">
        <v>12500</v>
      </c>
      <c r="N40" s="70">
        <f t="shared" ref="N40:N46" si="14">L40-M40</f>
        <v>-47226</v>
      </c>
    </row>
    <row r="41" spans="1:14" x14ac:dyDescent="0.2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60</v>
      </c>
      <c r="G41" s="40">
        <v>0</v>
      </c>
      <c r="H41" s="40">
        <v>-1130</v>
      </c>
      <c r="I41" s="98">
        <f t="shared" si="12"/>
        <v>-1070</v>
      </c>
      <c r="J41" s="40">
        <v>0</v>
      </c>
      <c r="K41" s="40">
        <v>0</v>
      </c>
      <c r="L41" s="64">
        <f t="shared" si="13"/>
        <v>-1070</v>
      </c>
      <c r="M41" s="101">
        <v>5000</v>
      </c>
      <c r="N41" s="70">
        <f t="shared" si="14"/>
        <v>-6070</v>
      </c>
    </row>
    <row r="42" spans="1:14" s="66" customFormat="1" ht="13.2" x14ac:dyDescent="0.3">
      <c r="A42" s="11" t="s">
        <v>65</v>
      </c>
      <c r="B42" s="91"/>
      <c r="C42" s="31">
        <v>-7286</v>
      </c>
      <c r="D42" s="65">
        <v>0</v>
      </c>
      <c r="E42" s="65">
        <v>2263</v>
      </c>
      <c r="F42" s="65">
        <v>0</v>
      </c>
      <c r="G42" s="40">
        <v>0</v>
      </c>
      <c r="H42" s="40">
        <v>0</v>
      </c>
      <c r="I42" s="98">
        <f t="shared" si="12"/>
        <v>-5023</v>
      </c>
      <c r="J42" s="103">
        <v>0</v>
      </c>
      <c r="K42" s="103">
        <v>0</v>
      </c>
      <c r="L42" s="64">
        <f t="shared" si="13"/>
        <v>-5023</v>
      </c>
      <c r="M42" s="101">
        <v>38750</v>
      </c>
      <c r="N42" s="70">
        <f t="shared" si="14"/>
        <v>-43773</v>
      </c>
    </row>
    <row r="43" spans="1:14" x14ac:dyDescent="0.2">
      <c r="A43" s="11" t="s">
        <v>66</v>
      </c>
      <c r="B43" s="16"/>
      <c r="C43" s="22">
        <v>0</v>
      </c>
      <c r="D43" s="40">
        <v>0</v>
      </c>
      <c r="E43" s="40">
        <v>0</v>
      </c>
      <c r="F43" s="65">
        <v>0</v>
      </c>
      <c r="G43" s="40">
        <v>0</v>
      </c>
      <c r="H43" s="40">
        <v>0</v>
      </c>
      <c r="I43" s="98">
        <f t="shared" si="12"/>
        <v>0</v>
      </c>
      <c r="J43" s="40">
        <v>0</v>
      </c>
      <c r="K43" s="40">
        <v>0</v>
      </c>
      <c r="L43" s="64">
        <f t="shared" si="13"/>
        <v>0</v>
      </c>
      <c r="M43" s="101">
        <v>12500</v>
      </c>
      <c r="N43" s="70">
        <f t="shared" si="14"/>
        <v>-12500</v>
      </c>
    </row>
    <row r="44" spans="1:14" x14ac:dyDescent="0.2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">
      <c r="A46" s="11" t="s">
        <v>135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2" x14ac:dyDescent="0.2">
      <c r="A47" s="25" t="s">
        <v>10</v>
      </c>
      <c r="B47" s="112"/>
      <c r="C47" s="104">
        <f t="shared" ref="C47:L47" si="15">SUM(C40:C46)</f>
        <v>-45678</v>
      </c>
      <c r="D47" s="104">
        <f t="shared" si="15"/>
        <v>3666</v>
      </c>
      <c r="E47" s="104">
        <f t="shared" si="15"/>
        <v>2263</v>
      </c>
      <c r="F47" s="104">
        <f t="shared" si="15"/>
        <v>60</v>
      </c>
      <c r="G47" s="104">
        <f t="shared" si="15"/>
        <v>0</v>
      </c>
      <c r="H47" s="104">
        <f t="shared" si="15"/>
        <v>-1130</v>
      </c>
      <c r="I47" s="105">
        <f t="shared" si="15"/>
        <v>-40819</v>
      </c>
      <c r="J47" s="104">
        <f t="shared" si="15"/>
        <v>0</v>
      </c>
      <c r="K47" s="104">
        <f t="shared" si="15"/>
        <v>0</v>
      </c>
      <c r="L47" s="106">
        <f t="shared" si="15"/>
        <v>-40819</v>
      </c>
      <c r="M47" s="254">
        <f>SUM(M40:M45)</f>
        <v>71250</v>
      </c>
      <c r="N47" s="106">
        <f>SUM(N40:N46)</f>
        <v>-112069</v>
      </c>
    </row>
    <row r="48" spans="1:14" ht="7.5" customHeight="1" x14ac:dyDescent="0.2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">
      <c r="A49" s="11" t="s">
        <v>74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244</v>
      </c>
      <c r="H49" s="40">
        <v>0</v>
      </c>
      <c r="I49" s="98">
        <f t="shared" ref="I49:I68" si="16">SUM(C49:H49)</f>
        <v>244</v>
      </c>
      <c r="J49" s="40">
        <v>0</v>
      </c>
      <c r="K49" s="40">
        <v>0</v>
      </c>
      <c r="L49" s="64">
        <f t="shared" ref="L49:L68" si="17">SUM(I49:K49)</f>
        <v>244</v>
      </c>
      <c r="M49" s="101">
        <v>0</v>
      </c>
      <c r="N49" s="70">
        <f t="shared" ref="N49:N68" si="18">L49-M49</f>
        <v>244</v>
      </c>
    </row>
    <row r="50" spans="1:15" x14ac:dyDescent="0.2">
      <c r="A50" s="11" t="s">
        <v>102</v>
      </c>
      <c r="B50" s="16"/>
      <c r="C50" s="31">
        <v>0</v>
      </c>
      <c r="D50" s="65">
        <v>0</v>
      </c>
      <c r="E50" s="65">
        <v>0</v>
      </c>
      <c r="F50" s="40">
        <v>0</v>
      </c>
      <c r="G50" s="40">
        <v>626</v>
      </c>
      <c r="H50" s="40">
        <v>2250</v>
      </c>
      <c r="I50" s="98">
        <f t="shared" si="16"/>
        <v>2876</v>
      </c>
      <c r="J50" s="40">
        <v>0</v>
      </c>
      <c r="K50" s="40">
        <v>0</v>
      </c>
      <c r="L50" s="64">
        <f t="shared" si="17"/>
        <v>2876</v>
      </c>
      <c r="M50" s="101">
        <v>4334</v>
      </c>
      <c r="N50" s="70">
        <f t="shared" si="18"/>
        <v>-1458</v>
      </c>
    </row>
    <row r="51" spans="1:15" ht="13.2" x14ac:dyDescent="0.3">
      <c r="A51" s="11" t="s">
        <v>103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1310</v>
      </c>
      <c r="H51" s="40">
        <v>0</v>
      </c>
      <c r="I51" s="98">
        <f t="shared" si="16"/>
        <v>719</v>
      </c>
      <c r="J51" s="116">
        <v>0</v>
      </c>
      <c r="K51" s="116">
        <v>0</v>
      </c>
      <c r="L51" s="64">
        <f t="shared" si="17"/>
        <v>719</v>
      </c>
      <c r="M51" s="101">
        <v>6181</v>
      </c>
      <c r="N51" s="70">
        <f t="shared" si="18"/>
        <v>-5462</v>
      </c>
    </row>
    <row r="52" spans="1:15" x14ac:dyDescent="0.2">
      <c r="A52" s="11" t="s">
        <v>104</v>
      </c>
      <c r="B52" s="16"/>
      <c r="C52" s="31">
        <v>0</v>
      </c>
      <c r="D52" s="65">
        <v>0</v>
      </c>
      <c r="E52" s="65">
        <v>0</v>
      </c>
      <c r="F52" s="40">
        <v>0</v>
      </c>
      <c r="G52" s="40">
        <v>0</v>
      </c>
      <c r="H52" s="40">
        <v>250</v>
      </c>
      <c r="I52" s="98">
        <f t="shared" si="16"/>
        <v>250</v>
      </c>
      <c r="J52" s="40">
        <v>0</v>
      </c>
      <c r="K52" s="40">
        <v>0</v>
      </c>
      <c r="L52" s="64">
        <f t="shared" si="17"/>
        <v>250</v>
      </c>
      <c r="M52" s="101">
        <v>2000</v>
      </c>
      <c r="N52" s="70">
        <f t="shared" si="18"/>
        <v>-1750</v>
      </c>
    </row>
    <row r="53" spans="1:15" x14ac:dyDescent="0.2">
      <c r="A53" s="11" t="s">
        <v>105</v>
      </c>
      <c r="B53" s="16"/>
      <c r="C53" s="31">
        <v>0</v>
      </c>
      <c r="D53" s="65">
        <v>0</v>
      </c>
      <c r="E53" s="65">
        <v>0</v>
      </c>
      <c r="F53" s="40">
        <v>1146</v>
      </c>
      <c r="G53" s="40">
        <v>0</v>
      </c>
      <c r="H53" s="40">
        <v>0</v>
      </c>
      <c r="I53" s="98">
        <f t="shared" si="16"/>
        <v>1146</v>
      </c>
      <c r="J53" s="41">
        <v>0</v>
      </c>
      <c r="K53" s="41">
        <v>0</v>
      </c>
      <c r="L53" s="64">
        <f t="shared" si="17"/>
        <v>1146</v>
      </c>
      <c r="M53" s="255">
        <v>1000</v>
      </c>
      <c r="N53" s="70">
        <f t="shared" si="18"/>
        <v>146</v>
      </c>
    </row>
    <row r="54" spans="1:15" x14ac:dyDescent="0.2">
      <c r="A54" s="11" t="s">
        <v>106</v>
      </c>
      <c r="B54" s="16"/>
      <c r="C54" s="327">
        <v>24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24</v>
      </c>
      <c r="J54" s="41">
        <v>0</v>
      </c>
      <c r="K54" s="41">
        <v>0</v>
      </c>
      <c r="L54" s="64">
        <f t="shared" si="17"/>
        <v>24</v>
      </c>
      <c r="M54" s="255">
        <v>500</v>
      </c>
      <c r="N54" s="70">
        <f t="shared" si="18"/>
        <v>-476</v>
      </c>
      <c r="O54" s="118"/>
    </row>
    <row r="55" spans="1:15" x14ac:dyDescent="0.2">
      <c r="A55" s="11" t="s">
        <v>69</v>
      </c>
      <c r="B55" s="16"/>
      <c r="C55" s="327">
        <v>0</v>
      </c>
      <c r="D55" s="65">
        <v>0</v>
      </c>
      <c r="E55" s="65">
        <v>0</v>
      </c>
      <c r="F55" s="41">
        <v>0</v>
      </c>
      <c r="G55" s="40">
        <v>2400</v>
      </c>
      <c r="H55" s="40">
        <v>0</v>
      </c>
      <c r="I55" s="98">
        <f t="shared" si="16"/>
        <v>2400</v>
      </c>
      <c r="J55" s="41">
        <v>0</v>
      </c>
      <c r="K55" s="41">
        <v>0</v>
      </c>
      <c r="L55" s="64">
        <f t="shared" si="17"/>
        <v>2400</v>
      </c>
      <c r="M55" s="255">
        <v>2909</v>
      </c>
      <c r="N55" s="70">
        <f t="shared" si="18"/>
        <v>-509</v>
      </c>
      <c r="O55" s="44"/>
    </row>
    <row r="56" spans="1:15" x14ac:dyDescent="0.2">
      <c r="A56" s="11" t="s">
        <v>68</v>
      </c>
      <c r="B56" s="16"/>
      <c r="C56" s="327">
        <v>0</v>
      </c>
      <c r="D56" s="65">
        <v>0</v>
      </c>
      <c r="E56" s="65">
        <v>615</v>
      </c>
      <c r="F56" s="41">
        <v>119</v>
      </c>
      <c r="G56" s="40">
        <v>8358</v>
      </c>
      <c r="H56" s="40">
        <v>0</v>
      </c>
      <c r="I56" s="98">
        <f t="shared" si="16"/>
        <v>9092</v>
      </c>
      <c r="J56" s="41">
        <v>0</v>
      </c>
      <c r="K56" s="41">
        <v>0</v>
      </c>
      <c r="L56" s="64">
        <f t="shared" si="17"/>
        <v>9092</v>
      </c>
      <c r="M56" s="255">
        <v>9445</v>
      </c>
      <c r="N56" s="70">
        <f t="shared" si="18"/>
        <v>-353</v>
      </c>
      <c r="O56" s="44"/>
    </row>
    <row r="57" spans="1:15" x14ac:dyDescent="0.2">
      <c r="A57" s="11" t="s">
        <v>67</v>
      </c>
      <c r="B57" s="16"/>
      <c r="C57" s="327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">
      <c r="A58" s="11" t="s">
        <v>46</v>
      </c>
      <c r="B58" s="16"/>
      <c r="C58" s="327">
        <v>0</v>
      </c>
      <c r="D58" s="65">
        <v>0</v>
      </c>
      <c r="E58" s="65">
        <v>433</v>
      </c>
      <c r="F58" s="41">
        <v>0</v>
      </c>
      <c r="G58" s="40">
        <v>0</v>
      </c>
      <c r="H58" s="40">
        <v>0</v>
      </c>
      <c r="I58" s="98">
        <f t="shared" si="16"/>
        <v>433</v>
      </c>
      <c r="J58" s="117">
        <v>0</v>
      </c>
      <c r="K58" s="117">
        <v>0</v>
      </c>
      <c r="L58" s="64">
        <f t="shared" si="17"/>
        <v>433</v>
      </c>
      <c r="M58" s="256">
        <v>15000</v>
      </c>
      <c r="N58" s="70">
        <f t="shared" si="18"/>
        <v>-14567</v>
      </c>
      <c r="O58" s="44"/>
    </row>
    <row r="59" spans="1:15" x14ac:dyDescent="0.2">
      <c r="A59" s="11" t="s">
        <v>47</v>
      </c>
      <c r="B59" s="16"/>
      <c r="C59" s="327">
        <v>0</v>
      </c>
      <c r="D59" s="65">
        <v>0</v>
      </c>
      <c r="E59" s="65">
        <v>0</v>
      </c>
      <c r="F59" s="117">
        <v>-2</v>
      </c>
      <c r="G59" s="40">
        <v>0</v>
      </c>
      <c r="H59" s="40">
        <v>0</v>
      </c>
      <c r="I59" s="98">
        <f t="shared" si="16"/>
        <v>-2</v>
      </c>
      <c r="J59" s="117">
        <v>0</v>
      </c>
      <c r="K59" s="117">
        <v>0</v>
      </c>
      <c r="L59" s="64">
        <f t="shared" si="17"/>
        <v>-2</v>
      </c>
      <c r="M59" s="256">
        <v>20000</v>
      </c>
      <c r="N59" s="70">
        <f t="shared" si="18"/>
        <v>-20002</v>
      </c>
      <c r="O59" s="44"/>
    </row>
    <row r="60" spans="1:15" x14ac:dyDescent="0.2">
      <c r="A60" s="11" t="s">
        <v>48</v>
      </c>
      <c r="B60" s="16"/>
      <c r="C60" s="327">
        <v>0</v>
      </c>
      <c r="D60" s="65">
        <v>0</v>
      </c>
      <c r="E60" s="65">
        <v>0</v>
      </c>
      <c r="F60" s="117">
        <v>3136</v>
      </c>
      <c r="G60" s="40">
        <v>-3077</v>
      </c>
      <c r="H60" s="40">
        <v>0</v>
      </c>
      <c r="I60" s="98">
        <f t="shared" si="16"/>
        <v>59</v>
      </c>
      <c r="J60" s="117">
        <v>0</v>
      </c>
      <c r="K60" s="117">
        <v>0</v>
      </c>
      <c r="L60" s="64">
        <f t="shared" si="17"/>
        <v>59</v>
      </c>
      <c r="M60" s="256">
        <v>15781</v>
      </c>
      <c r="N60" s="70">
        <f t="shared" si="18"/>
        <v>-15722</v>
      </c>
    </row>
    <row r="61" spans="1:15" x14ac:dyDescent="0.2">
      <c r="A61" s="11" t="s">
        <v>63</v>
      </c>
      <c r="B61" s="16"/>
      <c r="C61" s="327">
        <v>0</v>
      </c>
      <c r="D61" s="65">
        <v>0</v>
      </c>
      <c r="E61" s="65">
        <v>393</v>
      </c>
      <c r="F61" s="117">
        <f>2822+762</f>
        <v>3584</v>
      </c>
      <c r="G61" s="40">
        <v>2318</v>
      </c>
      <c r="H61" s="40">
        <v>0</v>
      </c>
      <c r="I61" s="98">
        <f t="shared" si="16"/>
        <v>6295</v>
      </c>
      <c r="J61" s="117">
        <v>0</v>
      </c>
      <c r="K61" s="117">
        <v>0</v>
      </c>
      <c r="L61" s="64">
        <f t="shared" si="17"/>
        <v>6295</v>
      </c>
      <c r="M61" s="256">
        <v>7150</v>
      </c>
      <c r="N61" s="70">
        <f t="shared" si="18"/>
        <v>-855</v>
      </c>
    </row>
    <row r="62" spans="1:15" x14ac:dyDescent="0.2">
      <c r="A62" s="11" t="s">
        <v>134</v>
      </c>
      <c r="B62" s="16"/>
      <c r="C62" s="327">
        <v>0</v>
      </c>
      <c r="D62" s="65">
        <v>0</v>
      </c>
      <c r="E62" s="65">
        <v>0</v>
      </c>
      <c r="F62" s="117">
        <f>8702</f>
        <v>8702</v>
      </c>
      <c r="G62" s="117">
        <f>-603</f>
        <v>-603</v>
      </c>
      <c r="H62" s="40">
        <v>1023</v>
      </c>
      <c r="I62" s="98">
        <f t="shared" si="16"/>
        <v>9122</v>
      </c>
      <c r="J62" s="117">
        <v>0</v>
      </c>
      <c r="K62" s="117">
        <v>0</v>
      </c>
      <c r="L62" s="64">
        <f t="shared" si="17"/>
        <v>9122</v>
      </c>
      <c r="M62" s="256">
        <v>-7900</v>
      </c>
      <c r="N62" s="70">
        <f t="shared" si="18"/>
        <v>17022</v>
      </c>
    </row>
    <row r="63" spans="1:15" x14ac:dyDescent="0.2">
      <c r="A63" s="11" t="s">
        <v>71</v>
      </c>
      <c r="B63" s="16"/>
      <c r="C63" s="327">
        <v>0</v>
      </c>
      <c r="D63" s="65">
        <v>0</v>
      </c>
      <c r="E63" s="65">
        <v>435200</v>
      </c>
      <c r="F63" s="117">
        <v>0</v>
      </c>
      <c r="G63" s="117">
        <v>0</v>
      </c>
      <c r="H63" s="40">
        <v>-3472</v>
      </c>
      <c r="I63" s="98">
        <f t="shared" si="16"/>
        <v>431728</v>
      </c>
      <c r="J63" s="117">
        <v>0</v>
      </c>
      <c r="K63" s="117">
        <v>0</v>
      </c>
      <c r="L63" s="64">
        <f t="shared" si="17"/>
        <v>431728</v>
      </c>
      <c r="M63" s="256">
        <v>-12065</v>
      </c>
      <c r="N63" s="70">
        <f t="shared" si="18"/>
        <v>443793</v>
      </c>
    </row>
    <row r="64" spans="1:15" x14ac:dyDescent="0.2">
      <c r="A64" s="11" t="s">
        <v>73</v>
      </c>
      <c r="B64" s="16"/>
      <c r="C64" s="327">
        <v>28255</v>
      </c>
      <c r="D64" s="65">
        <v>0</v>
      </c>
      <c r="E64" s="65">
        <v>0</v>
      </c>
      <c r="F64" s="117">
        <v>0</v>
      </c>
      <c r="G64" s="117">
        <v>0</v>
      </c>
      <c r="H64" s="40">
        <v>0</v>
      </c>
      <c r="I64" s="98">
        <f t="shared" si="16"/>
        <v>28255</v>
      </c>
      <c r="J64" s="117">
        <v>0</v>
      </c>
      <c r="K64" s="117">
        <v>0</v>
      </c>
      <c r="L64" s="64">
        <f t="shared" si="17"/>
        <v>28255</v>
      </c>
      <c r="M64" s="256">
        <v>0</v>
      </c>
      <c r="N64" s="70">
        <f t="shared" si="18"/>
        <v>28255</v>
      </c>
    </row>
    <row r="65" spans="1:15" x14ac:dyDescent="0.2">
      <c r="A65" s="29" t="s">
        <v>129</v>
      </c>
      <c r="B65" s="16"/>
      <c r="C65" s="327">
        <v>0</v>
      </c>
      <c r="D65" s="65">
        <v>0</v>
      </c>
      <c r="E65" s="65">
        <v>0</v>
      </c>
      <c r="F65" s="117">
        <v>0</v>
      </c>
      <c r="G65" s="117">
        <v>0</v>
      </c>
      <c r="H65" s="40">
        <v>-6600</v>
      </c>
      <c r="I65" s="98">
        <f t="shared" si="16"/>
        <v>-6600</v>
      </c>
      <c r="J65" s="117">
        <v>0</v>
      </c>
      <c r="K65" s="117">
        <v>0</v>
      </c>
      <c r="L65" s="64">
        <f t="shared" si="17"/>
        <v>-6600</v>
      </c>
      <c r="M65" s="256">
        <f>60852+2950</f>
        <v>63802</v>
      </c>
      <c r="N65" s="70">
        <f t="shared" si="18"/>
        <v>-70402</v>
      </c>
    </row>
    <row r="66" spans="1:15" x14ac:dyDescent="0.2">
      <c r="A66" s="29" t="s">
        <v>125</v>
      </c>
      <c r="B66" s="16"/>
      <c r="C66" s="327">
        <v>0</v>
      </c>
      <c r="D66" s="65">
        <v>0</v>
      </c>
      <c r="E66" s="65">
        <v>0</v>
      </c>
      <c r="F66" s="117">
        <v>0</v>
      </c>
      <c r="G66" s="117">
        <v>0</v>
      </c>
      <c r="H66" s="40">
        <v>0</v>
      </c>
      <c r="I66" s="98">
        <f t="shared" si="16"/>
        <v>0</v>
      </c>
      <c r="J66" s="117">
        <v>0</v>
      </c>
      <c r="K66" s="117">
        <v>0</v>
      </c>
      <c r="L66" s="64">
        <f t="shared" si="17"/>
        <v>0</v>
      </c>
      <c r="M66" s="256">
        <v>0</v>
      </c>
      <c r="N66" s="70">
        <f t="shared" si="18"/>
        <v>0</v>
      </c>
    </row>
    <row r="67" spans="1:15" x14ac:dyDescent="0.2">
      <c r="A67" s="29" t="s">
        <v>120</v>
      </c>
      <c r="B67" s="16"/>
      <c r="C67" s="291">
        <v>25441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25441</v>
      </c>
      <c r="J67" s="117">
        <v>0</v>
      </c>
      <c r="K67" s="117">
        <v>0</v>
      </c>
      <c r="L67" s="64">
        <f t="shared" si="17"/>
        <v>25441</v>
      </c>
      <c r="M67" s="256">
        <v>32910</v>
      </c>
      <c r="N67" s="70">
        <f t="shared" si="18"/>
        <v>-7469</v>
      </c>
      <c r="O67" s="117"/>
    </row>
    <row r="68" spans="1:15" x14ac:dyDescent="0.2">
      <c r="A68" s="29" t="s">
        <v>116</v>
      </c>
      <c r="B68" s="16"/>
      <c r="C68" s="117">
        <v>0</v>
      </c>
      <c r="D68" s="40">
        <v>0</v>
      </c>
      <c r="E68" s="40">
        <v>0</v>
      </c>
      <c r="F68" s="117">
        <v>0</v>
      </c>
      <c r="G68" s="117">
        <v>-17124</v>
      </c>
      <c r="H68" s="40">
        <v>0</v>
      </c>
      <c r="I68" s="98">
        <f t="shared" si="16"/>
        <v>-17124</v>
      </c>
      <c r="J68" s="117">
        <v>0</v>
      </c>
      <c r="K68" s="117">
        <v>0</v>
      </c>
      <c r="L68" s="64">
        <f t="shared" si="17"/>
        <v>-17124</v>
      </c>
      <c r="M68" s="256">
        <f>-52000/4</f>
        <v>-13000</v>
      </c>
      <c r="N68" s="70">
        <f t="shared" si="18"/>
        <v>-4124</v>
      </c>
      <c r="O68" s="117"/>
    </row>
    <row r="69" spans="1:15" ht="6.75" customHeight="1" x14ac:dyDescent="0.2">
      <c r="A69" s="29"/>
      <c r="B69" s="16"/>
      <c r="C69" s="117"/>
      <c r="D69" s="117"/>
      <c r="E69" s="117"/>
      <c r="F69" s="117"/>
      <c r="G69" s="117"/>
      <c r="H69" s="117"/>
      <c r="I69" s="98"/>
      <c r="J69" s="117"/>
      <c r="K69" s="117"/>
      <c r="L69" s="64"/>
      <c r="M69" s="256"/>
      <c r="N69" s="70"/>
      <c r="O69" s="117"/>
    </row>
    <row r="70" spans="1:15" s="42" customFormat="1" ht="14.25" customHeight="1" x14ac:dyDescent="0.2">
      <c r="A70" s="180" t="s">
        <v>126</v>
      </c>
      <c r="B70" s="112"/>
      <c r="C70" s="120">
        <f t="shared" ref="C70:N70" si="19">(SUM(C49:C68))+C47+C38+C27+C19</f>
        <v>85812</v>
      </c>
      <c r="D70" s="120">
        <f t="shared" si="19"/>
        <v>59745</v>
      </c>
      <c r="E70" s="120">
        <f t="shared" si="19"/>
        <v>497576</v>
      </c>
      <c r="F70" s="120">
        <f t="shared" si="19"/>
        <v>16690</v>
      </c>
      <c r="G70" s="120">
        <f t="shared" si="19"/>
        <v>-10848</v>
      </c>
      <c r="H70" s="120">
        <f t="shared" si="19"/>
        <v>-3966</v>
      </c>
      <c r="I70" s="122">
        <f t="shared" si="19"/>
        <v>645009</v>
      </c>
      <c r="J70" s="120">
        <f t="shared" si="19"/>
        <v>0</v>
      </c>
      <c r="K70" s="120">
        <f t="shared" si="19"/>
        <v>0</v>
      </c>
      <c r="L70" s="120">
        <f t="shared" si="19"/>
        <v>645009</v>
      </c>
      <c r="M70" s="120">
        <f t="shared" si="19"/>
        <v>517545</v>
      </c>
      <c r="N70" s="122">
        <f t="shared" si="19"/>
        <v>127464</v>
      </c>
    </row>
    <row r="71" spans="1:15" x14ac:dyDescent="0.2">
      <c r="A71" s="365"/>
      <c r="B71" s="365"/>
      <c r="C71" s="365"/>
      <c r="D71" s="365"/>
      <c r="E71" s="365"/>
      <c r="F71" s="365"/>
      <c r="G71" s="365"/>
      <c r="H71" s="365"/>
      <c r="I71" s="365"/>
      <c r="J71" s="117"/>
      <c r="K71" s="117"/>
      <c r="L71" s="117"/>
      <c r="M71" s="117"/>
      <c r="N71" s="117"/>
    </row>
    <row r="72" spans="1:15" x14ac:dyDescent="0.2"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</row>
    <row r="73" spans="1:15" x14ac:dyDescent="0.2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">
      <c r="C74" s="118"/>
      <c r="D74" s="118"/>
      <c r="E74" s="40"/>
      <c r="F74" s="67"/>
      <c r="G74" s="118"/>
      <c r="H74" s="40"/>
      <c r="I74" s="40"/>
      <c r="J74" s="40"/>
      <c r="K74" s="117"/>
      <c r="L74" s="117"/>
      <c r="M74" s="117"/>
      <c r="N74" s="117"/>
    </row>
    <row r="75" spans="1:15" x14ac:dyDescent="0.2">
      <c r="C75" s="118"/>
      <c r="D75" s="118"/>
      <c r="E75" s="40"/>
      <c r="F75" s="67"/>
      <c r="G75" s="118"/>
      <c r="H75" s="40"/>
      <c r="I75" s="118"/>
      <c r="J75" s="40"/>
      <c r="K75" s="117"/>
      <c r="L75" s="117"/>
      <c r="M75" s="117"/>
      <c r="N75" s="117"/>
    </row>
    <row r="76" spans="1:15" x14ac:dyDescent="0.2">
      <c r="C76" s="118"/>
      <c r="D76" s="118"/>
      <c r="E76" s="40"/>
      <c r="F76" s="67"/>
      <c r="G76" s="40"/>
      <c r="H76" s="40"/>
      <c r="I76" s="118"/>
      <c r="J76" s="40"/>
      <c r="K76" s="117"/>
      <c r="L76" s="117"/>
      <c r="M76" s="117"/>
      <c r="N76" s="117"/>
    </row>
    <row r="77" spans="1:15" x14ac:dyDescent="0.2">
      <c r="C77" s="118"/>
      <c r="D77" s="118"/>
      <c r="E77" s="118"/>
      <c r="F77" s="67"/>
      <c r="G77" s="118"/>
      <c r="H77" s="118"/>
      <c r="I77" s="118"/>
      <c r="J77" s="40"/>
      <c r="K77" s="117"/>
      <c r="L77" s="117"/>
      <c r="M77" s="117"/>
      <c r="N77" s="117"/>
    </row>
    <row r="78" spans="1:15" x14ac:dyDescent="0.2">
      <c r="C78" s="118"/>
      <c r="D78" s="118"/>
      <c r="E78" s="118"/>
      <c r="F78" s="118"/>
      <c r="G78" s="118"/>
      <c r="H78" s="118"/>
      <c r="I78" s="118"/>
      <c r="J78" s="40"/>
      <c r="K78" s="117"/>
      <c r="L78" s="117"/>
      <c r="M78" s="117"/>
      <c r="N78" s="117"/>
    </row>
    <row r="79" spans="1:15" x14ac:dyDescent="0.2">
      <c r="C79" s="118"/>
      <c r="D79" s="118"/>
      <c r="E79" s="118"/>
      <c r="F79" s="118"/>
      <c r="G79" s="118"/>
      <c r="H79" s="118"/>
      <c r="I79" s="118"/>
      <c r="J79" s="119"/>
      <c r="K79" s="117"/>
      <c r="L79" s="117"/>
      <c r="M79" s="117"/>
      <c r="N79" s="117"/>
    </row>
    <row r="80" spans="1:15" x14ac:dyDescent="0.2">
      <c r="C80" s="118"/>
      <c r="D80" s="118"/>
      <c r="E80" s="118"/>
      <c r="F80" s="118"/>
      <c r="G80" s="118"/>
      <c r="H80" s="118"/>
      <c r="I80" s="118"/>
      <c r="J80" s="118"/>
      <c r="K80" s="117"/>
      <c r="L80" s="117"/>
      <c r="M80" s="117"/>
      <c r="N80" s="117"/>
    </row>
    <row r="81" spans="3:16" x14ac:dyDescent="0.2"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</row>
    <row r="82" spans="3:16" x14ac:dyDescent="0.2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>
        <f>C90-G90-K90</f>
        <v>0</v>
      </c>
      <c r="P90" s="117">
        <f>D90-H90-L90</f>
        <v>0</v>
      </c>
    </row>
    <row r="91" spans="3:16" x14ac:dyDescent="0.2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</row>
    <row r="92" spans="3:16" x14ac:dyDescent="0.2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</sheetData>
  <mergeCells count="3">
    <mergeCell ref="A1:N1"/>
    <mergeCell ref="A2:N2"/>
    <mergeCell ref="A71:I71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6"/>
  <sheetViews>
    <sheetView workbookViewId="0">
      <selection activeCell="A98" sqref="A98"/>
    </sheetView>
  </sheetViews>
  <sheetFormatPr defaultRowHeight="13.2" x14ac:dyDescent="0.25"/>
  <cols>
    <col min="1" max="1" width="26.88671875" customWidth="1"/>
    <col min="2" max="2" width="2.44140625" customWidth="1"/>
    <col min="6" max="6" width="2.33203125" customWidth="1"/>
    <col min="7" max="7" width="17.6640625" customWidth="1"/>
    <col min="8" max="8" width="15.109375" customWidth="1"/>
    <col min="9" max="10" width="14.109375" customWidth="1"/>
  </cols>
  <sheetData>
    <row r="1" spans="1:10" ht="15.6" x14ac:dyDescent="0.3">
      <c r="A1" s="369" t="s">
        <v>75</v>
      </c>
      <c r="B1" s="369"/>
      <c r="C1" s="369"/>
      <c r="D1" s="369"/>
      <c r="E1" s="369"/>
      <c r="F1" s="369"/>
      <c r="G1" s="369"/>
      <c r="H1" s="369"/>
      <c r="I1" s="369"/>
      <c r="J1" s="369"/>
    </row>
    <row r="2" spans="1:10" ht="13.8" x14ac:dyDescent="0.25">
      <c r="A2" s="370" t="s">
        <v>110</v>
      </c>
      <c r="B2" s="370"/>
      <c r="C2" s="370"/>
      <c r="D2" s="370"/>
      <c r="E2" s="370"/>
      <c r="F2" s="370"/>
      <c r="G2" s="370"/>
      <c r="H2" s="370"/>
      <c r="I2" s="370"/>
      <c r="J2" s="370"/>
    </row>
    <row r="3" spans="1:10" x14ac:dyDescent="0.25">
      <c r="A3" s="371" t="str">
        <f>GrossMargin!G3</f>
        <v>Results based on activity through May 18, 2001</v>
      </c>
      <c r="B3" s="371"/>
      <c r="C3" s="371"/>
      <c r="D3" s="371"/>
      <c r="E3" s="371"/>
      <c r="F3" s="371"/>
      <c r="G3" s="371"/>
      <c r="H3" s="371"/>
      <c r="I3" s="371"/>
      <c r="J3" s="371"/>
    </row>
    <row r="5" spans="1:10" x14ac:dyDescent="0.25">
      <c r="A5" s="125"/>
      <c r="C5" s="372" t="s">
        <v>96</v>
      </c>
      <c r="D5" s="373"/>
      <c r="E5" s="374"/>
      <c r="F5" s="129"/>
      <c r="G5" s="130"/>
      <c r="H5" s="131"/>
      <c r="I5" s="131"/>
      <c r="J5" s="132"/>
    </row>
    <row r="6" spans="1:10" x14ac:dyDescent="0.25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6" t="s">
        <v>97</v>
      </c>
      <c r="H6" s="367"/>
      <c r="I6" s="367"/>
      <c r="J6" s="368"/>
    </row>
    <row r="7" spans="1:10" ht="6" customHeight="1" x14ac:dyDescent="0.25">
      <c r="A7" s="138"/>
      <c r="C7" s="139"/>
      <c r="D7" s="140"/>
      <c r="E7" s="141"/>
      <c r="G7" s="142"/>
      <c r="H7" s="143"/>
      <c r="I7" s="143"/>
      <c r="J7" s="134"/>
    </row>
    <row r="8" spans="1:10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x14ac:dyDescent="0.25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x14ac:dyDescent="0.25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x14ac:dyDescent="0.25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x14ac:dyDescent="0.25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x14ac:dyDescent="0.25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x14ac:dyDescent="0.25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x14ac:dyDescent="0.25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x14ac:dyDescent="0.25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3"/>
  <sheetViews>
    <sheetView workbookViewId="0">
      <selection sqref="A1:N1"/>
    </sheetView>
  </sheetViews>
  <sheetFormatPr defaultRowHeight="13.2" x14ac:dyDescent="0.25"/>
  <cols>
    <col min="1" max="1" width="28.6640625" style="175" customWidth="1"/>
    <col min="2" max="2" width="2.44140625" customWidth="1"/>
    <col min="3" max="4" width="12.44140625" customWidth="1"/>
    <col min="5" max="5" width="10.109375" customWidth="1"/>
    <col min="6" max="6" width="2.33203125" customWidth="1"/>
    <col min="7" max="7" width="9.33203125" customWidth="1"/>
    <col min="8" max="8" width="10" customWidth="1"/>
    <col min="9" max="9" width="10.109375" customWidth="1"/>
    <col min="10" max="10" width="2.33203125" customWidth="1"/>
    <col min="11" max="11" width="17.6640625" customWidth="1"/>
    <col min="12" max="12" width="15.109375" customWidth="1"/>
    <col min="13" max="14" width="14.109375" customWidth="1"/>
    <col min="15" max="15" width="0.6640625" customWidth="1"/>
  </cols>
  <sheetData>
    <row r="1" spans="1:14" ht="15.6" x14ac:dyDescent="0.3">
      <c r="A1" s="375" t="s">
        <v>75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</row>
    <row r="2" spans="1:14" ht="13.8" x14ac:dyDescent="0.25">
      <c r="A2" s="376" t="s">
        <v>144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</row>
    <row r="3" spans="1:14" ht="13.8" x14ac:dyDescent="0.3">
      <c r="A3" s="364" t="str">
        <f>'QTD Mgmt Summary'!Q3</f>
        <v>Results based on activity through May 18, 2001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</row>
    <row r="4" spans="1:14" x14ac:dyDescent="0.25">
      <c r="J4" s="174"/>
    </row>
    <row r="5" spans="1:14" x14ac:dyDescent="0.25">
      <c r="A5" s="176"/>
      <c r="C5" s="372" t="s">
        <v>96</v>
      </c>
      <c r="D5" s="373"/>
      <c r="E5" s="374"/>
      <c r="F5" s="129"/>
      <c r="G5" s="372" t="s">
        <v>114</v>
      </c>
      <c r="H5" s="373"/>
      <c r="I5" s="374"/>
      <c r="J5" s="129"/>
      <c r="K5" s="130"/>
      <c r="L5" s="131"/>
      <c r="M5" s="131"/>
      <c r="N5" s="132"/>
    </row>
    <row r="6" spans="1:14" x14ac:dyDescent="0.25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6" t="s">
        <v>97</v>
      </c>
      <c r="L6" s="367"/>
      <c r="M6" s="367"/>
      <c r="N6" s="368"/>
    </row>
    <row r="7" spans="1:14" ht="6" customHeight="1" x14ac:dyDescent="0.25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x14ac:dyDescent="0.25">
      <c r="A9" s="179" t="str">
        <f>'QTD Mgmt Summary'!A11</f>
        <v xml:space="preserve">    Southeast (Herndon/Kroll)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x14ac:dyDescent="0.25">
      <c r="A17" s="179" t="str">
        <f>'QTD Mgmt Summary'!A19</f>
        <v xml:space="preserve">    Structuring (Meyn)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x14ac:dyDescent="0.25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x14ac:dyDescent="0.25">
      <c r="A21" s="179" t="str">
        <f>'QTD Mgmt Summary'!A23</f>
        <v xml:space="preserve">    Origination (Thomas/Mcdonald)</v>
      </c>
      <c r="C21" s="144">
        <f t="shared" ref="C21:C26" si="2">D21</f>
        <v>1635</v>
      </c>
      <c r="D21" s="145">
        <v>1635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x14ac:dyDescent="0.25">
      <c r="A22" s="179" t="str">
        <f>'QTD Mgmt Summary'!A24</f>
        <v xml:space="preserve">    Executive (Calger)</v>
      </c>
      <c r="C22" s="144">
        <f t="shared" si="2"/>
        <v>354</v>
      </c>
      <c r="D22" s="145">
        <v>354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x14ac:dyDescent="0.25">
      <c r="A26" s="179" t="str">
        <f>'QTD Mgmt Summary'!A28</f>
        <v xml:space="preserve">    Fundamentals (Heizenreiker)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x14ac:dyDescent="0.25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x14ac:dyDescent="0.25">
      <c r="A30" s="11" t="s">
        <v>136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x14ac:dyDescent="0.25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x14ac:dyDescent="0.25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x14ac:dyDescent="0.25">
      <c r="A48" s="179" t="s">
        <v>74</v>
      </c>
      <c r="C48" s="144">
        <v>178</v>
      </c>
      <c r="D48" s="145">
        <v>221</v>
      </c>
      <c r="E48" s="167">
        <f t="shared" ref="E48:E66" si="9">C48-D48</f>
        <v>-43</v>
      </c>
      <c r="G48" s="144">
        <v>0</v>
      </c>
      <c r="H48" s="145">
        <v>0</v>
      </c>
      <c r="I48" s="167">
        <f t="shared" ref="I48:I66" si="10">G48-H48</f>
        <v>0</v>
      </c>
      <c r="K48" s="139"/>
      <c r="L48" s="140"/>
      <c r="M48" s="140"/>
      <c r="N48" s="141"/>
    </row>
    <row r="49" spans="1:14" x14ac:dyDescent="0.25">
      <c r="A49" s="179" t="s">
        <v>102</v>
      </c>
      <c r="C49" s="144">
        <v>399</v>
      </c>
      <c r="D49" s="145">
        <v>427</v>
      </c>
      <c r="E49" s="167">
        <f t="shared" si="9"/>
        <v>-28</v>
      </c>
      <c r="G49" s="290">
        <v>838</v>
      </c>
      <c r="H49" s="145">
        <v>340</v>
      </c>
      <c r="I49" s="167">
        <f t="shared" si="10"/>
        <v>498</v>
      </c>
      <c r="K49" s="139"/>
      <c r="L49" s="140"/>
      <c r="M49" s="140"/>
      <c r="N49" s="141"/>
    </row>
    <row r="50" spans="1:14" x14ac:dyDescent="0.25">
      <c r="A50" s="179" t="s">
        <v>103</v>
      </c>
      <c r="C50" s="144">
        <v>322</v>
      </c>
      <c r="D50" s="145">
        <v>423</v>
      </c>
      <c r="E50" s="167">
        <f t="shared" si="9"/>
        <v>-101</v>
      </c>
      <c r="G50" s="290">
        <v>844</v>
      </c>
      <c r="H50" s="145">
        <v>1061</v>
      </c>
      <c r="I50" s="167">
        <f t="shared" si="10"/>
        <v>-217</v>
      </c>
      <c r="K50" s="139"/>
      <c r="L50" s="140"/>
      <c r="M50" s="140"/>
      <c r="N50" s="141"/>
    </row>
    <row r="51" spans="1:14" x14ac:dyDescent="0.25">
      <c r="A51" s="179" t="s">
        <v>104</v>
      </c>
      <c r="C51" s="144">
        <v>271</v>
      </c>
      <c r="D51" s="145">
        <v>265</v>
      </c>
      <c r="E51" s="167">
        <f t="shared" si="9"/>
        <v>6</v>
      </c>
      <c r="G51" s="290">
        <f t="shared" ref="G51:G66" si="11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x14ac:dyDescent="0.25">
      <c r="A52" s="179" t="s">
        <v>105</v>
      </c>
      <c r="C52" s="144">
        <f>D52</f>
        <v>186</v>
      </c>
      <c r="D52" s="145">
        <v>186</v>
      </c>
      <c r="E52" s="167">
        <f t="shared" si="9"/>
        <v>0</v>
      </c>
      <c r="G52" s="290">
        <f t="shared" si="11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x14ac:dyDescent="0.25">
      <c r="A53" s="179" t="s">
        <v>106</v>
      </c>
      <c r="C53" s="144">
        <v>96</v>
      </c>
      <c r="D53" s="145">
        <v>144</v>
      </c>
      <c r="E53" s="167">
        <f t="shared" si="9"/>
        <v>-48</v>
      </c>
      <c r="G53" s="290">
        <f t="shared" si="11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x14ac:dyDescent="0.25">
      <c r="A54" s="179" t="s">
        <v>69</v>
      </c>
      <c r="C54" s="144">
        <f>D54</f>
        <v>0</v>
      </c>
      <c r="D54" s="145">
        <v>0</v>
      </c>
      <c r="E54" s="167">
        <f t="shared" si="9"/>
        <v>0</v>
      </c>
      <c r="G54" s="290">
        <f t="shared" si="11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x14ac:dyDescent="0.25">
      <c r="A55" s="179" t="s">
        <v>68</v>
      </c>
      <c r="C55" s="144">
        <v>3688</v>
      </c>
      <c r="D55" s="145">
        <v>4103</v>
      </c>
      <c r="E55" s="167">
        <f t="shared" si="9"/>
        <v>-415</v>
      </c>
      <c r="G55" s="290">
        <v>66133</v>
      </c>
      <c r="H55" s="145">
        <v>59125</v>
      </c>
      <c r="I55" s="167">
        <f t="shared" si="10"/>
        <v>7008</v>
      </c>
      <c r="K55" s="139" t="s">
        <v>146</v>
      </c>
      <c r="L55" s="140"/>
      <c r="M55" s="140"/>
      <c r="N55" s="141"/>
    </row>
    <row r="56" spans="1:14" x14ac:dyDescent="0.25">
      <c r="A56" s="179" t="s">
        <v>67</v>
      </c>
      <c r="C56" s="144">
        <f>D56</f>
        <v>294</v>
      </c>
      <c r="D56" s="145">
        <v>294</v>
      </c>
      <c r="E56" s="167">
        <f t="shared" si="9"/>
        <v>0</v>
      </c>
      <c r="G56" s="290">
        <f t="shared" si="11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x14ac:dyDescent="0.25">
      <c r="A57" s="179" t="s">
        <v>46</v>
      </c>
      <c r="C57" s="144">
        <f>D57</f>
        <v>1416</v>
      </c>
      <c r="D57" s="145">
        <v>1416</v>
      </c>
      <c r="E57" s="167">
        <f t="shared" si="9"/>
        <v>0</v>
      </c>
      <c r="G57" s="290">
        <f t="shared" si="11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x14ac:dyDescent="0.25">
      <c r="A58" s="179" t="s">
        <v>47</v>
      </c>
      <c r="C58" s="144">
        <v>1737</v>
      </c>
      <c r="D58" s="145">
        <v>1770</v>
      </c>
      <c r="E58" s="167">
        <f t="shared" si="9"/>
        <v>-33</v>
      </c>
      <c r="G58" s="290">
        <f t="shared" si="11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x14ac:dyDescent="0.25">
      <c r="A59" s="179" t="s">
        <v>48</v>
      </c>
      <c r="C59" s="144">
        <v>829</v>
      </c>
      <c r="D59" s="145">
        <v>891</v>
      </c>
      <c r="E59" s="167">
        <f t="shared" si="9"/>
        <v>-62</v>
      </c>
      <c r="G59" s="290">
        <f t="shared" si="11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x14ac:dyDescent="0.25">
      <c r="A60" s="179" t="s">
        <v>63</v>
      </c>
      <c r="C60" s="144">
        <v>1786</v>
      </c>
      <c r="D60" s="145">
        <v>2254</v>
      </c>
      <c r="E60" s="167">
        <f t="shared" si="9"/>
        <v>-468</v>
      </c>
      <c r="G60" s="290">
        <f t="shared" si="11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x14ac:dyDescent="0.25">
      <c r="A61" s="11" t="s">
        <v>134</v>
      </c>
      <c r="C61" s="144">
        <f>146+1482</f>
        <v>1628</v>
      </c>
      <c r="D61" s="145">
        <v>1637</v>
      </c>
      <c r="E61" s="167">
        <f t="shared" si="9"/>
        <v>-9</v>
      </c>
      <c r="G61" s="290">
        <f t="shared" si="11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x14ac:dyDescent="0.25">
      <c r="A62" s="179" t="s">
        <v>71</v>
      </c>
      <c r="C62" s="144">
        <v>1482</v>
      </c>
      <c r="D62" s="145">
        <v>994</v>
      </c>
      <c r="E62" s="167">
        <f t="shared" si="9"/>
        <v>488</v>
      </c>
      <c r="G62" s="290">
        <v>0</v>
      </c>
      <c r="H62" s="145">
        <v>0</v>
      </c>
      <c r="I62" s="167">
        <f t="shared" si="10"/>
        <v>0</v>
      </c>
      <c r="K62" s="139"/>
      <c r="L62" s="140"/>
      <c r="M62" s="140"/>
      <c r="N62" s="141"/>
    </row>
    <row r="63" spans="1:14" x14ac:dyDescent="0.25">
      <c r="A63" s="179" t="s">
        <v>73</v>
      </c>
      <c r="C63" s="144">
        <f>D63</f>
        <v>0</v>
      </c>
      <c r="D63" s="145">
        <v>0</v>
      </c>
      <c r="E63" s="167">
        <f t="shared" si="9"/>
        <v>0</v>
      </c>
      <c r="G63" s="290">
        <f t="shared" si="11"/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x14ac:dyDescent="0.25">
      <c r="A64" s="181" t="s">
        <v>129</v>
      </c>
      <c r="C64" s="144">
        <f>D64</f>
        <v>1373</v>
      </c>
      <c r="D64" s="145">
        <v>1373</v>
      </c>
      <c r="E64" s="167">
        <f t="shared" si="9"/>
        <v>0</v>
      </c>
      <c r="G64" s="290">
        <f t="shared" si="11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x14ac:dyDescent="0.25">
      <c r="A65" s="181" t="s">
        <v>125</v>
      </c>
      <c r="C65" s="144">
        <f>D65</f>
        <v>0</v>
      </c>
      <c r="D65" s="145">
        <v>0</v>
      </c>
      <c r="E65" s="167">
        <f t="shared" si="9"/>
        <v>0</v>
      </c>
      <c r="G65" s="290">
        <f t="shared" si="11"/>
        <v>0</v>
      </c>
      <c r="H65" s="145">
        <v>0</v>
      </c>
      <c r="I65" s="167">
        <f t="shared" si="10"/>
        <v>0</v>
      </c>
      <c r="K65" s="139"/>
      <c r="L65" s="140"/>
      <c r="M65" s="140"/>
      <c r="N65" s="141"/>
    </row>
    <row r="66" spans="1:14" x14ac:dyDescent="0.25">
      <c r="A66" s="181" t="s">
        <v>11</v>
      </c>
      <c r="C66" s="144">
        <f>D66</f>
        <v>0</v>
      </c>
      <c r="D66" s="145">
        <f>0/4</f>
        <v>0</v>
      </c>
      <c r="E66" s="167">
        <f t="shared" si="9"/>
        <v>0</v>
      </c>
      <c r="G66" s="290">
        <f t="shared" si="11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s="160" customFormat="1" x14ac:dyDescent="0.25">
      <c r="A67" s="180" t="s">
        <v>126</v>
      </c>
      <c r="C67" s="161">
        <f>SUM(C48:C66)+C46+C38+C27+C19</f>
        <v>51302</v>
      </c>
      <c r="D67" s="162">
        <f>SUM(D48:D66)+D46+D38+D27+D19</f>
        <v>52015</v>
      </c>
      <c r="E67" s="168">
        <f>SUM(E48:E66)+E46+E38+E27+E19</f>
        <v>-713</v>
      </c>
      <c r="G67" s="161">
        <f>SUM(G48:G66)+G46+G38+G27+G19</f>
        <v>67815</v>
      </c>
      <c r="H67" s="162">
        <f>SUM(H48:H66)+H46+H38+H27+H19</f>
        <v>60526</v>
      </c>
      <c r="I67" s="168">
        <f>SUM(I48:I66)+I46+I38+I27+I19</f>
        <v>7289</v>
      </c>
      <c r="K67" s="164"/>
      <c r="L67" s="165"/>
      <c r="M67" s="165"/>
      <c r="N67" s="166"/>
    </row>
    <row r="68" spans="1:14" s="284" customFormat="1" ht="9" customHeight="1" x14ac:dyDescent="0.25">
      <c r="A68" s="283"/>
      <c r="C68" s="286"/>
      <c r="D68" s="285"/>
      <c r="E68" s="169"/>
      <c r="G68" s="286"/>
      <c r="H68" s="285"/>
      <c r="I68" s="169"/>
      <c r="K68" s="287"/>
      <c r="L68" s="288"/>
      <c r="M68" s="288"/>
      <c r="N68" s="289"/>
    </row>
    <row r="69" spans="1:14" x14ac:dyDescent="0.25">
      <c r="A69" s="181" t="s">
        <v>51</v>
      </c>
      <c r="C69" s="144">
        <f>D69</f>
        <v>2631</v>
      </c>
      <c r="D69" s="145">
        <v>2631</v>
      </c>
      <c r="E69" s="167">
        <f>C69-D69</f>
        <v>0</v>
      </c>
      <c r="G69" s="144">
        <v>0</v>
      </c>
      <c r="H69" s="145">
        <v>0</v>
      </c>
      <c r="I69" s="167">
        <f>G69-H69</f>
        <v>0</v>
      </c>
      <c r="K69" s="139"/>
      <c r="L69" s="140"/>
      <c r="M69" s="140"/>
      <c r="N69" s="141"/>
    </row>
    <row r="70" spans="1:14" x14ac:dyDescent="0.25">
      <c r="A70" s="181" t="s">
        <v>52</v>
      </c>
      <c r="C70" s="144">
        <f t="shared" ref="C70:C80" si="12">D70</f>
        <v>499</v>
      </c>
      <c r="D70" s="145">
        <v>499</v>
      </c>
      <c r="E70" s="167">
        <f t="shared" ref="E70:E81" si="13">C70-D70</f>
        <v>0</v>
      </c>
      <c r="G70" s="144">
        <v>0</v>
      </c>
      <c r="H70" s="145">
        <v>0</v>
      </c>
      <c r="I70" s="167">
        <f t="shared" ref="I70:I81" si="14">G70-H70</f>
        <v>0</v>
      </c>
      <c r="K70" s="139"/>
      <c r="L70" s="140"/>
      <c r="M70" s="140"/>
      <c r="N70" s="141"/>
    </row>
    <row r="71" spans="1:14" x14ac:dyDescent="0.25">
      <c r="A71" s="181" t="s">
        <v>107</v>
      </c>
      <c r="C71" s="144">
        <f t="shared" si="12"/>
        <v>1418</v>
      </c>
      <c r="D71" s="145">
        <v>1418</v>
      </c>
      <c r="E71" s="167">
        <f t="shared" si="13"/>
        <v>0</v>
      </c>
      <c r="G71" s="144">
        <v>0</v>
      </c>
      <c r="H71" s="145">
        <v>0</v>
      </c>
      <c r="I71" s="167">
        <f t="shared" si="14"/>
        <v>0</v>
      </c>
      <c r="K71" s="139"/>
      <c r="L71" s="140"/>
      <c r="M71" s="140"/>
      <c r="N71" s="141"/>
    </row>
    <row r="72" spans="1:14" x14ac:dyDescent="0.25">
      <c r="A72" s="181" t="s">
        <v>53</v>
      </c>
      <c r="C72" s="144">
        <f t="shared" si="12"/>
        <v>10143</v>
      </c>
      <c r="D72" s="145">
        <v>10143</v>
      </c>
      <c r="E72" s="167">
        <f t="shared" si="13"/>
        <v>0</v>
      </c>
      <c r="G72" s="144">
        <v>0</v>
      </c>
      <c r="H72" s="145">
        <v>0</v>
      </c>
      <c r="I72" s="167">
        <f t="shared" si="14"/>
        <v>0</v>
      </c>
      <c r="K72" s="139"/>
      <c r="L72" s="140"/>
      <c r="M72" s="140"/>
      <c r="N72" s="141"/>
    </row>
    <row r="73" spans="1:14" x14ac:dyDescent="0.25">
      <c r="A73" s="181" t="s">
        <v>54</v>
      </c>
      <c r="C73" s="144">
        <f t="shared" si="12"/>
        <v>1204</v>
      </c>
      <c r="D73" s="145">
        <v>1204</v>
      </c>
      <c r="E73" s="167">
        <f t="shared" si="13"/>
        <v>0</v>
      </c>
      <c r="G73" s="144">
        <v>0</v>
      </c>
      <c r="H73" s="145">
        <v>0</v>
      </c>
      <c r="I73" s="167">
        <f t="shared" si="14"/>
        <v>0</v>
      </c>
      <c r="K73" s="139"/>
      <c r="L73" s="140"/>
      <c r="M73" s="140"/>
      <c r="N73" s="141"/>
    </row>
    <row r="74" spans="1:14" x14ac:dyDescent="0.25">
      <c r="A74" s="181" t="s">
        <v>55</v>
      </c>
      <c r="C74" s="144">
        <f t="shared" si="12"/>
        <v>2251</v>
      </c>
      <c r="D74" s="145">
        <v>2251</v>
      </c>
      <c r="E74" s="167">
        <f t="shared" si="13"/>
        <v>0</v>
      </c>
      <c r="G74" s="144">
        <v>0</v>
      </c>
      <c r="H74" s="145">
        <v>0</v>
      </c>
      <c r="I74" s="167">
        <f t="shared" si="14"/>
        <v>0</v>
      </c>
      <c r="K74" s="139"/>
      <c r="L74" s="140"/>
      <c r="M74" s="140"/>
      <c r="N74" s="141"/>
    </row>
    <row r="75" spans="1:14" x14ac:dyDescent="0.25">
      <c r="A75" s="181" t="s">
        <v>56</v>
      </c>
      <c r="C75" s="144">
        <f t="shared" si="12"/>
        <v>318</v>
      </c>
      <c r="D75" s="145">
        <v>318</v>
      </c>
      <c r="E75" s="167">
        <f t="shared" si="13"/>
        <v>0</v>
      </c>
      <c r="G75" s="144">
        <v>0</v>
      </c>
      <c r="H75" s="145">
        <v>0</v>
      </c>
      <c r="I75" s="167">
        <f t="shared" si="14"/>
        <v>0</v>
      </c>
      <c r="K75" s="139"/>
      <c r="L75" s="140"/>
      <c r="M75" s="140"/>
      <c r="N75" s="141"/>
    </row>
    <row r="76" spans="1:14" x14ac:dyDescent="0.25">
      <c r="A76" s="181" t="s">
        <v>57</v>
      </c>
      <c r="C76" s="144">
        <f t="shared" si="12"/>
        <v>593</v>
      </c>
      <c r="D76" s="145">
        <v>593</v>
      </c>
      <c r="E76" s="167">
        <f t="shared" si="13"/>
        <v>0</v>
      </c>
      <c r="G76" s="144">
        <v>0</v>
      </c>
      <c r="H76" s="145">
        <v>0</v>
      </c>
      <c r="I76" s="167">
        <f t="shared" si="14"/>
        <v>0</v>
      </c>
      <c r="K76" s="139"/>
      <c r="L76" s="140"/>
      <c r="M76" s="140"/>
      <c r="N76" s="141"/>
    </row>
    <row r="77" spans="1:14" x14ac:dyDescent="0.25">
      <c r="A77" s="181" t="s">
        <v>59</v>
      </c>
      <c r="C77" s="144">
        <f t="shared" si="12"/>
        <v>539</v>
      </c>
      <c r="D77" s="145">
        <v>539</v>
      </c>
      <c r="E77" s="167">
        <f t="shared" si="13"/>
        <v>0</v>
      </c>
      <c r="G77" s="144">
        <v>0</v>
      </c>
      <c r="H77" s="145">
        <v>0</v>
      </c>
      <c r="I77" s="167">
        <f t="shared" si="14"/>
        <v>0</v>
      </c>
      <c r="K77" s="139"/>
      <c r="L77" s="140"/>
      <c r="M77" s="140"/>
      <c r="N77" s="141"/>
    </row>
    <row r="78" spans="1:14" x14ac:dyDescent="0.25">
      <c r="A78" s="181" t="s">
        <v>60</v>
      </c>
      <c r="C78" s="144">
        <f t="shared" si="12"/>
        <v>194</v>
      </c>
      <c r="D78" s="145">
        <v>194</v>
      </c>
      <c r="E78" s="167">
        <f t="shared" si="13"/>
        <v>0</v>
      </c>
      <c r="G78" s="144">
        <v>0</v>
      </c>
      <c r="H78" s="145">
        <v>0</v>
      </c>
      <c r="I78" s="167">
        <f t="shared" si="14"/>
        <v>0</v>
      </c>
      <c r="K78" s="139"/>
      <c r="L78" s="140"/>
      <c r="M78" s="140"/>
      <c r="N78" s="141"/>
    </row>
    <row r="79" spans="1:14" x14ac:dyDescent="0.25">
      <c r="A79" s="181" t="s">
        <v>61</v>
      </c>
      <c r="C79" s="144">
        <f t="shared" si="12"/>
        <v>682</v>
      </c>
      <c r="D79" s="145">
        <v>682</v>
      </c>
      <c r="E79" s="167">
        <f t="shared" si="13"/>
        <v>0</v>
      </c>
      <c r="G79" s="144">
        <v>0</v>
      </c>
      <c r="H79" s="145">
        <v>0</v>
      </c>
      <c r="I79" s="167">
        <f t="shared" si="14"/>
        <v>0</v>
      </c>
      <c r="K79" s="139"/>
      <c r="L79" s="140"/>
      <c r="M79" s="140"/>
      <c r="N79" s="141"/>
    </row>
    <row r="80" spans="1:14" x14ac:dyDescent="0.25">
      <c r="A80" s="181" t="s">
        <v>62</v>
      </c>
      <c r="C80" s="144">
        <f t="shared" si="12"/>
        <v>1419</v>
      </c>
      <c r="D80" s="145">
        <v>1419</v>
      </c>
      <c r="E80" s="167">
        <f t="shared" si="13"/>
        <v>0</v>
      </c>
      <c r="G80" s="144">
        <v>0</v>
      </c>
      <c r="H80" s="145">
        <v>0</v>
      </c>
      <c r="I80" s="167">
        <f t="shared" si="14"/>
        <v>0</v>
      </c>
      <c r="K80" s="139"/>
      <c r="L80" s="140"/>
      <c r="M80" s="140"/>
      <c r="N80" s="141"/>
    </row>
    <row r="81" spans="1:16" x14ac:dyDescent="0.25">
      <c r="A81" s="181" t="s">
        <v>58</v>
      </c>
      <c r="C81" s="144">
        <f>D81+5243</f>
        <v>28318</v>
      </c>
      <c r="D81" s="145">
        <v>23075</v>
      </c>
      <c r="E81" s="167">
        <f t="shared" si="13"/>
        <v>5243</v>
      </c>
      <c r="G81" s="144">
        <v>0</v>
      </c>
      <c r="H81" s="145">
        <v>0</v>
      </c>
      <c r="I81" s="167">
        <f t="shared" si="14"/>
        <v>0</v>
      </c>
      <c r="K81" s="139" t="s">
        <v>148</v>
      </c>
      <c r="L81" s="140"/>
      <c r="M81" s="140"/>
      <c r="N81" s="141"/>
    </row>
    <row r="82" spans="1:16" x14ac:dyDescent="0.25">
      <c r="A82" s="181" t="s">
        <v>17</v>
      </c>
      <c r="C82" s="144">
        <f>D82+900+300</f>
        <v>47811</v>
      </c>
      <c r="D82" s="145">
        <f>51711-5100</f>
        <v>46611</v>
      </c>
      <c r="E82" s="167">
        <f>C82-D82</f>
        <v>1200</v>
      </c>
      <c r="G82" s="144">
        <v>0</v>
      </c>
      <c r="H82" s="145">
        <v>0</v>
      </c>
      <c r="I82" s="167">
        <f>G82-H82</f>
        <v>0</v>
      </c>
      <c r="K82" s="149" t="s">
        <v>156</v>
      </c>
      <c r="N82" s="150"/>
    </row>
    <row r="83" spans="1:16" s="160" customFormat="1" x14ac:dyDescent="0.25">
      <c r="A83" s="180" t="s">
        <v>13</v>
      </c>
      <c r="C83" s="161">
        <f>SUM(C69:C82)</f>
        <v>98020</v>
      </c>
      <c r="D83" s="162">
        <f>SUM(D69:D82)</f>
        <v>91577</v>
      </c>
      <c r="E83" s="168">
        <f>SUM(E69:E82)</f>
        <v>6443</v>
      </c>
      <c r="G83" s="161">
        <f>SUM(G69:G82)</f>
        <v>0</v>
      </c>
      <c r="H83" s="162">
        <f>SUM(H69:H82)</f>
        <v>0</v>
      </c>
      <c r="I83" s="168">
        <f>SUM(I69:I82)</f>
        <v>0</v>
      </c>
      <c r="K83" s="164"/>
      <c r="L83" s="165"/>
      <c r="M83" s="165"/>
      <c r="N83" s="166"/>
    </row>
    <row r="84" spans="1:16" x14ac:dyDescent="0.25">
      <c r="A84" s="181" t="s">
        <v>119</v>
      </c>
      <c r="C84" s="144">
        <f>D84+1023</f>
        <v>38777</v>
      </c>
      <c r="D84" s="145">
        <v>37754</v>
      </c>
      <c r="E84" s="167">
        <f>C84-D84</f>
        <v>1023</v>
      </c>
      <c r="G84" s="144">
        <v>0</v>
      </c>
      <c r="H84" s="145">
        <v>0</v>
      </c>
      <c r="I84" s="167">
        <f>G84-H84</f>
        <v>0</v>
      </c>
      <c r="K84" s="139"/>
      <c r="L84" s="140"/>
      <c r="M84" s="140"/>
      <c r="N84" s="141"/>
    </row>
    <row r="85" spans="1:16" x14ac:dyDescent="0.25">
      <c r="A85" s="181" t="s">
        <v>120</v>
      </c>
      <c r="C85" s="144">
        <f>D85</f>
        <v>3060</v>
      </c>
      <c r="D85" s="145">
        <v>3060</v>
      </c>
      <c r="E85" s="167">
        <f>C85-D85</f>
        <v>0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s="160" customFormat="1" x14ac:dyDescent="0.25">
      <c r="A86" s="182" t="s">
        <v>127</v>
      </c>
      <c r="C86" s="162">
        <f>C67+C83+C84+C85</f>
        <v>191159</v>
      </c>
      <c r="D86" s="162">
        <f>D67+D83+D84+D85</f>
        <v>184406</v>
      </c>
      <c r="E86" s="162">
        <f>E67+E83+E84+E85</f>
        <v>6753</v>
      </c>
      <c r="G86" s="162">
        <f>G67+G83+G84+G85</f>
        <v>67815</v>
      </c>
      <c r="H86" s="162">
        <f>H67+H83+H84+H85</f>
        <v>60526</v>
      </c>
      <c r="I86" s="162">
        <f>I67+I83+I84+I85</f>
        <v>7289</v>
      </c>
      <c r="K86" s="164"/>
      <c r="L86" s="165"/>
      <c r="M86" s="165"/>
      <c r="N86" s="166"/>
    </row>
    <row r="87" spans="1:16" x14ac:dyDescent="0.25">
      <c r="A87" s="181" t="s">
        <v>15</v>
      </c>
      <c r="C87" s="144">
        <v>6625</v>
      </c>
      <c r="D87" s="145">
        <v>25828</v>
      </c>
      <c r="E87" s="167">
        <f>C87-D87</f>
        <v>-19203</v>
      </c>
      <c r="G87" s="144">
        <v>0</v>
      </c>
      <c r="H87" s="145">
        <v>0</v>
      </c>
      <c r="I87" s="167">
        <f>G87-H87</f>
        <v>0</v>
      </c>
      <c r="K87" s="152"/>
      <c r="N87" s="151"/>
    </row>
    <row r="88" spans="1:16" s="160" customFormat="1" x14ac:dyDescent="0.25">
      <c r="A88" s="183" t="s">
        <v>98</v>
      </c>
      <c r="C88" s="161">
        <f>C87+C86</f>
        <v>197784</v>
      </c>
      <c r="D88" s="162">
        <f>D87+D86</f>
        <v>210234</v>
      </c>
      <c r="E88" s="168">
        <f>E87+E86</f>
        <v>-12450</v>
      </c>
      <c r="G88" s="161">
        <f>G87+G86</f>
        <v>67815</v>
      </c>
      <c r="H88" s="162">
        <f>H87+H86</f>
        <v>60526</v>
      </c>
      <c r="I88" s="168">
        <f>I87+I86</f>
        <v>7289</v>
      </c>
      <c r="K88" s="164"/>
      <c r="L88" s="165"/>
      <c r="M88" s="165"/>
      <c r="N88" s="166"/>
    </row>
    <row r="90" spans="1:16" x14ac:dyDescent="0.25">
      <c r="O90">
        <f>C90-G90-K90</f>
        <v>0</v>
      </c>
      <c r="P90">
        <f>D90-H90-L90</f>
        <v>0</v>
      </c>
    </row>
    <row r="91" spans="1:16" x14ac:dyDescent="0.25">
      <c r="D91" s="148"/>
    </row>
    <row r="93" spans="1:16" x14ac:dyDescent="0.25">
      <c r="D93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2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0"/>
  <sheetViews>
    <sheetView workbookViewId="0">
      <pane ySplit="7" topLeftCell="A8" activePane="bottomLeft" state="frozen"/>
      <selection activeCell="A71" sqref="A71:I71"/>
      <selection pane="bottomLeft" activeCell="A8" sqref="A8"/>
    </sheetView>
  </sheetViews>
  <sheetFormatPr defaultRowHeight="13.2" x14ac:dyDescent="0.25"/>
  <cols>
    <col min="1" max="1" width="27.33203125" customWidth="1"/>
    <col min="2" max="2" width="2.109375" customWidth="1"/>
    <col min="3" max="3" width="9.5546875" bestFit="1" customWidth="1"/>
    <col min="4" max="4" width="10.5546875" bestFit="1" customWidth="1"/>
    <col min="5" max="5" width="10.109375" bestFit="1" customWidth="1"/>
    <col min="8" max="8" width="16.5546875" customWidth="1"/>
  </cols>
  <sheetData>
    <row r="1" spans="1:8" ht="15.6" x14ac:dyDescent="0.3">
      <c r="A1" s="377" t="s">
        <v>75</v>
      </c>
      <c r="B1" s="378"/>
      <c r="C1" s="378"/>
      <c r="D1" s="378"/>
      <c r="E1" s="378"/>
      <c r="F1" s="378"/>
      <c r="G1" s="378"/>
      <c r="H1" s="379"/>
    </row>
    <row r="2" spans="1:8" ht="13.8" x14ac:dyDescent="0.25">
      <c r="A2" s="380" t="s">
        <v>145</v>
      </c>
      <c r="B2" s="381"/>
      <c r="C2" s="381"/>
      <c r="D2" s="381"/>
      <c r="E2" s="381"/>
      <c r="F2" s="381"/>
      <c r="G2" s="381"/>
      <c r="H2" s="382"/>
    </row>
    <row r="3" spans="1:8" x14ac:dyDescent="0.25">
      <c r="A3" s="383" t="str">
        <f>Expenses!A3</f>
        <v>Results based on activity through May 18, 2001</v>
      </c>
      <c r="B3" s="384"/>
      <c r="C3" s="384"/>
      <c r="D3" s="384"/>
      <c r="E3" s="384"/>
      <c r="F3" s="384"/>
      <c r="G3" s="384"/>
      <c r="H3" s="385"/>
    </row>
    <row r="4" spans="1:8" x14ac:dyDescent="0.25">
      <c r="A4" s="139"/>
      <c r="B4" s="140"/>
      <c r="C4" s="140"/>
      <c r="D4" s="140"/>
      <c r="E4" s="140"/>
      <c r="F4" s="140"/>
      <c r="G4" s="140"/>
      <c r="H4" s="141"/>
    </row>
    <row r="5" spans="1:8" x14ac:dyDescent="0.25">
      <c r="A5" s="125"/>
      <c r="B5" s="140"/>
      <c r="C5" s="130"/>
      <c r="D5" s="131"/>
      <c r="E5" s="131"/>
      <c r="F5" s="131"/>
      <c r="G5" s="131"/>
      <c r="H5" s="132"/>
    </row>
    <row r="6" spans="1:8" x14ac:dyDescent="0.25">
      <c r="A6" s="147"/>
      <c r="B6" s="140"/>
      <c r="C6" s="366" t="s">
        <v>99</v>
      </c>
      <c r="D6" s="367"/>
      <c r="E6" s="367"/>
      <c r="F6" s="367"/>
      <c r="G6" s="367"/>
      <c r="H6" s="368"/>
    </row>
    <row r="7" spans="1:8" x14ac:dyDescent="0.25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3" t="s">
        <v>100</v>
      </c>
      <c r="G7" s="373"/>
      <c r="H7" s="374"/>
    </row>
    <row r="8" spans="1:8" x14ac:dyDescent="0.25">
      <c r="A8" s="330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x14ac:dyDescent="0.25">
      <c r="A9" s="330" t="str">
        <f>'QTD Mgmt Summary'!A11</f>
        <v xml:space="preserve">    Southeast (Herndon/Kroll)</v>
      </c>
      <c r="B9" s="140"/>
      <c r="C9" s="144">
        <v>74</v>
      </c>
      <c r="D9" s="145">
        <v>0</v>
      </c>
      <c r="E9" s="167">
        <f t="shared" ref="E9:E18" si="0">C9-D9</f>
        <v>74</v>
      </c>
      <c r="F9" s="145"/>
      <c r="G9" s="145"/>
      <c r="H9" s="146"/>
    </row>
    <row r="10" spans="1:8" x14ac:dyDescent="0.25">
      <c r="A10" s="330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x14ac:dyDescent="0.25">
      <c r="A11" s="330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x14ac:dyDescent="0.25">
      <c r="A12" s="330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x14ac:dyDescent="0.25">
      <c r="A13" s="330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x14ac:dyDescent="0.25">
      <c r="A14" s="330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x14ac:dyDescent="0.25">
      <c r="A15" s="330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x14ac:dyDescent="0.25">
      <c r="A16" s="330" t="str">
        <f>'QTD Mgmt Summary'!A18</f>
        <v xml:space="preserve">    Development (Jacoby)</v>
      </c>
      <c r="B16" s="140"/>
      <c r="C16" s="144">
        <v>49</v>
      </c>
      <c r="D16" s="145">
        <v>236</v>
      </c>
      <c r="E16" s="167">
        <f t="shared" si="0"/>
        <v>-187</v>
      </c>
      <c r="F16" s="145"/>
      <c r="G16" s="145"/>
      <c r="H16" s="146"/>
    </row>
    <row r="17" spans="1:8" x14ac:dyDescent="0.25">
      <c r="A17" s="330" t="str">
        <f>'QTD Mgmt Summary'!A19</f>
        <v xml:space="preserve">    Structuring (Meyn)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x14ac:dyDescent="0.25">
      <c r="A18" s="330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x14ac:dyDescent="0.25">
      <c r="A19" s="96" t="s">
        <v>7</v>
      </c>
      <c r="B19" s="331"/>
      <c r="C19" s="161">
        <f>SUM(C8:C18)</f>
        <v>123</v>
      </c>
      <c r="D19" s="162">
        <f>SUM(D8:D18)</f>
        <v>236</v>
      </c>
      <c r="E19" s="168">
        <f>SUM(E8:E18)</f>
        <v>-113</v>
      </c>
      <c r="F19" s="162"/>
      <c r="G19" s="162"/>
      <c r="H19" s="163"/>
    </row>
    <row r="20" spans="1:8" ht="8.25" customHeight="1" x14ac:dyDescent="0.25">
      <c r="A20" s="330"/>
      <c r="B20" s="140"/>
      <c r="C20" s="144"/>
      <c r="D20" s="145"/>
      <c r="E20" s="167"/>
      <c r="F20" s="145"/>
      <c r="G20" s="145"/>
      <c r="H20" s="146"/>
    </row>
    <row r="21" spans="1:8" x14ac:dyDescent="0.25">
      <c r="A21" s="330" t="str">
        <f>'QTD Mgmt Summary'!A23</f>
        <v xml:space="preserve">    Origination (Thomas/Mcdonald)</v>
      </c>
      <c r="B21" s="140"/>
      <c r="C21" s="144">
        <v>963</v>
      </c>
      <c r="D21" s="145">
        <v>111</v>
      </c>
      <c r="E21" s="167">
        <f t="shared" ref="E21:E26" si="2">C21-D21</f>
        <v>852</v>
      </c>
      <c r="F21" s="145"/>
      <c r="G21" s="145"/>
      <c r="H21" s="146"/>
    </row>
    <row r="22" spans="1:8" x14ac:dyDescent="0.25">
      <c r="A22" s="330" t="str">
        <f>'QTD Mgmt Summary'!A24</f>
        <v xml:space="preserve">    Executive (Calger)</v>
      </c>
      <c r="B22" s="140"/>
      <c r="C22" s="144">
        <v>0</v>
      </c>
      <c r="D22" s="145">
        <v>0</v>
      </c>
      <c r="E22" s="167">
        <f t="shared" si="2"/>
        <v>0</v>
      </c>
      <c r="F22" s="145"/>
      <c r="G22" s="145"/>
      <c r="H22" s="146"/>
    </row>
    <row r="23" spans="1:8" x14ac:dyDescent="0.25">
      <c r="A23" s="330" t="str">
        <f>'QTD Mgmt Summary'!A25</f>
        <v xml:space="preserve">    Generation (Parquet)</v>
      </c>
      <c r="B23" s="140"/>
      <c r="C23" s="144">
        <v>1995</v>
      </c>
      <c r="D23" s="145">
        <v>4139</v>
      </c>
      <c r="E23" s="167">
        <f t="shared" si="2"/>
        <v>-2144</v>
      </c>
      <c r="F23" s="145"/>
      <c r="G23" s="145"/>
      <c r="H23" s="146"/>
    </row>
    <row r="24" spans="1:8" x14ac:dyDescent="0.25">
      <c r="A24" s="330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x14ac:dyDescent="0.25">
      <c r="A25" s="330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x14ac:dyDescent="0.25">
      <c r="A26" s="330" t="str">
        <f>'QTD Mgmt Summary'!A28</f>
        <v xml:space="preserve">    Fundamentals (Heizenreiker)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x14ac:dyDescent="0.25">
      <c r="A27" s="96" t="s">
        <v>8</v>
      </c>
      <c r="B27" s="331"/>
      <c r="C27" s="161">
        <f>SUM(C21:C26)</f>
        <v>2958</v>
      </c>
      <c r="D27" s="162">
        <f>SUM(D21:D26)</f>
        <v>4250</v>
      </c>
      <c r="E27" s="168">
        <f>SUM(E21:E26)</f>
        <v>-1292</v>
      </c>
      <c r="F27" s="162"/>
      <c r="G27" s="162"/>
      <c r="H27" s="163"/>
    </row>
    <row r="28" spans="1:8" ht="6.75" customHeight="1" x14ac:dyDescent="0.25">
      <c r="A28" s="330"/>
      <c r="B28" s="140"/>
      <c r="C28" s="144"/>
      <c r="D28" s="145"/>
      <c r="E28" s="167"/>
      <c r="F28" s="145"/>
      <c r="G28" s="145"/>
      <c r="H28" s="146"/>
    </row>
    <row r="29" spans="1:8" x14ac:dyDescent="0.25">
      <c r="A29" s="330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x14ac:dyDescent="0.25">
      <c r="A30" s="330" t="s">
        <v>136</v>
      </c>
      <c r="B30" s="140"/>
      <c r="C30" s="144">
        <v>370</v>
      </c>
      <c r="D30" s="145">
        <v>144</v>
      </c>
      <c r="E30" s="167">
        <f t="shared" si="3"/>
        <v>226</v>
      </c>
      <c r="F30" s="145"/>
      <c r="G30" s="145"/>
      <c r="H30" s="146"/>
    </row>
    <row r="31" spans="1:8" x14ac:dyDescent="0.25">
      <c r="A31" s="330" t="s">
        <v>36</v>
      </c>
      <c r="B31" s="140"/>
      <c r="C31" s="144">
        <v>209</v>
      </c>
      <c r="D31" s="145">
        <v>1572</v>
      </c>
      <c r="E31" s="167">
        <f t="shared" si="3"/>
        <v>-1363</v>
      </c>
      <c r="F31" s="145"/>
      <c r="G31" s="145"/>
      <c r="H31" s="146"/>
    </row>
    <row r="32" spans="1:8" x14ac:dyDescent="0.25">
      <c r="A32" s="330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x14ac:dyDescent="0.25">
      <c r="A33" s="330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x14ac:dyDescent="0.25">
      <c r="A34" s="330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x14ac:dyDescent="0.25">
      <c r="A35" s="330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x14ac:dyDescent="0.25">
      <c r="A36" s="330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x14ac:dyDescent="0.25">
      <c r="A37" s="330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x14ac:dyDescent="0.25">
      <c r="A38" s="96" t="s">
        <v>9</v>
      </c>
      <c r="B38" s="331"/>
      <c r="C38" s="161">
        <f>SUM(C29:C36)</f>
        <v>579</v>
      </c>
      <c r="D38" s="162">
        <f>SUM(D29:D36)</f>
        <v>1716</v>
      </c>
      <c r="E38" s="168">
        <f>SUM(E29:E36)</f>
        <v>-1137</v>
      </c>
      <c r="F38" s="162"/>
      <c r="G38" s="162"/>
      <c r="H38" s="163"/>
    </row>
    <row r="39" spans="1:11" ht="6" customHeight="1" x14ac:dyDescent="0.25">
      <c r="A39" s="330"/>
      <c r="B39" s="140"/>
      <c r="C39" s="144"/>
      <c r="D39" s="145"/>
      <c r="E39" s="167"/>
      <c r="F39" s="145"/>
      <c r="G39" s="145"/>
      <c r="H39" s="146"/>
    </row>
    <row r="40" spans="1:11" x14ac:dyDescent="0.25">
      <c r="A40" s="330" t="s">
        <v>42</v>
      </c>
      <c r="B40" s="140"/>
      <c r="C40" s="144">
        <v>32</v>
      </c>
      <c r="D40" s="145">
        <v>99</v>
      </c>
      <c r="E40" s="167">
        <f t="shared" ref="E40:E45" si="5">C40-D40</f>
        <v>-67</v>
      </c>
      <c r="F40" s="145"/>
      <c r="G40" s="145"/>
      <c r="H40" s="146"/>
    </row>
    <row r="41" spans="1:11" x14ac:dyDescent="0.25">
      <c r="A41" s="330" t="s">
        <v>43</v>
      </c>
      <c r="B41" s="140"/>
      <c r="C41" s="144">
        <v>1993</v>
      </c>
      <c r="D41" s="145">
        <v>304</v>
      </c>
      <c r="E41" s="167">
        <f t="shared" si="5"/>
        <v>1689</v>
      </c>
      <c r="F41" s="145"/>
      <c r="G41" s="145"/>
      <c r="H41" s="146"/>
    </row>
    <row r="42" spans="1:11" x14ac:dyDescent="0.25">
      <c r="A42" s="330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x14ac:dyDescent="0.25">
      <c r="A43" s="330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x14ac:dyDescent="0.25">
      <c r="A44" s="330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x14ac:dyDescent="0.25">
      <c r="A45" s="330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x14ac:dyDescent="0.25">
      <c r="A46" s="96" t="s">
        <v>10</v>
      </c>
      <c r="B46" s="331"/>
      <c r="C46" s="161">
        <f>SUM(C40:C45)</f>
        <v>2025</v>
      </c>
      <c r="D46" s="162">
        <f>SUM(D40:D45)</f>
        <v>850</v>
      </c>
      <c r="E46" s="168">
        <f>SUM(E40:E45)</f>
        <v>1175</v>
      </c>
      <c r="F46" s="162"/>
      <c r="G46" s="162"/>
      <c r="H46" s="163"/>
      <c r="K46"/>
    </row>
    <row r="47" spans="1:11" ht="8.25" customHeight="1" x14ac:dyDescent="0.25">
      <c r="A47" s="330"/>
      <c r="B47" s="140"/>
      <c r="C47" s="144"/>
      <c r="D47" s="145"/>
      <c r="E47" s="167"/>
      <c r="F47" s="145"/>
      <c r="G47" s="145"/>
      <c r="H47" s="146"/>
    </row>
    <row r="48" spans="1:11" x14ac:dyDescent="0.25">
      <c r="A48" s="330" t="s">
        <v>74</v>
      </c>
      <c r="B48" s="140"/>
      <c r="C48" s="144">
        <f>D48</f>
        <v>0</v>
      </c>
      <c r="D48" s="184">
        <v>0</v>
      </c>
      <c r="E48" s="167">
        <f t="shared" ref="E48:E65" si="6">C48-D48</f>
        <v>0</v>
      </c>
      <c r="F48" s="145"/>
      <c r="G48" s="145"/>
      <c r="H48" s="146"/>
    </row>
    <row r="49" spans="1:8" x14ac:dyDescent="0.25">
      <c r="A49" s="330" t="s">
        <v>102</v>
      </c>
      <c r="B49" s="140"/>
      <c r="C49" s="144">
        <f t="shared" ref="C49:C66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x14ac:dyDescent="0.25">
      <c r="A50" s="330" t="s">
        <v>103</v>
      </c>
      <c r="B50" s="140"/>
      <c r="C50" s="144">
        <v>-69</v>
      </c>
      <c r="D50" s="145">
        <v>653</v>
      </c>
      <c r="E50" s="167">
        <f t="shared" si="6"/>
        <v>-722</v>
      </c>
      <c r="F50" s="145"/>
      <c r="G50" s="145"/>
      <c r="H50" s="146"/>
    </row>
    <row r="51" spans="1:8" x14ac:dyDescent="0.25">
      <c r="A51" s="330" t="s">
        <v>104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x14ac:dyDescent="0.25">
      <c r="A52" s="330" t="s">
        <v>105</v>
      </c>
      <c r="B52" s="140"/>
      <c r="C52" s="144">
        <v>27</v>
      </c>
      <c r="D52" s="145">
        <v>0</v>
      </c>
      <c r="E52" s="167">
        <f t="shared" si="6"/>
        <v>27</v>
      </c>
      <c r="F52" s="145"/>
      <c r="G52" s="145"/>
      <c r="H52" s="146"/>
    </row>
    <row r="53" spans="1:8" x14ac:dyDescent="0.25">
      <c r="A53" s="330" t="s">
        <v>106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x14ac:dyDescent="0.25">
      <c r="A54" s="330" t="s">
        <v>69</v>
      </c>
      <c r="B54" s="140"/>
      <c r="C54" s="144">
        <v>7865</v>
      </c>
      <c r="D54" s="145">
        <v>6282</v>
      </c>
      <c r="E54" s="167">
        <f t="shared" si="6"/>
        <v>1583</v>
      </c>
      <c r="F54" s="145"/>
      <c r="G54" s="145"/>
      <c r="H54" s="146"/>
    </row>
    <row r="55" spans="1:8" x14ac:dyDescent="0.25">
      <c r="A55" s="330" t="s">
        <v>68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x14ac:dyDescent="0.25">
      <c r="A56" s="330" t="s">
        <v>67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x14ac:dyDescent="0.25">
      <c r="A57" s="330" t="s">
        <v>46</v>
      </c>
      <c r="B57" s="140"/>
      <c r="C57" s="144">
        <v>4151</v>
      </c>
      <c r="D57" s="145">
        <v>0</v>
      </c>
      <c r="E57" s="167">
        <f t="shared" si="6"/>
        <v>4151</v>
      </c>
      <c r="F57" s="145"/>
      <c r="G57" s="145"/>
      <c r="H57" s="146"/>
    </row>
    <row r="58" spans="1:8" x14ac:dyDescent="0.25">
      <c r="A58" s="330" t="s">
        <v>47</v>
      </c>
      <c r="B58" s="140"/>
      <c r="C58" s="144">
        <v>21941</v>
      </c>
      <c r="D58" s="145">
        <v>15210</v>
      </c>
      <c r="E58" s="167">
        <f t="shared" si="6"/>
        <v>6731</v>
      </c>
      <c r="F58" s="145"/>
      <c r="G58" s="145"/>
      <c r="H58" s="146"/>
    </row>
    <row r="59" spans="1:8" x14ac:dyDescent="0.25">
      <c r="A59" s="330" t="s">
        <v>48</v>
      </c>
      <c r="B59" s="140"/>
      <c r="C59" s="144">
        <v>4663</v>
      </c>
      <c r="D59" s="145">
        <v>7109</v>
      </c>
      <c r="E59" s="167">
        <f t="shared" si="6"/>
        <v>-2446</v>
      </c>
      <c r="F59" s="145"/>
      <c r="G59" s="145"/>
      <c r="H59" s="146"/>
    </row>
    <row r="60" spans="1:8" x14ac:dyDescent="0.25">
      <c r="A60" s="330" t="s">
        <v>63</v>
      </c>
      <c r="B60" s="140"/>
      <c r="C60" s="144">
        <f>10110+13980</f>
        <v>24090</v>
      </c>
      <c r="D60" s="145">
        <f>7606+13627</f>
        <v>21233</v>
      </c>
      <c r="E60" s="167">
        <f t="shared" si="6"/>
        <v>2857</v>
      </c>
      <c r="F60" s="145"/>
      <c r="G60" s="145"/>
      <c r="H60" s="146"/>
    </row>
    <row r="61" spans="1:8" x14ac:dyDescent="0.25">
      <c r="A61" s="330" t="s">
        <v>134</v>
      </c>
      <c r="B61" s="140"/>
      <c r="C61" s="144">
        <v>8125</v>
      </c>
      <c r="D61" s="145">
        <v>13372</v>
      </c>
      <c r="E61" s="167">
        <f t="shared" si="6"/>
        <v>-5247</v>
      </c>
      <c r="F61" s="145"/>
      <c r="G61" s="145"/>
      <c r="H61" s="146"/>
    </row>
    <row r="62" spans="1:8" x14ac:dyDescent="0.25">
      <c r="A62" s="330" t="s">
        <v>71</v>
      </c>
      <c r="B62" s="140"/>
      <c r="C62" s="144">
        <v>8204</v>
      </c>
      <c r="D62" s="145">
        <v>32888</v>
      </c>
      <c r="E62" s="167">
        <f t="shared" si="6"/>
        <v>-24684</v>
      </c>
      <c r="F62" s="145"/>
      <c r="G62" s="145"/>
      <c r="H62" s="146"/>
    </row>
    <row r="63" spans="1:8" x14ac:dyDescent="0.25">
      <c r="A63" s="330" t="s">
        <v>73</v>
      </c>
      <c r="B63" s="140"/>
      <c r="C63" s="144">
        <f t="shared" si="7"/>
        <v>0</v>
      </c>
      <c r="D63" s="145">
        <v>0</v>
      </c>
      <c r="E63" s="167">
        <f t="shared" si="6"/>
        <v>0</v>
      </c>
      <c r="F63" s="145"/>
      <c r="G63" s="145"/>
      <c r="H63" s="146"/>
    </row>
    <row r="64" spans="1:8" x14ac:dyDescent="0.25">
      <c r="A64" s="332" t="s">
        <v>129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x14ac:dyDescent="0.25">
      <c r="A65" s="332" t="s">
        <v>125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x14ac:dyDescent="0.25">
      <c r="A66" s="332" t="s">
        <v>11</v>
      </c>
      <c r="B66" s="140"/>
      <c r="C66" s="144">
        <f t="shared" si="7"/>
        <v>0</v>
      </c>
      <c r="D66" s="145">
        <v>0</v>
      </c>
      <c r="E66" s="167">
        <f>C66-D66</f>
        <v>0</v>
      </c>
      <c r="F66" s="145"/>
      <c r="G66" s="145"/>
      <c r="H66" s="146"/>
    </row>
    <row r="67" spans="1:8" s="160" customFormat="1" x14ac:dyDescent="0.25">
      <c r="A67" s="96" t="s">
        <v>12</v>
      </c>
      <c r="B67" s="331"/>
      <c r="C67" s="161">
        <f>SUM(C48:C66)+C46+C38+C27+C19</f>
        <v>84682</v>
      </c>
      <c r="D67" s="162">
        <f>SUM(D48:D66)+D46+D38+D27+D19</f>
        <v>103799</v>
      </c>
      <c r="E67" s="168">
        <f>SUM(E48:E66)+E46+E38+E27+E19</f>
        <v>-19117</v>
      </c>
      <c r="F67" s="162"/>
      <c r="G67" s="162"/>
      <c r="H67" s="163"/>
    </row>
    <row r="68" spans="1:8" ht="6.75" customHeight="1" x14ac:dyDescent="0.25">
      <c r="A68" s="332"/>
      <c r="B68" s="140"/>
      <c r="C68" s="144"/>
      <c r="D68" s="145"/>
      <c r="E68" s="167"/>
      <c r="F68" s="145"/>
      <c r="G68" s="145"/>
      <c r="H68" s="146"/>
    </row>
    <row r="69" spans="1:8" x14ac:dyDescent="0.25">
      <c r="A69" s="332" t="s">
        <v>19</v>
      </c>
      <c r="B69" s="140"/>
      <c r="C69" s="144">
        <v>0</v>
      </c>
      <c r="D69" s="145">
        <v>0</v>
      </c>
      <c r="E69" s="167">
        <f>C69-D69</f>
        <v>0</v>
      </c>
      <c r="F69" s="145"/>
      <c r="G69" s="145"/>
      <c r="H69" s="146"/>
    </row>
    <row r="70" spans="1:8" x14ac:dyDescent="0.25">
      <c r="A70" s="332" t="s">
        <v>115</v>
      </c>
      <c r="B70" s="140"/>
      <c r="C70" s="144">
        <f>-C67</f>
        <v>-84682</v>
      </c>
      <c r="D70" s="145">
        <f>-D67</f>
        <v>-103799</v>
      </c>
      <c r="E70" s="167">
        <f>-E67</f>
        <v>19117</v>
      </c>
      <c r="F70" s="145"/>
      <c r="G70" s="145"/>
      <c r="H70" s="146"/>
    </row>
    <row r="71" spans="1:8" s="160" customFormat="1" x14ac:dyDescent="0.25">
      <c r="A71" s="96" t="s">
        <v>128</v>
      </c>
      <c r="B71" s="331"/>
      <c r="C71" s="161">
        <f>SUM(C69:C70)+C67</f>
        <v>0</v>
      </c>
      <c r="D71" s="162">
        <f>SUM(D69:D70)+D67</f>
        <v>0</v>
      </c>
      <c r="E71" s="168">
        <f>SUM(E69:E70)+E67</f>
        <v>0</v>
      </c>
      <c r="F71" s="162"/>
      <c r="G71" s="162"/>
      <c r="H71" s="163"/>
    </row>
    <row r="72" spans="1:8" x14ac:dyDescent="0.25">
      <c r="A72" s="332" t="s">
        <v>15</v>
      </c>
      <c r="B72" s="140"/>
      <c r="C72" s="144">
        <v>0</v>
      </c>
      <c r="D72" s="145">
        <v>0</v>
      </c>
      <c r="E72" s="167">
        <v>0</v>
      </c>
      <c r="F72" s="145"/>
      <c r="G72" s="145"/>
      <c r="H72" s="146"/>
    </row>
    <row r="73" spans="1:8" s="160" customFormat="1" x14ac:dyDescent="0.25">
      <c r="A73" s="96" t="s">
        <v>98</v>
      </c>
      <c r="B73" s="333"/>
      <c r="C73" s="161">
        <f>C71+C72</f>
        <v>0</v>
      </c>
      <c r="D73" s="162">
        <f>D71+D72</f>
        <v>0</v>
      </c>
      <c r="E73" s="168">
        <f>E71+E72</f>
        <v>0</v>
      </c>
      <c r="F73" s="162"/>
      <c r="G73" s="162"/>
      <c r="H73" s="163"/>
    </row>
    <row r="74" spans="1:8" x14ac:dyDescent="0.25">
      <c r="C74" s="148"/>
      <c r="D74" s="148"/>
      <c r="E74" s="148"/>
      <c r="F74" s="148"/>
      <c r="G74" s="148"/>
      <c r="H74" s="148"/>
    </row>
    <row r="75" spans="1:8" hidden="1" x14ac:dyDescent="0.25">
      <c r="A75" t="s">
        <v>113</v>
      </c>
      <c r="C75" s="148"/>
      <c r="D75" s="148">
        <f>40112</f>
        <v>40112</v>
      </c>
      <c r="E75" s="148" t="s">
        <v>118</v>
      </c>
      <c r="F75" s="148"/>
      <c r="G75" s="148"/>
      <c r="H75" s="148"/>
    </row>
    <row r="76" spans="1:8" hidden="1" x14ac:dyDescent="0.25">
      <c r="A76" t="s">
        <v>117</v>
      </c>
      <c r="C76" s="148"/>
      <c r="D76" s="148">
        <f>D67+D75</f>
        <v>143911</v>
      </c>
      <c r="E76" s="148"/>
      <c r="F76" s="148"/>
      <c r="G76" s="148"/>
      <c r="H76" s="148"/>
    </row>
    <row r="77" spans="1:8" hidden="1" x14ac:dyDescent="0.25">
      <c r="A77" t="s">
        <v>124</v>
      </c>
      <c r="C77" s="148"/>
      <c r="D77" s="148">
        <v>81259</v>
      </c>
      <c r="E77" s="148"/>
      <c r="F77" s="148"/>
      <c r="G77" s="148"/>
      <c r="H77" s="148"/>
    </row>
    <row r="78" spans="1:8" hidden="1" x14ac:dyDescent="0.25">
      <c r="C78" s="148"/>
      <c r="D78" s="148"/>
      <c r="E78" s="148"/>
      <c r="F78" s="148"/>
      <c r="G78" s="148"/>
      <c r="H78" s="148"/>
    </row>
    <row r="79" spans="1:8" x14ac:dyDescent="0.25">
      <c r="C79" s="148"/>
      <c r="D79" s="148"/>
      <c r="E79" s="148"/>
      <c r="F79" s="148"/>
      <c r="G79" s="148"/>
      <c r="H79" s="148"/>
    </row>
    <row r="90" spans="15:16" x14ac:dyDescent="0.25">
      <c r="O90">
        <f>C90-G90-K90</f>
        <v>0</v>
      </c>
      <c r="P90">
        <f>D90-H90-L90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6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6"/>
  <sheetViews>
    <sheetView workbookViewId="0">
      <pane ySplit="8" topLeftCell="A9" activePane="bottomLeft" state="frozen"/>
      <selection activeCell="A95" sqref="A95:IV116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216" customWidth="1"/>
    <col min="8" max="8" width="9" style="216" customWidth="1"/>
    <col min="9" max="9" width="8.6640625" style="216" customWidth="1"/>
    <col min="10" max="10" width="1" style="216" customWidth="1"/>
    <col min="11" max="12" width="8.6640625" style="216" customWidth="1"/>
    <col min="13" max="13" width="8.88671875" style="216" customWidth="1"/>
    <col min="14" max="14" width="0.88671875" style="216" customWidth="1"/>
    <col min="15" max="17" width="8.6640625" style="216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5" t="s">
        <v>147</v>
      </c>
      <c r="M2" s="355"/>
      <c r="N2" s="355"/>
      <c r="O2" s="355"/>
      <c r="P2" s="355"/>
      <c r="Q2" s="355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157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46" t="s">
        <v>0</v>
      </c>
      <c r="D6" s="347"/>
      <c r="E6" s="348"/>
      <c r="F6" s="94"/>
      <c r="G6" s="352" t="s">
        <v>121</v>
      </c>
      <c r="H6" s="353"/>
      <c r="I6" s="354"/>
      <c r="J6" s="94"/>
      <c r="K6" s="352" t="s">
        <v>122</v>
      </c>
      <c r="L6" s="353"/>
      <c r="M6" s="354"/>
      <c r="N6" s="94"/>
      <c r="O6" s="352" t="s">
        <v>1</v>
      </c>
      <c r="P6" s="353"/>
      <c r="Q6" s="354"/>
    </row>
    <row r="7" spans="1:26" s="8" customFormat="1" ht="14.25" customHeight="1" thickBot="1" x14ac:dyDescent="0.35">
      <c r="A7" s="248" t="s">
        <v>2</v>
      </c>
      <c r="B7" s="9"/>
      <c r="C7" s="359"/>
      <c r="D7" s="360"/>
      <c r="E7" s="361"/>
      <c r="F7" s="9"/>
      <c r="G7" s="356" t="s">
        <v>114</v>
      </c>
      <c r="H7" s="357"/>
      <c r="I7" s="358"/>
      <c r="J7" s="9"/>
      <c r="K7" s="356" t="s">
        <v>123</v>
      </c>
      <c r="L7" s="357"/>
      <c r="M7" s="358"/>
      <c r="N7" s="9"/>
      <c r="O7" s="356"/>
      <c r="P7" s="357"/>
      <c r="Q7" s="358"/>
    </row>
    <row r="8" spans="1:26" ht="18" customHeight="1" thickBot="1" x14ac:dyDescent="0.35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">
      <c r="A10" s="11" t="str">
        <f>'QTD Mgmt Summary'!A10</f>
        <v xml:space="preserve">    ERCOT (Smith/Tingleaf)</v>
      </c>
      <c r="B10" s="17"/>
      <c r="C10" s="153">
        <f>'QTD Mgmt Summary'!C10+'[3]QTD Mgmt Summary'!C9</f>
        <v>6002</v>
      </c>
      <c r="D10" s="154">
        <v>35000</v>
      </c>
      <c r="E10" s="295">
        <f t="shared" ref="E10:E20" si="0">-D10+C10</f>
        <v>-28998</v>
      </c>
      <c r="F10" s="23"/>
      <c r="G10" s="240">
        <f>'QTD Mgmt Summary'!G10+'[3]QTD Mgmt Summary'!G9</f>
        <v>1674</v>
      </c>
      <c r="H10" s="240">
        <v>3958</v>
      </c>
      <c r="I10" s="293">
        <f t="shared" ref="I10:I20" si="1">G10-H10</f>
        <v>-2284</v>
      </c>
      <c r="J10" s="9"/>
      <c r="K10" s="296">
        <f>'QTD Mgmt Summary'!K10+'[3]QTD Mgmt Summary'!K9</f>
        <v>0</v>
      </c>
      <c r="L10" s="297">
        <f>CapChrg!D8</f>
        <v>0</v>
      </c>
      <c r="M10" s="293">
        <f t="shared" ref="M10:M20" si="2">K10-L10</f>
        <v>0</v>
      </c>
      <c r="N10" s="203"/>
      <c r="O10" s="195">
        <f t="shared" ref="O10:O20" si="3">C10-G10-K10</f>
        <v>4328</v>
      </c>
      <c r="P10" s="196">
        <f>(D10-H10-L10)</f>
        <v>31042</v>
      </c>
      <c r="Q10" s="200">
        <f t="shared" ref="Q10:Q20" si="4">O10-P10</f>
        <v>-26714</v>
      </c>
    </row>
    <row r="11" spans="1:26" s="18" customFormat="1" ht="12.75" customHeight="1" x14ac:dyDescent="0.2">
      <c r="A11" s="11" t="str">
        <f>'QTD Mgmt Summary'!A11</f>
        <v xml:space="preserve">    Southeast (Herndon/Kroll)</v>
      </c>
      <c r="B11" s="19"/>
      <c r="C11" s="240">
        <f>'QTD Mgmt Summary'!C11+'[3]QTD Mgmt Summary'!C10</f>
        <v>16176</v>
      </c>
      <c r="D11" s="240">
        <v>80000</v>
      </c>
      <c r="E11" s="294">
        <f t="shared" si="0"/>
        <v>-63824</v>
      </c>
      <c r="F11" s="23"/>
      <c r="G11" s="240">
        <f>'QTD Mgmt Summary'!G11+'[3]QTD Mgmt Summary'!G10</f>
        <v>2476</v>
      </c>
      <c r="H11" s="240">
        <v>5685</v>
      </c>
      <c r="I11" s="293">
        <f t="shared" si="1"/>
        <v>-3209</v>
      </c>
      <c r="J11" s="9"/>
      <c r="K11" s="296">
        <f>'QTD Mgmt Summary'!K11+'[3]QTD Mgmt Summary'!K10</f>
        <v>85</v>
      </c>
      <c r="L11" s="297">
        <f>CapChrg!D9</f>
        <v>0</v>
      </c>
      <c r="M11" s="293">
        <f t="shared" si="2"/>
        <v>85</v>
      </c>
      <c r="N11" s="203"/>
      <c r="O11" s="201">
        <f t="shared" si="3"/>
        <v>13615</v>
      </c>
      <c r="P11" s="202">
        <f t="shared" ref="P11:P20" si="5">D11-H11-L11</f>
        <v>74315</v>
      </c>
      <c r="Q11" s="198">
        <f t="shared" si="4"/>
        <v>-60700</v>
      </c>
    </row>
    <row r="12" spans="1:26" ht="12" customHeight="1" x14ac:dyDescent="0.2">
      <c r="A12" s="11" t="str">
        <f>'QTD Mgmt Summary'!A12</f>
        <v xml:space="preserve">    Midwest (Sturm/Baughman)</v>
      </c>
      <c r="B12" s="20"/>
      <c r="C12" s="240">
        <f>'QTD Mgmt Summary'!C12+'[3]QTD Mgmt Summary'!C11</f>
        <v>64052</v>
      </c>
      <c r="D12" s="240">
        <v>80000</v>
      </c>
      <c r="E12" s="294">
        <f t="shared" si="0"/>
        <v>-15948</v>
      </c>
      <c r="F12" s="23"/>
      <c r="G12" s="240">
        <f>'QTD Mgmt Summary'!G12+'[3]QTD Mgmt Summary'!G11</f>
        <v>2249</v>
      </c>
      <c r="H12" s="240">
        <v>6076</v>
      </c>
      <c r="I12" s="293">
        <f t="shared" si="1"/>
        <v>-3827</v>
      </c>
      <c r="J12" s="9"/>
      <c r="K12" s="296">
        <f>'QTD Mgmt Summary'!K12+'[3]QTD Mgmt Summary'!K11</f>
        <v>0</v>
      </c>
      <c r="L12" s="297">
        <f>CapChrg!D10</f>
        <v>0</v>
      </c>
      <c r="M12" s="293">
        <f t="shared" si="2"/>
        <v>0</v>
      </c>
      <c r="N12" s="203"/>
      <c r="O12" s="201">
        <f t="shared" si="3"/>
        <v>61803</v>
      </c>
      <c r="P12" s="202">
        <f t="shared" si="5"/>
        <v>73924</v>
      </c>
      <c r="Q12" s="198">
        <f t="shared" si="4"/>
        <v>-12121</v>
      </c>
    </row>
    <row r="13" spans="1:26" ht="12" customHeight="1" x14ac:dyDescent="0.2">
      <c r="A13" s="11" t="str">
        <f>'QTD Mgmt Summary'!A13</f>
        <v xml:space="preserve">    Northeast (Davis)</v>
      </c>
      <c r="B13" s="20"/>
      <c r="C13" s="240">
        <f>'QTD Mgmt Summary'!C13+'[3]QTD Mgmt Summary'!C12</f>
        <v>99516</v>
      </c>
      <c r="D13" s="240">
        <v>80000</v>
      </c>
      <c r="E13" s="294">
        <f t="shared" si="0"/>
        <v>19516</v>
      </c>
      <c r="F13" s="23"/>
      <c r="G13" s="240">
        <f>'QTD Mgmt Summary'!G13+'[3]QTD Mgmt Summary'!G12</f>
        <v>3124</v>
      </c>
      <c r="H13" s="240">
        <v>7414</v>
      </c>
      <c r="I13" s="293">
        <f t="shared" si="1"/>
        <v>-4290</v>
      </c>
      <c r="J13" s="9"/>
      <c r="K13" s="296">
        <f>'QTD Mgmt Summary'!K13+'[3]QTD Mgmt Summary'!K12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96392</v>
      </c>
      <c r="P13" s="202">
        <f t="shared" si="5"/>
        <v>72586</v>
      </c>
      <c r="Q13" s="198">
        <f t="shared" si="4"/>
        <v>23806</v>
      </c>
    </row>
    <row r="14" spans="1:26" ht="12" customHeight="1" x14ac:dyDescent="0.2">
      <c r="A14" s="11" t="str">
        <f>'QTD Mgmt Summary'!A14</f>
        <v xml:space="preserve">    Management Book (Presto)</v>
      </c>
      <c r="B14" s="20"/>
      <c r="C14" s="240">
        <f>'QTD Mgmt Summary'!C14+'[3]QTD Mgmt Summary'!C13</f>
        <v>23693</v>
      </c>
      <c r="D14" s="240">
        <v>25000</v>
      </c>
      <c r="E14" s="294">
        <f t="shared" si="0"/>
        <v>-1307</v>
      </c>
      <c r="F14" s="23"/>
      <c r="G14" s="240">
        <f>'QTD Mgmt Summary'!G14+'[3]QTD Mgmt Summary'!G13</f>
        <v>5733</v>
      </c>
      <c r="H14" s="240">
        <v>10292</v>
      </c>
      <c r="I14" s="293">
        <f t="shared" si="1"/>
        <v>-4559</v>
      </c>
      <c r="J14" s="9"/>
      <c r="K14" s="296">
        <f>'QTD Mgmt Summary'!K14+'[3]QTD Mgmt Summary'!K13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17960</v>
      </c>
      <c r="P14" s="202">
        <f t="shared" si="5"/>
        <v>14708</v>
      </c>
      <c r="Q14" s="198">
        <f t="shared" si="4"/>
        <v>3252</v>
      </c>
    </row>
    <row r="15" spans="1:26" ht="12" customHeight="1" x14ac:dyDescent="0.2">
      <c r="A15" s="11" t="str">
        <f>'QTD Mgmt Summary'!A15</f>
        <v xml:space="preserve">    Options (Arrora)</v>
      </c>
      <c r="B15" s="20"/>
      <c r="C15" s="240">
        <f>'QTD Mgmt Summary'!C15</f>
        <v>4743</v>
      </c>
      <c r="D15" s="240">
        <v>0</v>
      </c>
      <c r="E15" s="294">
        <f t="shared" si="0"/>
        <v>4743</v>
      </c>
      <c r="F15" s="23"/>
      <c r="G15" s="240">
        <f>'QTD Mgmt Summary'!G15</f>
        <v>0</v>
      </c>
      <c r="H15" s="240">
        <f>Expenses!D13+Expenses!H14</f>
        <v>0</v>
      </c>
      <c r="I15" s="293">
        <f t="shared" si="1"/>
        <v>0</v>
      </c>
      <c r="J15" s="9"/>
      <c r="K15" s="296">
        <f>'QTD Mgmt Summary'!K15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4743</v>
      </c>
      <c r="P15" s="202">
        <f t="shared" si="5"/>
        <v>0</v>
      </c>
      <c r="Q15" s="198">
        <f t="shared" si="4"/>
        <v>4743</v>
      </c>
    </row>
    <row r="16" spans="1:26" ht="12" customHeight="1" x14ac:dyDescent="0.2">
      <c r="A16" s="11" t="str">
        <f>'QTD Mgmt Summary'!A16</f>
        <v xml:space="preserve">    Services (Will)</v>
      </c>
      <c r="B16" s="20"/>
      <c r="C16" s="240">
        <f>'QTD Mgmt Summary'!C16</f>
        <v>0</v>
      </c>
      <c r="D16" s="240">
        <v>0</v>
      </c>
      <c r="E16" s="294">
        <f t="shared" si="0"/>
        <v>0</v>
      </c>
      <c r="F16" s="23"/>
      <c r="G16" s="240">
        <f>'QTD Mgmt Summary'!G16</f>
        <v>0</v>
      </c>
      <c r="H16" s="240">
        <f>Expenses!D14+Expenses!H15</f>
        <v>0</v>
      </c>
      <c r="I16" s="293">
        <f t="shared" si="1"/>
        <v>0</v>
      </c>
      <c r="J16" s="9"/>
      <c r="K16" s="296">
        <f>'QTD Mgmt Summary'!K16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5"/>
        <v>0</v>
      </c>
      <c r="Q16" s="198">
        <f t="shared" si="4"/>
        <v>0</v>
      </c>
    </row>
    <row r="17" spans="1:17" ht="12" customHeight="1" x14ac:dyDescent="0.2">
      <c r="A17" s="11" t="str">
        <f>'QTD Mgmt Summary'!A17</f>
        <v xml:space="preserve">    New Albany (Presto)   </v>
      </c>
      <c r="B17" s="20"/>
      <c r="C17" s="240">
        <f>'QTD Mgmt Summary'!C17+'[3]QTD Mgmt Summary'!C14</f>
        <v>-8229</v>
      </c>
      <c r="D17" s="240">
        <v>-20000</v>
      </c>
      <c r="E17" s="294">
        <f t="shared" si="0"/>
        <v>11771</v>
      </c>
      <c r="F17" s="23"/>
      <c r="G17" s="240">
        <f>'QTD Mgmt Summary'!G17+'[3]QTD Mgmt Summary'!G14</f>
        <v>297</v>
      </c>
      <c r="H17" s="240">
        <v>624</v>
      </c>
      <c r="I17" s="293">
        <f t="shared" si="1"/>
        <v>-327</v>
      </c>
      <c r="J17" s="9"/>
      <c r="K17" s="296">
        <f>'QTD Mgmt Summary'!K17+'[3]QTD Mgmt Summary'!K14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-8526</v>
      </c>
      <c r="P17" s="202">
        <f t="shared" si="5"/>
        <v>-20624</v>
      </c>
      <c r="Q17" s="198">
        <f t="shared" si="4"/>
        <v>12098</v>
      </c>
    </row>
    <row r="18" spans="1:17" ht="12" customHeight="1" x14ac:dyDescent="0.2">
      <c r="A18" s="11" t="str">
        <f>'QTD Mgmt Summary'!A18</f>
        <v xml:space="preserve">    Development (Jacoby)</v>
      </c>
      <c r="B18" s="20"/>
      <c r="C18" s="240">
        <f>'QTD Mgmt Summary'!C18+'[3]QTD Mgmt Summary'!C15</f>
        <v>10474</v>
      </c>
      <c r="D18" s="240">
        <v>24000</v>
      </c>
      <c r="E18" s="294">
        <f t="shared" si="0"/>
        <v>-13526</v>
      </c>
      <c r="F18" s="23"/>
      <c r="G18" s="240">
        <f>'QTD Mgmt Summary'!G18+'[3]QTD Mgmt Summary'!G15</f>
        <v>4104</v>
      </c>
      <c r="H18" s="240">
        <v>8384</v>
      </c>
      <c r="I18" s="293">
        <f t="shared" si="1"/>
        <v>-4280</v>
      </c>
      <c r="J18" s="9"/>
      <c r="K18" s="296">
        <f>'QTD Mgmt Summary'!K18+'[3]QTD Mgmt Summary'!K15</f>
        <v>49</v>
      </c>
      <c r="L18" s="202">
        <f>CapChrg!D16</f>
        <v>236</v>
      </c>
      <c r="M18" s="293">
        <f t="shared" si="2"/>
        <v>-187</v>
      </c>
      <c r="N18" s="203"/>
      <c r="O18" s="201">
        <f t="shared" si="3"/>
        <v>6321</v>
      </c>
      <c r="P18" s="202">
        <f t="shared" si="5"/>
        <v>15380</v>
      </c>
      <c r="Q18" s="198">
        <f t="shared" si="4"/>
        <v>-9059</v>
      </c>
    </row>
    <row r="19" spans="1:17" ht="12" customHeight="1" x14ac:dyDescent="0.2">
      <c r="A19" s="11" t="str">
        <f>'QTD Mgmt Summary'!A19</f>
        <v xml:space="preserve">    Structuring (Meyn)</v>
      </c>
      <c r="B19" s="20"/>
      <c r="C19" s="323">
        <f>'QTD Mgmt Summary'!C19+'[3]QTD Mgmt Summary'!C16</f>
        <v>0</v>
      </c>
      <c r="D19" s="298">
        <v>0</v>
      </c>
      <c r="E19" s="294">
        <f t="shared" si="0"/>
        <v>0</v>
      </c>
      <c r="F19" s="23"/>
      <c r="G19" s="240">
        <f>'QTD Mgmt Summary'!G19+'[3]QTD Mgmt Summary'!G16</f>
        <v>1156</v>
      </c>
      <c r="H19" s="240">
        <v>2783</v>
      </c>
      <c r="I19" s="293">
        <f t="shared" si="1"/>
        <v>-1627</v>
      </c>
      <c r="J19" s="9"/>
      <c r="K19" s="296">
        <f>'QTD Mgmt Summary'!K19+'[3]QTD Mgmt Summary'!K16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-1156</v>
      </c>
      <c r="P19" s="202">
        <f t="shared" si="5"/>
        <v>-2783</v>
      </c>
      <c r="Q19" s="198">
        <f t="shared" si="4"/>
        <v>1627</v>
      </c>
    </row>
    <row r="20" spans="1:17" ht="12" customHeight="1" x14ac:dyDescent="0.2">
      <c r="A20" s="11" t="str">
        <f>'QTD Mgmt Summary'!A20</f>
        <v xml:space="preserve">    Fundamentals (Will)</v>
      </c>
      <c r="B20" s="20"/>
      <c r="C20" s="325">
        <f>'QTD Mgmt Summary'!C20+'[3]QTD Mgmt Summary'!C17</f>
        <v>0</v>
      </c>
      <c r="D20" s="298">
        <f>GrossMargin!M18</f>
        <v>0</v>
      </c>
      <c r="E20" s="294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3">
        <f t="shared" si="1"/>
        <v>-1540</v>
      </c>
      <c r="J20" s="9"/>
      <c r="K20" s="296">
        <f>'QTD Mgmt Summary'!K20+'[3]QTD Mgmt Summary'!K17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">
      <c r="A21" s="96" t="s">
        <v>7</v>
      </c>
      <c r="B21" s="329"/>
      <c r="C21" s="27">
        <f>SUM(C9:C20)</f>
        <v>216427</v>
      </c>
      <c r="D21" s="27">
        <f>SUM(D9:D20)</f>
        <v>304000</v>
      </c>
      <c r="E21" s="28">
        <f>SUM(E9:E20)</f>
        <v>-87573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134</v>
      </c>
      <c r="L21" s="205">
        <f>SUM(L10:L20)</f>
        <v>236</v>
      </c>
      <c r="M21" s="206">
        <f>SUM(M10:M20)</f>
        <v>-102</v>
      </c>
      <c r="N21" s="207"/>
      <c r="O21" s="204">
        <f>SUM(O10:O20)</f>
        <v>194063</v>
      </c>
      <c r="P21" s="205">
        <f>SUM(P10:P20)</f>
        <v>255591</v>
      </c>
      <c r="Q21" s="206">
        <f>SUM(Q10:Q20)</f>
        <v>-61528</v>
      </c>
    </row>
    <row r="22" spans="1:17" ht="7.5" customHeight="1" x14ac:dyDescent="0.2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13443</v>
      </c>
      <c r="D23" s="240">
        <v>70000</v>
      </c>
      <c r="E23" s="294">
        <f t="shared" ref="E23:E28" si="6">-D23+C23</f>
        <v>-56557</v>
      </c>
      <c r="F23" s="23"/>
      <c r="G23" s="240">
        <f>'QTD Mgmt Summary'!G23+'[3]QTD Mgmt Summary'!G20</f>
        <v>3388</v>
      </c>
      <c r="H23" s="240">
        <v>6479</v>
      </c>
      <c r="I23" s="293">
        <f t="shared" ref="I23:I28" si="7">G23-H23</f>
        <v>-3091</v>
      </c>
      <c r="J23" s="9"/>
      <c r="K23" s="240">
        <f>'QTD Mgmt Summary'!K23+'[3]QTD Mgmt Summary'!K20</f>
        <v>1074</v>
      </c>
      <c r="L23" s="202">
        <v>3000</v>
      </c>
      <c r="M23" s="293">
        <f t="shared" ref="M23:M28" si="8">K23-L23</f>
        <v>-1926</v>
      </c>
      <c r="N23" s="203"/>
      <c r="O23" s="201">
        <f t="shared" ref="O23:P28" si="9">C23-G23-K23</f>
        <v>8981</v>
      </c>
      <c r="P23" s="202">
        <f t="shared" si="9"/>
        <v>60521</v>
      </c>
      <c r="Q23" s="198">
        <f t="shared" ref="Q23:Q28" si="10">O23-P23</f>
        <v>-51540</v>
      </c>
    </row>
    <row r="24" spans="1:17" ht="14.25" customHeight="1" x14ac:dyDescent="0.2">
      <c r="A24" s="11" t="str">
        <f>'QTD Mgmt Summary'!A24</f>
        <v xml:space="preserve">    Executive (Calger)</v>
      </c>
      <c r="B24" s="9"/>
      <c r="C24" s="21">
        <f>'QTD Mgmt Summary'!C24</f>
        <v>1700</v>
      </c>
      <c r="D24" s="240">
        <v>14000</v>
      </c>
      <c r="E24" s="294">
        <f t="shared" si="6"/>
        <v>-12300</v>
      </c>
      <c r="F24" s="23"/>
      <c r="G24" s="240">
        <f>'QTD Mgmt Summary'!G24</f>
        <v>354</v>
      </c>
      <c r="H24" s="240">
        <v>1415</v>
      </c>
      <c r="I24" s="293">
        <f t="shared" si="7"/>
        <v>-1061</v>
      </c>
      <c r="J24" s="9"/>
      <c r="K24" s="240">
        <f>'QTD Mgmt Summary'!K24</f>
        <v>0</v>
      </c>
      <c r="L24" s="202">
        <v>0</v>
      </c>
      <c r="M24" s="293">
        <f t="shared" si="8"/>
        <v>0</v>
      </c>
      <c r="N24" s="203"/>
      <c r="O24" s="201">
        <f t="shared" si="9"/>
        <v>1346</v>
      </c>
      <c r="P24" s="202">
        <f t="shared" si="9"/>
        <v>12585</v>
      </c>
      <c r="Q24" s="198">
        <f t="shared" si="10"/>
        <v>-11239</v>
      </c>
    </row>
    <row r="25" spans="1:17" ht="14.25" customHeight="1" x14ac:dyDescent="0.2">
      <c r="A25" s="11" t="str">
        <f>'QTD Mgmt Summary'!A25</f>
        <v xml:space="preserve">    Generation (Parquet)</v>
      </c>
      <c r="B25" s="9"/>
      <c r="C25" s="21">
        <f>'QTD Mgmt Summary'!C25+'[3]QTD Mgmt Summary'!C22+'[3]QTD Mgmt Summary'!$C$21</f>
        <v>30701</v>
      </c>
      <c r="D25" s="240">
        <v>46000</v>
      </c>
      <c r="E25" s="294">
        <f t="shared" si="6"/>
        <v>-15299</v>
      </c>
      <c r="F25" s="23"/>
      <c r="G25" s="240">
        <f>'QTD Mgmt Summary'!G25+'[3]QTD Mgmt Summary'!G22+'[3]QTD Mgmt Summary'!$G$21</f>
        <v>3216</v>
      </c>
      <c r="H25" s="240">
        <v>8342</v>
      </c>
      <c r="I25" s="293">
        <f t="shared" si="7"/>
        <v>-5126</v>
      </c>
      <c r="J25" s="9"/>
      <c r="K25" s="240">
        <f>'QTD Mgmt Summary'!K25+'[3]QTD Mgmt Summary'!K22+'[3]QTD Mgmt Summary'!$K$21</f>
        <v>4524</v>
      </c>
      <c r="L25" s="202">
        <v>14000</v>
      </c>
      <c r="M25" s="293">
        <f t="shared" si="8"/>
        <v>-9476</v>
      </c>
      <c r="N25" s="203"/>
      <c r="O25" s="201">
        <f t="shared" si="9"/>
        <v>22961</v>
      </c>
      <c r="P25" s="202">
        <f t="shared" si="9"/>
        <v>23658</v>
      </c>
      <c r="Q25" s="198">
        <f t="shared" si="10"/>
        <v>-697</v>
      </c>
    </row>
    <row r="26" spans="1:17" ht="14.25" customHeight="1" x14ac:dyDescent="0.2">
      <c r="A26" s="11" t="str">
        <f>'QTD Mgmt Summary'!A26</f>
        <v xml:space="preserve">    Trading (Belden)</v>
      </c>
      <c r="B26" s="9"/>
      <c r="C26" s="21">
        <f>'QTD Mgmt Summary'!C26+'[3]QTD Mgmt Summary'!C23</f>
        <v>463132</v>
      </c>
      <c r="D26" s="240">
        <v>250000</v>
      </c>
      <c r="E26" s="294">
        <f t="shared" si="6"/>
        <v>213132</v>
      </c>
      <c r="F26" s="23"/>
      <c r="G26" s="240">
        <f>'QTD Mgmt Summary'!G26+'[3]QTD Mgmt Summary'!G23</f>
        <v>6821</v>
      </c>
      <c r="H26" s="240">
        <v>10632</v>
      </c>
      <c r="I26" s="293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456311</v>
      </c>
      <c r="P26" s="202">
        <f t="shared" si="9"/>
        <v>239368</v>
      </c>
      <c r="Q26" s="198">
        <f t="shared" si="10"/>
        <v>216943</v>
      </c>
    </row>
    <row r="27" spans="1:17" ht="14.25" customHeight="1" x14ac:dyDescent="0.2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27047</v>
      </c>
      <c r="D27" s="240">
        <v>50000</v>
      </c>
      <c r="E27" s="294">
        <f t="shared" si="6"/>
        <v>-22953</v>
      </c>
      <c r="F27" s="23"/>
      <c r="G27" s="240">
        <f>'QTD Mgmt Summary'!G27+'[3]QTD Mgmt Summary'!G24</f>
        <v>784</v>
      </c>
      <c r="H27" s="240">
        <v>1719</v>
      </c>
      <c r="I27" s="293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26263</v>
      </c>
      <c r="P27" s="202">
        <f t="shared" si="9"/>
        <v>48281</v>
      </c>
      <c r="Q27" s="198">
        <f t="shared" si="10"/>
        <v>-22018</v>
      </c>
    </row>
    <row r="28" spans="1:17" ht="14.25" customHeight="1" x14ac:dyDescent="0.2">
      <c r="A28" s="11" t="str">
        <f>'QTD Mgmt Summary'!A28</f>
        <v xml:space="preserve">    Fundamentals (Heizenreiker)</v>
      </c>
      <c r="B28" s="9"/>
      <c r="C28" s="247">
        <f>'QTD Mgmt Summary'!C28+'[3]QTD Mgmt Summary'!C25</f>
        <v>0</v>
      </c>
      <c r="D28" s="300">
        <f>GrossMargin!M26</f>
        <v>0</v>
      </c>
      <c r="E28" s="301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3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">
      <c r="A29" s="25" t="s">
        <v>8</v>
      </c>
      <c r="B29" s="155"/>
      <c r="C29" s="26">
        <f>SUM(C23:C28)</f>
        <v>536023</v>
      </c>
      <c r="D29" s="27">
        <f>SUM(D23:D28)</f>
        <v>430000</v>
      </c>
      <c r="E29" s="28">
        <f>SUM(E23:E28)</f>
        <v>106023</v>
      </c>
      <c r="F29" s="156"/>
      <c r="G29" s="204">
        <f>SUM(G23:G28)</f>
        <v>15008</v>
      </c>
      <c r="H29" s="205">
        <f>SUM(H23:H28)</f>
        <v>29667</v>
      </c>
      <c r="I29" s="205">
        <f>SUM(I23:I28)</f>
        <v>-14659</v>
      </c>
      <c r="J29" s="9"/>
      <c r="K29" s="205">
        <f>SUM(K23:K28)</f>
        <v>5598</v>
      </c>
      <c r="L29" s="205">
        <f>SUM(L23:L28)</f>
        <v>17000</v>
      </c>
      <c r="M29" s="206">
        <f>SUM(M23:M28)</f>
        <v>-11402</v>
      </c>
      <c r="N29" s="207"/>
      <c r="O29" s="204">
        <f>SUM(O23:O28)</f>
        <v>515417</v>
      </c>
      <c r="P29" s="205">
        <f>SUM(P23:P28)</f>
        <v>383333</v>
      </c>
      <c r="Q29" s="206">
        <f>SUM(Q23:Q28)</f>
        <v>132084</v>
      </c>
    </row>
    <row r="30" spans="1:17" ht="7.5" customHeight="1" x14ac:dyDescent="0.2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">
      <c r="A31" s="11" t="s">
        <v>34</v>
      </c>
      <c r="B31" s="9"/>
      <c r="C31" s="21">
        <f>'QTD Mgmt Summary'!C31+'[3]QTD Mgmt Summary'!C28</f>
        <v>-20263</v>
      </c>
      <c r="D31" s="240">
        <v>126000</v>
      </c>
      <c r="E31" s="294">
        <f t="shared" ref="E31:E39" si="11">-D31+C31</f>
        <v>-146263</v>
      </c>
      <c r="F31" s="23"/>
      <c r="G31" s="240">
        <f>'QTD Mgmt Summary'!G31+'[3]QTD Mgmt Summary'!G28</f>
        <v>3466</v>
      </c>
      <c r="H31" s="240">
        <v>7184</v>
      </c>
      <c r="I31" s="293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3">
        <f t="shared" ref="M31:M39" si="13">K31-L31</f>
        <v>0</v>
      </c>
      <c r="N31" s="203"/>
      <c r="O31" s="201">
        <f t="shared" ref="O31:O39" si="14">C31-G31-K31</f>
        <v>-23729</v>
      </c>
      <c r="P31" s="202">
        <f t="shared" ref="P31:P39" si="15">D31-H31-L31</f>
        <v>118816</v>
      </c>
      <c r="Q31" s="198">
        <f t="shared" ref="Q31:Q39" si="16">O31-P31</f>
        <v>-142545</v>
      </c>
    </row>
    <row r="32" spans="1:17" x14ac:dyDescent="0.2">
      <c r="A32" s="11" t="s">
        <v>136</v>
      </c>
      <c r="B32" s="9"/>
      <c r="C32" s="21">
        <f>'QTD Mgmt Summary'!C32+'[3]QTD Mgmt Summary'!C29</f>
        <v>34217</v>
      </c>
      <c r="D32" s="240">
        <v>80000</v>
      </c>
      <c r="E32" s="294">
        <f t="shared" si="11"/>
        <v>-45783</v>
      </c>
      <c r="F32" s="23"/>
      <c r="G32" s="240">
        <f>'QTD Mgmt Summary'!G32+'[3]QTD Mgmt Summary'!G29</f>
        <v>4575</v>
      </c>
      <c r="H32" s="240">
        <v>10083</v>
      </c>
      <c r="I32" s="293">
        <f t="shared" si="12"/>
        <v>-5508</v>
      </c>
      <c r="J32" s="9"/>
      <c r="K32" s="240">
        <f>'QTD Mgmt Summary'!K32+'[3]QTD Mgmt Summary'!K29</f>
        <v>524</v>
      </c>
      <c r="L32" s="202">
        <v>576</v>
      </c>
      <c r="M32" s="293">
        <f t="shared" si="13"/>
        <v>-52</v>
      </c>
      <c r="N32" s="203"/>
      <c r="O32" s="201">
        <f t="shared" si="14"/>
        <v>29118</v>
      </c>
      <c r="P32" s="202">
        <f t="shared" si="15"/>
        <v>69341</v>
      </c>
      <c r="Q32" s="198">
        <f t="shared" si="16"/>
        <v>-40223</v>
      </c>
    </row>
    <row r="33" spans="1:17" x14ac:dyDescent="0.2">
      <c r="A33" s="11" t="s">
        <v>36</v>
      </c>
      <c r="B33" s="9"/>
      <c r="C33" s="21">
        <f>'QTD Mgmt Summary'!C33+'[3]QTD Mgmt Summary'!C30</f>
        <v>-34680</v>
      </c>
      <c r="D33" s="240">
        <v>80000</v>
      </c>
      <c r="E33" s="294">
        <f t="shared" si="11"/>
        <v>-114680</v>
      </c>
      <c r="F33" s="23"/>
      <c r="G33" s="240">
        <f>'QTD Mgmt Summary'!G33+'[3]QTD Mgmt Summary'!G30</f>
        <v>5696</v>
      </c>
      <c r="H33" s="240">
        <v>11623</v>
      </c>
      <c r="I33" s="293">
        <f t="shared" si="12"/>
        <v>-5927</v>
      </c>
      <c r="J33" s="9"/>
      <c r="K33" s="240">
        <f>'QTD Mgmt Summary'!K33+'[3]QTD Mgmt Summary'!K30</f>
        <v>1078</v>
      </c>
      <c r="L33" s="202">
        <v>6288</v>
      </c>
      <c r="M33" s="293">
        <f t="shared" si="13"/>
        <v>-5210</v>
      </c>
      <c r="N33" s="203"/>
      <c r="O33" s="201">
        <f t="shared" si="14"/>
        <v>-41454</v>
      </c>
      <c r="P33" s="202">
        <f t="shared" si="15"/>
        <v>62089</v>
      </c>
      <c r="Q33" s="198">
        <f t="shared" si="16"/>
        <v>-103543</v>
      </c>
    </row>
    <row r="34" spans="1:17" x14ac:dyDescent="0.2">
      <c r="A34" s="11" t="s">
        <v>37</v>
      </c>
      <c r="B34" s="9"/>
      <c r="C34" s="21">
        <f>'QTD Mgmt Summary'!C34+'[3]QTD Mgmt Summary'!C31</f>
        <v>85910</v>
      </c>
      <c r="D34" s="240">
        <v>40000</v>
      </c>
      <c r="E34" s="294">
        <f t="shared" si="11"/>
        <v>45910</v>
      </c>
      <c r="F34" s="23"/>
      <c r="G34" s="240">
        <f>'QTD Mgmt Summary'!G34+'[3]QTD Mgmt Summary'!G31</f>
        <v>2658</v>
      </c>
      <c r="H34" s="240">
        <v>4901</v>
      </c>
      <c r="I34" s="293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3">
        <f t="shared" si="13"/>
        <v>0</v>
      </c>
      <c r="N34" s="203"/>
      <c r="O34" s="201">
        <f t="shared" si="14"/>
        <v>83252</v>
      </c>
      <c r="P34" s="202">
        <f t="shared" si="15"/>
        <v>35099</v>
      </c>
      <c r="Q34" s="198">
        <f t="shared" si="16"/>
        <v>48153</v>
      </c>
    </row>
    <row r="35" spans="1:17" x14ac:dyDescent="0.2">
      <c r="A35" s="11" t="s">
        <v>38</v>
      </c>
      <c r="B35" s="9"/>
      <c r="C35" s="21">
        <f>'QTD Mgmt Summary'!C35+'[3]QTD Mgmt Summary'!C32</f>
        <v>385661</v>
      </c>
      <c r="D35" s="240">
        <v>125000</v>
      </c>
      <c r="E35" s="294">
        <f t="shared" si="11"/>
        <v>260661</v>
      </c>
      <c r="F35" s="23"/>
      <c r="G35" s="240">
        <f>'QTD Mgmt Summary'!G35+'[3]QTD Mgmt Summary'!G32</f>
        <v>766</v>
      </c>
      <c r="H35" s="240">
        <v>1653</v>
      </c>
      <c r="I35" s="293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3">
        <f t="shared" si="13"/>
        <v>0</v>
      </c>
      <c r="N35" s="203"/>
      <c r="O35" s="201">
        <f t="shared" si="14"/>
        <v>384895</v>
      </c>
      <c r="P35" s="202">
        <f t="shared" si="15"/>
        <v>123347</v>
      </c>
      <c r="Q35" s="198">
        <f t="shared" si="16"/>
        <v>261548</v>
      </c>
    </row>
    <row r="36" spans="1:17" x14ac:dyDescent="0.2">
      <c r="A36" s="11" t="s">
        <v>39</v>
      </c>
      <c r="B36" s="9"/>
      <c r="C36" s="21">
        <f>'QTD Mgmt Summary'!C36+'[3]QTD Mgmt Summary'!C33</f>
        <v>14493</v>
      </c>
      <c r="D36" s="240">
        <v>25000</v>
      </c>
      <c r="E36" s="294">
        <f t="shared" si="11"/>
        <v>-10507</v>
      </c>
      <c r="F36" s="23"/>
      <c r="G36" s="240">
        <f>'QTD Mgmt Summary'!G36+'[3]QTD Mgmt Summary'!G33</f>
        <v>2115</v>
      </c>
      <c r="H36" s="240">
        <v>4402</v>
      </c>
      <c r="I36" s="293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3">
        <f t="shared" si="13"/>
        <v>0</v>
      </c>
      <c r="N36" s="203"/>
      <c r="O36" s="201">
        <f t="shared" si="14"/>
        <v>12378</v>
      </c>
      <c r="P36" s="202">
        <f t="shared" si="15"/>
        <v>20598</v>
      </c>
      <c r="Q36" s="198">
        <f t="shared" si="16"/>
        <v>-8220</v>
      </c>
    </row>
    <row r="37" spans="1:17" x14ac:dyDescent="0.2">
      <c r="A37" s="11" t="s">
        <v>40</v>
      </c>
      <c r="B37" s="9"/>
      <c r="C37" s="324">
        <f>'QTD Mgmt Summary'!C37+'[3]QTD Mgmt Summary'!C34</f>
        <v>0</v>
      </c>
      <c r="D37" s="298">
        <f>GrossMargin!M35</f>
        <v>0</v>
      </c>
      <c r="E37" s="301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3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3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">
      <c r="A38" s="11" t="s">
        <v>41</v>
      </c>
      <c r="B38" s="9"/>
      <c r="C38" s="324">
        <f>'QTD Mgmt Summary'!C38+'[3]QTD Mgmt Summary'!C35</f>
        <v>0</v>
      </c>
      <c r="D38" s="298">
        <f>GrossMargin!M36</f>
        <v>0</v>
      </c>
      <c r="E38" s="301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3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3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">
      <c r="A39" s="11" t="s">
        <v>101</v>
      </c>
      <c r="B39" s="9"/>
      <c r="C39" s="247">
        <f>'QTD Mgmt Summary'!C39+'[3]QTD Mgmt Summary'!C36</f>
        <v>-39000</v>
      </c>
      <c r="D39" s="300">
        <f>GrossMargin!M37</f>
        <v>0</v>
      </c>
      <c r="E39" s="301">
        <f t="shared" si="11"/>
        <v>-39000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3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3">
        <f t="shared" si="13"/>
        <v>0</v>
      </c>
      <c r="N39" s="203"/>
      <c r="O39" s="201">
        <f t="shared" si="14"/>
        <v>-39000</v>
      </c>
      <c r="P39" s="202">
        <f t="shared" si="15"/>
        <v>0</v>
      </c>
      <c r="Q39" s="198">
        <f t="shared" si="16"/>
        <v>-39000</v>
      </c>
    </row>
    <row r="40" spans="1:17" s="42" customFormat="1" ht="13.2" x14ac:dyDescent="0.2">
      <c r="A40" s="25" t="s">
        <v>9</v>
      </c>
      <c r="B40" s="155"/>
      <c r="C40" s="26">
        <f>SUM(C31:C39)</f>
        <v>426338</v>
      </c>
      <c r="D40" s="26">
        <f>SUM(D31:D39)</f>
        <v>476000</v>
      </c>
      <c r="E40" s="26">
        <f>SUM(E31:E39)</f>
        <v>-49662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1602</v>
      </c>
      <c r="L40" s="204">
        <f>SUM(L31:L39)</f>
        <v>6864</v>
      </c>
      <c r="M40" s="204">
        <f>SUM(M31:M39)</f>
        <v>-5262</v>
      </c>
      <c r="N40" s="207"/>
      <c r="O40" s="204">
        <f>SUM(O31:O39)</f>
        <v>403519</v>
      </c>
      <c r="P40" s="204">
        <f>SUM(P31:P39)</f>
        <v>424461</v>
      </c>
      <c r="Q40" s="204">
        <f>SUM(Q31:Q39)</f>
        <v>-20942</v>
      </c>
    </row>
    <row r="41" spans="1:17" ht="8.25" customHeight="1" x14ac:dyDescent="0.2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">
      <c r="A42" s="11" t="s">
        <v>42</v>
      </c>
      <c r="B42" s="9"/>
      <c r="C42" s="21">
        <f>'QTD Mgmt Summary'!C42+'[3]QTD Mgmt Summary'!C39</f>
        <v>-48207</v>
      </c>
      <c r="D42" s="240">
        <v>50000</v>
      </c>
      <c r="E42" s="294">
        <f t="shared" ref="E42:E48" si="17">-D42+C42</f>
        <v>-98207</v>
      </c>
      <c r="F42" s="23"/>
      <c r="G42" s="240">
        <f>'QTD Mgmt Summary'!G42+'[3]QTD Mgmt Summary'!G39</f>
        <v>3068</v>
      </c>
      <c r="H42" s="240">
        <v>4866</v>
      </c>
      <c r="I42" s="293">
        <f t="shared" ref="I42:I47" si="18">G42-H42</f>
        <v>-1798</v>
      </c>
      <c r="J42" s="9"/>
      <c r="K42" s="202">
        <f>'QTD Mgmt Summary'!K42+'[3]QTD Mgmt Summary'!K39</f>
        <v>142</v>
      </c>
      <c r="L42" s="202">
        <v>396</v>
      </c>
      <c r="M42" s="293">
        <f t="shared" ref="M42:M47" si="19">K42-L42</f>
        <v>-254</v>
      </c>
      <c r="N42" s="203"/>
      <c r="O42" s="201">
        <f t="shared" ref="O42:P48" si="20">C42-G42-K42</f>
        <v>-51417</v>
      </c>
      <c r="P42" s="202">
        <f t="shared" si="20"/>
        <v>44738</v>
      </c>
      <c r="Q42" s="198">
        <f t="shared" ref="Q42:Q48" si="21">O42-P42</f>
        <v>-96155</v>
      </c>
    </row>
    <row r="43" spans="1:17" ht="13.5" customHeight="1" x14ac:dyDescent="0.2">
      <c r="A43" s="11" t="s">
        <v>43</v>
      </c>
      <c r="B43" s="9"/>
      <c r="C43" s="21">
        <f>'QTD Mgmt Summary'!C43+'[3]QTD Mgmt Summary'!C40</f>
        <v>1816</v>
      </c>
      <c r="D43" s="240">
        <v>20000</v>
      </c>
      <c r="E43" s="294">
        <f t="shared" si="17"/>
        <v>-18184</v>
      </c>
      <c r="F43" s="23"/>
      <c r="G43" s="240">
        <f>'QTD Mgmt Summary'!G43+'[3]QTD Mgmt Summary'!G40</f>
        <v>879</v>
      </c>
      <c r="H43" s="240">
        <v>1692</v>
      </c>
      <c r="I43" s="293">
        <f t="shared" si="18"/>
        <v>-813</v>
      </c>
      <c r="J43" s="9"/>
      <c r="K43" s="240">
        <f>'QTD Mgmt Summary'!K43+'[3]QTD Mgmt Summary'!K40</f>
        <v>3406</v>
      </c>
      <c r="L43" s="202">
        <v>1410</v>
      </c>
      <c r="M43" s="293">
        <f t="shared" si="19"/>
        <v>1996</v>
      </c>
      <c r="N43" s="203"/>
      <c r="O43" s="201">
        <f t="shared" si="20"/>
        <v>-2469</v>
      </c>
      <c r="P43" s="202">
        <f t="shared" si="20"/>
        <v>16898</v>
      </c>
      <c r="Q43" s="198">
        <f t="shared" si="21"/>
        <v>-19367</v>
      </c>
    </row>
    <row r="44" spans="1:17" ht="13.5" customHeight="1" x14ac:dyDescent="0.2">
      <c r="A44" s="11" t="s">
        <v>65</v>
      </c>
      <c r="B44" s="9"/>
      <c r="C44" s="21">
        <f>'QTD Mgmt Summary'!C44+'[3]QTD Mgmt Summary'!C41</f>
        <v>108404</v>
      </c>
      <c r="D44" s="240">
        <v>155000</v>
      </c>
      <c r="E44" s="294">
        <f t="shared" si="17"/>
        <v>-46596</v>
      </c>
      <c r="F44" s="23"/>
      <c r="G44" s="240">
        <f>'QTD Mgmt Summary'!G44+'[3]QTD Mgmt Summary'!G41</f>
        <v>969</v>
      </c>
      <c r="H44" s="240">
        <v>2296</v>
      </c>
      <c r="I44" s="293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3">
        <f t="shared" si="19"/>
        <v>0</v>
      </c>
      <c r="N44" s="203"/>
      <c r="O44" s="201">
        <f t="shared" si="20"/>
        <v>107435</v>
      </c>
      <c r="P44" s="202">
        <f t="shared" si="20"/>
        <v>152704</v>
      </c>
      <c r="Q44" s="198">
        <f t="shared" si="21"/>
        <v>-45269</v>
      </c>
    </row>
    <row r="45" spans="1:17" ht="13.5" customHeight="1" x14ac:dyDescent="0.2">
      <c r="A45" s="11" t="s">
        <v>66</v>
      </c>
      <c r="B45" s="9"/>
      <c r="C45" s="21">
        <f>'QTD Mgmt Summary'!C45+'[3]QTD Mgmt Summary'!C42</f>
        <v>0</v>
      </c>
      <c r="D45" s="240">
        <v>50000</v>
      </c>
      <c r="E45" s="294">
        <f t="shared" si="17"/>
        <v>-50000</v>
      </c>
      <c r="F45" s="23"/>
      <c r="G45" s="240">
        <f>'QTD Mgmt Summary'!G45+'[3]QTD Mgmt Summary'!G42</f>
        <v>1506</v>
      </c>
      <c r="H45" s="240">
        <v>4621</v>
      </c>
      <c r="I45" s="293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3">
        <f t="shared" si="19"/>
        <v>-1788</v>
      </c>
      <c r="N45" s="203"/>
      <c r="O45" s="201">
        <f t="shared" si="20"/>
        <v>-1506</v>
      </c>
      <c r="P45" s="202">
        <f t="shared" si="20"/>
        <v>43591</v>
      </c>
      <c r="Q45" s="198">
        <f t="shared" si="21"/>
        <v>-45097</v>
      </c>
    </row>
    <row r="46" spans="1:17" x14ac:dyDescent="0.2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4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3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3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4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3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3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">
      <c r="A48" s="11" t="s">
        <v>135</v>
      </c>
      <c r="B48" s="9"/>
      <c r="C48" s="21">
        <f>'QTD Mgmt Summary'!C48+'[3]QTD Mgmt Summary'!C45</f>
        <v>-6360</v>
      </c>
      <c r="D48" s="240">
        <f>GrossMargin!M46</f>
        <v>0</v>
      </c>
      <c r="E48" s="294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4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4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">
      <c r="A49" s="25" t="s">
        <v>10</v>
      </c>
      <c r="B49" s="303"/>
      <c r="C49" s="27">
        <f>SUM(C42:C48)</f>
        <v>56765</v>
      </c>
      <c r="D49" s="304">
        <f>SUM(D42:D48)</f>
        <v>285000</v>
      </c>
      <c r="E49" s="305">
        <f>SUM(E42:E48)</f>
        <v>-228235</v>
      </c>
      <c r="F49" s="156"/>
      <c r="G49" s="27">
        <f>SUM(G42:G48)</f>
        <v>8353</v>
      </c>
      <c r="H49" s="304">
        <f>SUM(H42:H48)</f>
        <v>18730</v>
      </c>
      <c r="I49" s="305">
        <f>SUM(I42:I48)</f>
        <v>-10377</v>
      </c>
      <c r="J49" s="15"/>
      <c r="K49" s="27">
        <f>SUM(K42:K48)</f>
        <v>3548</v>
      </c>
      <c r="L49" s="304">
        <f>SUM(L42:L48)</f>
        <v>3594</v>
      </c>
      <c r="M49" s="305">
        <f>SUM(M42:M48)</f>
        <v>-46</v>
      </c>
      <c r="N49" s="207"/>
      <c r="O49" s="27">
        <f>SUM(O42:O48)</f>
        <v>44864</v>
      </c>
      <c r="P49" s="304">
        <f>SUM(P42:P48)</f>
        <v>262676</v>
      </c>
      <c r="Q49" s="305">
        <f>SUM(Q42:Q48)</f>
        <v>-217812</v>
      </c>
    </row>
    <row r="50" spans="1:17" ht="8.25" customHeight="1" x14ac:dyDescent="0.2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">
      <c r="A51" s="11" t="s">
        <v>74</v>
      </c>
      <c r="B51" s="9"/>
      <c r="C51" s="202">
        <f>'QTD Mgmt Summary'!C51+'[3]QTD Mgmt Summary'!C48</f>
        <v>362</v>
      </c>
      <c r="D51" s="202">
        <v>0</v>
      </c>
      <c r="E51" s="294">
        <f t="shared" ref="E51:E69" si="22">-D51+C51</f>
        <v>362</v>
      </c>
      <c r="F51" s="23"/>
      <c r="G51" s="240">
        <f>'QTD Mgmt Summary'!G51+'[3]QTD Mgmt Summary'!G48</f>
        <v>302</v>
      </c>
      <c r="H51" s="240">
        <v>891</v>
      </c>
      <c r="I51" s="202">
        <f t="shared" ref="I51:I69" si="23">G51-H51</f>
        <v>-589</v>
      </c>
      <c r="J51" s="9"/>
      <c r="K51" s="240">
        <f>'QTD Mgmt Summary'!K51+'[3]QTD Mgmt Summary'!K48</f>
        <v>0</v>
      </c>
      <c r="L51" s="202">
        <f>CapChrg!D48</f>
        <v>0</v>
      </c>
      <c r="M51" s="293">
        <f t="shared" ref="M51:M69" si="24">K51-L51</f>
        <v>0</v>
      </c>
      <c r="N51" s="203"/>
      <c r="O51" s="201">
        <f t="shared" ref="O51:O69" si="25">C51-G51-K51</f>
        <v>60</v>
      </c>
      <c r="P51" s="202">
        <f t="shared" ref="P51:P69" si="26">D51-H51-L51</f>
        <v>-891</v>
      </c>
      <c r="Q51" s="198">
        <f t="shared" ref="Q51:Q69" si="27">O51-P51</f>
        <v>951</v>
      </c>
    </row>
    <row r="52" spans="1:17" x14ac:dyDescent="0.2">
      <c r="A52" s="11" t="s">
        <v>102</v>
      </c>
      <c r="B52" s="9"/>
      <c r="C52" s="202">
        <f>'QTD Mgmt Summary'!C52+'[3]QTD Mgmt Summary'!C49</f>
        <v>3427</v>
      </c>
      <c r="D52" s="240">
        <v>16000</v>
      </c>
      <c r="E52" s="294">
        <f t="shared" si="22"/>
        <v>-12573</v>
      </c>
      <c r="F52" s="23"/>
      <c r="G52" s="240">
        <f>'QTD Mgmt Summary'!G52+'[3]QTD Mgmt Summary'!G49</f>
        <v>1654</v>
      </c>
      <c r="H52" s="240">
        <v>1739</v>
      </c>
      <c r="I52" s="202">
        <f t="shared" si="23"/>
        <v>-85</v>
      </c>
      <c r="J52" s="9"/>
      <c r="K52" s="202">
        <f>'QTD Mgmt Summary'!K52+'[3]QTD Mgmt Summary'!K49</f>
        <v>0</v>
      </c>
      <c r="L52" s="202">
        <f>CapChrg!D49</f>
        <v>0</v>
      </c>
      <c r="M52" s="293">
        <f t="shared" si="24"/>
        <v>0</v>
      </c>
      <c r="N52" s="203"/>
      <c r="O52" s="201">
        <f t="shared" si="25"/>
        <v>1773</v>
      </c>
      <c r="P52" s="202">
        <f t="shared" si="26"/>
        <v>14261</v>
      </c>
      <c r="Q52" s="198">
        <f t="shared" si="27"/>
        <v>-12488</v>
      </c>
    </row>
    <row r="53" spans="1:17" x14ac:dyDescent="0.2">
      <c r="A53" s="11" t="s">
        <v>103</v>
      </c>
      <c r="B53" s="9"/>
      <c r="C53" s="202">
        <f>'QTD Mgmt Summary'!C53+'[3]QTD Mgmt Summary'!C50</f>
        <v>3746</v>
      </c>
      <c r="D53" s="240">
        <v>20000</v>
      </c>
      <c r="E53" s="294">
        <f t="shared" si="22"/>
        <v>-16254</v>
      </c>
      <c r="F53" s="23"/>
      <c r="G53" s="240">
        <f>'QTD Mgmt Summary'!G53+'[3]QTD Mgmt Summary'!G50</f>
        <v>1771</v>
      </c>
      <c r="H53" s="240">
        <v>1741</v>
      </c>
      <c r="I53" s="202">
        <f t="shared" si="23"/>
        <v>30</v>
      </c>
      <c r="J53" s="9"/>
      <c r="K53" s="202">
        <f>'QTD Mgmt Summary'!K53+'[3]QTD Mgmt Summary'!K50</f>
        <v>1025</v>
      </c>
      <c r="L53" s="202">
        <v>2612</v>
      </c>
      <c r="M53" s="293">
        <f t="shared" si="24"/>
        <v>-1587</v>
      </c>
      <c r="N53" s="203"/>
      <c r="O53" s="201">
        <f t="shared" si="25"/>
        <v>950</v>
      </c>
      <c r="P53" s="202">
        <f t="shared" si="26"/>
        <v>15647</v>
      </c>
      <c r="Q53" s="198">
        <f t="shared" si="27"/>
        <v>-14697</v>
      </c>
    </row>
    <row r="54" spans="1:17" x14ac:dyDescent="0.2">
      <c r="A54" s="11" t="s">
        <v>104</v>
      </c>
      <c r="B54" s="9"/>
      <c r="C54" s="202">
        <f>'QTD Mgmt Summary'!C54+'[3]QTD Mgmt Summary'!C51</f>
        <v>250</v>
      </c>
      <c r="D54" s="240">
        <v>8000</v>
      </c>
      <c r="E54" s="294">
        <f t="shared" si="22"/>
        <v>-7750</v>
      </c>
      <c r="F54" s="23"/>
      <c r="G54" s="240">
        <f>'QTD Mgmt Summary'!G54+'[3]QTD Mgmt Summary'!G51</f>
        <v>356</v>
      </c>
      <c r="H54" s="240">
        <v>1048</v>
      </c>
      <c r="I54" s="202">
        <f t="shared" si="23"/>
        <v>-692</v>
      </c>
      <c r="J54" s="9"/>
      <c r="K54" s="202">
        <f>'QTD Mgmt Summary'!K54+'[3]QTD Mgmt Summary'!K51</f>
        <v>0</v>
      </c>
      <c r="L54" s="202">
        <f>CapChrg!D51</f>
        <v>0</v>
      </c>
      <c r="M54" s="293">
        <f t="shared" si="24"/>
        <v>0</v>
      </c>
      <c r="N54" s="203"/>
      <c r="O54" s="201">
        <f t="shared" si="25"/>
        <v>-106</v>
      </c>
      <c r="P54" s="202">
        <f t="shared" si="26"/>
        <v>6952</v>
      </c>
      <c r="Q54" s="198">
        <f t="shared" si="27"/>
        <v>-7058</v>
      </c>
    </row>
    <row r="55" spans="1:17" x14ac:dyDescent="0.2">
      <c r="A55" s="11" t="s">
        <v>105</v>
      </c>
      <c r="B55" s="9"/>
      <c r="C55" s="202">
        <f>'QTD Mgmt Summary'!C55+'[3]QTD Mgmt Summary'!C52</f>
        <v>1543</v>
      </c>
      <c r="D55" s="240">
        <v>4000</v>
      </c>
      <c r="E55" s="294">
        <f t="shared" si="22"/>
        <v>-2457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27</v>
      </c>
      <c r="L55" s="202">
        <f>CapChrg!D52</f>
        <v>0</v>
      </c>
      <c r="M55" s="293">
        <f t="shared" si="24"/>
        <v>27</v>
      </c>
      <c r="N55" s="203"/>
      <c r="O55" s="201">
        <f t="shared" si="25"/>
        <v>1316</v>
      </c>
      <c r="P55" s="202">
        <f t="shared" si="26"/>
        <v>3299</v>
      </c>
      <c r="Q55" s="198">
        <f t="shared" si="27"/>
        <v>-1983</v>
      </c>
    </row>
    <row r="56" spans="1:17" x14ac:dyDescent="0.2">
      <c r="A56" s="11" t="s">
        <v>106</v>
      </c>
      <c r="B56" s="9"/>
      <c r="C56" s="202">
        <f>'QTD Mgmt Summary'!C56+'[3]QTD Mgmt Summary'!C53</f>
        <v>208</v>
      </c>
      <c r="D56" s="240">
        <v>2000</v>
      </c>
      <c r="E56" s="294">
        <f t="shared" si="22"/>
        <v>-1792</v>
      </c>
      <c r="F56" s="23"/>
      <c r="G56" s="202">
        <f>'QTD Mgmt Summary'!G56+'[3]QTD Mgmt Summary'!G53</f>
        <v>105</v>
      </c>
      <c r="H56" s="202">
        <v>586</v>
      </c>
      <c r="I56" s="202">
        <f t="shared" si="23"/>
        <v>-481</v>
      </c>
      <c r="J56" s="9"/>
      <c r="K56" s="202">
        <f>'QTD Mgmt Summary'!K56+'[3]QTD Mgmt Summary'!K53</f>
        <v>0</v>
      </c>
      <c r="L56" s="202">
        <f>CapChrg!D53</f>
        <v>0</v>
      </c>
      <c r="M56" s="293">
        <f t="shared" si="24"/>
        <v>0</v>
      </c>
      <c r="N56" s="203"/>
      <c r="O56" s="201">
        <f t="shared" si="25"/>
        <v>103</v>
      </c>
      <c r="P56" s="202">
        <f t="shared" si="26"/>
        <v>1414</v>
      </c>
      <c r="Q56" s="198">
        <f t="shared" si="27"/>
        <v>-1311</v>
      </c>
    </row>
    <row r="57" spans="1:17" x14ac:dyDescent="0.2">
      <c r="A57" s="11" t="s">
        <v>69</v>
      </c>
      <c r="B57" s="9"/>
      <c r="C57" s="202">
        <f>'QTD Mgmt Summary'!C57+'[3]QTD Mgmt Summary'!C54</f>
        <v>7103</v>
      </c>
      <c r="D57" s="240">
        <v>11637</v>
      </c>
      <c r="E57" s="294">
        <f t="shared" si="22"/>
        <v>-4534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11512</v>
      </c>
      <c r="L57" s="202">
        <v>25128</v>
      </c>
      <c r="M57" s="293">
        <f t="shared" si="24"/>
        <v>-13616</v>
      </c>
      <c r="N57" s="203"/>
      <c r="O57" s="201">
        <f t="shared" si="25"/>
        <v>-4409</v>
      </c>
      <c r="P57" s="202">
        <f t="shared" si="26"/>
        <v>-13491</v>
      </c>
      <c r="Q57" s="198">
        <f t="shared" si="27"/>
        <v>9082</v>
      </c>
    </row>
    <row r="58" spans="1:17" x14ac:dyDescent="0.2">
      <c r="A58" s="11" t="s">
        <v>68</v>
      </c>
      <c r="B58" s="9"/>
      <c r="C58" s="202">
        <f>'QTD Mgmt Summary'!C58+'[3]QTD Mgmt Summary'!C55</f>
        <v>33582</v>
      </c>
      <c r="D58" s="240">
        <v>-82780</v>
      </c>
      <c r="E58" s="294">
        <f t="shared" si="22"/>
        <v>116362</v>
      </c>
      <c r="F58" s="23"/>
      <c r="G58" s="240">
        <f>'QTD Mgmt Summary'!G58+'[3]QTD Mgmt Summary'!G55</f>
        <v>127570</v>
      </c>
      <c r="H58" s="240">
        <v>8383</v>
      </c>
      <c r="I58" s="202">
        <f t="shared" si="23"/>
        <v>119187</v>
      </c>
      <c r="J58" s="9"/>
      <c r="K58" s="240">
        <f>'QTD Mgmt Summary'!K58+'[3]QTD Mgmt Summary'!K55</f>
        <v>0</v>
      </c>
      <c r="L58" s="202">
        <f>CapChrg!D55</f>
        <v>0</v>
      </c>
      <c r="M58" s="293">
        <f t="shared" si="24"/>
        <v>0</v>
      </c>
      <c r="N58" s="203"/>
      <c r="O58" s="201">
        <f t="shared" si="25"/>
        <v>-93988</v>
      </c>
      <c r="P58" s="202">
        <f t="shared" si="26"/>
        <v>-91163</v>
      </c>
      <c r="Q58" s="198">
        <f t="shared" si="27"/>
        <v>-2825</v>
      </c>
    </row>
    <row r="59" spans="1:17" x14ac:dyDescent="0.2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4">
        <f t="shared" si="22"/>
        <v>0</v>
      </c>
      <c r="F59" s="23"/>
      <c r="G59" s="240">
        <f>'QTD Mgmt Summary'!G59+'[3]QTD Mgmt Summary'!G56</f>
        <v>551</v>
      </c>
      <c r="H59" s="240">
        <v>1175</v>
      </c>
      <c r="I59" s="202">
        <f t="shared" si="23"/>
        <v>-624</v>
      </c>
      <c r="J59" s="9"/>
      <c r="K59" s="202">
        <f>'QTD Mgmt Summary'!K59+'[3]QTD Mgmt Summary'!K56</f>
        <v>0</v>
      </c>
      <c r="L59" s="202">
        <f>CapChrg!D56</f>
        <v>0</v>
      </c>
      <c r="M59" s="293">
        <f t="shared" si="24"/>
        <v>0</v>
      </c>
      <c r="N59" s="203"/>
      <c r="O59" s="201">
        <f t="shared" si="25"/>
        <v>-551</v>
      </c>
      <c r="P59" s="202">
        <f t="shared" si="26"/>
        <v>-1175</v>
      </c>
      <c r="Q59" s="198">
        <f t="shared" si="27"/>
        <v>624</v>
      </c>
    </row>
    <row r="60" spans="1:17" x14ac:dyDescent="0.2">
      <c r="A60" s="11" t="s">
        <v>46</v>
      </c>
      <c r="B60" s="9"/>
      <c r="C60" s="202">
        <f>'QTD Mgmt Summary'!C60+'[3]QTD Mgmt Summary'!C57</f>
        <v>498</v>
      </c>
      <c r="D60" s="240">
        <v>60000</v>
      </c>
      <c r="E60" s="294">
        <f t="shared" si="22"/>
        <v>-59502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4151</v>
      </c>
      <c r="L60" s="202">
        <f>CapChrg!D57</f>
        <v>0</v>
      </c>
      <c r="M60" s="293">
        <f t="shared" si="24"/>
        <v>4151</v>
      </c>
      <c r="N60" s="203"/>
      <c r="O60" s="201">
        <f t="shared" si="25"/>
        <v>-6175</v>
      </c>
      <c r="P60" s="202">
        <f t="shared" si="26"/>
        <v>54456</v>
      </c>
      <c r="Q60" s="198">
        <f t="shared" si="27"/>
        <v>-60631</v>
      </c>
    </row>
    <row r="61" spans="1:17" ht="12" customHeight="1" x14ac:dyDescent="0.2">
      <c r="A61" s="11" t="s">
        <v>47</v>
      </c>
      <c r="B61" s="9"/>
      <c r="C61" s="202">
        <f>'QTD Mgmt Summary'!C61+'[3]QTD Mgmt Summary'!C58</f>
        <v>10953</v>
      </c>
      <c r="D61" s="240">
        <v>80000</v>
      </c>
      <c r="E61" s="294">
        <f t="shared" si="22"/>
        <v>-69047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41562</v>
      </c>
      <c r="L61" s="202">
        <v>60840</v>
      </c>
      <c r="M61" s="293">
        <f t="shared" si="24"/>
        <v>-19278</v>
      </c>
      <c r="N61" s="203"/>
      <c r="O61" s="201">
        <f t="shared" si="25"/>
        <v>-34354</v>
      </c>
      <c r="P61" s="202">
        <f t="shared" si="26"/>
        <v>12081</v>
      </c>
      <c r="Q61" s="198">
        <f t="shared" si="27"/>
        <v>-46435</v>
      </c>
    </row>
    <row r="62" spans="1:17" ht="12" customHeight="1" x14ac:dyDescent="0.2">
      <c r="A62" s="11" t="s">
        <v>48</v>
      </c>
      <c r="B62" s="9"/>
      <c r="C62" s="202">
        <f>'QTD Mgmt Summary'!C62+'[3]QTD Mgmt Summary'!C59</f>
        <v>-3533</v>
      </c>
      <c r="D62" s="240">
        <v>49999</v>
      </c>
      <c r="E62" s="294">
        <f t="shared" si="22"/>
        <v>-53532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9626</v>
      </c>
      <c r="L62" s="202">
        <v>28436</v>
      </c>
      <c r="M62" s="293">
        <f t="shared" si="24"/>
        <v>-18810</v>
      </c>
      <c r="N62" s="203"/>
      <c r="O62" s="201">
        <f t="shared" si="25"/>
        <v>-14967</v>
      </c>
      <c r="P62" s="202">
        <f t="shared" si="26"/>
        <v>17999</v>
      </c>
      <c r="Q62" s="198">
        <f t="shared" si="27"/>
        <v>-32966</v>
      </c>
    </row>
    <row r="63" spans="1:17" ht="12" customHeight="1" x14ac:dyDescent="0.2">
      <c r="A63" s="11" t="s">
        <v>63</v>
      </c>
      <c r="B63" s="9"/>
      <c r="C63" s="202">
        <f>'QTD Mgmt Summary'!C63+'[3]QTD Mgmt Summary'!C60</f>
        <v>17024</v>
      </c>
      <c r="D63" s="240">
        <v>50000</v>
      </c>
      <c r="E63" s="294">
        <f t="shared" si="22"/>
        <v>-32976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32227</v>
      </c>
      <c r="L63" s="202">
        <v>30424</v>
      </c>
      <c r="M63" s="293">
        <f t="shared" si="24"/>
        <v>1803</v>
      </c>
      <c r="N63" s="203"/>
      <c r="O63" s="201">
        <f t="shared" si="25"/>
        <v>-18970</v>
      </c>
      <c r="P63" s="202">
        <f t="shared" si="26"/>
        <v>11787</v>
      </c>
      <c r="Q63" s="198">
        <f t="shared" si="27"/>
        <v>-30757</v>
      </c>
    </row>
    <row r="64" spans="1:17" ht="12" customHeight="1" x14ac:dyDescent="0.2">
      <c r="A64" s="11" t="s">
        <v>49</v>
      </c>
      <c r="B64" s="9"/>
      <c r="C64" s="202">
        <v>4599</v>
      </c>
      <c r="D64" s="240">
        <v>5000</v>
      </c>
      <c r="E64" s="294">
        <f t="shared" si="22"/>
        <v>-401</v>
      </c>
      <c r="F64" s="23"/>
      <c r="G64" s="240">
        <v>700</v>
      </c>
      <c r="H64" s="240">
        <v>720</v>
      </c>
      <c r="I64" s="202">
        <f t="shared" si="23"/>
        <v>-20</v>
      </c>
      <c r="J64" s="9"/>
      <c r="K64" s="240">
        <v>13695</v>
      </c>
      <c r="L64" s="202">
        <v>13627</v>
      </c>
      <c r="M64" s="293">
        <f t="shared" si="24"/>
        <v>68</v>
      </c>
      <c r="N64" s="203"/>
      <c r="O64" s="201">
        <f>C64-G64-K64</f>
        <v>-9796</v>
      </c>
      <c r="P64" s="202">
        <f>D64-H64-L64</f>
        <v>-9347</v>
      </c>
      <c r="Q64" s="198">
        <f>O64-P64</f>
        <v>-449</v>
      </c>
    </row>
    <row r="65" spans="1:17" ht="12" customHeight="1" x14ac:dyDescent="0.2">
      <c r="A65" s="11" t="s">
        <v>134</v>
      </c>
      <c r="B65" s="9"/>
      <c r="C65" s="202">
        <f>'QTD Mgmt Summary'!C64+'[3]QTD Mgmt Summary'!C62</f>
        <v>-9553</v>
      </c>
      <c r="D65" s="240">
        <v>-20700</v>
      </c>
      <c r="E65" s="294">
        <f t="shared" si="22"/>
        <v>11147</v>
      </c>
      <c r="F65" s="23"/>
      <c r="G65" s="240">
        <f>'QTD Mgmt Summary'!G64+'[3]QTD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Summary'!K64+'[3]QTD Mgmt Summary'!K62</f>
        <v>19384</v>
      </c>
      <c r="L65" s="202">
        <v>53488</v>
      </c>
      <c r="M65" s="293">
        <f t="shared" si="24"/>
        <v>-34104</v>
      </c>
      <c r="N65" s="203"/>
      <c r="O65" s="201">
        <f t="shared" si="25"/>
        <v>-31758</v>
      </c>
      <c r="P65" s="202">
        <f t="shared" si="26"/>
        <v>-80453</v>
      </c>
      <c r="Q65" s="198">
        <f t="shared" si="27"/>
        <v>48695</v>
      </c>
    </row>
    <row r="66" spans="1:17" ht="12" customHeight="1" x14ac:dyDescent="0.2">
      <c r="A66" s="11" t="s">
        <v>71</v>
      </c>
      <c r="B66" s="20"/>
      <c r="C66" s="202">
        <f>'QTD Mgmt Summary'!C65+'[3]QTD Mgmt Summary'!C63</f>
        <v>657061</v>
      </c>
      <c r="D66" s="240">
        <v>-23653</v>
      </c>
      <c r="E66" s="294">
        <f t="shared" si="22"/>
        <v>680714</v>
      </c>
      <c r="F66" s="23"/>
      <c r="G66" s="240">
        <f>'QTD Mgmt Summary'!G65+'[3]QTD Mgmt Summary'!G63</f>
        <v>12127</v>
      </c>
      <c r="H66" s="240">
        <v>3976</v>
      </c>
      <c r="I66" s="202">
        <f t="shared" si="23"/>
        <v>8151</v>
      </c>
      <c r="J66" s="9"/>
      <c r="K66" s="240">
        <f>'QTD Mgmt Summary'!K65+'[3]QTD Mgmt Summary'!K63</f>
        <v>40524</v>
      </c>
      <c r="L66" s="202">
        <v>65776</v>
      </c>
      <c r="M66" s="293">
        <f t="shared" si="24"/>
        <v>-25252</v>
      </c>
      <c r="N66" s="203"/>
      <c r="O66" s="201">
        <f t="shared" si="25"/>
        <v>604410</v>
      </c>
      <c r="P66" s="202">
        <f t="shared" si="26"/>
        <v>-93405</v>
      </c>
      <c r="Q66" s="198">
        <f t="shared" si="27"/>
        <v>697815</v>
      </c>
    </row>
    <row r="67" spans="1:17" ht="12" customHeight="1" x14ac:dyDescent="0.2">
      <c r="A67" s="11" t="s">
        <v>73</v>
      </c>
      <c r="B67" s="20"/>
      <c r="C67" s="202">
        <f>'QTD Mgmt Summary'!C66+'[3]QTD Mgmt Summary'!C64</f>
        <v>11659</v>
      </c>
      <c r="D67" s="240">
        <f>GrossMargin!M64</f>
        <v>0</v>
      </c>
      <c r="E67" s="294">
        <f t="shared" si="22"/>
        <v>11659</v>
      </c>
      <c r="F67" s="23"/>
      <c r="G67" s="202">
        <f>'QTD Mgmt Summary'!G66+'[3]QTD Mgmt Summary'!G64</f>
        <v>0</v>
      </c>
      <c r="H67" s="202">
        <f>Expenses!D63+Expenses!H63</f>
        <v>0</v>
      </c>
      <c r="I67" s="202">
        <f t="shared" si="23"/>
        <v>0</v>
      </c>
      <c r="J67" s="9"/>
      <c r="K67" s="202">
        <f>'QTD Mgmt Summary'!K66+'[3]QTD Mgmt Summary'!K64</f>
        <v>0</v>
      </c>
      <c r="L67" s="202">
        <f>CapChrg!D63</f>
        <v>0</v>
      </c>
      <c r="M67" s="293">
        <f t="shared" si="24"/>
        <v>0</v>
      </c>
      <c r="N67" s="203"/>
      <c r="O67" s="201">
        <f t="shared" si="25"/>
        <v>11659</v>
      </c>
      <c r="P67" s="202">
        <f t="shared" si="26"/>
        <v>0</v>
      </c>
      <c r="Q67" s="198">
        <f t="shared" si="27"/>
        <v>11659</v>
      </c>
    </row>
    <row r="68" spans="1:17" ht="12" customHeight="1" x14ac:dyDescent="0.2">
      <c r="A68" s="29" t="s">
        <v>129</v>
      </c>
      <c r="B68" s="9"/>
      <c r="C68" s="202">
        <f>'QTD Mgmt Summary'!C67+'[3]QTD Mgmt Summary'!C65</f>
        <v>-30032</v>
      </c>
      <c r="D68" s="240">
        <f>-129450+11800</f>
        <v>-117650</v>
      </c>
      <c r="E68" s="294">
        <f t="shared" si="22"/>
        <v>87618</v>
      </c>
      <c r="F68" s="23"/>
      <c r="G68" s="240">
        <f>'QTD Mgmt Summary'!G67+'[3]QTD Mgmt Summary'!G65</f>
        <v>2651</v>
      </c>
      <c r="H68" s="240">
        <v>5327</v>
      </c>
      <c r="I68" s="202">
        <f t="shared" si="23"/>
        <v>-2676</v>
      </c>
      <c r="J68" s="9"/>
      <c r="K68" s="202">
        <f>'QTD Mgmt Summary'!K67+'[3]QTD Mgmt Summary'!K65</f>
        <v>0</v>
      </c>
      <c r="L68" s="202">
        <f>CapChrg!D64</f>
        <v>0</v>
      </c>
      <c r="M68" s="293">
        <f t="shared" si="24"/>
        <v>0</v>
      </c>
      <c r="N68" s="203"/>
      <c r="O68" s="201">
        <f t="shared" si="25"/>
        <v>-32683</v>
      </c>
      <c r="P68" s="202">
        <f t="shared" si="26"/>
        <v>-122977</v>
      </c>
      <c r="Q68" s="198">
        <f t="shared" si="27"/>
        <v>90294</v>
      </c>
    </row>
    <row r="69" spans="1:17" ht="12" customHeight="1" x14ac:dyDescent="0.2">
      <c r="A69" s="29" t="s">
        <v>125</v>
      </c>
      <c r="B69" s="9"/>
      <c r="C69" s="202">
        <f>'QTD Mgmt Summary'!C68+'[3]QTD Mgmt Summary'!C66</f>
        <v>0</v>
      </c>
      <c r="D69" s="240">
        <f>GrossMargin!M66</f>
        <v>0</v>
      </c>
      <c r="E69" s="294">
        <f t="shared" si="22"/>
        <v>0</v>
      </c>
      <c r="F69" s="23"/>
      <c r="G69" s="240">
        <f>'QTD Mgmt Summary'!G68+'[3]QTD Mgmt Summary'!G66</f>
        <v>253300</v>
      </c>
      <c r="H69" s="240">
        <f>Expenses!D66+Expenses!H66</f>
        <v>0</v>
      </c>
      <c r="I69" s="202">
        <f t="shared" si="23"/>
        <v>253300</v>
      </c>
      <c r="J69" s="9"/>
      <c r="K69" s="202">
        <f>'QTD Mgmt Summary'!K68+'[3]QTD Mgmt Summary'!K66</f>
        <v>0</v>
      </c>
      <c r="L69" s="202">
        <f>CapChrg!D66</f>
        <v>0</v>
      </c>
      <c r="M69" s="293">
        <f t="shared" si="24"/>
        <v>0</v>
      </c>
      <c r="N69" s="203"/>
      <c r="O69" s="201">
        <f t="shared" si="25"/>
        <v>-253300</v>
      </c>
      <c r="P69" s="202">
        <f t="shared" si="26"/>
        <v>0</v>
      </c>
      <c r="Q69" s="198">
        <f t="shared" si="27"/>
        <v>-253300</v>
      </c>
    </row>
    <row r="70" spans="1:17" s="157" customFormat="1" ht="12" customHeight="1" x14ac:dyDescent="0.2">
      <c r="A70" s="25" t="s">
        <v>12</v>
      </c>
      <c r="B70" s="155"/>
      <c r="C70" s="26">
        <f>SUM(C51:C69)+C49+C40+C29+C21</f>
        <v>1944450</v>
      </c>
      <c r="D70" s="27">
        <f>SUM(D51:D69)+D49+D40+D29+D21</f>
        <v>1556853</v>
      </c>
      <c r="E70" s="28">
        <f>SUM(E51:E69)+E49+E40+E29+E21</f>
        <v>387597</v>
      </c>
      <c r="F70" s="156"/>
      <c r="G70" s="204">
        <f>SUM(G51:G69)+G49+G40+G29+G21</f>
        <v>482758</v>
      </c>
      <c r="H70" s="205">
        <f>SUM(H51:H69)+H49+H40+H29+H21</f>
        <v>197773</v>
      </c>
      <c r="I70" s="205">
        <f>SUM(I51:I69)+I49+I40+I29+I21</f>
        <v>284985</v>
      </c>
      <c r="J70" s="9"/>
      <c r="K70" s="205">
        <f>SUM(K51:K69)+K49+K40+K29+K21</f>
        <v>184615</v>
      </c>
      <c r="L70" s="205">
        <f>SUM(L51:L69)+L49+L40+L29+L21</f>
        <v>308025</v>
      </c>
      <c r="M70" s="206">
        <f>SUM(M51:M69)+M49+M40+M29+M21</f>
        <v>-123410</v>
      </c>
      <c r="N70" s="207"/>
      <c r="O70" s="204">
        <f>SUM(O51:O69)+O49+O40+O29+O21</f>
        <v>1277077</v>
      </c>
      <c r="P70" s="205">
        <f>SUM(P51:P69)+P49+P40+P29+P21</f>
        <v>1051055</v>
      </c>
      <c r="Q70" s="206">
        <f>SUM(Q51:Q69)+Q49+Q40+Q29+Q21</f>
        <v>226022</v>
      </c>
    </row>
    <row r="71" spans="1:17" ht="6.75" customHeight="1" x14ac:dyDescent="0.2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">
      <c r="A72" s="29" t="s">
        <v>51</v>
      </c>
      <c r="B72" s="9"/>
      <c r="C72" s="202">
        <f>'QTD Mgmt Summary'!C71+'[3]QTD Mgmt Summary'!C69</f>
        <v>0</v>
      </c>
      <c r="D72" s="202">
        <v>0</v>
      </c>
      <c r="E72" s="24">
        <f t="shared" ref="E72:E85" si="28">-D72+C72</f>
        <v>0</v>
      </c>
      <c r="F72" s="23"/>
      <c r="G72" s="240">
        <f>'QTD Mgmt Summary'!G71+'[3]QTD Mgmt Summary'!G69</f>
        <v>4750</v>
      </c>
      <c r="H72" s="240">
        <v>10400</v>
      </c>
      <c r="I72" s="202">
        <f t="shared" ref="I72:I85" si="29">G72-H72</f>
        <v>-5650</v>
      </c>
      <c r="J72" s="9"/>
      <c r="K72" s="197">
        <f>'QTD Mgmt Summary'!K71+'[3]QTD Mgmt Summary'!K69</f>
        <v>0</v>
      </c>
      <c r="L72" s="197">
        <v>0</v>
      </c>
      <c r="M72" s="198">
        <f t="shared" ref="M72:M85" si="30">K72-L72</f>
        <v>0</v>
      </c>
      <c r="N72" s="203"/>
      <c r="O72" s="201">
        <f t="shared" ref="O72:O85" si="31">C72-G72-K72</f>
        <v>-4750</v>
      </c>
      <c r="P72" s="202">
        <f t="shared" ref="P72:P85" si="32">D72-H72-L72</f>
        <v>-10400</v>
      </c>
      <c r="Q72" s="198">
        <f t="shared" ref="Q72:Q85" si="33">O72-P72</f>
        <v>5650</v>
      </c>
    </row>
    <row r="73" spans="1:17" ht="12" customHeight="1" x14ac:dyDescent="0.2">
      <c r="A73" s="29" t="s">
        <v>52</v>
      </c>
      <c r="B73" s="9"/>
      <c r="C73" s="202">
        <f>'QTD Mgmt Summary'!C72+'[3]QTD Mgmt Summary'!C70</f>
        <v>0</v>
      </c>
      <c r="D73" s="202">
        <v>0</v>
      </c>
      <c r="E73" s="24">
        <f t="shared" si="28"/>
        <v>0</v>
      </c>
      <c r="F73" s="23"/>
      <c r="G73" s="240">
        <f>'QTD Mgmt Summary'!G72+'[3]QTD Mgmt Summary'!G70</f>
        <v>1266</v>
      </c>
      <c r="H73" s="240">
        <v>1996</v>
      </c>
      <c r="I73" s="202">
        <f t="shared" si="29"/>
        <v>-730</v>
      </c>
      <c r="J73" s="9"/>
      <c r="K73" s="197">
        <f>'QTD Mgmt Summary'!K72+'[3]QTD Mgmt Summary'!K70</f>
        <v>0</v>
      </c>
      <c r="L73" s="197">
        <v>0</v>
      </c>
      <c r="M73" s="198">
        <f t="shared" si="30"/>
        <v>0</v>
      </c>
      <c r="N73" s="203"/>
      <c r="O73" s="201">
        <f t="shared" si="31"/>
        <v>-1266</v>
      </c>
      <c r="P73" s="202">
        <f t="shared" si="32"/>
        <v>-1996</v>
      </c>
      <c r="Q73" s="198">
        <f t="shared" si="33"/>
        <v>730</v>
      </c>
    </row>
    <row r="74" spans="1:17" ht="12" customHeight="1" x14ac:dyDescent="0.2">
      <c r="A74" s="29" t="s">
        <v>107</v>
      </c>
      <c r="B74" s="9"/>
      <c r="C74" s="202">
        <f>'QTD Mgmt Summary'!C73+'[3]QTD Mgmt Summary'!C71</f>
        <v>0</v>
      </c>
      <c r="D74" s="202">
        <v>0</v>
      </c>
      <c r="E74" s="24">
        <f t="shared" si="28"/>
        <v>0</v>
      </c>
      <c r="F74" s="23"/>
      <c r="G74" s="240">
        <f>'QTD Mgmt Summary'!G73+'[3]QTD Mgmt Summary'!G71</f>
        <v>3135</v>
      </c>
      <c r="H74" s="240">
        <v>5668</v>
      </c>
      <c r="I74" s="202">
        <f t="shared" si="29"/>
        <v>-2533</v>
      </c>
      <c r="J74" s="9"/>
      <c r="K74" s="197">
        <f>'QTD Mgmt Summary'!K73+'[3]QTD Mgmt Summary'!K71</f>
        <v>0</v>
      </c>
      <c r="L74" s="197">
        <v>0</v>
      </c>
      <c r="M74" s="198">
        <f t="shared" si="30"/>
        <v>0</v>
      </c>
      <c r="N74" s="203"/>
      <c r="O74" s="201">
        <f t="shared" si="31"/>
        <v>-3135</v>
      </c>
      <c r="P74" s="202">
        <f t="shared" si="32"/>
        <v>-5668</v>
      </c>
      <c r="Q74" s="198">
        <f t="shared" si="33"/>
        <v>2533</v>
      </c>
    </row>
    <row r="75" spans="1:17" ht="12" customHeight="1" x14ac:dyDescent="0.2">
      <c r="A75" s="29" t="s">
        <v>53</v>
      </c>
      <c r="B75" s="9"/>
      <c r="C75" s="202">
        <f>'QTD Mgmt Summary'!C74+'[3]QTD Mgmt Summary'!C72</f>
        <v>0</v>
      </c>
      <c r="D75" s="202">
        <v>0</v>
      </c>
      <c r="E75" s="24">
        <f t="shared" si="28"/>
        <v>0</v>
      </c>
      <c r="F75" s="23"/>
      <c r="G75" s="240">
        <f>'QTD Mgmt Summary'!G74+'[3]QTD Mgmt Summary'!G72</f>
        <v>20683</v>
      </c>
      <c r="H75" s="240">
        <v>40572</v>
      </c>
      <c r="I75" s="202">
        <f t="shared" si="29"/>
        <v>-19889</v>
      </c>
      <c r="J75" s="9"/>
      <c r="K75" s="197">
        <f>'QTD Mgmt Summary'!K74+'[3]QTD Mgmt Summary'!K72</f>
        <v>0</v>
      </c>
      <c r="L75" s="197">
        <v>0</v>
      </c>
      <c r="M75" s="198">
        <f t="shared" si="30"/>
        <v>0</v>
      </c>
      <c r="N75" s="203"/>
      <c r="O75" s="201">
        <f t="shared" si="31"/>
        <v>-20683</v>
      </c>
      <c r="P75" s="202">
        <f t="shared" si="32"/>
        <v>-40572</v>
      </c>
      <c r="Q75" s="198">
        <f t="shared" si="33"/>
        <v>19889</v>
      </c>
    </row>
    <row r="76" spans="1:17" ht="12" customHeight="1" x14ac:dyDescent="0.2">
      <c r="A76" s="29" t="s">
        <v>54</v>
      </c>
      <c r="B76" s="9"/>
      <c r="C76" s="202">
        <f>'QTD Mgmt Summary'!C75+'[3]QTD Mgmt Summary'!C73</f>
        <v>0</v>
      </c>
      <c r="D76" s="202">
        <v>0</v>
      </c>
      <c r="E76" s="24">
        <f t="shared" si="28"/>
        <v>0</v>
      </c>
      <c r="F76" s="23"/>
      <c r="G76" s="240">
        <f>'QTD Mgmt Summary'!G75+'[3]QTD Mgmt Summary'!G73</f>
        <v>2140</v>
      </c>
      <c r="H76" s="240">
        <v>4816</v>
      </c>
      <c r="I76" s="202">
        <f t="shared" si="29"/>
        <v>-2676</v>
      </c>
      <c r="J76" s="9"/>
      <c r="K76" s="197">
        <f>'QTD Mgmt Summary'!K75+'[3]QTD Mgmt Summary'!K73</f>
        <v>0</v>
      </c>
      <c r="L76" s="197">
        <v>0</v>
      </c>
      <c r="M76" s="198">
        <f t="shared" si="30"/>
        <v>0</v>
      </c>
      <c r="N76" s="203"/>
      <c r="O76" s="201">
        <f t="shared" si="31"/>
        <v>-2140</v>
      </c>
      <c r="P76" s="202">
        <f t="shared" si="32"/>
        <v>-4816</v>
      </c>
      <c r="Q76" s="198">
        <f t="shared" si="33"/>
        <v>2676</v>
      </c>
    </row>
    <row r="77" spans="1:17" ht="12" customHeight="1" x14ac:dyDescent="0.2">
      <c r="A77" s="29" t="s">
        <v>55</v>
      </c>
      <c r="B77" s="9"/>
      <c r="C77" s="202">
        <f>'QTD Mgmt Summary'!C76+'[3]QTD Mgmt Summary'!C74</f>
        <v>0</v>
      </c>
      <c r="D77" s="202">
        <v>0</v>
      </c>
      <c r="E77" s="24">
        <f t="shared" si="28"/>
        <v>0</v>
      </c>
      <c r="F77" s="23"/>
      <c r="G77" s="240">
        <f>'QTD Mgmt Summary'!G76+'[3]QTD Mgmt Summary'!G74</f>
        <v>4734</v>
      </c>
      <c r="H77" s="240">
        <v>10311</v>
      </c>
      <c r="I77" s="202">
        <f t="shared" si="29"/>
        <v>-5577</v>
      </c>
      <c r="J77" s="9"/>
      <c r="K77" s="197">
        <f>'QTD Mgmt Summary'!K76+'[3]QTD Mgmt Summary'!K74</f>
        <v>0</v>
      </c>
      <c r="L77" s="197">
        <v>0</v>
      </c>
      <c r="M77" s="198">
        <f t="shared" si="30"/>
        <v>0</v>
      </c>
      <c r="N77" s="203"/>
      <c r="O77" s="201">
        <f t="shared" si="31"/>
        <v>-4734</v>
      </c>
      <c r="P77" s="202">
        <f t="shared" si="32"/>
        <v>-10311</v>
      </c>
      <c r="Q77" s="198">
        <f t="shared" si="33"/>
        <v>5577</v>
      </c>
    </row>
    <row r="78" spans="1:17" ht="12" customHeight="1" x14ac:dyDescent="0.2">
      <c r="A78" s="29" t="s">
        <v>56</v>
      </c>
      <c r="B78" s="9"/>
      <c r="C78" s="202">
        <f>'QTD Mgmt Summary'!C77+'[3]QTD Mgmt Summary'!C75</f>
        <v>0</v>
      </c>
      <c r="D78" s="202">
        <v>0</v>
      </c>
      <c r="E78" s="24">
        <f t="shared" si="28"/>
        <v>0</v>
      </c>
      <c r="F78" s="23"/>
      <c r="G78" s="240">
        <f>'QTD Mgmt Summary'!G77+'[3]QTD Mgmt Summary'!G75</f>
        <v>328</v>
      </c>
      <c r="H78" s="240">
        <v>1572</v>
      </c>
      <c r="I78" s="202">
        <f t="shared" si="29"/>
        <v>-1244</v>
      </c>
      <c r="J78" s="9"/>
      <c r="K78" s="197">
        <f>'QTD Mgmt Summary'!K77+'[3]QTD Mgmt Summary'!K75</f>
        <v>0</v>
      </c>
      <c r="L78" s="197">
        <v>0</v>
      </c>
      <c r="M78" s="198">
        <f t="shared" si="30"/>
        <v>0</v>
      </c>
      <c r="N78" s="203"/>
      <c r="O78" s="201">
        <f t="shared" si="31"/>
        <v>-328</v>
      </c>
      <c r="P78" s="202">
        <f t="shared" si="32"/>
        <v>-1572</v>
      </c>
      <c r="Q78" s="198">
        <f t="shared" si="33"/>
        <v>1244</v>
      </c>
    </row>
    <row r="79" spans="1:17" ht="12" customHeight="1" x14ac:dyDescent="0.2">
      <c r="A79" s="29" t="s">
        <v>57</v>
      </c>
      <c r="B79" s="9"/>
      <c r="C79" s="202">
        <f>'QTD Mgmt Summary'!C78+'[3]QTD Mgmt Summary'!C76</f>
        <v>0</v>
      </c>
      <c r="D79" s="202">
        <v>0</v>
      </c>
      <c r="E79" s="24">
        <f t="shared" si="28"/>
        <v>0</v>
      </c>
      <c r="F79" s="23"/>
      <c r="G79" s="240">
        <f>'QTD Mgmt Summary'!G78+'[3]QTD Mgmt Summary'!G76</f>
        <v>950</v>
      </c>
      <c r="H79" s="240">
        <v>2336</v>
      </c>
      <c r="I79" s="202">
        <f t="shared" si="29"/>
        <v>-1386</v>
      </c>
      <c r="J79" s="9"/>
      <c r="K79" s="197">
        <f>'QTD Mgmt Summary'!K78+'[3]QTD Mgmt Summary'!K76</f>
        <v>0</v>
      </c>
      <c r="L79" s="197">
        <v>0</v>
      </c>
      <c r="M79" s="198">
        <f t="shared" si="30"/>
        <v>0</v>
      </c>
      <c r="N79" s="203"/>
      <c r="O79" s="201">
        <f t="shared" si="31"/>
        <v>-950</v>
      </c>
      <c r="P79" s="202">
        <f t="shared" si="32"/>
        <v>-2336</v>
      </c>
      <c r="Q79" s="198">
        <f t="shared" si="33"/>
        <v>1386</v>
      </c>
    </row>
    <row r="80" spans="1:17" ht="12" customHeight="1" x14ac:dyDescent="0.2">
      <c r="A80" s="29" t="s">
        <v>59</v>
      </c>
      <c r="B80" s="9"/>
      <c r="C80" s="202">
        <f>'QTD Mgmt Summary'!C79+'[3]QTD Mgmt Summary'!C77</f>
        <v>0</v>
      </c>
      <c r="D80" s="202">
        <v>0</v>
      </c>
      <c r="E80" s="24">
        <f t="shared" si="28"/>
        <v>0</v>
      </c>
      <c r="F80" s="23"/>
      <c r="G80" s="240">
        <f>'QTD Mgmt Summary'!G79+'[3]QTD Mgmt Summary'!G77</f>
        <v>739</v>
      </c>
      <c r="H80" s="240">
        <v>2201</v>
      </c>
      <c r="I80" s="202">
        <f t="shared" si="29"/>
        <v>-1462</v>
      </c>
      <c r="J80" s="9"/>
      <c r="K80" s="197">
        <f>'QTD Mgmt Summary'!K79+'[3]QTD Mgmt Summary'!K77</f>
        <v>0</v>
      </c>
      <c r="L80" s="197">
        <v>0</v>
      </c>
      <c r="M80" s="198">
        <f t="shared" si="30"/>
        <v>0</v>
      </c>
      <c r="N80" s="203"/>
      <c r="O80" s="201">
        <f t="shared" si="31"/>
        <v>-739</v>
      </c>
      <c r="P80" s="202">
        <f t="shared" si="32"/>
        <v>-2201</v>
      </c>
      <c r="Q80" s="198">
        <f t="shared" si="33"/>
        <v>1462</v>
      </c>
    </row>
    <row r="81" spans="1:17" ht="12" customHeight="1" x14ac:dyDescent="0.2">
      <c r="A81" s="29" t="s">
        <v>60</v>
      </c>
      <c r="B81" s="9"/>
      <c r="C81" s="202">
        <f>'QTD Mgmt Summary'!C80+'[3]QTD Mgmt Summary'!C78</f>
        <v>0</v>
      </c>
      <c r="D81" s="202">
        <v>0</v>
      </c>
      <c r="E81" s="24">
        <f t="shared" si="28"/>
        <v>0</v>
      </c>
      <c r="F81" s="23"/>
      <c r="G81" s="240">
        <f>'QTD Mgmt Summary'!G80+'[3]QTD Mgmt Summary'!G78</f>
        <v>383</v>
      </c>
      <c r="H81" s="240">
        <v>793</v>
      </c>
      <c r="I81" s="202">
        <f t="shared" si="29"/>
        <v>-410</v>
      </c>
      <c r="J81" s="9"/>
      <c r="K81" s="197">
        <f>'QTD Mgmt Summary'!K80+'[3]QTD Mgmt Summary'!K78</f>
        <v>0</v>
      </c>
      <c r="L81" s="197">
        <v>0</v>
      </c>
      <c r="M81" s="198">
        <f t="shared" si="30"/>
        <v>0</v>
      </c>
      <c r="N81" s="203"/>
      <c r="O81" s="201">
        <f t="shared" si="31"/>
        <v>-383</v>
      </c>
      <c r="P81" s="202">
        <f t="shared" si="32"/>
        <v>-793</v>
      </c>
      <c r="Q81" s="198">
        <f t="shared" si="33"/>
        <v>410</v>
      </c>
    </row>
    <row r="82" spans="1:17" ht="12" customHeight="1" x14ac:dyDescent="0.2">
      <c r="A82" s="29" t="s">
        <v>61</v>
      </c>
      <c r="B82" s="9"/>
      <c r="C82" s="202">
        <f>'QTD Mgmt Summary'!C81+'[3]QTD Mgmt Summary'!C79</f>
        <v>0</v>
      </c>
      <c r="D82" s="202">
        <v>0</v>
      </c>
      <c r="E82" s="24">
        <f t="shared" si="28"/>
        <v>0</v>
      </c>
      <c r="F82" s="23"/>
      <c r="G82" s="240">
        <f>'QTD Mgmt Summary'!G81+'[3]QTD Mgmt Summary'!G79</f>
        <v>1153</v>
      </c>
      <c r="H82" s="240">
        <v>2756</v>
      </c>
      <c r="I82" s="202">
        <f t="shared" si="29"/>
        <v>-1603</v>
      </c>
      <c r="J82" s="9"/>
      <c r="K82" s="197">
        <f>'QTD Mgmt Summary'!K81+'[3]QTD Mgmt Summary'!K79</f>
        <v>0</v>
      </c>
      <c r="L82" s="197">
        <v>0</v>
      </c>
      <c r="M82" s="198">
        <f t="shared" si="30"/>
        <v>0</v>
      </c>
      <c r="N82" s="203"/>
      <c r="O82" s="201">
        <f t="shared" si="31"/>
        <v>-1153</v>
      </c>
      <c r="P82" s="202">
        <f t="shared" si="32"/>
        <v>-2756</v>
      </c>
      <c r="Q82" s="198">
        <f t="shared" si="33"/>
        <v>1603</v>
      </c>
    </row>
    <row r="83" spans="1:17" ht="12" customHeight="1" x14ac:dyDescent="0.2">
      <c r="A83" s="29" t="s">
        <v>62</v>
      </c>
      <c r="B83" s="9"/>
      <c r="C83" s="202">
        <f>'QTD Mgmt Summary'!C82+'[3]QTD Mgmt Summary'!C80</f>
        <v>0</v>
      </c>
      <c r="D83" s="202">
        <v>0</v>
      </c>
      <c r="E83" s="24">
        <f t="shared" si="28"/>
        <v>0</v>
      </c>
      <c r="F83" s="23"/>
      <c r="G83" s="240">
        <f>'QTD Mgmt Summary'!G82+'[3]QTD Mgmt Summary'!G80</f>
        <v>2538</v>
      </c>
      <c r="H83" s="240">
        <v>5677</v>
      </c>
      <c r="I83" s="202">
        <f t="shared" si="29"/>
        <v>-3139</v>
      </c>
      <c r="J83" s="9"/>
      <c r="K83" s="197">
        <f>'QTD Mgmt Summary'!K82+'[3]QTD Mgmt Summary'!K80</f>
        <v>0</v>
      </c>
      <c r="L83" s="197">
        <v>0</v>
      </c>
      <c r="M83" s="198">
        <f t="shared" si="30"/>
        <v>0</v>
      </c>
      <c r="N83" s="203"/>
      <c r="O83" s="201">
        <f t="shared" si="31"/>
        <v>-2538</v>
      </c>
      <c r="P83" s="202">
        <f t="shared" si="32"/>
        <v>-5677</v>
      </c>
      <c r="Q83" s="198">
        <f t="shared" si="33"/>
        <v>3139</v>
      </c>
    </row>
    <row r="84" spans="1:17" x14ac:dyDescent="0.2">
      <c r="A84" s="29" t="s">
        <v>58</v>
      </c>
      <c r="B84" s="9"/>
      <c r="C84" s="202">
        <f>'QTD Mgmt Summary'!C83+'[3]QTD Mgmt Summary'!C81</f>
        <v>0</v>
      </c>
      <c r="D84" s="202">
        <v>0</v>
      </c>
      <c r="E84" s="24">
        <f t="shared" si="28"/>
        <v>0</v>
      </c>
      <c r="F84" s="23"/>
      <c r="G84" s="240">
        <f>'QTD Mgmt Summary'!G83+'[3]QTD Mgmt Summary'!G81</f>
        <v>54732</v>
      </c>
      <c r="H84" s="240">
        <v>92300</v>
      </c>
      <c r="I84" s="202">
        <f t="shared" si="29"/>
        <v>-37568</v>
      </c>
      <c r="J84" s="9"/>
      <c r="K84" s="197">
        <f>'QTD Mgmt Summary'!K83+'[3]QTD Mgmt Summary'!K81</f>
        <v>0</v>
      </c>
      <c r="L84" s="197">
        <v>0</v>
      </c>
      <c r="M84" s="198">
        <f t="shared" si="30"/>
        <v>0</v>
      </c>
      <c r="N84" s="203"/>
      <c r="O84" s="201">
        <f t="shared" si="31"/>
        <v>-54732</v>
      </c>
      <c r="P84" s="202">
        <f t="shared" si="32"/>
        <v>-92300</v>
      </c>
      <c r="Q84" s="198">
        <f t="shared" si="33"/>
        <v>37568</v>
      </c>
    </row>
    <row r="85" spans="1:17" ht="12" customHeight="1" x14ac:dyDescent="0.2">
      <c r="A85" s="29" t="s">
        <v>17</v>
      </c>
      <c r="B85" s="9"/>
      <c r="C85" s="202">
        <f>'QTD Mgmt Summary'!C84+'[3]QTD Mgmt Summary'!C82</f>
        <v>0</v>
      </c>
      <c r="D85" s="202">
        <v>0</v>
      </c>
      <c r="E85" s="24">
        <f t="shared" si="28"/>
        <v>0</v>
      </c>
      <c r="F85" s="23"/>
      <c r="G85" s="240">
        <f>'QTD Mgmt Summary'!G84+'[3]QTD Mgmt Summary'!G82</f>
        <v>96565</v>
      </c>
      <c r="H85" s="240">
        <v>206917</v>
      </c>
      <c r="I85" s="202">
        <f t="shared" si="29"/>
        <v>-110352</v>
      </c>
      <c r="J85" s="9"/>
      <c r="K85" s="197">
        <f>'QTD Mgmt Summary'!K84+'[3]QTD Mgmt Summary'!K82</f>
        <v>0</v>
      </c>
      <c r="L85" s="197">
        <v>0</v>
      </c>
      <c r="M85" s="198">
        <f t="shared" si="30"/>
        <v>0</v>
      </c>
      <c r="N85" s="203"/>
      <c r="O85" s="201">
        <f t="shared" si="31"/>
        <v>-96565</v>
      </c>
      <c r="P85" s="202">
        <f t="shared" si="32"/>
        <v>-206917</v>
      </c>
      <c r="Q85" s="198">
        <f t="shared" si="33"/>
        <v>110352</v>
      </c>
    </row>
    <row r="86" spans="1:17" s="157" customFormat="1" ht="12" customHeight="1" x14ac:dyDescent="0.2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194096</v>
      </c>
      <c r="H86" s="205">
        <f>SUM(H72:H85)</f>
        <v>388315</v>
      </c>
      <c r="I86" s="205">
        <f>SUM(I72:I85)</f>
        <v>-194219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-194096</v>
      </c>
      <c r="P86" s="205">
        <f>SUM(P72:P85)</f>
        <v>-388315</v>
      </c>
      <c r="Q86" s="206">
        <f>SUM(Q72:Q85)</f>
        <v>194219</v>
      </c>
    </row>
    <row r="87" spans="1:17" s="33" customFormat="1" ht="12" customHeight="1" x14ac:dyDescent="0.2">
      <c r="A87" s="181" t="s">
        <v>119</v>
      </c>
      <c r="B87" s="9"/>
      <c r="C87" s="202">
        <f>'QTD Mgmt Summary'!C86+'[3]QTD Mgmt Summary'!C84</f>
        <v>0</v>
      </c>
      <c r="D87" s="202">
        <v>0</v>
      </c>
      <c r="E87" s="292">
        <f>-D87+C87</f>
        <v>0</v>
      </c>
      <c r="F87" s="23"/>
      <c r="G87" s="240">
        <f>'QTD Mgmt Summary'!G86+'[3]QTD Mgmt Summary'!G84</f>
        <v>53343</v>
      </c>
      <c r="H87" s="240">
        <v>149780</v>
      </c>
      <c r="I87" s="202">
        <f>G87-H87</f>
        <v>-96437</v>
      </c>
      <c r="J87" s="9"/>
      <c r="K87" s="202">
        <f>'QTD Mgmt Summary'!K86+'[3]QTD Mgmt Summary'!K84</f>
        <v>0</v>
      </c>
      <c r="L87" s="202">
        <f>CapChrg!D83</f>
        <v>0</v>
      </c>
      <c r="M87" s="293">
        <f>K87-L87</f>
        <v>0</v>
      </c>
      <c r="N87" s="203"/>
      <c r="O87" s="201">
        <f t="shared" ref="O87:P90" si="34">C87-G87-K87</f>
        <v>-53343</v>
      </c>
      <c r="P87" s="202">
        <f t="shared" si="34"/>
        <v>-149780</v>
      </c>
      <c r="Q87" s="198">
        <f>O87-P87</f>
        <v>96437</v>
      </c>
    </row>
    <row r="88" spans="1:17" s="33" customFormat="1" ht="12" customHeight="1" x14ac:dyDescent="0.2">
      <c r="A88" s="181" t="s">
        <v>120</v>
      </c>
      <c r="B88" s="9"/>
      <c r="C88" s="202">
        <f>'QTD Mgmt Summary'!C87+'[3]QTD Mgmt Summary'!C85</f>
        <v>74581</v>
      </c>
      <c r="D88" s="240">
        <v>131639</v>
      </c>
      <c r="E88" s="294">
        <f>-D88+C88</f>
        <v>-57058</v>
      </c>
      <c r="F88" s="23"/>
      <c r="G88" s="240">
        <f>'QTD Mgmt Summary'!G87+'[3]QTD Mgmt Summary'!G85</f>
        <v>4802</v>
      </c>
      <c r="H88" s="240">
        <v>11639</v>
      </c>
      <c r="I88" s="202">
        <f>G88-H88</f>
        <v>-6837</v>
      </c>
      <c r="J88" s="9"/>
      <c r="K88" s="202">
        <f>'QTD Mgmt Summary'!K87+'[3]QTD Mgmt Summary'!K85</f>
        <v>0</v>
      </c>
      <c r="L88" s="202">
        <f>CapChrg!D84</f>
        <v>0</v>
      </c>
      <c r="M88" s="293">
        <f>K88-L88</f>
        <v>0</v>
      </c>
      <c r="N88" s="203"/>
      <c r="O88" s="201">
        <f t="shared" si="34"/>
        <v>69779</v>
      </c>
      <c r="P88" s="202">
        <f t="shared" si="34"/>
        <v>120000</v>
      </c>
      <c r="Q88" s="198">
        <f>O88-P88</f>
        <v>-50221</v>
      </c>
    </row>
    <row r="89" spans="1:17" s="33" customFormat="1" ht="12" customHeight="1" x14ac:dyDescent="0.2">
      <c r="A89" s="181" t="s">
        <v>116</v>
      </c>
      <c r="B89" s="9"/>
      <c r="C89" s="202">
        <f>'QTD Mgmt Summary'!C88+'[3]QTD Mgmt Summary'!C86</f>
        <v>-41331</v>
      </c>
      <c r="D89" s="202">
        <v>-52000</v>
      </c>
      <c r="E89" s="294">
        <f>-D89+C89</f>
        <v>10669</v>
      </c>
      <c r="F89" s="23"/>
      <c r="G89" s="240">
        <f>'QTD Mgmt Summary'!G88+'[3]QTD Mgmt Summary'!G86</f>
        <v>0</v>
      </c>
      <c r="H89" s="240">
        <v>0</v>
      </c>
      <c r="I89" s="202">
        <f>G89-H89</f>
        <v>0</v>
      </c>
      <c r="J89" s="9"/>
      <c r="K89" s="202">
        <f>'QTD Mgmt Summary'!K88+'[3]QTD Mgmt Summary'!K86</f>
        <v>0</v>
      </c>
      <c r="L89" s="202">
        <v>0</v>
      </c>
      <c r="M89" s="293">
        <f>K89-L89</f>
        <v>0</v>
      </c>
      <c r="N89" s="203"/>
      <c r="O89" s="201">
        <f t="shared" si="34"/>
        <v>-41331</v>
      </c>
      <c r="P89" s="202">
        <f t="shared" si="34"/>
        <v>-52000</v>
      </c>
      <c r="Q89" s="198">
        <f>O89-P89</f>
        <v>10669</v>
      </c>
    </row>
    <row r="90" spans="1:17" ht="12" customHeight="1" thickBot="1" x14ac:dyDescent="0.25">
      <c r="A90" s="29" t="s">
        <v>115</v>
      </c>
      <c r="B90" s="9"/>
      <c r="C90" s="202">
        <f>'QTD Mgmt Summary'!C89+'[3]QTD Mgmt Summary'!C87</f>
        <v>5773</v>
      </c>
      <c r="D90" s="202">
        <v>0</v>
      </c>
      <c r="E90" s="294">
        <f>-D90+C90</f>
        <v>5773</v>
      </c>
      <c r="F90" s="23"/>
      <c r="G90" s="202">
        <f>'QTD Mgmt Summary'!G89+'[3]QTD Mgmt Summary'!G87</f>
        <v>0</v>
      </c>
      <c r="H90" s="202">
        <v>0</v>
      </c>
      <c r="I90" s="202">
        <f>G90-H90</f>
        <v>0</v>
      </c>
      <c r="J90" s="9"/>
      <c r="K90" s="240">
        <f>'QTD Mgmt Summary'!K89+'[3]QTD Mgmt Summary'!K87</f>
        <v>-184615</v>
      </c>
      <c r="L90" s="240">
        <v>-348670</v>
      </c>
      <c r="M90" s="293">
        <f>K90-L90</f>
        <v>164055</v>
      </c>
      <c r="N90" s="203"/>
      <c r="O90" s="201">
        <f t="shared" si="34"/>
        <v>190388</v>
      </c>
      <c r="P90" s="202">
        <f t="shared" si="34"/>
        <v>348670</v>
      </c>
      <c r="Q90" s="198">
        <f>O90-P90</f>
        <v>-158282</v>
      </c>
    </row>
    <row r="91" spans="1:17" s="157" customFormat="1" ht="12" customHeight="1" thickBot="1" x14ac:dyDescent="0.25">
      <c r="A91" s="25" t="s">
        <v>141</v>
      </c>
      <c r="B91" s="303"/>
      <c r="C91" s="310">
        <f>C70+C86+C87+C88+C89+C90</f>
        <v>1983473</v>
      </c>
      <c r="D91" s="310">
        <f>D70+D86+D87+D88+D89+D90</f>
        <v>1636492</v>
      </c>
      <c r="E91" s="310">
        <f>E70+E86+E87+E88+E89+E90</f>
        <v>346981</v>
      </c>
      <c r="F91" s="156"/>
      <c r="G91" s="310">
        <f>G70+G86+G87+G88+G89+G90</f>
        <v>734999</v>
      </c>
      <c r="H91" s="310">
        <f>H70+H86+H87+H88+H89+H90</f>
        <v>747507</v>
      </c>
      <c r="I91" s="310">
        <f>I70+I86+I87+I88+I89+I90</f>
        <v>-12508</v>
      </c>
      <c r="J91" s="15"/>
      <c r="K91" s="310">
        <f>K70+K86+K87+K88+K89+K90</f>
        <v>0</v>
      </c>
      <c r="L91" s="310">
        <f>L70+L86+L87+L88+L89+L90</f>
        <v>-40645</v>
      </c>
      <c r="M91" s="310">
        <f>M70+M86+M87+M88+M89+M90</f>
        <v>40645</v>
      </c>
      <c r="N91" s="15"/>
      <c r="O91" s="317">
        <f>O70+O86+O87+O88+O89+O90</f>
        <v>1248474</v>
      </c>
      <c r="P91" s="318">
        <f>P70+P86+P87+P88+P89+P90</f>
        <v>929630</v>
      </c>
      <c r="Q91" s="319">
        <f>Q70+Q86+Q87+Q88+Q89+Q90</f>
        <v>318844</v>
      </c>
    </row>
    <row r="92" spans="1:17" ht="12.75" customHeight="1" thickBot="1" x14ac:dyDescent="0.25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Expenses!C87</f>
        <v>6625</v>
      </c>
      <c r="H92" s="210">
        <v>0</v>
      </c>
      <c r="I92" s="202">
        <f>G92-H92</f>
        <v>6625</v>
      </c>
      <c r="J92" s="9"/>
      <c r="K92" s="210">
        <v>0</v>
      </c>
      <c r="L92" s="210">
        <f>CapChrg!E72</f>
        <v>0</v>
      </c>
      <c r="M92" s="198">
        <v>0</v>
      </c>
      <c r="N92" s="203"/>
      <c r="O92" s="314">
        <f>C92-G92-K92</f>
        <v>-6625</v>
      </c>
      <c r="P92" s="315">
        <f>D92-H92-L92</f>
        <v>0</v>
      </c>
      <c r="Q92" s="316">
        <f>O92-P92</f>
        <v>-6625</v>
      </c>
    </row>
    <row r="93" spans="1:17" s="157" customFormat="1" ht="12" customHeight="1" thickBot="1" x14ac:dyDescent="0.3">
      <c r="A93" s="35" t="s">
        <v>142</v>
      </c>
      <c r="B93" s="158"/>
      <c r="C93" s="36">
        <f>SUM(C91:C92)</f>
        <v>1983473</v>
      </c>
      <c r="D93" s="37">
        <f>SUM(D91:D92)</f>
        <v>1636492</v>
      </c>
      <c r="E93" s="51">
        <f>SUM(E91:E92)</f>
        <v>346981</v>
      </c>
      <c r="F93" s="159"/>
      <c r="G93" s="212">
        <f>SUM(G91:G92)</f>
        <v>741624</v>
      </c>
      <c r="H93" s="213">
        <f>SUM(H91:H92)</f>
        <v>747507</v>
      </c>
      <c r="I93" s="213">
        <f>G93-H93</f>
        <v>-5883</v>
      </c>
      <c r="J93" s="159"/>
      <c r="K93" s="212">
        <f>SUM(K91:K92)</f>
        <v>0</v>
      </c>
      <c r="L93" s="213">
        <f>SUM(L91:L92)</f>
        <v>-40645</v>
      </c>
      <c r="M93" s="214">
        <f>SUM(M91:M92)</f>
        <v>40645</v>
      </c>
      <c r="N93" s="215"/>
      <c r="O93" s="311">
        <f>SUM(O91:O92)</f>
        <v>1241849</v>
      </c>
      <c r="P93" s="312">
        <f>SUM(P91:P92)</f>
        <v>929630</v>
      </c>
      <c r="Q93" s="313">
        <f>SUM(Q91:Q92)</f>
        <v>312219</v>
      </c>
    </row>
    <row r="94" spans="1:17" ht="3" customHeight="1" x14ac:dyDescent="0.3">
      <c r="A94" s="38"/>
      <c r="C94" s="39"/>
      <c r="D94" s="40"/>
      <c r="E94" s="38"/>
      <c r="F94" s="41"/>
    </row>
    <row r="95" spans="1:17" x14ac:dyDescent="0.2">
      <c r="A95" s="43"/>
      <c r="C95" s="41"/>
      <c r="D95" s="40"/>
      <c r="E95" s="41"/>
      <c r="F95" s="41"/>
    </row>
    <row r="96" spans="1:17" ht="13.5" customHeight="1" x14ac:dyDescent="0.2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Havlíček Jan</cp:lastModifiedBy>
  <cp:lastPrinted>2001-05-21T14:55:37Z</cp:lastPrinted>
  <dcterms:created xsi:type="dcterms:W3CDTF">2001-01-02T19:05:14Z</dcterms:created>
  <dcterms:modified xsi:type="dcterms:W3CDTF">2023-09-10T11:45:23Z</dcterms:modified>
</cp:coreProperties>
</file>